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СВОД_ОЧГ" sheetId="1" r:id="rId1"/>
  </sheets>
  <definedNames>
    <definedName name="_xlnm.Print_Titles" localSheetId="0">СВОД_ОЧГ!$A:$B</definedName>
  </definedNames>
  <calcPr calcId="125725"/>
</workbook>
</file>

<file path=xl/calcChain.xml><?xml version="1.0" encoding="utf-8"?>
<calcChain xmlns="http://schemas.openxmlformats.org/spreadsheetml/2006/main">
  <c r="Z40" i="1"/>
  <c r="Y40"/>
  <c r="X40"/>
  <c r="W40"/>
  <c r="V40"/>
  <c r="U40"/>
  <c r="T40"/>
  <c r="S40"/>
  <c r="R40"/>
  <c r="Q40"/>
  <c r="P40"/>
  <c r="O40"/>
  <c r="N40"/>
  <c r="M40"/>
  <c r="L40"/>
  <c r="K40"/>
  <c r="J40"/>
  <c r="I40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Z35"/>
  <c r="Y35"/>
  <c r="X35"/>
  <c r="W35"/>
  <c r="V35"/>
  <c r="U35"/>
  <c r="T35"/>
  <c r="S35"/>
  <c r="R35"/>
  <c r="Q35"/>
  <c r="P35"/>
  <c r="O35"/>
  <c r="E35" s="1"/>
  <c r="N35"/>
  <c r="M35"/>
  <c r="L35"/>
  <c r="K35"/>
  <c r="J35"/>
  <c r="I35"/>
  <c r="X34"/>
  <c r="W34"/>
  <c r="V34"/>
  <c r="G34" s="1"/>
  <c r="U34"/>
  <c r="T34"/>
  <c r="S34"/>
  <c r="R34"/>
  <c r="Q34"/>
  <c r="P34"/>
  <c r="O34"/>
  <c r="N34"/>
  <c r="M34"/>
  <c r="L34"/>
  <c r="K34"/>
  <c r="J34"/>
  <c r="I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Z32"/>
  <c r="Y32"/>
  <c r="X32"/>
  <c r="W32"/>
  <c r="V32"/>
  <c r="U32"/>
  <c r="T32"/>
  <c r="S32"/>
  <c r="R32"/>
  <c r="Q32"/>
  <c r="P32"/>
  <c r="O32"/>
  <c r="N32"/>
  <c r="M32"/>
  <c r="L32"/>
  <c r="G32" s="1"/>
  <c r="K32"/>
  <c r="J32"/>
  <c r="I32"/>
  <c r="Z31"/>
  <c r="Y31"/>
  <c r="X31"/>
  <c r="W31"/>
  <c r="V31"/>
  <c r="U31"/>
  <c r="T31"/>
  <c r="S31"/>
  <c r="R31"/>
  <c r="Q31"/>
  <c r="P31"/>
  <c r="O31"/>
  <c r="E31" s="1"/>
  <c r="N31"/>
  <c r="M31"/>
  <c r="L31"/>
  <c r="K31"/>
  <c r="J31"/>
  <c r="I31"/>
  <c r="Z30"/>
  <c r="Y30"/>
  <c r="X30"/>
  <c r="W30"/>
  <c r="V30"/>
  <c r="G30" s="1"/>
  <c r="U30"/>
  <c r="T30"/>
  <c r="S30"/>
  <c r="R30"/>
  <c r="Q30"/>
  <c r="P30"/>
  <c r="O30"/>
  <c r="N30"/>
  <c r="M30"/>
  <c r="L30"/>
  <c r="K30"/>
  <c r="J30"/>
  <c r="I30"/>
  <c r="Z29"/>
  <c r="Y29"/>
  <c r="X29"/>
  <c r="W29"/>
  <c r="V29"/>
  <c r="U29"/>
  <c r="T29"/>
  <c r="S29"/>
  <c r="R29"/>
  <c r="Q29"/>
  <c r="P29"/>
  <c r="O29"/>
  <c r="N29"/>
  <c r="M29"/>
  <c r="L29"/>
  <c r="K29"/>
  <c r="J29"/>
  <c r="E29" s="1"/>
  <c r="I29"/>
  <c r="Z28"/>
  <c r="Y28"/>
  <c r="X28"/>
  <c r="W28"/>
  <c r="V28"/>
  <c r="U28"/>
  <c r="T28"/>
  <c r="S28"/>
  <c r="R28"/>
  <c r="Q28"/>
  <c r="P28"/>
  <c r="O28"/>
  <c r="N28"/>
  <c r="M28"/>
  <c r="L28"/>
  <c r="G28" s="1"/>
  <c r="K28"/>
  <c r="J28"/>
  <c r="I28"/>
  <c r="Z27"/>
  <c r="Y27"/>
  <c r="X27"/>
  <c r="W27"/>
  <c r="V27"/>
  <c r="U27"/>
  <c r="T27"/>
  <c r="S27"/>
  <c r="R27"/>
  <c r="Q27"/>
  <c r="P27"/>
  <c r="O27"/>
  <c r="N27"/>
  <c r="M27"/>
  <c r="L27"/>
  <c r="K27"/>
  <c r="J27"/>
  <c r="E27" s="1"/>
  <c r="I27"/>
  <c r="Z26"/>
  <c r="Y26"/>
  <c r="X26"/>
  <c r="W26"/>
  <c r="V26"/>
  <c r="U26"/>
  <c r="T26"/>
  <c r="S26"/>
  <c r="R26"/>
  <c r="Q26"/>
  <c r="G26" s="1"/>
  <c r="P26"/>
  <c r="O26"/>
  <c r="N26"/>
  <c r="M26"/>
  <c r="L26"/>
  <c r="K26"/>
  <c r="J26"/>
  <c r="I26"/>
  <c r="Z25"/>
  <c r="Y25"/>
  <c r="X25"/>
  <c r="W25"/>
  <c r="V25"/>
  <c r="U25"/>
  <c r="T25"/>
  <c r="S25"/>
  <c r="R25"/>
  <c r="Q25"/>
  <c r="P25"/>
  <c r="O25"/>
  <c r="N25"/>
  <c r="M25"/>
  <c r="L25"/>
  <c r="K25"/>
  <c r="J25"/>
  <c r="E25" s="1"/>
  <c r="I25"/>
  <c r="Z24"/>
  <c r="Y24"/>
  <c r="X24"/>
  <c r="W24"/>
  <c r="V24"/>
  <c r="U24"/>
  <c r="T24"/>
  <c r="S24"/>
  <c r="R24"/>
  <c r="Q24"/>
  <c r="P24"/>
  <c r="O24"/>
  <c r="N24"/>
  <c r="M24"/>
  <c r="L24"/>
  <c r="G24" s="1"/>
  <c r="K24"/>
  <c r="J24"/>
  <c r="I24"/>
  <c r="Z23"/>
  <c r="Y23"/>
  <c r="X23"/>
  <c r="W23"/>
  <c r="V23"/>
  <c r="U23"/>
  <c r="T23"/>
  <c r="S23"/>
  <c r="R23"/>
  <c r="Q23"/>
  <c r="P23"/>
  <c r="O23"/>
  <c r="N23"/>
  <c r="M23"/>
  <c r="L23"/>
  <c r="K23"/>
  <c r="J23"/>
  <c r="E23" s="1"/>
  <c r="I23"/>
  <c r="Z22"/>
  <c r="Y22"/>
  <c r="X22"/>
  <c r="W22"/>
  <c r="V22"/>
  <c r="U22"/>
  <c r="T22"/>
  <c r="S22"/>
  <c r="R22"/>
  <c r="Q22"/>
  <c r="G22" s="1"/>
  <c r="P22"/>
  <c r="O22"/>
  <c r="N22"/>
  <c r="M22"/>
  <c r="L22"/>
  <c r="K22"/>
  <c r="J22"/>
  <c r="I22"/>
  <c r="Z21"/>
  <c r="Y21"/>
  <c r="X21"/>
  <c r="W21"/>
  <c r="V21"/>
  <c r="U21"/>
  <c r="T21"/>
  <c r="S21"/>
  <c r="R21"/>
  <c r="Q21"/>
  <c r="P21"/>
  <c r="O21"/>
  <c r="N21"/>
  <c r="M21"/>
  <c r="L21"/>
  <c r="K21"/>
  <c r="J21"/>
  <c r="E21" s="1"/>
  <c r="I21"/>
  <c r="Z20"/>
  <c r="Y20"/>
  <c r="X20"/>
  <c r="W20"/>
  <c r="V20"/>
  <c r="U20"/>
  <c r="T20"/>
  <c r="S20"/>
  <c r="R20"/>
  <c r="Q20"/>
  <c r="P20"/>
  <c r="O20"/>
  <c r="N20"/>
  <c r="M20"/>
  <c r="L20"/>
  <c r="G20" s="1"/>
  <c r="K20"/>
  <c r="J20"/>
  <c r="I20"/>
  <c r="Z19"/>
  <c r="Y19"/>
  <c r="X19"/>
  <c r="W19"/>
  <c r="V19"/>
  <c r="U19"/>
  <c r="T19"/>
  <c r="S19"/>
  <c r="R19"/>
  <c r="Q19"/>
  <c r="P19"/>
  <c r="O19"/>
  <c r="N19"/>
  <c r="M19"/>
  <c r="L19"/>
  <c r="K19"/>
  <c r="J19"/>
  <c r="E19" s="1"/>
  <c r="I19"/>
  <c r="Z18"/>
  <c r="Y18"/>
  <c r="X18"/>
  <c r="W18"/>
  <c r="V18"/>
  <c r="U18"/>
  <c r="T18"/>
  <c r="S18"/>
  <c r="R18"/>
  <c r="Q18"/>
  <c r="G18" s="1"/>
  <c r="P18"/>
  <c r="O18"/>
  <c r="N18"/>
  <c r="M18"/>
  <c r="L18"/>
  <c r="K18"/>
  <c r="J18"/>
  <c r="I18"/>
  <c r="Z17"/>
  <c r="Y17"/>
  <c r="X17"/>
  <c r="W17"/>
  <c r="V17"/>
  <c r="U17"/>
  <c r="T17"/>
  <c r="S17"/>
  <c r="R17"/>
  <c r="Q17"/>
  <c r="P17"/>
  <c r="O17"/>
  <c r="N17"/>
  <c r="M17"/>
  <c r="L17"/>
  <c r="K17"/>
  <c r="J17"/>
  <c r="E17" s="1"/>
  <c r="I17"/>
  <c r="Z16"/>
  <c r="Y16"/>
  <c r="X16"/>
  <c r="W16"/>
  <c r="V16"/>
  <c r="U16"/>
  <c r="T16"/>
  <c r="S16"/>
  <c r="R16"/>
  <c r="Q16"/>
  <c r="P16"/>
  <c r="O16"/>
  <c r="N16"/>
  <c r="M16"/>
  <c r="L16"/>
  <c r="G16" s="1"/>
  <c r="K16"/>
  <c r="J16"/>
  <c r="I16"/>
  <c r="Z15"/>
  <c r="Y15"/>
  <c r="X15"/>
  <c r="W15"/>
  <c r="W14" s="1"/>
  <c r="V15"/>
  <c r="U15"/>
  <c r="T15"/>
  <c r="S15"/>
  <c r="S14" s="1"/>
  <c r="R15"/>
  <c r="Q15"/>
  <c r="P15"/>
  <c r="O15"/>
  <c r="O14" s="1"/>
  <c r="N15"/>
  <c r="M15"/>
  <c r="L15"/>
  <c r="G15" s="1"/>
  <c r="K15"/>
  <c r="J15"/>
  <c r="E15" s="1"/>
  <c r="E14" s="1"/>
  <c r="I15"/>
  <c r="AA14"/>
  <c r="AB9"/>
  <c r="H40"/>
  <c r="G40"/>
  <c r="F40"/>
  <c r="E40"/>
  <c r="D40"/>
  <c r="AB40" s="1"/>
  <c r="C40" s="1"/>
  <c r="H39"/>
  <c r="G39"/>
  <c r="F39"/>
  <c r="E39"/>
  <c r="D39"/>
  <c r="AB39" s="1"/>
  <c r="C39" s="1"/>
  <c r="H38"/>
  <c r="G38"/>
  <c r="F38"/>
  <c r="E38"/>
  <c r="D38"/>
  <c r="AB38" s="1"/>
  <c r="C38" s="1"/>
  <c r="H37"/>
  <c r="G37"/>
  <c r="F37"/>
  <c r="E37"/>
  <c r="D37"/>
  <c r="AB37" s="1"/>
  <c r="C37" s="1"/>
  <c r="H36"/>
  <c r="G36"/>
  <c r="F36"/>
  <c r="E36"/>
  <c r="D36"/>
  <c r="AB36" s="1"/>
  <c r="C36" s="1"/>
  <c r="H35"/>
  <c r="G35"/>
  <c r="F35"/>
  <c r="D35"/>
  <c r="AB35" s="1"/>
  <c r="C35" s="1"/>
  <c r="H34"/>
  <c r="F34"/>
  <c r="E34"/>
  <c r="D34"/>
  <c r="AB34" s="1"/>
  <c r="C34" s="1"/>
  <c r="H33"/>
  <c r="G33"/>
  <c r="F33"/>
  <c r="E33"/>
  <c r="D33"/>
  <c r="AB33" s="1"/>
  <c r="C33" s="1"/>
  <c r="H32"/>
  <c r="F32"/>
  <c r="E32"/>
  <c r="D32"/>
  <c r="AB32" s="1"/>
  <c r="C32" s="1"/>
  <c r="H31"/>
  <c r="G31"/>
  <c r="F31"/>
  <c r="D31"/>
  <c r="AB31" s="1"/>
  <c r="C31" s="1"/>
  <c r="H30"/>
  <c r="F30"/>
  <c r="E30"/>
  <c r="D30"/>
  <c r="AB30" s="1"/>
  <c r="C30" s="1"/>
  <c r="H29"/>
  <c r="G29"/>
  <c r="F29"/>
  <c r="D29"/>
  <c r="AB29" s="1"/>
  <c r="C29" s="1"/>
  <c r="H28"/>
  <c r="F28"/>
  <c r="E28"/>
  <c r="D28"/>
  <c r="AB28" s="1"/>
  <c r="C28" s="1"/>
  <c r="H27"/>
  <c r="G27"/>
  <c r="F27"/>
  <c r="D27"/>
  <c r="AB27" s="1"/>
  <c r="C27" s="1"/>
  <c r="H26"/>
  <c r="F26"/>
  <c r="E26"/>
  <c r="D26"/>
  <c r="AB26" s="1"/>
  <c r="C26" s="1"/>
  <c r="H25"/>
  <c r="G25"/>
  <c r="F25"/>
  <c r="D25"/>
  <c r="AB25" s="1"/>
  <c r="C25" s="1"/>
  <c r="H24"/>
  <c r="F24"/>
  <c r="E24"/>
  <c r="D24"/>
  <c r="AB24" s="1"/>
  <c r="C24" s="1"/>
  <c r="H23"/>
  <c r="G23"/>
  <c r="F23"/>
  <c r="D23"/>
  <c r="AB23" s="1"/>
  <c r="C23" s="1"/>
  <c r="H22"/>
  <c r="F22"/>
  <c r="E22"/>
  <c r="D22"/>
  <c r="AB22" s="1"/>
  <c r="C22" s="1"/>
  <c r="H21"/>
  <c r="G21"/>
  <c r="F21"/>
  <c r="D21"/>
  <c r="AB21" s="1"/>
  <c r="C21" s="1"/>
  <c r="H20"/>
  <c r="F20"/>
  <c r="E20"/>
  <c r="D20"/>
  <c r="AB20" s="1"/>
  <c r="C20" s="1"/>
  <c r="H19"/>
  <c r="G19"/>
  <c r="F19"/>
  <c r="D19"/>
  <c r="AB19" s="1"/>
  <c r="C19" s="1"/>
  <c r="H18"/>
  <c r="F18"/>
  <c r="E18"/>
  <c r="D18"/>
  <c r="AB18" s="1"/>
  <c r="C18" s="1"/>
  <c r="H17"/>
  <c r="G17"/>
  <c r="F17"/>
  <c r="D17"/>
  <c r="AB17" s="1"/>
  <c r="C17" s="1"/>
  <c r="H16"/>
  <c r="F16"/>
  <c r="E16"/>
  <c r="D16"/>
  <c r="AB16" s="1"/>
  <c r="C16" s="1"/>
  <c r="Z14"/>
  <c r="Y14"/>
  <c r="X14"/>
  <c r="V14"/>
  <c r="U14"/>
  <c r="T14"/>
  <c r="R14"/>
  <c r="Q14"/>
  <c r="P14"/>
  <c r="N14"/>
  <c r="H15"/>
  <c r="H14" s="1"/>
  <c r="M14"/>
  <c r="L14"/>
  <c r="F15"/>
  <c r="F14" s="1"/>
  <c r="K14"/>
  <c r="J14"/>
  <c r="D15"/>
  <c r="D14" s="1"/>
  <c r="I14"/>
  <c r="G14" l="1"/>
  <c r="AB15"/>
  <c r="AB14" l="1"/>
  <c r="C15"/>
</calcChain>
</file>

<file path=xl/sharedStrings.xml><?xml version="1.0" encoding="utf-8"?>
<sst xmlns="http://schemas.openxmlformats.org/spreadsheetml/2006/main" count="113" uniqueCount="72">
  <si>
    <t>Распределение субвенций бюджетам муниципальных образований Архангельской области на реализацию образовательных программ</t>
  </si>
  <si>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</si>
  <si>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</si>
  <si>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</si>
  <si>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</si>
  <si>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</si>
  <si>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</si>
  <si>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</si>
  <si>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</si>
  <si>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</si>
  <si>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</si>
  <si>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</si>
  <si>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</si>
  <si>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</si>
  <si>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</si>
  <si>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</si>
  <si>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</si>
  <si>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</si>
  <si>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</si>
  <si>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</si>
  <si>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</si>
  <si>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</si>
  <si>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</si>
  <si>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</si>
  <si>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</si>
  <si>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</si>
  <si>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</si>
  <si>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</si>
  <si>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</si>
  <si>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</si>
  <si>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</si>
  <si>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</si>
  <si>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</si>
  <si>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</si>
  <si>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</si>
  <si>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</si>
  <si>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</si>
  <si>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</si>
  <si>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</si>
  <si>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</si>
  <si>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</si>
  <si>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</si>
  <si>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</si>
  <si>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</si>
  <si>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</si>
  <si>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</si>
  <si>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</si>
  <si>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</si>
  <si>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</si>
  <si>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</si>
  <si>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</si>
  <si>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</si>
  <si>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</si>
  <si>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</si>
  <si>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</si>
  <si>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</si>
  <si>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</si>
  <si>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</si>
  <si>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</si>
  <si>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</si>
  <si>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</si>
  <si>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</si>
  <si>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</si>
  <si>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</si>
  <si>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</si>
  <si>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</si>
  <si>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</si>
  <si>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</si>
  <si>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</si>
  <si>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</si>
  <si>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 xml:space="preserve">                   к пояснительной записке</t>
  </si>
  <si>
    <t xml:space="preserve">                   Приложение № 33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</si>
</sst>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64" fontId="0" fillId="0" borderId="2" xfId="1" applyNumberFormat="1" applyFont="1" applyFill="1" applyBorder="1"/>
    <xf numFmtId="0" fontId="0" fillId="0" borderId="0" xfId="0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0"/>
  <sheetViews>
    <sheetView tabSelected="1" view="pageBreakPreview" zoomScale="60" zoomScaleNormal="100" workbookViewId="0">
      <selection activeCell="B3" sqref="B3"/>
    </sheetView>
  </sheetViews>
  <sheetFormatPr defaultRowHeight="15"/>
  <cols>
    <col min="1" max="1" width="7.42578125" style="1" customWidth="1"/>
    <col min="2" max="2" width="44.140625" style="1" customWidth="1"/>
    <col min="3" max="3" width="16.42578125" style="1" hidden="1" customWidth="1"/>
    <col min="4" max="4" width="21.28515625" style="1" customWidth="1"/>
    <col min="5" max="26" width="18.7109375" style="1" customWidth="1"/>
    <col min="27" max="27" width="18.7109375" style="1" hidden="1" customWidth="1"/>
    <col min="28" max="28" width="18.7109375" style="1" customWidth="1"/>
    <col min="29" max="16384" width="9.140625" style="1"/>
  </cols>
  <sheetData>
    <row r="1" spans="1:28">
      <c r="J1" s="10" t="s">
        <v>71</v>
      </c>
    </row>
    <row r="2" spans="1:28">
      <c r="J2" s="10" t="s">
        <v>70</v>
      </c>
    </row>
    <row r="3" spans="1:28">
      <c r="J3" s="10"/>
    </row>
    <row r="4" spans="1:28">
      <c r="J4" s="10"/>
    </row>
    <row r="5" spans="1:28" ht="15.75">
      <c r="C5" s="2"/>
      <c r="D5" s="2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8" ht="15.7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9" spans="1:28">
      <c r="A9" s="11" t="s">
        <v>2</v>
      </c>
      <c r="B9" s="11"/>
      <c r="D9" s="15" t="s">
        <v>3</v>
      </c>
      <c r="E9" s="15"/>
      <c r="F9" s="15"/>
      <c r="G9" s="15"/>
      <c r="H9" s="15"/>
      <c r="I9" s="17" t="s">
        <v>4</v>
      </c>
      <c r="J9" s="17"/>
      <c r="K9" s="17"/>
      <c r="L9" s="17"/>
      <c r="M9" s="17"/>
      <c r="N9" s="17" t="s">
        <v>5</v>
      </c>
      <c r="O9" s="17"/>
      <c r="P9" s="17"/>
      <c r="Q9" s="17"/>
      <c r="R9" s="17"/>
      <c r="S9" s="17" t="s">
        <v>6</v>
      </c>
      <c r="T9" s="17"/>
      <c r="U9" s="17"/>
      <c r="V9" s="17"/>
      <c r="W9" s="16" t="s">
        <v>7</v>
      </c>
      <c r="X9" s="16"/>
      <c r="Y9" s="16"/>
      <c r="Z9" s="16"/>
      <c r="AA9" s="14" t="s">
        <v>8</v>
      </c>
      <c r="AB9" s="14" t="str">
        <f>CONCATENATE("Итого общий размер субвенции на ","2019"," год, тыс. рублей")</f>
        <v>Итого общий размер субвенции на 2019 год, тыс. рублей</v>
      </c>
    </row>
    <row r="10" spans="1:28">
      <c r="A10" s="11"/>
      <c r="B10" s="11"/>
      <c r="D10" s="15"/>
      <c r="E10" s="15"/>
      <c r="F10" s="15"/>
      <c r="G10" s="15"/>
      <c r="H10" s="15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6"/>
      <c r="X10" s="16"/>
      <c r="Y10" s="16"/>
      <c r="Z10" s="16"/>
      <c r="AA10" s="14"/>
      <c r="AB10" s="14"/>
    </row>
    <row r="11" spans="1:28" ht="25.5">
      <c r="A11" s="11"/>
      <c r="B11" s="11"/>
      <c r="D11" s="3" t="s">
        <v>9</v>
      </c>
      <c r="E11" s="4" t="s">
        <v>10</v>
      </c>
      <c r="F11" s="4" t="s">
        <v>11</v>
      </c>
      <c r="G11" s="4" t="s">
        <v>12</v>
      </c>
      <c r="H11" s="4" t="s">
        <v>13</v>
      </c>
      <c r="I11" s="3" t="s">
        <v>9</v>
      </c>
      <c r="J11" s="4" t="s">
        <v>10</v>
      </c>
      <c r="K11" s="4" t="s">
        <v>11</v>
      </c>
      <c r="L11" s="4" t="s">
        <v>12</v>
      </c>
      <c r="M11" s="4" t="s">
        <v>13</v>
      </c>
      <c r="N11" s="3" t="s">
        <v>9</v>
      </c>
      <c r="O11" s="4" t="s">
        <v>10</v>
      </c>
      <c r="P11" s="4" t="s">
        <v>11</v>
      </c>
      <c r="Q11" s="4" t="s">
        <v>12</v>
      </c>
      <c r="R11" s="4" t="s">
        <v>13</v>
      </c>
      <c r="S11" s="3" t="s">
        <v>9</v>
      </c>
      <c r="T11" s="4" t="s">
        <v>10</v>
      </c>
      <c r="U11" s="4" t="s">
        <v>11</v>
      </c>
      <c r="V11" s="4" t="s">
        <v>12</v>
      </c>
      <c r="W11" s="3" t="s">
        <v>9</v>
      </c>
      <c r="X11" s="4" t="s">
        <v>10</v>
      </c>
      <c r="Y11" s="4" t="s">
        <v>11</v>
      </c>
      <c r="Z11" s="4" t="s">
        <v>12</v>
      </c>
      <c r="AA11" s="14"/>
      <c r="AB11" s="14"/>
    </row>
    <row r="12" spans="1:28">
      <c r="A12" s="13">
        <v>1</v>
      </c>
      <c r="B12" s="13"/>
      <c r="D12" s="5" t="s">
        <v>14</v>
      </c>
      <c r="E12" s="5">
        <v>3</v>
      </c>
      <c r="F12" s="5">
        <v>4</v>
      </c>
      <c r="G12" s="5">
        <v>5</v>
      </c>
      <c r="H12" s="5">
        <v>6</v>
      </c>
      <c r="I12" s="5">
        <v>7</v>
      </c>
      <c r="J12" s="5">
        <v>8</v>
      </c>
      <c r="K12" s="5">
        <v>9</v>
      </c>
      <c r="L12" s="5">
        <v>10</v>
      </c>
      <c r="M12" s="5">
        <v>11</v>
      </c>
      <c r="N12" s="5">
        <v>12</v>
      </c>
      <c r="O12" s="5">
        <v>13</v>
      </c>
      <c r="P12" s="5">
        <v>14</v>
      </c>
      <c r="Q12" s="5">
        <v>15</v>
      </c>
      <c r="R12" s="5">
        <v>16</v>
      </c>
      <c r="S12" s="5">
        <v>17</v>
      </c>
      <c r="T12" s="5">
        <v>18</v>
      </c>
      <c r="U12" s="5">
        <v>19</v>
      </c>
      <c r="V12" s="5">
        <v>20</v>
      </c>
      <c r="W12" s="5">
        <v>21</v>
      </c>
      <c r="X12" s="5">
        <v>22</v>
      </c>
      <c r="Y12" s="5">
        <v>23</v>
      </c>
      <c r="Z12" s="5">
        <v>24</v>
      </c>
      <c r="AA12" s="5">
        <v>25</v>
      </c>
      <c r="AB12" s="5">
        <v>26</v>
      </c>
    </row>
    <row r="13" spans="1:28">
      <c r="A13" s="13"/>
      <c r="B13" s="13"/>
      <c r="D13" s="5" t="s">
        <v>15</v>
      </c>
      <c r="E13" s="5" t="s">
        <v>15</v>
      </c>
      <c r="F13" s="5" t="s">
        <v>15</v>
      </c>
      <c r="G13" s="5" t="s">
        <v>15</v>
      </c>
      <c r="H13" s="5" t="s">
        <v>15</v>
      </c>
      <c r="I13" s="5" t="s">
        <v>15</v>
      </c>
      <c r="J13" s="5" t="s">
        <v>15</v>
      </c>
      <c r="K13" s="5" t="s">
        <v>15</v>
      </c>
      <c r="L13" s="5" t="s">
        <v>15</v>
      </c>
      <c r="M13" s="5" t="s">
        <v>15</v>
      </c>
      <c r="N13" s="5" t="s">
        <v>15</v>
      </c>
      <c r="O13" s="5" t="s">
        <v>15</v>
      </c>
      <c r="P13" s="5" t="s">
        <v>15</v>
      </c>
      <c r="Q13" s="5" t="s">
        <v>15</v>
      </c>
      <c r="R13" s="5" t="s">
        <v>15</v>
      </c>
      <c r="S13" s="5" t="s">
        <v>15</v>
      </c>
      <c r="T13" s="5" t="s">
        <v>15</v>
      </c>
      <c r="U13" s="5" t="s">
        <v>15</v>
      </c>
      <c r="V13" s="5" t="s">
        <v>15</v>
      </c>
      <c r="W13" s="5" t="s">
        <v>15</v>
      </c>
      <c r="X13" s="5" t="s">
        <v>15</v>
      </c>
      <c r="Y13" s="5" t="s">
        <v>15</v>
      </c>
      <c r="Z13" s="5" t="s">
        <v>15</v>
      </c>
      <c r="AA13" s="5" t="s">
        <v>16</v>
      </c>
      <c r="AB13" s="5" t="s">
        <v>16</v>
      </c>
    </row>
    <row r="14" spans="1:28">
      <c r="A14" s="12" t="s">
        <v>17</v>
      </c>
      <c r="B14" s="12"/>
      <c r="D14" s="6">
        <f t="shared" ref="D14:AB14" si="0">SUM(D15:D54)</f>
        <v>13867675986</v>
      </c>
      <c r="E14" s="6">
        <f t="shared" si="0"/>
        <v>13482976304</v>
      </c>
      <c r="F14" s="6">
        <f t="shared" si="0"/>
        <v>202267382</v>
      </c>
      <c r="G14" s="6">
        <f t="shared" si="0"/>
        <v>16226350</v>
      </c>
      <c r="H14" s="6">
        <f t="shared" si="0"/>
        <v>166205950</v>
      </c>
      <c r="I14" s="6">
        <f t="shared" si="0"/>
        <v>7498700059</v>
      </c>
      <c r="J14" s="6">
        <f t="shared" si="0"/>
        <v>7194473359</v>
      </c>
      <c r="K14" s="6">
        <f t="shared" si="0"/>
        <v>130171540</v>
      </c>
      <c r="L14" s="6">
        <f t="shared" si="0"/>
        <v>9675960</v>
      </c>
      <c r="M14" s="6">
        <f t="shared" si="0"/>
        <v>164379200</v>
      </c>
      <c r="N14" s="6">
        <f t="shared" si="0"/>
        <v>231240893</v>
      </c>
      <c r="O14" s="6">
        <f t="shared" si="0"/>
        <v>227260303</v>
      </c>
      <c r="P14" s="6">
        <f t="shared" si="0"/>
        <v>2054650</v>
      </c>
      <c r="Q14" s="6">
        <f t="shared" si="0"/>
        <v>99190</v>
      </c>
      <c r="R14" s="6">
        <f t="shared" si="0"/>
        <v>1826750</v>
      </c>
      <c r="S14" s="6">
        <f t="shared" si="0"/>
        <v>288431391</v>
      </c>
      <c r="T14" s="6">
        <f t="shared" si="0"/>
        <v>270255221</v>
      </c>
      <c r="U14" s="6">
        <f t="shared" si="0"/>
        <v>16643240</v>
      </c>
      <c r="V14" s="6">
        <f t="shared" si="0"/>
        <v>1532930</v>
      </c>
      <c r="W14" s="6">
        <f t="shared" si="0"/>
        <v>5849303643</v>
      </c>
      <c r="X14" s="6">
        <f t="shared" si="0"/>
        <v>5790987421</v>
      </c>
      <c r="Y14" s="6">
        <f t="shared" si="0"/>
        <v>53397952</v>
      </c>
      <c r="Z14" s="6">
        <f t="shared" si="0"/>
        <v>4918270</v>
      </c>
      <c r="AA14" s="7">
        <f t="shared" si="0"/>
        <v>0</v>
      </c>
      <c r="AB14" s="7">
        <f t="shared" si="0"/>
        <v>13867675.999999998</v>
      </c>
    </row>
    <row r="15" spans="1:28">
      <c r="A15" s="8" t="s">
        <v>18</v>
      </c>
      <c r="B15" s="8" t="s">
        <v>19</v>
      </c>
      <c r="C15" s="8">
        <f t="shared" ref="C15:C40" si="1">AB15</f>
        <v>671508.7</v>
      </c>
      <c r="D15" s="9">
        <f t="shared" ref="D15:D40" si="2">I15 + N15 + S15 + W15</f>
        <v>671508701</v>
      </c>
      <c r="E15" s="9">
        <f t="shared" ref="E15:E40" si="3">J15 + O15 + T15 + X15</f>
        <v>653003486</v>
      </c>
      <c r="F15" s="9">
        <f t="shared" ref="F15:F40" si="4">K15 + P15 + U15 + Y15</f>
        <v>9377248</v>
      </c>
      <c r="G15" s="9">
        <f t="shared" ref="G15:G40" si="5">L15 + Q15 + V15 + Z15</f>
        <v>706020</v>
      </c>
      <c r="H15" s="9">
        <f t="shared" ref="H15:H40" si="6">M15 + R15</f>
        <v>8421947</v>
      </c>
      <c r="I15" s="9">
        <f>{376158109}</f>
        <v>376158109</v>
      </c>
      <c r="J15" s="9">
        <f>{360412180}</f>
        <v>360412180</v>
      </c>
      <c r="K15" s="9">
        <f>{6905298}</f>
        <v>6905298</v>
      </c>
      <c r="L15" s="9">
        <f>{481390}</f>
        <v>481390</v>
      </c>
      <c r="M15" s="9">
        <f>{8359241}</f>
        <v>8359241</v>
      </c>
      <c r="N15" s="9">
        <f>{6986497}</f>
        <v>6986497</v>
      </c>
      <c r="O15" s="9">
        <f>{6850831}</f>
        <v>6850831</v>
      </c>
      <c r="P15" s="9">
        <f>{69600}</f>
        <v>69600</v>
      </c>
      <c r="Q15" s="9">
        <f>{3360}</f>
        <v>3360</v>
      </c>
      <c r="R15" s="9">
        <f>{62706}</f>
        <v>62706</v>
      </c>
      <c r="S15" s="9">
        <f>{0}</f>
        <v>0</v>
      </c>
      <c r="T15" s="9">
        <f>{0}</f>
        <v>0</v>
      </c>
      <c r="U15" s="9">
        <f>{0}</f>
        <v>0</v>
      </c>
      <c r="V15" s="9">
        <f>{0}</f>
        <v>0</v>
      </c>
      <c r="W15" s="9">
        <f>{288364095}</f>
        <v>288364095</v>
      </c>
      <c r="X15" s="9">
        <f>{285740475}</f>
        <v>285740475</v>
      </c>
      <c r="Y15" s="9">
        <f>{2402350}</f>
        <v>2402350</v>
      </c>
      <c r="Z15" s="9">
        <f>{221270}</f>
        <v>221270</v>
      </c>
      <c r="AA15" s="9"/>
      <c r="AB15" s="9">
        <f t="shared" ref="AB15:AB40" si="7">ROUND(D15 / 1000,1) + AA15</f>
        <v>671508.7</v>
      </c>
    </row>
    <row r="16" spans="1:28">
      <c r="A16" s="8" t="s">
        <v>20</v>
      </c>
      <c r="B16" s="8" t="s">
        <v>21</v>
      </c>
      <c r="C16" s="8">
        <f t="shared" si="1"/>
        <v>258493.6</v>
      </c>
      <c r="D16" s="9">
        <f t="shared" si="2"/>
        <v>258493588</v>
      </c>
      <c r="E16" s="9">
        <f t="shared" si="3"/>
        <v>252223701</v>
      </c>
      <c r="F16" s="9">
        <f t="shared" si="4"/>
        <v>4010677</v>
      </c>
      <c r="G16" s="9">
        <f t="shared" si="5"/>
        <v>218610</v>
      </c>
      <c r="H16" s="9">
        <f t="shared" si="6"/>
        <v>2040600</v>
      </c>
      <c r="I16" s="9">
        <f>{192976680}</f>
        <v>192976680</v>
      </c>
      <c r="J16" s="9">
        <f>{187363634}</f>
        <v>187363634</v>
      </c>
      <c r="K16" s="9">
        <f>{3415201}</f>
        <v>3415201</v>
      </c>
      <c r="L16" s="9">
        <f>{164080}</f>
        <v>164080</v>
      </c>
      <c r="M16" s="9">
        <f>{2033765}</f>
        <v>2033765</v>
      </c>
      <c r="N16" s="9">
        <f>{1012171}</f>
        <v>1012171</v>
      </c>
      <c r="O16" s="9">
        <f>{997736}</f>
        <v>997736</v>
      </c>
      <c r="P16" s="9">
        <f>{7250}</f>
        <v>7250</v>
      </c>
      <c r="Q16" s="9">
        <f>{350}</f>
        <v>350</v>
      </c>
      <c r="R16" s="9">
        <f>{6835}</f>
        <v>6835</v>
      </c>
      <c r="S16" s="9">
        <f>{0}</f>
        <v>0</v>
      </c>
      <c r="T16" s="9">
        <f>{0}</f>
        <v>0</v>
      </c>
      <c r="U16" s="9">
        <f>{0}</f>
        <v>0</v>
      </c>
      <c r="V16" s="9">
        <f>{0}</f>
        <v>0</v>
      </c>
      <c r="W16" s="9">
        <f>{64504737}</f>
        <v>64504737</v>
      </c>
      <c r="X16" s="9">
        <f>{63862331}</f>
        <v>63862331</v>
      </c>
      <c r="Y16" s="9">
        <f>{588226}</f>
        <v>588226</v>
      </c>
      <c r="Z16" s="9">
        <f>{54180}</f>
        <v>54180</v>
      </c>
      <c r="AA16" s="9"/>
      <c r="AB16" s="9">
        <f t="shared" si="7"/>
        <v>258493.6</v>
      </c>
    </row>
    <row r="17" spans="1:28">
      <c r="A17" s="8" t="s">
        <v>22</v>
      </c>
      <c r="B17" s="8" t="s">
        <v>23</v>
      </c>
      <c r="C17" s="8">
        <f t="shared" si="1"/>
        <v>184913.1</v>
      </c>
      <c r="D17" s="9">
        <f t="shared" si="2"/>
        <v>184913092</v>
      </c>
      <c r="E17" s="9">
        <f t="shared" si="3"/>
        <v>179976301</v>
      </c>
      <c r="F17" s="9">
        <f t="shared" si="4"/>
        <v>3304868</v>
      </c>
      <c r="G17" s="9">
        <f t="shared" si="5"/>
        <v>208250</v>
      </c>
      <c r="H17" s="9">
        <f t="shared" si="6"/>
        <v>1423673</v>
      </c>
      <c r="I17" s="9">
        <f>{121671264}</f>
        <v>121671264</v>
      </c>
      <c r="J17" s="9">
        <f>{117984128}</f>
        <v>117984128</v>
      </c>
      <c r="K17" s="9">
        <f>{2171678}</f>
        <v>2171678</v>
      </c>
      <c r="L17" s="9">
        <f>{104510}</f>
        <v>104510</v>
      </c>
      <c r="M17" s="9">
        <f>{1410948}</f>
        <v>1410948</v>
      </c>
      <c r="N17" s="9">
        <f>{1967188}</f>
        <v>1967188</v>
      </c>
      <c r="O17" s="9">
        <f>{1939263}</f>
        <v>1939263</v>
      </c>
      <c r="P17" s="9">
        <f>{14500}</f>
        <v>14500</v>
      </c>
      <c r="Q17" s="9">
        <f>{700}</f>
        <v>700</v>
      </c>
      <c r="R17" s="9">
        <f>{12725}</f>
        <v>12725</v>
      </c>
      <c r="S17" s="9">
        <f>{9624345}</f>
        <v>9624345</v>
      </c>
      <c r="T17" s="9">
        <f>{8939595}</f>
        <v>8939595</v>
      </c>
      <c r="U17" s="9">
        <f>{627000}</f>
        <v>627000</v>
      </c>
      <c r="V17" s="9">
        <f>{57750}</f>
        <v>57750</v>
      </c>
      <c r="W17" s="9">
        <f>{51650295}</f>
        <v>51650295</v>
      </c>
      <c r="X17" s="9">
        <f>{51113315}</f>
        <v>51113315</v>
      </c>
      <c r="Y17" s="9">
        <f>{491690}</f>
        <v>491690</v>
      </c>
      <c r="Z17" s="9">
        <f>{45290}</f>
        <v>45290</v>
      </c>
      <c r="AA17" s="9"/>
      <c r="AB17" s="9">
        <f t="shared" si="7"/>
        <v>184913.1</v>
      </c>
    </row>
    <row r="18" spans="1:28">
      <c r="A18" s="8" t="s">
        <v>24</v>
      </c>
      <c r="B18" s="8" t="s">
        <v>25</v>
      </c>
      <c r="C18" s="8">
        <f t="shared" si="1"/>
        <v>237619.7</v>
      </c>
      <c r="D18" s="9">
        <f t="shared" si="2"/>
        <v>237619712</v>
      </c>
      <c r="E18" s="9">
        <f t="shared" si="3"/>
        <v>231308073</v>
      </c>
      <c r="F18" s="9">
        <f t="shared" si="4"/>
        <v>3750520</v>
      </c>
      <c r="G18" s="9">
        <f t="shared" si="5"/>
        <v>244930</v>
      </c>
      <c r="H18" s="9">
        <f t="shared" si="6"/>
        <v>2316189</v>
      </c>
      <c r="I18" s="9">
        <f>{164163880}</f>
        <v>164163880</v>
      </c>
      <c r="J18" s="9">
        <f>{158717706}</f>
        <v>158717706</v>
      </c>
      <c r="K18" s="9">
        <f>{2982210}</f>
        <v>2982210</v>
      </c>
      <c r="L18" s="9">
        <f>{175560}</f>
        <v>175560</v>
      </c>
      <c r="M18" s="9">
        <f>{2288404}</f>
        <v>2288404</v>
      </c>
      <c r="N18" s="9">
        <f>{2932238}</f>
        <v>2932238</v>
      </c>
      <c r="O18" s="9">
        <f>{2871013}</f>
        <v>2871013</v>
      </c>
      <c r="P18" s="9">
        <f>{31900}</f>
        <v>31900</v>
      </c>
      <c r="Q18" s="9">
        <f>{1540}</f>
        <v>1540</v>
      </c>
      <c r="R18" s="9">
        <f>{27785}</f>
        <v>27785</v>
      </c>
      <c r="S18" s="9">
        <f>{0}</f>
        <v>0</v>
      </c>
      <c r="T18" s="9">
        <f>{0}</f>
        <v>0</v>
      </c>
      <c r="U18" s="9">
        <f>{0}</f>
        <v>0</v>
      </c>
      <c r="V18" s="9">
        <f>{0}</f>
        <v>0</v>
      </c>
      <c r="W18" s="9">
        <f>{70523594}</f>
        <v>70523594</v>
      </c>
      <c r="X18" s="9">
        <f>{69719354}</f>
        <v>69719354</v>
      </c>
      <c r="Y18" s="9">
        <f>{736410}</f>
        <v>736410</v>
      </c>
      <c r="Z18" s="9">
        <f>{67830}</f>
        <v>67830</v>
      </c>
      <c r="AA18" s="9"/>
      <c r="AB18" s="9">
        <f t="shared" si="7"/>
        <v>237619.7</v>
      </c>
    </row>
    <row r="19" spans="1:28">
      <c r="A19" s="8" t="s">
        <v>26</v>
      </c>
      <c r="B19" s="8" t="s">
        <v>27</v>
      </c>
      <c r="C19" s="8">
        <f t="shared" si="1"/>
        <v>251330.6</v>
      </c>
      <c r="D19" s="9">
        <f t="shared" si="2"/>
        <v>251330636</v>
      </c>
      <c r="E19" s="9">
        <f t="shared" si="3"/>
        <v>244310237</v>
      </c>
      <c r="F19" s="9">
        <f t="shared" si="4"/>
        <v>3853983</v>
      </c>
      <c r="G19" s="9">
        <f t="shared" si="5"/>
        <v>263480</v>
      </c>
      <c r="H19" s="9">
        <f t="shared" si="6"/>
        <v>2902936</v>
      </c>
      <c r="I19" s="9">
        <f>{161919420}</f>
        <v>161919420</v>
      </c>
      <c r="J19" s="9">
        <f>{155981368}</f>
        <v>155981368</v>
      </c>
      <c r="K19" s="9">
        <f>{2903477}</f>
        <v>2903477</v>
      </c>
      <c r="L19" s="9">
        <f>{178220}</f>
        <v>178220</v>
      </c>
      <c r="M19" s="9">
        <f>{2856355}</f>
        <v>2856355</v>
      </c>
      <c r="N19" s="9">
        <f>{5339490}</f>
        <v>5339490</v>
      </c>
      <c r="O19" s="9">
        <f>{5238189}</f>
        <v>5238189</v>
      </c>
      <c r="P19" s="9">
        <f>{52200}</f>
        <v>52200</v>
      </c>
      <c r="Q19" s="9">
        <f>{2520}</f>
        <v>2520</v>
      </c>
      <c r="R19" s="9">
        <f>{46581}</f>
        <v>46581</v>
      </c>
      <c r="S19" s="9">
        <f>{0}</f>
        <v>0</v>
      </c>
      <c r="T19" s="9">
        <f>{0}</f>
        <v>0</v>
      </c>
      <c r="U19" s="9">
        <f>{0}</f>
        <v>0</v>
      </c>
      <c r="V19" s="9">
        <f>{0}</f>
        <v>0</v>
      </c>
      <c r="W19" s="9">
        <f>{84071726}</f>
        <v>84071726</v>
      </c>
      <c r="X19" s="9">
        <f>{83090680}</f>
        <v>83090680</v>
      </c>
      <c r="Y19" s="9">
        <f>{898306}</f>
        <v>898306</v>
      </c>
      <c r="Z19" s="9">
        <f>{82740}</f>
        <v>82740</v>
      </c>
      <c r="AA19" s="9"/>
      <c r="AB19" s="9">
        <f t="shared" si="7"/>
        <v>251330.6</v>
      </c>
    </row>
    <row r="20" spans="1:28">
      <c r="A20" s="8" t="s">
        <v>28</v>
      </c>
      <c r="B20" s="8" t="s">
        <v>29</v>
      </c>
      <c r="C20" s="8">
        <f t="shared" si="1"/>
        <v>332209.90000000002</v>
      </c>
      <c r="D20" s="9">
        <f t="shared" si="2"/>
        <v>332209870</v>
      </c>
      <c r="E20" s="9">
        <f t="shared" si="3"/>
        <v>323865034</v>
      </c>
      <c r="F20" s="9">
        <f t="shared" si="4"/>
        <v>4406638</v>
      </c>
      <c r="G20" s="9">
        <f t="shared" si="5"/>
        <v>326970</v>
      </c>
      <c r="H20" s="9">
        <f t="shared" si="6"/>
        <v>3611228</v>
      </c>
      <c r="I20" s="9">
        <f>{184282853}</f>
        <v>184282853</v>
      </c>
      <c r="J20" s="9">
        <f>{177202741}</f>
        <v>177202741</v>
      </c>
      <c r="K20" s="9">
        <f>{3302756}</f>
        <v>3302756</v>
      </c>
      <c r="L20" s="9">
        <f>{228410}</f>
        <v>228410</v>
      </c>
      <c r="M20" s="9">
        <f>{3548946}</f>
        <v>3548946</v>
      </c>
      <c r="N20" s="9">
        <f>{7465662}</f>
        <v>7465662</v>
      </c>
      <c r="O20" s="9">
        <f>{7328900}</f>
        <v>7328900</v>
      </c>
      <c r="P20" s="9">
        <f>{71050}</f>
        <v>71050</v>
      </c>
      <c r="Q20" s="9">
        <f>{3430}</f>
        <v>3430</v>
      </c>
      <c r="R20" s="9">
        <f>{62282}</f>
        <v>62282</v>
      </c>
      <c r="S20" s="9">
        <f>{0}</f>
        <v>0</v>
      </c>
      <c r="T20" s="9">
        <f>{0}</f>
        <v>0</v>
      </c>
      <c r="U20" s="9">
        <f>{0}</f>
        <v>0</v>
      </c>
      <c r="V20" s="9">
        <f>{0}</f>
        <v>0</v>
      </c>
      <c r="W20" s="9">
        <f>{140461355}</f>
        <v>140461355</v>
      </c>
      <c r="X20" s="9">
        <f>{139333393}</f>
        <v>139333393</v>
      </c>
      <c r="Y20" s="9">
        <f>{1032832}</f>
        <v>1032832</v>
      </c>
      <c r="Z20" s="9">
        <f>{95130}</f>
        <v>95130</v>
      </c>
      <c r="AA20" s="9"/>
      <c r="AB20" s="9">
        <f t="shared" si="7"/>
        <v>332209.90000000002</v>
      </c>
    </row>
    <row r="21" spans="1:28">
      <c r="A21" s="8" t="s">
        <v>30</v>
      </c>
      <c r="B21" s="8" t="s">
        <v>31</v>
      </c>
      <c r="C21" s="8">
        <f t="shared" si="1"/>
        <v>224572.6</v>
      </c>
      <c r="D21" s="9">
        <f t="shared" si="2"/>
        <v>224572553</v>
      </c>
      <c r="E21" s="9">
        <f t="shared" si="3"/>
        <v>218162601</v>
      </c>
      <c r="F21" s="9">
        <f t="shared" si="4"/>
        <v>3730422</v>
      </c>
      <c r="G21" s="9">
        <f t="shared" si="5"/>
        <v>270830</v>
      </c>
      <c r="H21" s="9">
        <f t="shared" si="6"/>
        <v>2408700</v>
      </c>
      <c r="I21" s="9">
        <f>{134303167}</f>
        <v>134303167</v>
      </c>
      <c r="J21" s="9">
        <f>{129260643}</f>
        <v>129260643</v>
      </c>
      <c r="K21" s="9">
        <f>{2522474}</f>
        <v>2522474</v>
      </c>
      <c r="L21" s="9">
        <f>{162050}</f>
        <v>162050</v>
      </c>
      <c r="M21" s="9">
        <f>{2358000}</f>
        <v>2358000</v>
      </c>
      <c r="N21" s="9">
        <f>{4999591}</f>
        <v>4999591</v>
      </c>
      <c r="O21" s="9">
        <f>{4889611}</f>
        <v>4889611</v>
      </c>
      <c r="P21" s="9">
        <f>{56550}</f>
        <v>56550</v>
      </c>
      <c r="Q21" s="9">
        <f>{2730}</f>
        <v>2730</v>
      </c>
      <c r="R21" s="9">
        <f>{50700}</f>
        <v>50700</v>
      </c>
      <c r="S21" s="9">
        <f>{6662080}</f>
        <v>6662080</v>
      </c>
      <c r="T21" s="9">
        <f>{6263680}</f>
        <v>6263680</v>
      </c>
      <c r="U21" s="9">
        <f>{364800}</f>
        <v>364800</v>
      </c>
      <c r="V21" s="9">
        <f>{33600}</f>
        <v>33600</v>
      </c>
      <c r="W21" s="9">
        <f>{78607715}</f>
        <v>78607715</v>
      </c>
      <c r="X21" s="9">
        <f>{77748667}</f>
        <v>77748667</v>
      </c>
      <c r="Y21" s="9">
        <f>{786598}</f>
        <v>786598</v>
      </c>
      <c r="Z21" s="9">
        <f>{72450}</f>
        <v>72450</v>
      </c>
      <c r="AA21" s="9"/>
      <c r="AB21" s="9">
        <f t="shared" si="7"/>
        <v>224572.6</v>
      </c>
    </row>
    <row r="22" spans="1:28">
      <c r="A22" s="8" t="s">
        <v>32</v>
      </c>
      <c r="B22" s="8" t="s">
        <v>33</v>
      </c>
      <c r="C22" s="8">
        <f t="shared" si="1"/>
        <v>226842.8</v>
      </c>
      <c r="D22" s="9">
        <f t="shared" si="2"/>
        <v>226842829</v>
      </c>
      <c r="E22" s="9">
        <f t="shared" si="3"/>
        <v>220863023</v>
      </c>
      <c r="F22" s="9">
        <f t="shared" si="4"/>
        <v>3892736</v>
      </c>
      <c r="G22" s="9">
        <f t="shared" si="5"/>
        <v>248360</v>
      </c>
      <c r="H22" s="9">
        <f t="shared" si="6"/>
        <v>1838710</v>
      </c>
      <c r="I22" s="9">
        <f>{154377657}</f>
        <v>154377657</v>
      </c>
      <c r="J22" s="9">
        <f>{149880572}</f>
        <v>149880572</v>
      </c>
      <c r="K22" s="9">
        <f>{2539486}</f>
        <v>2539486</v>
      </c>
      <c r="L22" s="9">
        <f>{123970}</f>
        <v>123970</v>
      </c>
      <c r="M22" s="9">
        <f>{1833629}</f>
        <v>1833629</v>
      </c>
      <c r="N22" s="9">
        <f>{812161}</f>
        <v>812161</v>
      </c>
      <c r="O22" s="9">
        <f>{801000}</f>
        <v>801000</v>
      </c>
      <c r="P22" s="9">
        <f>{5800}</f>
        <v>5800</v>
      </c>
      <c r="Q22" s="9">
        <f>{280}</f>
        <v>280</v>
      </c>
      <c r="R22" s="9">
        <f>{5081}</f>
        <v>5081</v>
      </c>
      <c r="S22" s="9">
        <f>{11278720}</f>
        <v>11278720</v>
      </c>
      <c r="T22" s="9">
        <f>{10481920}</f>
        <v>10481920</v>
      </c>
      <c r="U22" s="9">
        <f>{729600}</f>
        <v>729600</v>
      </c>
      <c r="V22" s="9">
        <f>{67200}</f>
        <v>67200</v>
      </c>
      <c r="W22" s="9">
        <f>{60374291}</f>
        <v>60374291</v>
      </c>
      <c r="X22" s="9">
        <f>{59699531}</f>
        <v>59699531</v>
      </c>
      <c r="Y22" s="9">
        <f>{617850}</f>
        <v>617850</v>
      </c>
      <c r="Z22" s="9">
        <f>{56910}</f>
        <v>56910</v>
      </c>
      <c r="AA22" s="9"/>
      <c r="AB22" s="9">
        <f t="shared" si="7"/>
        <v>226842.8</v>
      </c>
    </row>
    <row r="23" spans="1:28">
      <c r="A23" s="8" t="s">
        <v>34</v>
      </c>
      <c r="B23" s="8" t="s">
        <v>35</v>
      </c>
      <c r="C23" s="8">
        <f t="shared" si="1"/>
        <v>258625.3</v>
      </c>
      <c r="D23" s="9">
        <f t="shared" si="2"/>
        <v>258625298</v>
      </c>
      <c r="E23" s="9">
        <f t="shared" si="3"/>
        <v>251611989</v>
      </c>
      <c r="F23" s="9">
        <f t="shared" si="4"/>
        <v>4503782</v>
      </c>
      <c r="G23" s="9">
        <f t="shared" si="5"/>
        <v>283990</v>
      </c>
      <c r="H23" s="9">
        <f t="shared" si="6"/>
        <v>2225537</v>
      </c>
      <c r="I23" s="9">
        <f>{167931732}</f>
        <v>167931732</v>
      </c>
      <c r="J23" s="9">
        <f>{162603156}</f>
        <v>162603156</v>
      </c>
      <c r="K23" s="9">
        <f>{2980432}</f>
        <v>2980432</v>
      </c>
      <c r="L23" s="9">
        <f>{144760}</f>
        <v>144760</v>
      </c>
      <c r="M23" s="9">
        <f>{2203384}</f>
        <v>2203384</v>
      </c>
      <c r="N23" s="9">
        <f>{3237939}</f>
        <v>3237939</v>
      </c>
      <c r="O23" s="9">
        <f>{3189946}</f>
        <v>3189946</v>
      </c>
      <c r="P23" s="9">
        <f>{24650}</f>
        <v>24650</v>
      </c>
      <c r="Q23" s="9">
        <f>{1190}</f>
        <v>1190</v>
      </c>
      <c r="R23" s="9">
        <f>{22153}</f>
        <v>22153</v>
      </c>
      <c r="S23" s="9">
        <f>{12746030}</f>
        <v>12746030</v>
      </c>
      <c r="T23" s="9">
        <f>{11857930}</f>
        <v>11857930</v>
      </c>
      <c r="U23" s="9">
        <f>{813200}</f>
        <v>813200</v>
      </c>
      <c r="V23" s="9">
        <f>{74900}</f>
        <v>74900</v>
      </c>
      <c r="W23" s="9">
        <f>{74709597}</f>
        <v>74709597</v>
      </c>
      <c r="X23" s="9">
        <f>{73960957}</f>
        <v>73960957</v>
      </c>
      <c r="Y23" s="9">
        <f>{685500}</f>
        <v>685500</v>
      </c>
      <c r="Z23" s="9">
        <f>{63140}</f>
        <v>63140</v>
      </c>
      <c r="AA23" s="9"/>
      <c r="AB23" s="9">
        <f t="shared" si="7"/>
        <v>258625.3</v>
      </c>
    </row>
    <row r="24" spans="1:28">
      <c r="A24" s="8" t="s">
        <v>36</v>
      </c>
      <c r="B24" s="8" t="s">
        <v>37</v>
      </c>
      <c r="C24" s="8">
        <f t="shared" si="1"/>
        <v>163983.79999999999</v>
      </c>
      <c r="D24" s="9">
        <f t="shared" si="2"/>
        <v>163983801</v>
      </c>
      <c r="E24" s="9">
        <f t="shared" si="3"/>
        <v>160641386</v>
      </c>
      <c r="F24" s="9">
        <f t="shared" si="4"/>
        <v>2247925</v>
      </c>
      <c r="G24" s="9">
        <f t="shared" si="5"/>
        <v>137410</v>
      </c>
      <c r="H24" s="9">
        <f t="shared" si="6"/>
        <v>957080</v>
      </c>
      <c r="I24" s="9">
        <f>{117135862}</f>
        <v>117135862</v>
      </c>
      <c r="J24" s="9">
        <f>{114536243}</f>
        <v>114536243</v>
      </c>
      <c r="K24" s="9">
        <f>{1572571}</f>
        <v>1572571</v>
      </c>
      <c r="L24" s="9">
        <f>{75460}</f>
        <v>75460</v>
      </c>
      <c r="M24" s="9">
        <f>{951588}</f>
        <v>951588</v>
      </c>
      <c r="N24" s="9">
        <f>{957232}</f>
        <v>957232</v>
      </c>
      <c r="O24" s="9">
        <f>{945660}</f>
        <v>945660</v>
      </c>
      <c r="P24" s="9">
        <f>{5800}</f>
        <v>5800</v>
      </c>
      <c r="Q24" s="9">
        <f>{280}</f>
        <v>280</v>
      </c>
      <c r="R24" s="9">
        <f>{5492}</f>
        <v>5492</v>
      </c>
      <c r="S24" s="9">
        <f>{8399855}</f>
        <v>8399855</v>
      </c>
      <c r="T24" s="9">
        <f>{7956635}</f>
        <v>7956635</v>
      </c>
      <c r="U24" s="9">
        <f>{405840}</f>
        <v>405840</v>
      </c>
      <c r="V24" s="9">
        <f>{37380}</f>
        <v>37380</v>
      </c>
      <c r="W24" s="9">
        <f>{37490852}</f>
        <v>37490852</v>
      </c>
      <c r="X24" s="9">
        <f>{37202848}</f>
        <v>37202848</v>
      </c>
      <c r="Y24" s="9">
        <f>{263714}</f>
        <v>263714</v>
      </c>
      <c r="Z24" s="9">
        <f>{24290}</f>
        <v>24290</v>
      </c>
      <c r="AA24" s="9"/>
      <c r="AB24" s="9">
        <f t="shared" si="7"/>
        <v>163983.79999999999</v>
      </c>
    </row>
    <row r="25" spans="1:28">
      <c r="A25" s="8" t="s">
        <v>38</v>
      </c>
      <c r="B25" s="8" t="s">
        <v>39</v>
      </c>
      <c r="C25" s="8">
        <f t="shared" si="1"/>
        <v>188521.9</v>
      </c>
      <c r="D25" s="9">
        <f t="shared" si="2"/>
        <v>188521878</v>
      </c>
      <c r="E25" s="9">
        <f t="shared" si="3"/>
        <v>184380277</v>
      </c>
      <c r="F25" s="9">
        <f t="shared" si="4"/>
        <v>2618882</v>
      </c>
      <c r="G25" s="9">
        <f t="shared" si="5"/>
        <v>180600</v>
      </c>
      <c r="H25" s="9">
        <f t="shared" si="6"/>
        <v>1342119</v>
      </c>
      <c r="I25" s="9">
        <f>{137941707}</f>
        <v>137941707</v>
      </c>
      <c r="J25" s="9">
        <f>{134578011}</f>
        <v>134578011</v>
      </c>
      <c r="K25" s="9">
        <f>{1927038}</f>
        <v>1927038</v>
      </c>
      <c r="L25" s="9">
        <f>{118020}</f>
        <v>118020</v>
      </c>
      <c r="M25" s="9">
        <f>{1318638}</f>
        <v>1318638</v>
      </c>
      <c r="N25" s="9">
        <f>{3135074}</f>
        <v>3135074</v>
      </c>
      <c r="O25" s="9">
        <f>{3084233}</f>
        <v>3084233</v>
      </c>
      <c r="P25" s="9">
        <f>{26100}</f>
        <v>26100</v>
      </c>
      <c r="Q25" s="9">
        <f>{1260}</f>
        <v>1260</v>
      </c>
      <c r="R25" s="9">
        <f>{23481}</f>
        <v>23481</v>
      </c>
      <c r="S25" s="9">
        <f>{5981184}</f>
        <v>5981184</v>
      </c>
      <c r="T25" s="9">
        <f>{5689024}</f>
        <v>5689024</v>
      </c>
      <c r="U25" s="9">
        <f>{267520}</f>
        <v>267520</v>
      </c>
      <c r="V25" s="9">
        <f>{24640}</f>
        <v>24640</v>
      </c>
      <c r="W25" s="9">
        <f>{41463913}</f>
        <v>41463913</v>
      </c>
      <c r="X25" s="9">
        <f>{41029009}</f>
        <v>41029009</v>
      </c>
      <c r="Y25" s="9">
        <f>{398224}</f>
        <v>398224</v>
      </c>
      <c r="Z25" s="9">
        <f>{36680}</f>
        <v>36680</v>
      </c>
      <c r="AA25" s="9"/>
      <c r="AB25" s="9">
        <f t="shared" si="7"/>
        <v>188521.9</v>
      </c>
    </row>
    <row r="26" spans="1:28">
      <c r="A26" s="8" t="s">
        <v>40</v>
      </c>
      <c r="B26" s="8" t="s">
        <v>41</v>
      </c>
      <c r="C26" s="8">
        <f t="shared" si="1"/>
        <v>307744.09999999998</v>
      </c>
      <c r="D26" s="9">
        <f t="shared" si="2"/>
        <v>307744143</v>
      </c>
      <c r="E26" s="9">
        <f t="shared" si="3"/>
        <v>297665269</v>
      </c>
      <c r="F26" s="9">
        <f t="shared" si="4"/>
        <v>5078318</v>
      </c>
      <c r="G26" s="9">
        <f t="shared" si="5"/>
        <v>402570</v>
      </c>
      <c r="H26" s="9">
        <f t="shared" si="6"/>
        <v>4597986</v>
      </c>
      <c r="I26" s="9">
        <f>{185268353}</f>
        <v>185268353</v>
      </c>
      <c r="J26" s="9">
        <f>{176737701}</f>
        <v>176737701</v>
      </c>
      <c r="K26" s="9">
        <f>{3697450}</f>
        <v>3697450</v>
      </c>
      <c r="L26" s="9">
        <f>{277480}</f>
        <v>277480</v>
      </c>
      <c r="M26" s="9">
        <f>{4555722}</f>
        <v>4555722</v>
      </c>
      <c r="N26" s="9">
        <f>{4185541}</f>
        <v>4185541</v>
      </c>
      <c r="O26" s="9">
        <f>{4093117}</f>
        <v>4093117</v>
      </c>
      <c r="P26" s="9">
        <f>{47850}</f>
        <v>47850</v>
      </c>
      <c r="Q26" s="9">
        <f>{2310}</f>
        <v>2310</v>
      </c>
      <c r="R26" s="9">
        <f>{42264}</f>
        <v>42264</v>
      </c>
      <c r="S26" s="9">
        <f>{0}</f>
        <v>0</v>
      </c>
      <c r="T26" s="9">
        <f>{0}</f>
        <v>0</v>
      </c>
      <c r="U26" s="9">
        <f>{0}</f>
        <v>0</v>
      </c>
      <c r="V26" s="9">
        <f>{0}</f>
        <v>0</v>
      </c>
      <c r="W26" s="9">
        <f>{118290249}</f>
        <v>118290249</v>
      </c>
      <c r="X26" s="9">
        <f>{116834451}</f>
        <v>116834451</v>
      </c>
      <c r="Y26" s="9">
        <f>{1333018}</f>
        <v>1333018</v>
      </c>
      <c r="Z26" s="9">
        <f>{122780}</f>
        <v>122780</v>
      </c>
      <c r="AA26" s="9"/>
      <c r="AB26" s="9">
        <f t="shared" si="7"/>
        <v>307744.09999999998</v>
      </c>
    </row>
    <row r="27" spans="1:28">
      <c r="A27" s="8" t="s">
        <v>42</v>
      </c>
      <c r="B27" s="8" t="s">
        <v>43</v>
      </c>
      <c r="C27" s="8">
        <f t="shared" si="1"/>
        <v>372804.3</v>
      </c>
      <c r="D27" s="9">
        <f t="shared" si="2"/>
        <v>372804313</v>
      </c>
      <c r="E27" s="9">
        <f t="shared" si="3"/>
        <v>360225392</v>
      </c>
      <c r="F27" s="9">
        <f t="shared" si="4"/>
        <v>7564168</v>
      </c>
      <c r="G27" s="9">
        <f t="shared" si="5"/>
        <v>594230</v>
      </c>
      <c r="H27" s="9">
        <f t="shared" si="6"/>
        <v>4420523</v>
      </c>
      <c r="I27" s="9">
        <f>{232127399}</f>
        <v>232127399</v>
      </c>
      <c r="J27" s="9">
        <f>{223082362}</f>
        <v>223082362</v>
      </c>
      <c r="K27" s="9">
        <f>{4375058}</f>
        <v>4375058</v>
      </c>
      <c r="L27" s="9">
        <f>{303100}</f>
        <v>303100</v>
      </c>
      <c r="M27" s="9">
        <f>{4366879}</f>
        <v>4366879</v>
      </c>
      <c r="N27" s="9">
        <f>{5151143}</f>
        <v>5151143</v>
      </c>
      <c r="O27" s="9">
        <f>{5035179}</f>
        <v>5035179</v>
      </c>
      <c r="P27" s="9">
        <f>{59450}</f>
        <v>59450</v>
      </c>
      <c r="Q27" s="9">
        <f>{2870}</f>
        <v>2870</v>
      </c>
      <c r="R27" s="9">
        <f>{53644}</f>
        <v>53644</v>
      </c>
      <c r="S27" s="9">
        <f>{37483437}</f>
        <v>37483437</v>
      </c>
      <c r="T27" s="9">
        <f>{35380217}</f>
        <v>35380217</v>
      </c>
      <c r="U27" s="9">
        <f>{1925840}</f>
        <v>1925840</v>
      </c>
      <c r="V27" s="9">
        <f>{177380}</f>
        <v>177380</v>
      </c>
      <c r="W27" s="9">
        <f>{98042334}</f>
        <v>98042334</v>
      </c>
      <c r="X27" s="9">
        <f>{96727634}</f>
        <v>96727634</v>
      </c>
      <c r="Y27" s="9">
        <f>{1203820}</f>
        <v>1203820</v>
      </c>
      <c r="Z27" s="9">
        <f>{110880}</f>
        <v>110880</v>
      </c>
      <c r="AA27" s="9"/>
      <c r="AB27" s="9">
        <f t="shared" si="7"/>
        <v>372804.3</v>
      </c>
    </row>
    <row r="28" spans="1:28">
      <c r="A28" s="8" t="s">
        <v>44</v>
      </c>
      <c r="B28" s="8" t="s">
        <v>45</v>
      </c>
      <c r="C28" s="8">
        <f t="shared" si="1"/>
        <v>493818.4</v>
      </c>
      <c r="D28" s="9">
        <f t="shared" si="2"/>
        <v>493818436</v>
      </c>
      <c r="E28" s="9">
        <f t="shared" si="3"/>
        <v>484653312</v>
      </c>
      <c r="F28" s="9">
        <f t="shared" si="4"/>
        <v>5661847</v>
      </c>
      <c r="G28" s="9">
        <f t="shared" si="5"/>
        <v>318850</v>
      </c>
      <c r="H28" s="9">
        <f t="shared" si="6"/>
        <v>3184427</v>
      </c>
      <c r="I28" s="9">
        <f>{347624786}</f>
        <v>347624786</v>
      </c>
      <c r="J28" s="9">
        <f>{339625241}</f>
        <v>339625241</v>
      </c>
      <c r="K28" s="9">
        <f>{4604613}</f>
        <v>4604613</v>
      </c>
      <c r="L28" s="9">
        <f>{222040}</f>
        <v>222040</v>
      </c>
      <c r="M28" s="9">
        <f>{3172892}</f>
        <v>3172892</v>
      </c>
      <c r="N28" s="9">
        <f>{2334808}</f>
        <v>2334808</v>
      </c>
      <c r="O28" s="9">
        <f>{2309593}</f>
        <v>2309593</v>
      </c>
      <c r="P28" s="9">
        <f>{13050}</f>
        <v>13050</v>
      </c>
      <c r="Q28" s="9">
        <f>{630}</f>
        <v>630</v>
      </c>
      <c r="R28" s="9">
        <f>{11535}</f>
        <v>11535</v>
      </c>
      <c r="S28" s="9">
        <f>{0}</f>
        <v>0</v>
      </c>
      <c r="T28" s="9">
        <f>{0}</f>
        <v>0</v>
      </c>
      <c r="U28" s="9">
        <f>{0}</f>
        <v>0</v>
      </c>
      <c r="V28" s="9">
        <f>{0}</f>
        <v>0</v>
      </c>
      <c r="W28" s="9">
        <f>{143858842}</f>
        <v>143858842</v>
      </c>
      <c r="X28" s="9">
        <f>{142718478}</f>
        <v>142718478</v>
      </c>
      <c r="Y28" s="9">
        <f>{1044184}</f>
        <v>1044184</v>
      </c>
      <c r="Z28" s="9">
        <f>{96180}</f>
        <v>96180</v>
      </c>
      <c r="AA28" s="9"/>
      <c r="AB28" s="9">
        <f t="shared" si="7"/>
        <v>493818.4</v>
      </c>
    </row>
    <row r="29" spans="1:28">
      <c r="A29" s="8" t="s">
        <v>46</v>
      </c>
      <c r="B29" s="8" t="s">
        <v>47</v>
      </c>
      <c r="C29" s="8">
        <f t="shared" si="1"/>
        <v>524741.19999999995</v>
      </c>
      <c r="D29" s="9">
        <f t="shared" si="2"/>
        <v>524741202</v>
      </c>
      <c r="E29" s="9">
        <f t="shared" si="3"/>
        <v>506654298</v>
      </c>
      <c r="F29" s="9">
        <f t="shared" si="4"/>
        <v>10701989</v>
      </c>
      <c r="G29" s="9">
        <f t="shared" si="5"/>
        <v>865060</v>
      </c>
      <c r="H29" s="9">
        <f t="shared" si="6"/>
        <v>6519855</v>
      </c>
      <c r="I29" s="9">
        <f>{304422922}</f>
        <v>304422922</v>
      </c>
      <c r="J29" s="9">
        <f>{291982020}</f>
        <v>291982020</v>
      </c>
      <c r="K29" s="9">
        <f>{5590993}</f>
        <v>5590993</v>
      </c>
      <c r="L29" s="9">
        <f>{397740}</f>
        <v>397740</v>
      </c>
      <c r="M29" s="9">
        <f>{6452169}</f>
        <v>6452169</v>
      </c>
      <c r="N29" s="9">
        <f>{6692049}</f>
        <v>6692049</v>
      </c>
      <c r="O29" s="9">
        <f>{6542283}</f>
        <v>6542283</v>
      </c>
      <c r="P29" s="9">
        <f>{78300}</f>
        <v>78300</v>
      </c>
      <c r="Q29" s="9">
        <f>{3780}</f>
        <v>3780</v>
      </c>
      <c r="R29" s="9">
        <f>{67686}</f>
        <v>67686</v>
      </c>
      <c r="S29" s="9">
        <f>{58396385}</f>
        <v>58396385</v>
      </c>
      <c r="T29" s="9">
        <f>{54778415}</f>
        <v>54778415</v>
      </c>
      <c r="U29" s="9">
        <f>{3312840}</f>
        <v>3312840</v>
      </c>
      <c r="V29" s="9">
        <f>{305130}</f>
        <v>305130</v>
      </c>
      <c r="W29" s="9">
        <f>{155229846}</f>
        <v>155229846</v>
      </c>
      <c r="X29" s="9">
        <f>{153351580}</f>
        <v>153351580</v>
      </c>
      <c r="Y29" s="9">
        <f>{1719856}</f>
        <v>1719856</v>
      </c>
      <c r="Z29" s="9">
        <f>{158410}</f>
        <v>158410</v>
      </c>
      <c r="AA29" s="9"/>
      <c r="AB29" s="9">
        <f t="shared" si="7"/>
        <v>524741.19999999995</v>
      </c>
    </row>
    <row r="30" spans="1:28">
      <c r="A30" s="8" t="s">
        <v>48</v>
      </c>
      <c r="B30" s="8" t="s">
        <v>49</v>
      </c>
      <c r="C30" s="8">
        <f t="shared" si="1"/>
        <v>375930</v>
      </c>
      <c r="D30" s="9">
        <f t="shared" si="2"/>
        <v>375929997</v>
      </c>
      <c r="E30" s="9">
        <f t="shared" si="3"/>
        <v>366509329</v>
      </c>
      <c r="F30" s="9">
        <f t="shared" si="4"/>
        <v>5803186</v>
      </c>
      <c r="G30" s="9">
        <f t="shared" si="5"/>
        <v>364280</v>
      </c>
      <c r="H30" s="9">
        <f t="shared" si="6"/>
        <v>3253202</v>
      </c>
      <c r="I30" s="9">
        <f>{224748489}</f>
        <v>224748489</v>
      </c>
      <c r="J30" s="9">
        <f>{217433679}</f>
        <v>217433679</v>
      </c>
      <c r="K30" s="9">
        <f>{3881582}</f>
        <v>3881582</v>
      </c>
      <c r="L30" s="9">
        <f>{187670}</f>
        <v>187670</v>
      </c>
      <c r="M30" s="9">
        <f>{3245558}</f>
        <v>3245558</v>
      </c>
      <c r="N30" s="9">
        <f>{1155027}</f>
        <v>1155027</v>
      </c>
      <c r="O30" s="9">
        <f>{1138263}</f>
        <v>1138263</v>
      </c>
      <c r="P30" s="9">
        <f>{8700}</f>
        <v>8700</v>
      </c>
      <c r="Q30" s="9">
        <f>{420}</f>
        <v>420</v>
      </c>
      <c r="R30" s="9">
        <f>{7644}</f>
        <v>7644</v>
      </c>
      <c r="S30" s="9">
        <f>{10588180}</f>
        <v>10588180</v>
      </c>
      <c r="T30" s="9">
        <f>{9841180}</f>
        <v>9841180</v>
      </c>
      <c r="U30" s="9">
        <f>{684000}</f>
        <v>684000</v>
      </c>
      <c r="V30" s="9">
        <f>{63000}</f>
        <v>63000</v>
      </c>
      <c r="W30" s="9">
        <f>{139438301}</f>
        <v>139438301</v>
      </c>
      <c r="X30" s="9">
        <f>{138096207}</f>
        <v>138096207</v>
      </c>
      <c r="Y30" s="9">
        <f>{1228904}</f>
        <v>1228904</v>
      </c>
      <c r="Z30" s="9">
        <f>{113190}</f>
        <v>113190</v>
      </c>
      <c r="AA30" s="9"/>
      <c r="AB30" s="9">
        <f t="shared" si="7"/>
        <v>375930</v>
      </c>
    </row>
    <row r="31" spans="1:28">
      <c r="A31" s="8" t="s">
        <v>50</v>
      </c>
      <c r="B31" s="8" t="s">
        <v>51</v>
      </c>
      <c r="C31" s="8">
        <f t="shared" si="1"/>
        <v>561295.5</v>
      </c>
      <c r="D31" s="9">
        <f t="shared" si="2"/>
        <v>561295485</v>
      </c>
      <c r="E31" s="9">
        <f t="shared" si="3"/>
        <v>544824722</v>
      </c>
      <c r="F31" s="9">
        <f t="shared" si="4"/>
        <v>11176323</v>
      </c>
      <c r="G31" s="9">
        <f t="shared" si="5"/>
        <v>849730</v>
      </c>
      <c r="H31" s="9">
        <f t="shared" si="6"/>
        <v>4444710</v>
      </c>
      <c r="I31" s="9">
        <f>{301995751}</f>
        <v>301995751</v>
      </c>
      <c r="J31" s="9">
        <f>{292145722}</f>
        <v>292145722</v>
      </c>
      <c r="K31" s="9">
        <f>{5151931}</f>
        <v>5151931</v>
      </c>
      <c r="L31" s="9">
        <f>{297010}</f>
        <v>297010</v>
      </c>
      <c r="M31" s="9">
        <f>{4401088}</f>
        <v>4401088</v>
      </c>
      <c r="N31" s="9">
        <f>{5524627}</f>
        <v>5524627</v>
      </c>
      <c r="O31" s="9">
        <f>{5429325}</f>
        <v>5429325</v>
      </c>
      <c r="P31" s="9">
        <f>{49300}</f>
        <v>49300</v>
      </c>
      <c r="Q31" s="9">
        <f>{2380}</f>
        <v>2380</v>
      </c>
      <c r="R31" s="9">
        <f>{43622}</f>
        <v>43622</v>
      </c>
      <c r="S31" s="9">
        <f>{75345907}</f>
        <v>75345907</v>
      </c>
      <c r="T31" s="9">
        <f>{70321917}</f>
        <v>70321917</v>
      </c>
      <c r="U31" s="9">
        <f>{4600280}</f>
        <v>4600280</v>
      </c>
      <c r="V31" s="9">
        <f>{423710}</f>
        <v>423710</v>
      </c>
      <c r="W31" s="9">
        <f>{178429200}</f>
        <v>178429200</v>
      </c>
      <c r="X31" s="9">
        <f>{176927758}</f>
        <v>176927758</v>
      </c>
      <c r="Y31" s="9">
        <f>{1374812}</f>
        <v>1374812</v>
      </c>
      <c r="Z31" s="9">
        <f>{126630}</f>
        <v>126630</v>
      </c>
      <c r="AA31" s="9"/>
      <c r="AB31" s="9">
        <f t="shared" si="7"/>
        <v>561295.5</v>
      </c>
    </row>
    <row r="32" spans="1:28">
      <c r="A32" s="8" t="s">
        <v>52</v>
      </c>
      <c r="B32" s="8" t="s">
        <v>53</v>
      </c>
      <c r="C32" s="8">
        <f t="shared" si="1"/>
        <v>428906.5</v>
      </c>
      <c r="D32" s="9">
        <f t="shared" si="2"/>
        <v>428906544</v>
      </c>
      <c r="E32" s="9">
        <f t="shared" si="3"/>
        <v>417796722</v>
      </c>
      <c r="F32" s="9">
        <f t="shared" si="4"/>
        <v>7603949</v>
      </c>
      <c r="G32" s="9">
        <f t="shared" si="5"/>
        <v>465080</v>
      </c>
      <c r="H32" s="9">
        <f t="shared" si="6"/>
        <v>3040793</v>
      </c>
      <c r="I32" s="9">
        <f>{313152629}</f>
        <v>313152629</v>
      </c>
      <c r="J32" s="9">
        <f>{304491894}</f>
        <v>304491894</v>
      </c>
      <c r="K32" s="9">
        <f>{5372607}</f>
        <v>5372607</v>
      </c>
      <c r="L32" s="9">
        <f>{260260}</f>
        <v>260260</v>
      </c>
      <c r="M32" s="9">
        <f>{3027868}</f>
        <v>3027868</v>
      </c>
      <c r="N32" s="9">
        <f>{2193752}</f>
        <v>2193752</v>
      </c>
      <c r="O32" s="9">
        <f>{2164107}</f>
        <v>2164107</v>
      </c>
      <c r="P32" s="9">
        <f>{15950}</f>
        <v>15950</v>
      </c>
      <c r="Q32" s="9">
        <f>{770}</f>
        <v>770</v>
      </c>
      <c r="R32" s="9">
        <f>{12925}</f>
        <v>12925</v>
      </c>
      <c r="S32" s="9">
        <f>{24049778}</f>
        <v>24049778</v>
      </c>
      <c r="T32" s="9">
        <f>{22570718}</f>
        <v>22570718</v>
      </c>
      <c r="U32" s="9">
        <f>{1354320}</f>
        <v>1354320</v>
      </c>
      <c r="V32" s="9">
        <f>{124740}</f>
        <v>124740</v>
      </c>
      <c r="W32" s="9">
        <f>{89510385}</f>
        <v>89510385</v>
      </c>
      <c r="X32" s="9">
        <f>{88570003}</f>
        <v>88570003</v>
      </c>
      <c r="Y32" s="9">
        <f>{861072}</f>
        <v>861072</v>
      </c>
      <c r="Z32" s="9">
        <f>{79310}</f>
        <v>79310</v>
      </c>
      <c r="AA32" s="9"/>
      <c r="AB32" s="9">
        <f t="shared" si="7"/>
        <v>428906.5</v>
      </c>
    </row>
    <row r="33" spans="1:28">
      <c r="A33" s="8" t="s">
        <v>54</v>
      </c>
      <c r="B33" s="8" t="s">
        <v>55</v>
      </c>
      <c r="C33" s="8">
        <f t="shared" si="1"/>
        <v>178867.6</v>
      </c>
      <c r="D33" s="9">
        <f t="shared" si="2"/>
        <v>178867579</v>
      </c>
      <c r="E33" s="9">
        <f t="shared" si="3"/>
        <v>173742532</v>
      </c>
      <c r="F33" s="9">
        <f t="shared" si="4"/>
        <v>2864362</v>
      </c>
      <c r="G33" s="9">
        <f t="shared" si="5"/>
        <v>208810</v>
      </c>
      <c r="H33" s="9">
        <f t="shared" si="6"/>
        <v>2051875</v>
      </c>
      <c r="I33" s="9">
        <f>{105113374}</f>
        <v>105113374</v>
      </c>
      <c r="J33" s="9">
        <f>{101060075}</f>
        <v>101060075</v>
      </c>
      <c r="K33" s="9">
        <f>{1899500}</f>
        <v>1899500</v>
      </c>
      <c r="L33" s="9">
        <f>{120890}</f>
        <v>120890</v>
      </c>
      <c r="M33" s="9">
        <f>{2032909}</f>
        <v>2032909</v>
      </c>
      <c r="N33" s="9">
        <f>{2107117}</f>
        <v>2107117</v>
      </c>
      <c r="O33" s="9">
        <f>{2065351}</f>
        <v>2065351</v>
      </c>
      <c r="P33" s="9">
        <f>{21750}</f>
        <v>21750</v>
      </c>
      <c r="Q33" s="9">
        <f>{1050}</f>
        <v>1050</v>
      </c>
      <c r="R33" s="9">
        <f>{18966}</f>
        <v>18966</v>
      </c>
      <c r="S33" s="9">
        <f>{5327600}</f>
        <v>5327600</v>
      </c>
      <c r="T33" s="9">
        <f>{4995600}</f>
        <v>4995600</v>
      </c>
      <c r="U33" s="9">
        <f>{304000}</f>
        <v>304000</v>
      </c>
      <c r="V33" s="9">
        <f>{28000}</f>
        <v>28000</v>
      </c>
      <c r="W33" s="9">
        <f>{66319488}</f>
        <v>66319488</v>
      </c>
      <c r="X33" s="9">
        <f>{65621506}</f>
        <v>65621506</v>
      </c>
      <c r="Y33" s="9">
        <f>{639112}</f>
        <v>639112</v>
      </c>
      <c r="Z33" s="9">
        <f>{58870}</f>
        <v>58870</v>
      </c>
      <c r="AA33" s="9"/>
      <c r="AB33" s="9">
        <f t="shared" si="7"/>
        <v>178867.6</v>
      </c>
    </row>
    <row r="34" spans="1:28">
      <c r="A34" s="8" t="s">
        <v>56</v>
      </c>
      <c r="B34" s="8" t="s">
        <v>57</v>
      </c>
      <c r="C34" s="8">
        <f t="shared" si="1"/>
        <v>3239208</v>
      </c>
      <c r="D34" s="9">
        <f t="shared" si="2"/>
        <v>3239208049</v>
      </c>
      <c r="E34" s="9">
        <f t="shared" si="3"/>
        <v>3139281683</v>
      </c>
      <c r="F34" s="9">
        <f t="shared" si="4"/>
        <v>45923846</v>
      </c>
      <c r="G34" s="9">
        <f t="shared" si="5"/>
        <v>4122370</v>
      </c>
      <c r="H34" s="9">
        <f t="shared" si="6"/>
        <v>49880150</v>
      </c>
      <c r="I34" s="9">
        <f>{1567610483}</f>
        <v>1567610483</v>
      </c>
      <c r="J34" s="9">
        <f>{1485938036}</f>
        <v>1485938036</v>
      </c>
      <c r="K34" s="9">
        <f>{29733646}</f>
        <v>29733646</v>
      </c>
      <c r="L34" s="9">
        <f>{2660910}</f>
        <v>2660910</v>
      </c>
      <c r="M34" s="9">
        <f>{49277891}</f>
        <v>49277891</v>
      </c>
      <c r="N34" s="9">
        <f>{82830098}</f>
        <v>82830098</v>
      </c>
      <c r="O34" s="9">
        <f>{81516479}</f>
        <v>81516479</v>
      </c>
      <c r="P34" s="9">
        <f>{678600}</f>
        <v>678600</v>
      </c>
      <c r="Q34" s="9">
        <f>{32760}</f>
        <v>32760</v>
      </c>
      <c r="R34" s="9">
        <f>{602259}</f>
        <v>602259</v>
      </c>
      <c r="S34" s="9">
        <f>{0}</f>
        <v>0</v>
      </c>
      <c r="T34" s="9">
        <f>{0}</f>
        <v>0</v>
      </c>
      <c r="U34" s="9">
        <f>{0}</f>
        <v>0</v>
      </c>
      <c r="V34" s="9">
        <f>{0}</f>
        <v>0</v>
      </c>
      <c r="W34" s="9">
        <f>{1588767468}</f>
        <v>1588767468</v>
      </c>
      <c r="X34" s="9">
        <f>{1571827168}</f>
        <v>1571827168</v>
      </c>
      <c r="Y34" s="9">
        <v>15511600</v>
      </c>
      <c r="Z34" s="9">
        <v>1428700</v>
      </c>
      <c r="AA34" s="9"/>
      <c r="AB34" s="9">
        <f t="shared" si="7"/>
        <v>3239208</v>
      </c>
    </row>
    <row r="35" spans="1:28">
      <c r="A35" s="8" t="s">
        <v>58</v>
      </c>
      <c r="B35" s="8" t="s">
        <v>59</v>
      </c>
      <c r="C35" s="8">
        <f t="shared" si="1"/>
        <v>2420273.7999999998</v>
      </c>
      <c r="D35" s="9">
        <f t="shared" si="2"/>
        <v>2420273830</v>
      </c>
      <c r="E35" s="9">
        <f t="shared" si="3"/>
        <v>2366449655</v>
      </c>
      <c r="F35" s="9">
        <f t="shared" si="4"/>
        <v>25334874</v>
      </c>
      <c r="G35" s="9">
        <f t="shared" si="5"/>
        <v>2301600</v>
      </c>
      <c r="H35" s="9">
        <f t="shared" si="6"/>
        <v>26187701</v>
      </c>
      <c r="I35" s="9">
        <f>{1114211839}</f>
        <v>1114211839</v>
      </c>
      <c r="J35" s="9">
        <f>{1071210662}</f>
        <v>1071210662</v>
      </c>
      <c r="K35" s="9">
        <f>{15669260}</f>
        <v>15669260</v>
      </c>
      <c r="L35" s="9">
        <f>{1425200}</f>
        <v>1425200</v>
      </c>
      <c r="M35" s="9">
        <f>{25906717}</f>
        <v>25906717</v>
      </c>
      <c r="N35" s="9">
        <f>{39359896}</f>
        <v>39359896</v>
      </c>
      <c r="O35" s="9">
        <f>{38747552}</f>
        <v>38747552</v>
      </c>
      <c r="P35" s="9">
        <f>{316100}</f>
        <v>316100</v>
      </c>
      <c r="Q35" s="9">
        <f>{15260}</f>
        <v>15260</v>
      </c>
      <c r="R35" s="9">
        <f>{280984}</f>
        <v>280984</v>
      </c>
      <c r="S35" s="9">
        <f>{0}</f>
        <v>0</v>
      </c>
      <c r="T35" s="9">
        <f>{0}</f>
        <v>0</v>
      </c>
      <c r="U35" s="9">
        <f>{0}</f>
        <v>0</v>
      </c>
      <c r="V35" s="9">
        <f>{0}</f>
        <v>0</v>
      </c>
      <c r="W35" s="9">
        <f>{1266702095}</f>
        <v>1266702095</v>
      </c>
      <c r="X35" s="9">
        <f>{1256491441}</f>
        <v>1256491441</v>
      </c>
      <c r="Y35" s="9">
        <f>{9349514}</f>
        <v>9349514</v>
      </c>
      <c r="Z35" s="9">
        <f>{861140}</f>
        <v>861140</v>
      </c>
      <c r="AA35" s="9"/>
      <c r="AB35" s="9">
        <f t="shared" si="7"/>
        <v>2420273.7999999998</v>
      </c>
    </row>
    <row r="36" spans="1:28">
      <c r="A36" s="8" t="s">
        <v>60</v>
      </c>
      <c r="B36" s="8" t="s">
        <v>61</v>
      </c>
      <c r="C36" s="8">
        <f t="shared" si="1"/>
        <v>782062.5</v>
      </c>
      <c r="D36" s="9">
        <f t="shared" si="2"/>
        <v>782062500</v>
      </c>
      <c r="E36" s="9">
        <f t="shared" si="3"/>
        <v>757153793</v>
      </c>
      <c r="F36" s="9">
        <f t="shared" si="4"/>
        <v>11615244</v>
      </c>
      <c r="G36" s="9">
        <f t="shared" si="5"/>
        <v>1065050</v>
      </c>
      <c r="H36" s="9">
        <f t="shared" si="6"/>
        <v>12228413</v>
      </c>
      <c r="I36" s="9">
        <f>{362663062}</f>
        <v>362663062</v>
      </c>
      <c r="J36" s="9">
        <f>{342766295}</f>
        <v>342766295</v>
      </c>
      <c r="K36" s="9">
        <f>{7141424}</f>
        <v>7141424</v>
      </c>
      <c r="L36" s="9">
        <f>{659470}</f>
        <v>659470</v>
      </c>
      <c r="M36" s="9">
        <f>{12095873}</f>
        <v>12095873</v>
      </c>
      <c r="N36" s="9">
        <f>{14547585}</f>
        <v>14547585</v>
      </c>
      <c r="O36" s="9">
        <f>{14260005}</f>
        <v>14260005</v>
      </c>
      <c r="P36" s="9">
        <f>{147900}</f>
        <v>147900</v>
      </c>
      <c r="Q36" s="9">
        <f>{7140}</f>
        <v>7140</v>
      </c>
      <c r="R36" s="9">
        <f>{132540}</f>
        <v>132540</v>
      </c>
      <c r="S36" s="9">
        <f>{2464015}</f>
        <v>2464015</v>
      </c>
      <c r="T36" s="9">
        <f>{2310465}</f>
        <v>2310465</v>
      </c>
      <c r="U36" s="9">
        <f>{140600}</f>
        <v>140600</v>
      </c>
      <c r="V36" s="9">
        <f>{12950}</f>
        <v>12950</v>
      </c>
      <c r="W36" s="9">
        <f>{402387838}</f>
        <v>402387838</v>
      </c>
      <c r="X36" s="9">
        <f>{397817028}</f>
        <v>397817028</v>
      </c>
      <c r="Y36" s="9">
        <f>{4185320}</f>
        <v>4185320</v>
      </c>
      <c r="Z36" s="9">
        <f>{385490}</f>
        <v>385490</v>
      </c>
      <c r="AA36" s="9"/>
      <c r="AB36" s="9">
        <f t="shared" si="7"/>
        <v>782062.5</v>
      </c>
    </row>
    <row r="37" spans="1:28">
      <c r="A37" s="8" t="s">
        <v>62</v>
      </c>
      <c r="B37" s="8" t="s">
        <v>63</v>
      </c>
      <c r="C37" s="8">
        <f t="shared" si="1"/>
        <v>408123.4</v>
      </c>
      <c r="D37" s="9">
        <f t="shared" si="2"/>
        <v>408123351</v>
      </c>
      <c r="E37" s="9">
        <f t="shared" si="3"/>
        <v>395654653</v>
      </c>
      <c r="F37" s="9">
        <f t="shared" si="4"/>
        <v>5790870</v>
      </c>
      <c r="G37" s="9">
        <f t="shared" si="5"/>
        <v>529620</v>
      </c>
      <c r="H37" s="9">
        <f t="shared" si="6"/>
        <v>6148208</v>
      </c>
      <c r="I37" s="9">
        <f>{193544578}</f>
        <v>193544578</v>
      </c>
      <c r="J37" s="9">
        <f>{183559496}</f>
        <v>183559496</v>
      </c>
      <c r="K37" s="9">
        <f>{3583400}</f>
        <v>3583400</v>
      </c>
      <c r="L37" s="9">
        <f>{330050}</f>
        <v>330050</v>
      </c>
      <c r="M37" s="9">
        <f>{6071632}</f>
        <v>6071632</v>
      </c>
      <c r="N37" s="9">
        <f>{7941076}</f>
        <v>7941076</v>
      </c>
      <c r="O37" s="9">
        <f>{7774820}</f>
        <v>7774820</v>
      </c>
      <c r="P37" s="9">
        <f>{85550}</f>
        <v>85550</v>
      </c>
      <c r="Q37" s="9">
        <f>{4130}</f>
        <v>4130</v>
      </c>
      <c r="R37" s="9">
        <f>{76576}</f>
        <v>76576</v>
      </c>
      <c r="S37" s="9">
        <f>{0}</f>
        <v>0</v>
      </c>
      <c r="T37" s="9">
        <f>{0}</f>
        <v>0</v>
      </c>
      <c r="U37" s="9">
        <f>{0}</f>
        <v>0</v>
      </c>
      <c r="V37" s="9">
        <f>{0}</f>
        <v>0</v>
      </c>
      <c r="W37" s="9">
        <f>{206637697}</f>
        <v>206637697</v>
      </c>
      <c r="X37" s="9">
        <f>{204320337}</f>
        <v>204320337</v>
      </c>
      <c r="Y37" s="9">
        <f>{2121920}</f>
        <v>2121920</v>
      </c>
      <c r="Z37" s="9">
        <f>{195440}</f>
        <v>195440</v>
      </c>
      <c r="AA37" s="9"/>
      <c r="AB37" s="9">
        <f t="shared" si="7"/>
        <v>408123.4</v>
      </c>
    </row>
    <row r="38" spans="1:28">
      <c r="A38" s="8" t="s">
        <v>64</v>
      </c>
      <c r="B38" s="8" t="s">
        <v>65</v>
      </c>
      <c r="C38" s="8">
        <f t="shared" si="1"/>
        <v>436495.7</v>
      </c>
      <c r="D38" s="9">
        <f t="shared" si="2"/>
        <v>436495666</v>
      </c>
      <c r="E38" s="9">
        <f t="shared" si="3"/>
        <v>423102784</v>
      </c>
      <c r="F38" s="9">
        <f t="shared" si="4"/>
        <v>6809335</v>
      </c>
      <c r="G38" s="9">
        <f t="shared" si="5"/>
        <v>626920</v>
      </c>
      <c r="H38" s="9">
        <f t="shared" si="6"/>
        <v>5956627</v>
      </c>
      <c r="I38" s="9">
        <f>{197130100}</f>
        <v>197130100</v>
      </c>
      <c r="J38" s="9">
        <f>{187436787}</f>
        <v>187436787</v>
      </c>
      <c r="K38" s="9">
        <f>{3466615}</f>
        <v>3466615</v>
      </c>
      <c r="L38" s="9">
        <f>{321580}</f>
        <v>321580</v>
      </c>
      <c r="M38" s="9">
        <f>{5905118}</f>
        <v>5905118</v>
      </c>
      <c r="N38" s="9">
        <f>{5544816}</f>
        <v>5544816</v>
      </c>
      <c r="O38" s="9">
        <f>{5432507}</f>
        <v>5432507</v>
      </c>
      <c r="P38" s="9">
        <f>{58000}</f>
        <v>58000</v>
      </c>
      <c r="Q38" s="9">
        <f>{2800}</f>
        <v>2800</v>
      </c>
      <c r="R38" s="9">
        <f>{51509}</f>
        <v>51509</v>
      </c>
      <c r="S38" s="9">
        <f>{20083875}</f>
        <v>20083875</v>
      </c>
      <c r="T38" s="9">
        <f>{18867925}</f>
        <v>18867925</v>
      </c>
      <c r="U38" s="9">
        <f>{1113400}</f>
        <v>1113400</v>
      </c>
      <c r="V38" s="9">
        <f>{102550}</f>
        <v>102550</v>
      </c>
      <c r="W38" s="9">
        <f>{213736875}</f>
        <v>213736875</v>
      </c>
      <c r="X38" s="9">
        <f>{211365565}</f>
        <v>211365565</v>
      </c>
      <c r="Y38" s="9">
        <f>{2171320}</f>
        <v>2171320</v>
      </c>
      <c r="Z38" s="9">
        <f>{199990}</f>
        <v>199990</v>
      </c>
      <c r="AA38" s="9"/>
      <c r="AB38" s="9">
        <f t="shared" si="7"/>
        <v>436495.7</v>
      </c>
    </row>
    <row r="39" spans="1:28">
      <c r="A39" s="8" t="s">
        <v>66</v>
      </c>
      <c r="B39" s="8" t="s">
        <v>67</v>
      </c>
      <c r="C39" s="8">
        <f t="shared" si="1"/>
        <v>333741.5</v>
      </c>
      <c r="D39" s="9">
        <f t="shared" si="2"/>
        <v>333741478</v>
      </c>
      <c r="E39" s="9">
        <f t="shared" si="3"/>
        <v>323911947</v>
      </c>
      <c r="F39" s="9">
        <f t="shared" si="4"/>
        <v>4607190</v>
      </c>
      <c r="G39" s="9">
        <f t="shared" si="5"/>
        <v>419580</v>
      </c>
      <c r="H39" s="9">
        <f t="shared" si="6"/>
        <v>4802761</v>
      </c>
      <c r="I39" s="9">
        <f>{136223963}</f>
        <v>136223963</v>
      </c>
      <c r="J39" s="9">
        <f>{128483007}</f>
        <v>128483007</v>
      </c>
      <c r="K39" s="9">
        <f>{2780840}</f>
        <v>2780840</v>
      </c>
      <c r="L39" s="9">
        <f>{256130}</f>
        <v>256130</v>
      </c>
      <c r="M39" s="9">
        <f>{4703986}</f>
        <v>4703986</v>
      </c>
      <c r="N39" s="9">
        <f>{12828115}</f>
        <v>12828115</v>
      </c>
      <c r="O39" s="9">
        <f>{12615340}</f>
        <v>12615340</v>
      </c>
      <c r="P39" s="9">
        <f>{108750}</f>
        <v>108750</v>
      </c>
      <c r="Q39" s="9">
        <f>{5250}</f>
        <v>5250</v>
      </c>
      <c r="R39" s="9">
        <f>{98775}</f>
        <v>98775</v>
      </c>
      <c r="S39" s="9">
        <f>{0}</f>
        <v>0</v>
      </c>
      <c r="T39" s="9">
        <f>{0}</f>
        <v>0</v>
      </c>
      <c r="U39" s="9">
        <f>{0}</f>
        <v>0</v>
      </c>
      <c r="V39" s="9">
        <f>{0}</f>
        <v>0</v>
      </c>
      <c r="W39" s="9">
        <f>{184689400}</f>
        <v>184689400</v>
      </c>
      <c r="X39" s="9">
        <f>{182813600}</f>
        <v>182813600</v>
      </c>
      <c r="Y39" s="9">
        <f>{1717600}</f>
        <v>1717600</v>
      </c>
      <c r="Z39" s="9">
        <f>{158200}</f>
        <v>158200</v>
      </c>
      <c r="AA39" s="9"/>
      <c r="AB39" s="9">
        <f t="shared" si="7"/>
        <v>333741.5</v>
      </c>
    </row>
    <row r="40" spans="1:28">
      <c r="A40" s="8" t="s">
        <v>68</v>
      </c>
      <c r="B40" s="8" t="s">
        <v>69</v>
      </c>
      <c r="C40" s="8">
        <f t="shared" si="1"/>
        <v>5041.5</v>
      </c>
      <c r="D40" s="9">
        <f t="shared" si="2"/>
        <v>5041455</v>
      </c>
      <c r="E40" s="9">
        <f t="shared" si="3"/>
        <v>5004105</v>
      </c>
      <c r="F40" s="9">
        <f t="shared" si="4"/>
        <v>34200</v>
      </c>
      <c r="G40" s="9">
        <f t="shared" si="5"/>
        <v>3150</v>
      </c>
      <c r="H40" s="9">
        <f t="shared" si="6"/>
        <v>0</v>
      </c>
      <c r="I40" s="9">
        <f>{0}</f>
        <v>0</v>
      </c>
      <c r="J40" s="9">
        <f>{0}</f>
        <v>0</v>
      </c>
      <c r="K40" s="9">
        <f>{0}</f>
        <v>0</v>
      </c>
      <c r="L40" s="9">
        <f>{0}</f>
        <v>0</v>
      </c>
      <c r="M40" s="9">
        <f>{0}</f>
        <v>0</v>
      </c>
      <c r="N40" s="9">
        <f>{0}</f>
        <v>0</v>
      </c>
      <c r="O40" s="9">
        <f>{0}</f>
        <v>0</v>
      </c>
      <c r="P40" s="9">
        <f>{0}</f>
        <v>0</v>
      </c>
      <c r="Q40" s="9">
        <f>{0}</f>
        <v>0</v>
      </c>
      <c r="R40" s="9">
        <f>{0}</f>
        <v>0</v>
      </c>
      <c r="S40" s="9">
        <f>{0}</f>
        <v>0</v>
      </c>
      <c r="T40" s="9">
        <f>{0}</f>
        <v>0</v>
      </c>
      <c r="U40" s="9">
        <f>{0}</f>
        <v>0</v>
      </c>
      <c r="V40" s="9">
        <f>{0}</f>
        <v>0</v>
      </c>
      <c r="W40" s="9">
        <f>{5041455}</f>
        <v>5041455</v>
      </c>
      <c r="X40" s="9">
        <f>{5004105}</f>
        <v>5004105</v>
      </c>
      <c r="Y40" s="9">
        <f>{34200}</f>
        <v>34200</v>
      </c>
      <c r="Z40" s="9">
        <f>{3150}</f>
        <v>3150</v>
      </c>
      <c r="AA40" s="9"/>
      <c r="AB40" s="9">
        <f t="shared" si="7"/>
        <v>5041.5</v>
      </c>
    </row>
  </sheetData>
  <mergeCells count="11">
    <mergeCell ref="A9:B11"/>
    <mergeCell ref="A14:B14"/>
    <mergeCell ref="A13:B13"/>
    <mergeCell ref="AB9:AB11"/>
    <mergeCell ref="D9:H10"/>
    <mergeCell ref="W9:Z10"/>
    <mergeCell ref="I9:M10"/>
    <mergeCell ref="N9:R10"/>
    <mergeCell ref="S9:V10"/>
    <mergeCell ref="AA9:AA11"/>
    <mergeCell ref="A12:B12"/>
  </mergeCells>
  <conditionalFormatting sqref="B10:B11 A12:A14 A9 D9:Z11 D12:AB13">
    <cfRule type="expression" dxfId="5" priority="1">
      <formula>HasError()</formula>
    </cfRule>
    <cfRule type="expression" dxfId="4" priority="4">
      <formula>LockedByCondition()</formula>
    </cfRule>
    <cfRule type="expression" dxfId="3" priority="7">
      <formula>Locked()</formula>
    </cfRule>
  </conditionalFormatting>
  <conditionalFormatting sqref="D11:G11">
    <cfRule type="expression" dxfId="2" priority="10">
      <formula>Locked()</formula>
    </cfRule>
  </conditionalFormatting>
  <conditionalFormatting sqref="D14:AB14">
    <cfRule type="expression" dxfId="1" priority="16">
      <formula>HasError()</formula>
    </cfRule>
    <cfRule type="expression" dxfId="0" priority="19">
      <formula>LockedByCondition()</formula>
    </cfRule>
  </conditionalFormatting>
  <dataValidations count="1">
    <dataValidation allowBlank="1" showInputMessage="1" showErrorMessage="1" sqref="D5 W9 K13:K14 M13:M14 O13:O14 H12:U12 D12:D14 E13:I14 J14:AB14 J13 L13 N13 P13:AB13 A12:A14"/>
  </dataValidations>
  <pageMargins left="0.31496062992125984" right="0.31496062992125984" top="0.7480314960629921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СВОД_ОЧГ</vt:lpstr>
      <vt:lpstr>СВОД_ОЧГ!Заголовки_для_печати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2019-06-07T07:34:09Z</cp:lastPrinted>
  <dcterms:created xsi:type="dcterms:W3CDTF">2019-06-04T08:35:49Z</dcterms:created>
  <dcterms:modified xsi:type="dcterms:W3CDTF">2019-06-07T07:34:10Z</dcterms:modified>
</cp:coreProperties>
</file>