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200" windowHeight="11595" tabRatio="535"/>
  </bookViews>
  <sheets>
    <sheet name="Лист1" sheetId="2" r:id="rId1"/>
  </sheets>
  <definedNames>
    <definedName name="_xlnm._FilterDatabase" localSheetId="0" hidden="1">Лист1!$A$14:$T$163</definedName>
    <definedName name="_xlnm.Print_Titles" localSheetId="0">Лист1!$14:$16</definedName>
    <definedName name="_xlnm.Print_Area" localSheetId="0">Лист1!$A$1:$AA$173</definedName>
  </definedNames>
  <calcPr calcId="125725"/>
</workbook>
</file>

<file path=xl/calcChain.xml><?xml version="1.0" encoding="utf-8"?>
<calcChain xmlns="http://schemas.openxmlformats.org/spreadsheetml/2006/main">
  <c r="M17" i="2"/>
  <c r="M110"/>
  <c r="M119"/>
  <c r="R17" l="1"/>
  <c r="R110"/>
  <c r="R119"/>
  <c r="Q17"/>
  <c r="Q166"/>
  <c r="W17" l="1"/>
  <c r="S17"/>
  <c r="T17"/>
  <c r="U17"/>
  <c r="V17"/>
  <c r="X17"/>
  <c r="Y17"/>
  <c r="M170" l="1"/>
  <c r="M168"/>
  <c r="M166" s="1"/>
  <c r="M167"/>
  <c r="AA166"/>
  <c r="AA17" s="1"/>
  <c r="Z166"/>
  <c r="Y166"/>
  <c r="X166"/>
  <c r="W166"/>
  <c r="V166"/>
  <c r="U166"/>
  <c r="T166"/>
  <c r="S166"/>
  <c r="R166"/>
  <c r="P166"/>
  <c r="O166"/>
  <c r="N166"/>
  <c r="Q20"/>
  <c r="Q160" l="1"/>
  <c r="Q37"/>
  <c r="Q28"/>
  <c r="Q43"/>
  <c r="Y19" l="1"/>
  <c r="V19"/>
  <c r="L19"/>
  <c r="Y58"/>
  <c r="V58"/>
  <c r="L58"/>
  <c r="V34"/>
  <c r="Y76"/>
  <c r="V76"/>
  <c r="L76"/>
  <c r="Y110"/>
  <c r="V110"/>
  <c r="Y137"/>
  <c r="V137"/>
  <c r="L137"/>
  <c r="L142"/>
  <c r="Y158"/>
  <c r="V158"/>
  <c r="Q158"/>
  <c r="L158"/>
  <c r="Y154"/>
  <c r="V154"/>
  <c r="Q154"/>
  <c r="L154"/>
  <c r="R157"/>
  <c r="M157"/>
  <c r="R156"/>
  <c r="M156"/>
  <c r="Q19"/>
  <c r="R75" l="1"/>
  <c r="M75"/>
  <c r="Y68"/>
  <c r="Y67" s="1"/>
  <c r="V68"/>
  <c r="V67" s="1"/>
  <c r="Q68"/>
  <c r="Q67" s="1"/>
  <c r="L68"/>
  <c r="L67" s="1"/>
  <c r="Y142"/>
  <c r="V142"/>
  <c r="Q142"/>
  <c r="M149"/>
  <c r="R149"/>
  <c r="AA148"/>
  <c r="W148"/>
  <c r="R148"/>
  <c r="M148"/>
  <c r="Q78"/>
  <c r="Q77"/>
  <c r="Q115"/>
  <c r="Q110" s="1"/>
  <c r="Q39"/>
  <c r="Q59"/>
  <c r="Q58" s="1"/>
  <c r="Q49"/>
  <c r="Q42"/>
  <c r="AA57"/>
  <c r="AA55"/>
  <c r="W57"/>
  <c r="W55"/>
  <c r="R57"/>
  <c r="R55"/>
  <c r="M57"/>
  <c r="M55"/>
  <c r="AA46"/>
  <c r="W46"/>
  <c r="R46"/>
  <c r="M46"/>
  <c r="Q41"/>
  <c r="Q38"/>
  <c r="Q36"/>
  <c r="AA66"/>
  <c r="W66"/>
  <c r="R66"/>
  <c r="M66"/>
  <c r="L110"/>
  <c r="Q138"/>
  <c r="Q137" s="1"/>
  <c r="R161"/>
  <c r="R160"/>
  <c r="M161"/>
  <c r="M160"/>
  <c r="Y162"/>
  <c r="V162"/>
  <c r="L162"/>
  <c r="Q162"/>
  <c r="R26"/>
  <c r="M26"/>
  <c r="Q76" l="1"/>
  <c r="Q35"/>
  <c r="Q34" s="1"/>
  <c r="Q27"/>
  <c r="Y127"/>
  <c r="Y120" s="1"/>
  <c r="V127"/>
  <c r="V120" s="1"/>
  <c r="Q127"/>
  <c r="L127"/>
  <c r="L120" s="1"/>
  <c r="Q131"/>
  <c r="Y31"/>
  <c r="V31"/>
  <c r="Q31"/>
  <c r="L31"/>
  <c r="Y29"/>
  <c r="V29"/>
  <c r="Q29"/>
  <c r="L29"/>
  <c r="Y27"/>
  <c r="Y18" s="1"/>
  <c r="V27"/>
  <c r="L27"/>
  <c r="AA165"/>
  <c r="AA164"/>
  <c r="AA159"/>
  <c r="AA158"/>
  <c r="AA153"/>
  <c r="AA152"/>
  <c r="AA141"/>
  <c r="AA119"/>
  <c r="AA108"/>
  <c r="AA107"/>
  <c r="AA106"/>
  <c r="AA105"/>
  <c r="AA99"/>
  <c r="AA74"/>
  <c r="AA73"/>
  <c r="AA71"/>
  <c r="AA70"/>
  <c r="AA65"/>
  <c r="AA64"/>
  <c r="AA33"/>
  <c r="W165"/>
  <c r="W164"/>
  <c r="W159"/>
  <c r="W158"/>
  <c r="W153"/>
  <c r="W152"/>
  <c r="W119"/>
  <c r="W108"/>
  <c r="W107"/>
  <c r="W106"/>
  <c r="W105"/>
  <c r="W99"/>
  <c r="W74"/>
  <c r="W73"/>
  <c r="W71"/>
  <c r="W70"/>
  <c r="W65"/>
  <c r="W64"/>
  <c r="W32"/>
  <c r="W25"/>
  <c r="R153"/>
  <c r="R108"/>
  <c r="R107"/>
  <c r="R106"/>
  <c r="R65"/>
  <c r="M153"/>
  <c r="M108"/>
  <c r="M107"/>
  <c r="M106"/>
  <c r="M65"/>
  <c r="K77"/>
  <c r="V18" l="1"/>
  <c r="Q120"/>
  <c r="L18"/>
  <c r="Q18"/>
  <c r="K59"/>
  <c r="H35"/>
  <c r="N74" l="1"/>
  <c r="R74" s="1"/>
  <c r="I74"/>
  <c r="M74" s="1"/>
  <c r="P163"/>
  <c r="U163"/>
  <c r="U19"/>
  <c r="U18" s="1"/>
  <c r="K114"/>
  <c r="S33"/>
  <c r="W33" s="1"/>
  <c r="K39"/>
  <c r="I33"/>
  <c r="M33" s="1"/>
  <c r="N33"/>
  <c r="R33" s="1"/>
  <c r="N99"/>
  <c r="R99" s="1"/>
  <c r="I99"/>
  <c r="M99" s="1"/>
  <c r="N165" l="1"/>
  <c r="R165" s="1"/>
  <c r="K164"/>
  <c r="N164" s="1"/>
  <c r="R164" s="1"/>
  <c r="I165"/>
  <c r="M165" s="1"/>
  <c r="H164"/>
  <c r="I164" s="1"/>
  <c r="M164" s="1"/>
  <c r="N119" l="1"/>
  <c r="I119"/>
  <c r="U110" l="1"/>
  <c r="P110"/>
  <c r="H110"/>
  <c r="K158"/>
  <c r="N158" s="1"/>
  <c r="R158" s="1"/>
  <c r="H158"/>
  <c r="U154"/>
  <c r="P154"/>
  <c r="K154"/>
  <c r="H154"/>
  <c r="I158" l="1"/>
  <c r="M158" s="1"/>
  <c r="N159"/>
  <c r="R159" s="1"/>
  <c r="I159"/>
  <c r="M159" s="1"/>
  <c r="K150" l="1"/>
  <c r="H150"/>
  <c r="N152"/>
  <c r="R152" s="1"/>
  <c r="I152"/>
  <c r="M152" s="1"/>
  <c r="X136"/>
  <c r="AA136" s="1"/>
  <c r="S136"/>
  <c r="W136" s="1"/>
  <c r="N136"/>
  <c r="R136" s="1"/>
  <c r="I136"/>
  <c r="M136" s="1"/>
  <c r="H58" l="1"/>
  <c r="H34" s="1"/>
  <c r="K58"/>
  <c r="N64"/>
  <c r="R64" s="1"/>
  <c r="I64"/>
  <c r="M64" s="1"/>
  <c r="U101" l="1"/>
  <c r="P101"/>
  <c r="K101"/>
  <c r="H101"/>
  <c r="X109"/>
  <c r="AA109" s="1"/>
  <c r="S109"/>
  <c r="W109" s="1"/>
  <c r="N109"/>
  <c r="R109" s="1"/>
  <c r="I109"/>
  <c r="M109" s="1"/>
  <c r="I105"/>
  <c r="M105" s="1"/>
  <c r="N105"/>
  <c r="R105" s="1"/>
  <c r="K70" l="1"/>
  <c r="H70"/>
  <c r="N71"/>
  <c r="I71"/>
  <c r="N70" l="1"/>
  <c r="R70" s="1"/>
  <c r="R71"/>
  <c r="I70"/>
  <c r="M70" s="1"/>
  <c r="M71"/>
  <c r="X63"/>
  <c r="AA63" s="1"/>
  <c r="S63"/>
  <c r="W63" s="1"/>
  <c r="N63"/>
  <c r="R63" s="1"/>
  <c r="I63"/>
  <c r="M63" s="1"/>
  <c r="K138"/>
  <c r="K137" s="1"/>
  <c r="S141"/>
  <c r="W141" s="1"/>
  <c r="N141"/>
  <c r="R141" s="1"/>
  <c r="I141"/>
  <c r="M141" s="1"/>
  <c r="G137"/>
  <c r="H137"/>
  <c r="K112"/>
  <c r="K110" s="1"/>
  <c r="N73" l="1"/>
  <c r="R73" s="1"/>
  <c r="I73"/>
  <c r="M73" s="1"/>
  <c r="I81" l="1"/>
  <c r="M81" s="1"/>
  <c r="X81"/>
  <c r="AA81" s="1"/>
  <c r="S81"/>
  <c r="W81" s="1"/>
  <c r="N81"/>
  <c r="R81" s="1"/>
  <c r="K42" l="1"/>
  <c r="P35" l="1"/>
  <c r="U58" l="1"/>
  <c r="P58"/>
  <c r="P34" s="1"/>
  <c r="U68"/>
  <c r="U67" s="1"/>
  <c r="P82"/>
  <c r="P76" s="1"/>
  <c r="U82"/>
  <c r="U76" s="1"/>
  <c r="U121"/>
  <c r="U123"/>
  <c r="P127"/>
  <c r="U127"/>
  <c r="U131"/>
  <c r="U133"/>
  <c r="U137"/>
  <c r="P137"/>
  <c r="P142"/>
  <c r="K142"/>
  <c r="U142"/>
  <c r="U150"/>
  <c r="U162"/>
  <c r="X59"/>
  <c r="AA59" s="1"/>
  <c r="X60"/>
  <c r="AA60" s="1"/>
  <c r="X61"/>
  <c r="AA61" s="1"/>
  <c r="X62"/>
  <c r="AA62" s="1"/>
  <c r="X69"/>
  <c r="AA69" s="1"/>
  <c r="X72"/>
  <c r="AA72" s="1"/>
  <c r="X77"/>
  <c r="AA77" s="1"/>
  <c r="X79"/>
  <c r="AA79" s="1"/>
  <c r="X80"/>
  <c r="AA80" s="1"/>
  <c r="X83"/>
  <c r="AA83" s="1"/>
  <c r="X84"/>
  <c r="AA84" s="1"/>
  <c r="X85"/>
  <c r="AA85" s="1"/>
  <c r="X86"/>
  <c r="AA86" s="1"/>
  <c r="X87"/>
  <c r="AA87" s="1"/>
  <c r="X88"/>
  <c r="AA88" s="1"/>
  <c r="X89"/>
  <c r="AA89" s="1"/>
  <c r="X90"/>
  <c r="AA90" s="1"/>
  <c r="X91"/>
  <c r="AA91" s="1"/>
  <c r="X92"/>
  <c r="AA92" s="1"/>
  <c r="X93"/>
  <c r="AA93" s="1"/>
  <c r="X94"/>
  <c r="AA94" s="1"/>
  <c r="X95"/>
  <c r="AA95" s="1"/>
  <c r="X96"/>
  <c r="AA96" s="1"/>
  <c r="X97"/>
  <c r="AA97" s="1"/>
  <c r="X98"/>
  <c r="AA98" s="1"/>
  <c r="X102"/>
  <c r="AA102" s="1"/>
  <c r="X103"/>
  <c r="AA103" s="1"/>
  <c r="X104"/>
  <c r="AA104" s="1"/>
  <c r="X111"/>
  <c r="AA111" s="1"/>
  <c r="X112"/>
  <c r="AA112" s="1"/>
  <c r="X113"/>
  <c r="AA113" s="1"/>
  <c r="X114"/>
  <c r="AA114" s="1"/>
  <c r="X115"/>
  <c r="AA115" s="1"/>
  <c r="X116"/>
  <c r="AA116" s="1"/>
  <c r="X117"/>
  <c r="AA117" s="1"/>
  <c r="X118"/>
  <c r="AA118" s="1"/>
  <c r="X122"/>
  <c r="AA122" s="1"/>
  <c r="X124"/>
  <c r="AA124" s="1"/>
  <c r="X125"/>
  <c r="AA125" s="1"/>
  <c r="X126"/>
  <c r="AA126" s="1"/>
  <c r="X128"/>
  <c r="AA128" s="1"/>
  <c r="X129"/>
  <c r="AA129" s="1"/>
  <c r="X130"/>
  <c r="AA130" s="1"/>
  <c r="X132"/>
  <c r="AA132" s="1"/>
  <c r="X134"/>
  <c r="AA134" s="1"/>
  <c r="X135"/>
  <c r="AA135" s="1"/>
  <c r="X138"/>
  <c r="AA138" s="1"/>
  <c r="X139"/>
  <c r="AA139" s="1"/>
  <c r="X140"/>
  <c r="AA140" s="1"/>
  <c r="X143"/>
  <c r="AA143" s="1"/>
  <c r="X144"/>
  <c r="AA144" s="1"/>
  <c r="X145"/>
  <c r="AA145" s="1"/>
  <c r="X146"/>
  <c r="AA146" s="1"/>
  <c r="X147"/>
  <c r="AA147" s="1"/>
  <c r="X151"/>
  <c r="AA151" s="1"/>
  <c r="X155"/>
  <c r="AA155" s="1"/>
  <c r="X163"/>
  <c r="AA163" s="1"/>
  <c r="X20"/>
  <c r="AA20" s="1"/>
  <c r="X21"/>
  <c r="AA21" s="1"/>
  <c r="X22"/>
  <c r="AA22" s="1"/>
  <c r="X23"/>
  <c r="AA23" s="1"/>
  <c r="X24"/>
  <c r="AA24" s="1"/>
  <c r="X25"/>
  <c r="AA25" s="1"/>
  <c r="X28"/>
  <c r="AA28" s="1"/>
  <c r="X30"/>
  <c r="AA30" s="1"/>
  <c r="X31"/>
  <c r="AA31" s="1"/>
  <c r="X32"/>
  <c r="AA32" s="1"/>
  <c r="U35"/>
  <c r="X36"/>
  <c r="AA36" s="1"/>
  <c r="X37"/>
  <c r="AA37" s="1"/>
  <c r="X38"/>
  <c r="AA38" s="1"/>
  <c r="X39"/>
  <c r="AA39" s="1"/>
  <c r="X40"/>
  <c r="AA40" s="1"/>
  <c r="X41"/>
  <c r="AA41" s="1"/>
  <c r="X42"/>
  <c r="AA42" s="1"/>
  <c r="X43"/>
  <c r="AA43" s="1"/>
  <c r="X44"/>
  <c r="AA44" s="1"/>
  <c r="X45"/>
  <c r="AA45" s="1"/>
  <c r="X47"/>
  <c r="AA47" s="1"/>
  <c r="X48"/>
  <c r="AA48" s="1"/>
  <c r="X49"/>
  <c r="AA49" s="1"/>
  <c r="X50"/>
  <c r="AA50" s="1"/>
  <c r="X51"/>
  <c r="AA51" s="1"/>
  <c r="X52"/>
  <c r="AA52" s="1"/>
  <c r="X53"/>
  <c r="AA53" s="1"/>
  <c r="X54"/>
  <c r="AA54" s="1"/>
  <c r="X56"/>
  <c r="Y56" s="1"/>
  <c r="Y35" s="1"/>
  <c r="Y34" s="1"/>
  <c r="K35"/>
  <c r="K34" s="1"/>
  <c r="S44"/>
  <c r="W44" s="1"/>
  <c r="S45"/>
  <c r="S47"/>
  <c r="W47" s="1"/>
  <c r="S48"/>
  <c r="W48" s="1"/>
  <c r="S49"/>
  <c r="W49" s="1"/>
  <c r="S50"/>
  <c r="W50" s="1"/>
  <c r="S51"/>
  <c r="W51" s="1"/>
  <c r="S52"/>
  <c r="W52" s="1"/>
  <c r="S53"/>
  <c r="W53" s="1"/>
  <c r="S54"/>
  <c r="W54" s="1"/>
  <c r="S56"/>
  <c r="W56" s="1"/>
  <c r="N72"/>
  <c r="R72" s="1"/>
  <c r="S72"/>
  <c r="W72" s="1"/>
  <c r="I72"/>
  <c r="M72" s="1"/>
  <c r="S118"/>
  <c r="W118" s="1"/>
  <c r="N118"/>
  <c r="R118" s="1"/>
  <c r="I118"/>
  <c r="M118" s="1"/>
  <c r="V45" l="1"/>
  <c r="W45" s="1"/>
  <c r="AA56"/>
  <c r="U34"/>
  <c r="X35"/>
  <c r="U120"/>
  <c r="I114"/>
  <c r="M114" s="1"/>
  <c r="I112"/>
  <c r="M112" s="1"/>
  <c r="S98"/>
  <c r="W98" s="1"/>
  <c r="N98"/>
  <c r="R98" s="1"/>
  <c r="I98"/>
  <c r="M98" s="1"/>
  <c r="N32"/>
  <c r="R32" s="1"/>
  <c r="H19"/>
  <c r="I32"/>
  <c r="M32" s="1"/>
  <c r="O31"/>
  <c r="S31" s="1"/>
  <c r="W31" s="1"/>
  <c r="K31"/>
  <c r="J31"/>
  <c r="H31"/>
  <c r="G31"/>
  <c r="K19"/>
  <c r="N25"/>
  <c r="R25" s="1"/>
  <c r="J19"/>
  <c r="I25"/>
  <c r="M25" s="1"/>
  <c r="G35"/>
  <c r="O19"/>
  <c r="S24"/>
  <c r="W24" s="1"/>
  <c r="N24"/>
  <c r="R24" s="1"/>
  <c r="I24"/>
  <c r="M24" s="1"/>
  <c r="G19"/>
  <c r="AA35" l="1"/>
  <c r="I31"/>
  <c r="M31" s="1"/>
  <c r="N19"/>
  <c r="R19" s="1"/>
  <c r="N31"/>
  <c r="R31" s="1"/>
  <c r="I19"/>
  <c r="M19" s="1"/>
  <c r="N44" l="1"/>
  <c r="R44" s="1"/>
  <c r="N45"/>
  <c r="N47"/>
  <c r="R47" s="1"/>
  <c r="N48"/>
  <c r="R48" s="1"/>
  <c r="N49"/>
  <c r="R49" s="1"/>
  <c r="N50"/>
  <c r="R50" s="1"/>
  <c r="N51"/>
  <c r="R51" s="1"/>
  <c r="N52"/>
  <c r="R52" s="1"/>
  <c r="N53"/>
  <c r="R53" s="1"/>
  <c r="N54"/>
  <c r="R54" s="1"/>
  <c r="N56"/>
  <c r="R56" s="1"/>
  <c r="I44"/>
  <c r="M44" s="1"/>
  <c r="I45"/>
  <c r="I47"/>
  <c r="M47" s="1"/>
  <c r="I48"/>
  <c r="M48" s="1"/>
  <c r="I49"/>
  <c r="M49" s="1"/>
  <c r="I50"/>
  <c r="M50" s="1"/>
  <c r="I51"/>
  <c r="M51" s="1"/>
  <c r="I52"/>
  <c r="M52" s="1"/>
  <c r="I53"/>
  <c r="M53" s="1"/>
  <c r="I54"/>
  <c r="I56"/>
  <c r="M56" s="1"/>
  <c r="L45" l="1"/>
  <c r="L35" s="1"/>
  <c r="L34" s="1"/>
  <c r="L17" s="1"/>
  <c r="P19"/>
  <c r="P27"/>
  <c r="P29"/>
  <c r="P68"/>
  <c r="P67" s="1"/>
  <c r="P121"/>
  <c r="P123"/>
  <c r="P131"/>
  <c r="P133"/>
  <c r="P150"/>
  <c r="P162"/>
  <c r="S20"/>
  <c r="W20" s="1"/>
  <c r="S21"/>
  <c r="W21" s="1"/>
  <c r="S22"/>
  <c r="W22" s="1"/>
  <c r="S23"/>
  <c r="W23" s="1"/>
  <c r="S28"/>
  <c r="W28" s="1"/>
  <c r="S30"/>
  <c r="W30" s="1"/>
  <c r="S36"/>
  <c r="W36" s="1"/>
  <c r="S37"/>
  <c r="W37" s="1"/>
  <c r="S38"/>
  <c r="W38" s="1"/>
  <c r="S39"/>
  <c r="W39" s="1"/>
  <c r="S40"/>
  <c r="W40" s="1"/>
  <c r="S41"/>
  <c r="W41" s="1"/>
  <c r="S42"/>
  <c r="W42" s="1"/>
  <c r="S43"/>
  <c r="W43" s="1"/>
  <c r="S59"/>
  <c r="W59" s="1"/>
  <c r="S60"/>
  <c r="W60" s="1"/>
  <c r="S61"/>
  <c r="W61" s="1"/>
  <c r="S62"/>
  <c r="W62" s="1"/>
  <c r="S69"/>
  <c r="W69" s="1"/>
  <c r="S77"/>
  <c r="W77" s="1"/>
  <c r="S78"/>
  <c r="W78" s="1"/>
  <c r="S79"/>
  <c r="W79" s="1"/>
  <c r="S80"/>
  <c r="W80" s="1"/>
  <c r="S83"/>
  <c r="W83" s="1"/>
  <c r="S84"/>
  <c r="W84" s="1"/>
  <c r="S85"/>
  <c r="W85" s="1"/>
  <c r="S86"/>
  <c r="W86" s="1"/>
  <c r="S87"/>
  <c r="W87" s="1"/>
  <c r="S88"/>
  <c r="W88" s="1"/>
  <c r="S89"/>
  <c r="W89" s="1"/>
  <c r="S90"/>
  <c r="W90" s="1"/>
  <c r="S91"/>
  <c r="W91" s="1"/>
  <c r="S92"/>
  <c r="W92" s="1"/>
  <c r="S93"/>
  <c r="W93" s="1"/>
  <c r="S94"/>
  <c r="W94" s="1"/>
  <c r="S95"/>
  <c r="W95" s="1"/>
  <c r="S96"/>
  <c r="W96" s="1"/>
  <c r="S97"/>
  <c r="W97" s="1"/>
  <c r="S102"/>
  <c r="W102" s="1"/>
  <c r="S103"/>
  <c r="W103" s="1"/>
  <c r="S104"/>
  <c r="W104" s="1"/>
  <c r="S111"/>
  <c r="W111" s="1"/>
  <c r="S112"/>
  <c r="W112" s="1"/>
  <c r="S113"/>
  <c r="W113" s="1"/>
  <c r="S114"/>
  <c r="W114" s="1"/>
  <c r="S115"/>
  <c r="W115" s="1"/>
  <c r="S116"/>
  <c r="W116" s="1"/>
  <c r="S117"/>
  <c r="W117" s="1"/>
  <c r="S122"/>
  <c r="W122" s="1"/>
  <c r="S124"/>
  <c r="W124" s="1"/>
  <c r="S125"/>
  <c r="W125" s="1"/>
  <c r="S126"/>
  <c r="W126" s="1"/>
  <c r="S128"/>
  <c r="W128" s="1"/>
  <c r="S129"/>
  <c r="W129" s="1"/>
  <c r="S130"/>
  <c r="W130" s="1"/>
  <c r="S132"/>
  <c r="W132" s="1"/>
  <c r="S134"/>
  <c r="W134" s="1"/>
  <c r="S135"/>
  <c r="W135" s="1"/>
  <c r="S138"/>
  <c r="W138" s="1"/>
  <c r="S139"/>
  <c r="W139" s="1"/>
  <c r="S140"/>
  <c r="W140" s="1"/>
  <c r="S143"/>
  <c r="W143" s="1"/>
  <c r="S144"/>
  <c r="W144" s="1"/>
  <c r="S145"/>
  <c r="W145" s="1"/>
  <c r="S146"/>
  <c r="W146" s="1"/>
  <c r="S147"/>
  <c r="W147" s="1"/>
  <c r="S151"/>
  <c r="W151" s="1"/>
  <c r="S155"/>
  <c r="W155" s="1"/>
  <c r="S163"/>
  <c r="W163" s="1"/>
  <c r="K162"/>
  <c r="K133"/>
  <c r="K131"/>
  <c r="K127"/>
  <c r="K123"/>
  <c r="K121"/>
  <c r="K27"/>
  <c r="K29"/>
  <c r="K68"/>
  <c r="K82"/>
  <c r="K76" s="1"/>
  <c r="N20"/>
  <c r="R20" s="1"/>
  <c r="N21"/>
  <c r="R21" s="1"/>
  <c r="N22"/>
  <c r="R22" s="1"/>
  <c r="N23"/>
  <c r="R23" s="1"/>
  <c r="N28"/>
  <c r="R28" s="1"/>
  <c r="N30"/>
  <c r="R30" s="1"/>
  <c r="N36"/>
  <c r="R36" s="1"/>
  <c r="N37"/>
  <c r="R37" s="1"/>
  <c r="N38"/>
  <c r="R38" s="1"/>
  <c r="N39"/>
  <c r="R39" s="1"/>
  <c r="N40"/>
  <c r="R40" s="1"/>
  <c r="N41"/>
  <c r="R41" s="1"/>
  <c r="N42"/>
  <c r="R42" s="1"/>
  <c r="N43"/>
  <c r="R43" s="1"/>
  <c r="N60"/>
  <c r="R60" s="1"/>
  <c r="N61"/>
  <c r="R61" s="1"/>
  <c r="N62"/>
  <c r="R62" s="1"/>
  <c r="N69"/>
  <c r="R69" s="1"/>
  <c r="N77"/>
  <c r="R77" s="1"/>
  <c r="N79"/>
  <c r="R79" s="1"/>
  <c r="N80"/>
  <c r="R80" s="1"/>
  <c r="N83"/>
  <c r="R83" s="1"/>
  <c r="N84"/>
  <c r="R84" s="1"/>
  <c r="N85"/>
  <c r="R85" s="1"/>
  <c r="N86"/>
  <c r="R86" s="1"/>
  <c r="N87"/>
  <c r="R87" s="1"/>
  <c r="N88"/>
  <c r="R88" s="1"/>
  <c r="N89"/>
  <c r="R89" s="1"/>
  <c r="N90"/>
  <c r="R90" s="1"/>
  <c r="N91"/>
  <c r="R91" s="1"/>
  <c r="N92"/>
  <c r="R92" s="1"/>
  <c r="N93"/>
  <c r="R93" s="1"/>
  <c r="N94"/>
  <c r="R94" s="1"/>
  <c r="N95"/>
  <c r="R95" s="1"/>
  <c r="N96"/>
  <c r="R96" s="1"/>
  <c r="N97"/>
  <c r="R97" s="1"/>
  <c r="N102"/>
  <c r="R102" s="1"/>
  <c r="N103"/>
  <c r="R103" s="1"/>
  <c r="N104"/>
  <c r="R104" s="1"/>
  <c r="N111"/>
  <c r="R111" s="1"/>
  <c r="N112"/>
  <c r="R112" s="1"/>
  <c r="N113"/>
  <c r="R113" s="1"/>
  <c r="N114"/>
  <c r="R114" s="1"/>
  <c r="N115"/>
  <c r="R115" s="1"/>
  <c r="N116"/>
  <c r="R116" s="1"/>
  <c r="N117"/>
  <c r="R117" s="1"/>
  <c r="N122"/>
  <c r="R122" s="1"/>
  <c r="N124"/>
  <c r="R124" s="1"/>
  <c r="N125"/>
  <c r="R125" s="1"/>
  <c r="N126"/>
  <c r="R126" s="1"/>
  <c r="N128"/>
  <c r="R128" s="1"/>
  <c r="N129"/>
  <c r="R129" s="1"/>
  <c r="N130"/>
  <c r="R130" s="1"/>
  <c r="N134"/>
  <c r="R134" s="1"/>
  <c r="N135"/>
  <c r="R135" s="1"/>
  <c r="N139"/>
  <c r="R139" s="1"/>
  <c r="N140"/>
  <c r="R140" s="1"/>
  <c r="N143"/>
  <c r="R143" s="1"/>
  <c r="N144"/>
  <c r="R144" s="1"/>
  <c r="N146"/>
  <c r="R146" s="1"/>
  <c r="N147"/>
  <c r="R147" s="1"/>
  <c r="N151"/>
  <c r="R151" s="1"/>
  <c r="N155"/>
  <c r="R155" s="1"/>
  <c r="N163"/>
  <c r="R163" s="1"/>
  <c r="H162"/>
  <c r="H142"/>
  <c r="H133"/>
  <c r="H131"/>
  <c r="H127"/>
  <c r="H123"/>
  <c r="H121"/>
  <c r="H82"/>
  <c r="H76" s="1"/>
  <c r="H68"/>
  <c r="H29"/>
  <c r="H27"/>
  <c r="I28"/>
  <c r="M28" s="1"/>
  <c r="I30"/>
  <c r="M30" s="1"/>
  <c r="I36"/>
  <c r="M36" s="1"/>
  <c r="I37"/>
  <c r="M37" s="1"/>
  <c r="I38"/>
  <c r="M38" s="1"/>
  <c r="I39"/>
  <c r="M39" s="1"/>
  <c r="I40"/>
  <c r="M40" s="1"/>
  <c r="I41"/>
  <c r="M41" s="1"/>
  <c r="I42"/>
  <c r="M42" s="1"/>
  <c r="I43"/>
  <c r="M43" s="1"/>
  <c r="I59"/>
  <c r="M59" s="1"/>
  <c r="I60"/>
  <c r="M60" s="1"/>
  <c r="I61"/>
  <c r="M61" s="1"/>
  <c r="I62"/>
  <c r="M62" s="1"/>
  <c r="I69"/>
  <c r="M69" s="1"/>
  <c r="I77"/>
  <c r="M77" s="1"/>
  <c r="I78"/>
  <c r="M78" s="1"/>
  <c r="I79"/>
  <c r="M79" s="1"/>
  <c r="I80"/>
  <c r="M80" s="1"/>
  <c r="I83"/>
  <c r="M83" s="1"/>
  <c r="I84"/>
  <c r="M84" s="1"/>
  <c r="I85"/>
  <c r="M85" s="1"/>
  <c r="I86"/>
  <c r="M86" s="1"/>
  <c r="I87"/>
  <c r="M87" s="1"/>
  <c r="I88"/>
  <c r="M88" s="1"/>
  <c r="I89"/>
  <c r="M89" s="1"/>
  <c r="I90"/>
  <c r="M90" s="1"/>
  <c r="I91"/>
  <c r="M91" s="1"/>
  <c r="I92"/>
  <c r="M92" s="1"/>
  <c r="I93"/>
  <c r="M93" s="1"/>
  <c r="I94"/>
  <c r="M94" s="1"/>
  <c r="I95"/>
  <c r="M95" s="1"/>
  <c r="I96"/>
  <c r="M96" s="1"/>
  <c r="I97"/>
  <c r="M97" s="1"/>
  <c r="I102"/>
  <c r="M102" s="1"/>
  <c r="I103"/>
  <c r="M103" s="1"/>
  <c r="I104"/>
  <c r="M104" s="1"/>
  <c r="I111"/>
  <c r="M111" s="1"/>
  <c r="I113"/>
  <c r="M113" s="1"/>
  <c r="I115"/>
  <c r="M115" s="1"/>
  <c r="I116"/>
  <c r="M116" s="1"/>
  <c r="I117"/>
  <c r="M117" s="1"/>
  <c r="I122"/>
  <c r="M122" s="1"/>
  <c r="I124"/>
  <c r="M124" s="1"/>
  <c r="I125"/>
  <c r="M125" s="1"/>
  <c r="I126"/>
  <c r="M126" s="1"/>
  <c r="I128"/>
  <c r="M128" s="1"/>
  <c r="I129"/>
  <c r="M129" s="1"/>
  <c r="I130"/>
  <c r="M130" s="1"/>
  <c r="I132"/>
  <c r="M132" s="1"/>
  <c r="I134"/>
  <c r="M134" s="1"/>
  <c r="I135"/>
  <c r="M135" s="1"/>
  <c r="I138"/>
  <c r="M138" s="1"/>
  <c r="I139"/>
  <c r="M139" s="1"/>
  <c r="I140"/>
  <c r="M140" s="1"/>
  <c r="I143"/>
  <c r="M143" s="1"/>
  <c r="I144"/>
  <c r="M144" s="1"/>
  <c r="I145"/>
  <c r="M145" s="1"/>
  <c r="I146"/>
  <c r="M146" s="1"/>
  <c r="I147"/>
  <c r="M147" s="1"/>
  <c r="I151"/>
  <c r="M151" s="1"/>
  <c r="I155"/>
  <c r="M155" s="1"/>
  <c r="I163"/>
  <c r="M163" s="1"/>
  <c r="I21"/>
  <c r="M21" s="1"/>
  <c r="I22"/>
  <c r="M22" s="1"/>
  <c r="I23"/>
  <c r="M23" s="1"/>
  <c r="I20"/>
  <c r="M20" s="1"/>
  <c r="M45" l="1"/>
  <c r="K120"/>
  <c r="P18"/>
  <c r="K18"/>
  <c r="H18"/>
  <c r="H120"/>
  <c r="N35"/>
  <c r="R35" s="1"/>
  <c r="K67"/>
  <c r="H67"/>
  <c r="P120"/>
  <c r="S35"/>
  <c r="W35" s="1"/>
  <c r="S19"/>
  <c r="W19" s="1"/>
  <c r="G127"/>
  <c r="I127" s="1"/>
  <c r="M127" s="1"/>
  <c r="K17" l="1"/>
  <c r="H17"/>
  <c r="P17"/>
  <c r="J138"/>
  <c r="N138" l="1"/>
  <c r="R138" s="1"/>
  <c r="J137"/>
  <c r="T127"/>
  <c r="X127" s="1"/>
  <c r="AA127" s="1"/>
  <c r="T78"/>
  <c r="X78" s="1"/>
  <c r="AA78" s="1"/>
  <c r="J78"/>
  <c r="N78" s="1"/>
  <c r="R78" s="1"/>
  <c r="J59"/>
  <c r="N59" s="1"/>
  <c r="R59" s="1"/>
  <c r="G110" l="1"/>
  <c r="I110" s="1"/>
  <c r="J132" l="1"/>
  <c r="N132" s="1"/>
  <c r="R132" s="1"/>
  <c r="O110" l="1"/>
  <c r="S110" s="1"/>
  <c r="W110" s="1"/>
  <c r="T110"/>
  <c r="X110" s="1"/>
  <c r="AA110" s="1"/>
  <c r="J110"/>
  <c r="N110" s="1"/>
  <c r="O142" l="1"/>
  <c r="S142" s="1"/>
  <c r="W142" s="1"/>
  <c r="T142"/>
  <c r="X142" s="1"/>
  <c r="AA142" s="1"/>
  <c r="G142"/>
  <c r="I142" s="1"/>
  <c r="M142" s="1"/>
  <c r="J68"/>
  <c r="O68"/>
  <c r="S68" s="1"/>
  <c r="W68" s="1"/>
  <c r="T68"/>
  <c r="X68" s="1"/>
  <c r="AA68" s="1"/>
  <c r="G68"/>
  <c r="G67" s="1"/>
  <c r="N68" l="1"/>
  <c r="J67"/>
  <c r="I68"/>
  <c r="J123"/>
  <c r="N123" s="1"/>
  <c r="R123" s="1"/>
  <c r="O123"/>
  <c r="S123" s="1"/>
  <c r="W123" s="1"/>
  <c r="T123"/>
  <c r="X123" s="1"/>
  <c r="AA123" s="1"/>
  <c r="G123"/>
  <c r="I123" s="1"/>
  <c r="M123" s="1"/>
  <c r="J145"/>
  <c r="N67" l="1"/>
  <c r="R67" s="1"/>
  <c r="R68"/>
  <c r="I67"/>
  <c r="M67" s="1"/>
  <c r="M68"/>
  <c r="J142"/>
  <c r="N142" s="1"/>
  <c r="R142" s="1"/>
  <c r="N145"/>
  <c r="R145" s="1"/>
  <c r="J162" l="1"/>
  <c r="N162" s="1"/>
  <c r="R162" s="1"/>
  <c r="O162"/>
  <c r="S162" s="1"/>
  <c r="W162" s="1"/>
  <c r="T162"/>
  <c r="X162" s="1"/>
  <c r="AA162" s="1"/>
  <c r="G162"/>
  <c r="I162" s="1"/>
  <c r="M162" s="1"/>
  <c r="J133" l="1"/>
  <c r="N133" s="1"/>
  <c r="R133" s="1"/>
  <c r="O133"/>
  <c r="S133" s="1"/>
  <c r="W133" s="1"/>
  <c r="T133"/>
  <c r="X133" s="1"/>
  <c r="AA133" s="1"/>
  <c r="G133"/>
  <c r="I133" s="1"/>
  <c r="M133" s="1"/>
  <c r="J101"/>
  <c r="N101" s="1"/>
  <c r="R101" s="1"/>
  <c r="O101"/>
  <c r="S101" s="1"/>
  <c r="W101" s="1"/>
  <c r="T101"/>
  <c r="X101" s="1"/>
  <c r="AA101" s="1"/>
  <c r="G101"/>
  <c r="I101" s="1"/>
  <c r="M101" s="1"/>
  <c r="G29" l="1"/>
  <c r="I29" s="1"/>
  <c r="M29" s="1"/>
  <c r="O29"/>
  <c r="S29" s="1"/>
  <c r="W29" s="1"/>
  <c r="T29"/>
  <c r="X29" s="1"/>
  <c r="AA29" s="1"/>
  <c r="J29"/>
  <c r="N29" s="1"/>
  <c r="R29" s="1"/>
  <c r="T19" l="1"/>
  <c r="X19" s="1"/>
  <c r="AA19" s="1"/>
  <c r="G82" l="1"/>
  <c r="G131"/>
  <c r="I131" s="1"/>
  <c r="M131" s="1"/>
  <c r="J127"/>
  <c r="N127" s="1"/>
  <c r="R127" s="1"/>
  <c r="I35"/>
  <c r="M35" s="1"/>
  <c r="G76" l="1"/>
  <c r="I76" s="1"/>
  <c r="M76" s="1"/>
  <c r="I82"/>
  <c r="M82" s="1"/>
  <c r="T67"/>
  <c r="X67" s="1"/>
  <c r="AA67" s="1"/>
  <c r="O67"/>
  <c r="S67" s="1"/>
  <c r="W67" s="1"/>
  <c r="O127"/>
  <c r="S127" s="1"/>
  <c r="W127" s="1"/>
  <c r="O131"/>
  <c r="S131" s="1"/>
  <c r="W131" s="1"/>
  <c r="T131"/>
  <c r="X131" s="1"/>
  <c r="AA131" s="1"/>
  <c r="J131"/>
  <c r="N131" s="1"/>
  <c r="R131" s="1"/>
  <c r="O154"/>
  <c r="S154" s="1"/>
  <c r="W154" s="1"/>
  <c r="T154"/>
  <c r="X154" s="1"/>
  <c r="AA154" s="1"/>
  <c r="O82"/>
  <c r="O58"/>
  <c r="S58" s="1"/>
  <c r="W58" s="1"/>
  <c r="T82"/>
  <c r="J82"/>
  <c r="T76" l="1"/>
  <c r="X76" s="1"/>
  <c r="AA76" s="1"/>
  <c r="X82"/>
  <c r="AA82" s="1"/>
  <c r="O76"/>
  <c r="S76" s="1"/>
  <c r="W76" s="1"/>
  <c r="S82"/>
  <c r="W82" s="1"/>
  <c r="J76"/>
  <c r="N76" s="1"/>
  <c r="R76" s="1"/>
  <c r="N82"/>
  <c r="R82" s="1"/>
  <c r="O150"/>
  <c r="S150" s="1"/>
  <c r="W150" s="1"/>
  <c r="T150"/>
  <c r="X150" s="1"/>
  <c r="AA150" s="1"/>
  <c r="O121"/>
  <c r="S121" s="1"/>
  <c r="W121" s="1"/>
  <c r="J35"/>
  <c r="G27"/>
  <c r="J27"/>
  <c r="N27" l="1"/>
  <c r="R27" s="1"/>
  <c r="J18"/>
  <c r="I27"/>
  <c r="M27" s="1"/>
  <c r="G18"/>
  <c r="O120"/>
  <c r="S120" s="1"/>
  <c r="W120" s="1"/>
  <c r="N137" l="1"/>
  <c r="R137" s="1"/>
  <c r="T137"/>
  <c r="X137" s="1"/>
  <c r="AA137" s="1"/>
  <c r="N18" l="1"/>
  <c r="R18" s="1"/>
  <c r="T27"/>
  <c r="X27" s="1"/>
  <c r="AA27" s="1"/>
  <c r="O27"/>
  <c r="S27" s="1"/>
  <c r="W27" s="1"/>
  <c r="J58"/>
  <c r="N58" l="1"/>
  <c r="R58" s="1"/>
  <c r="J34"/>
  <c r="J154"/>
  <c r="N154" s="1"/>
  <c r="R154" s="1"/>
  <c r="G154"/>
  <c r="I154" s="1"/>
  <c r="M154" s="1"/>
  <c r="T18" l="1"/>
  <c r="X18" s="1"/>
  <c r="AA18" s="1"/>
  <c r="O35"/>
  <c r="O34" l="1"/>
  <c r="S34" s="1"/>
  <c r="W34" s="1"/>
  <c r="O137"/>
  <c r="S137" s="1"/>
  <c r="W137" s="1"/>
  <c r="O18" l="1"/>
  <c r="S18" s="1"/>
  <c r="W18" s="1"/>
  <c r="O17" l="1"/>
  <c r="T35"/>
  <c r="T58"/>
  <c r="X58" s="1"/>
  <c r="AA58" s="1"/>
  <c r="G58"/>
  <c r="I58" l="1"/>
  <c r="M58" s="1"/>
  <c r="G34"/>
  <c r="I34" s="1"/>
  <c r="M34" s="1"/>
  <c r="I18" l="1"/>
  <c r="M18" s="1"/>
  <c r="J121" l="1"/>
  <c r="T121"/>
  <c r="G121"/>
  <c r="I121" s="1"/>
  <c r="M121" s="1"/>
  <c r="J150"/>
  <c r="N150" s="1"/>
  <c r="R150" s="1"/>
  <c r="G150"/>
  <c r="I150" s="1"/>
  <c r="M150" s="1"/>
  <c r="T120" l="1"/>
  <c r="X120" s="1"/>
  <c r="AA120" s="1"/>
  <c r="X121"/>
  <c r="AA121" s="1"/>
  <c r="J120"/>
  <c r="N120" s="1"/>
  <c r="R120" s="1"/>
  <c r="N121"/>
  <c r="R121" s="1"/>
  <c r="I137"/>
  <c r="M137" s="1"/>
  <c r="G120"/>
  <c r="I120" s="1"/>
  <c r="M120" s="1"/>
  <c r="N34"/>
  <c r="R34" s="1"/>
  <c r="T34"/>
  <c r="X34" s="1"/>
  <c r="AA34" s="1"/>
  <c r="G17" l="1"/>
  <c r="I17" s="1"/>
  <c r="J17"/>
  <c r="N17" s="1"/>
</calcChain>
</file>

<file path=xl/sharedStrings.xml><?xml version="1.0" encoding="utf-8"?>
<sst xmlns="http://schemas.openxmlformats.org/spreadsheetml/2006/main" count="777" uniqueCount="337">
  <si>
    <t>Прогнозная мощность                                                              (прогнозный прирост мощности)</t>
  </si>
  <si>
    <t>Наименование заказчика по объектам государственной (муниципальной) собственности</t>
  </si>
  <si>
    <t>Наименование главного распорядителя бюджетных средств</t>
  </si>
  <si>
    <t xml:space="preserve">Наименование объекта                                                                    </t>
  </si>
  <si>
    <t>Форма расходования бюджетных средств, направление                  инвестирования</t>
  </si>
  <si>
    <t xml:space="preserve">бюджетные инвестиции в объекты государственной собственности Архангельской области, строительство </t>
  </si>
  <si>
    <t>министерство транспорта Архангельской области</t>
  </si>
  <si>
    <t xml:space="preserve">министерство строительства и архитектуры Архангельской области </t>
  </si>
  <si>
    <t xml:space="preserve">ВСЕГО по областной адресной инвестиционной программе, в том числе:                                                                                                                                                                                </t>
  </si>
  <si>
    <t xml:space="preserve"> ГКУ Архангельской области "ГУКС"</t>
  </si>
  <si>
    <t>министерство топливно-энергетического комплекса и жилищно-коммунального хозяйства Архангельской области</t>
  </si>
  <si>
    <t>Прогнозный срок                                                            (начало / окончание)</t>
  </si>
  <si>
    <t xml:space="preserve">бюджетные инвестиции в объекты государственной собственности Архангельской области, проектирование и строительство </t>
  </si>
  <si>
    <t>ГКУ Архангельской области "ГУКС"</t>
  </si>
  <si>
    <t>2017 / 2019</t>
  </si>
  <si>
    <t>120 мест</t>
  </si>
  <si>
    <t>министерство строительства и архитектуры Архангельской области</t>
  </si>
  <si>
    <t>1. Муниципальные дошкольные образовательные организации муниципальных образований Архангельской области, в том числе:</t>
  </si>
  <si>
    <t>субсидии на софинансирование капитальных вложений в объекты муниципальной собственности, строительство</t>
  </si>
  <si>
    <t>2. Общеобразовательные организации и профессиональные образовательные организации в Архангельской области, в том числе:</t>
  </si>
  <si>
    <t>240 мест</t>
  </si>
  <si>
    <t>-</t>
  </si>
  <si>
    <t>2018 / 2019</t>
  </si>
  <si>
    <t>853,63 м</t>
  </si>
  <si>
    <t>1. Развитие сети учреждений культурно-досугового типа в сельской местности</t>
  </si>
  <si>
    <t>государственное казенное учреждение Архангельской области "Главное управление капитального строительства"                                                                                                (далее – ГКУ Архангельской области "ГУКС")</t>
  </si>
  <si>
    <t>администрация муниципального образования "Город Архангельск"</t>
  </si>
  <si>
    <t>администрация муниципального образования "Вельский муниципальный район"</t>
  </si>
  <si>
    <t>администрация муниципального образования "Вилегодский муниципальный район"</t>
  </si>
  <si>
    <t>администрация муниципального образования "Котлас"</t>
  </si>
  <si>
    <t>субсидии на софинансирование капитальных вложений в объекты муниципальной собственности, проектирование и строительство</t>
  </si>
  <si>
    <t>администрация муниципального образования "Северодвинск"</t>
  </si>
  <si>
    <t>Общий объем капитальных вложений за счет всех источников,              тыс. рублей</t>
  </si>
  <si>
    <t>62 жилых дома                                                                                                                      (166 663,6 кв. м)</t>
  </si>
  <si>
    <t>2018 / 2021</t>
  </si>
  <si>
    <t>2016 / 2019</t>
  </si>
  <si>
    <t xml:space="preserve">бюджетные инвестиции в объекты государственной собственности Архангельской области, реконструкция </t>
  </si>
  <si>
    <t>2018 / 2020</t>
  </si>
  <si>
    <t>2. Развитие газификации в сельской местности</t>
  </si>
  <si>
    <t>1863 квартиры</t>
  </si>
  <si>
    <t>протяженность сетей газоснабжения –                                                                   11 км</t>
  </si>
  <si>
    <t>2,6 км</t>
  </si>
  <si>
    <t xml:space="preserve">государственное казенное учреждение Архангельской области "Дорожное агентство "Архангельскавтодор" </t>
  </si>
  <si>
    <t>субсидии на софинансирование капитальных вложений в объекты муниципальной собственности, приобретение</t>
  </si>
  <si>
    <t>2017 / 2020</t>
  </si>
  <si>
    <t>агентство по развитию Соловецкого архипелага Архангельской области</t>
  </si>
  <si>
    <t>280 мест</t>
  </si>
  <si>
    <t>администрация муниципального образования                                                       "Город Архангельск"</t>
  </si>
  <si>
    <t>администрация муниципального образования "Приморский муниципальный район"</t>
  </si>
  <si>
    <t>2015 / 2020</t>
  </si>
  <si>
    <t>1) строительство центра культурного развития на 120 мест в с. Ильинско-Подомское Вилегодского района Архангельской области*</t>
  </si>
  <si>
    <t>администрация муниципального образования                                              "Мирный"</t>
  </si>
  <si>
    <t>15 коек</t>
  </si>
  <si>
    <t>2014 / 2021</t>
  </si>
  <si>
    <t>2014 / 2019</t>
  </si>
  <si>
    <t>1. Строительство больницы на 15 коек с поликлиникой на 100 посещений, Обозерский филиал ГБУЗ АО "Плесецкая ЦРБ"</t>
  </si>
  <si>
    <t>протяженность дороги – 21,725 км (2019 год – 6,3 км, 2021 год – 15,425 км)</t>
  </si>
  <si>
    <t>администрация муниципального образования                                                        "Сельское поселение "Соловецкое"</t>
  </si>
  <si>
    <t>1. Футбольное поле и беговые дорожки на стадионе "Салют", расположенном по адресу: г. Котлас, пр. Мира, 45*</t>
  </si>
  <si>
    <t>250 мест</t>
  </si>
  <si>
    <t>860 мест</t>
  </si>
  <si>
    <t>администрация муниципального образования "Шенкурский муниципальный район"</t>
  </si>
  <si>
    <t>2. Строительство больницы в пос. Березник Виноградовского района Архангельской области</t>
  </si>
  <si>
    <t>45 коек</t>
  </si>
  <si>
    <t xml:space="preserve">20 посещений в смену </t>
  </si>
  <si>
    <t xml:space="preserve">бюджетные инвестиции в объекты государственной собственности Архангельской области, приобретение </t>
  </si>
  <si>
    <t>68 675,0 кв. м</t>
  </si>
  <si>
    <t>90 мест</t>
  </si>
  <si>
    <t>1,622 км</t>
  </si>
  <si>
    <t>администрации муниципальных образований Архангельской области</t>
  </si>
  <si>
    <t>администрация муниципального образования "Пинежский муниципальный район"</t>
  </si>
  <si>
    <t>администрация муниципального образования "Мирный"</t>
  </si>
  <si>
    <t xml:space="preserve">300 квартир                                                     </t>
  </si>
  <si>
    <t>2016 / 2021</t>
  </si>
  <si>
    <t>220 мест</t>
  </si>
  <si>
    <t>1. Укрепление правого берега реки Северная Двина в Соломбальском территориальном округе г. Архангельска на участке от улицы Маяковского до улицы Кедрова (I этап, 1 подэтап)</t>
  </si>
  <si>
    <t>2. Укрепление правого берега реки Северная Двина в Соломбальском территориальном округе г. Архангельска на участке                                                                                         от ул. Маяковского до ул. Кедрова (I этап, 2 подэтап и II этап)</t>
  </si>
  <si>
    <t>2019 / 2020</t>
  </si>
  <si>
    <t>1) строительство 300-квартирного дома по пр. Московскому                                                                                                                                                           в г. Архангельске</t>
  </si>
  <si>
    <t>иные межбюджетные трансферты на софинансирование капитальных вложений в объекты муниципальной собственности, строительство</t>
  </si>
  <si>
    <t>125 мест</t>
  </si>
  <si>
    <t>Общий (предельный) объем бюджетных ассигнований областного бюджета на 2020 год,                тыс. рублей</t>
  </si>
  <si>
    <t>Общий (предельный) объем бюджетных ассигнований областного бюджета на 2021 год,                                                         тыс. рублей</t>
  </si>
  <si>
    <t>4. Развитие сети плоскостных спортивных сооружений в сельской местности</t>
  </si>
  <si>
    <t>1)  фельдшерско-акушерский пункт в дер. Шиловская Вельского района Архангельской области</t>
  </si>
  <si>
    <t>2) фельдшерско-акушерский пункт в пос. Квазеньга Устьянского района Архангельской области</t>
  </si>
  <si>
    <t>3) фельдшерско-акушерский пункт в пос. Лайский Док Приморского района Архангельской области</t>
  </si>
  <si>
    <t>4) фельдшерско-акушерский пункт в дер. Никифоровская Шенкурского района Архангельской области</t>
  </si>
  <si>
    <t>5) фельдшерско-акушерский пункт в пос. Гринево Коношского района Архангельской области</t>
  </si>
  <si>
    <t>6) фельдшерско-акушерский пункт в дер. Нагорская Устьянского района Архангельской области</t>
  </si>
  <si>
    <t>7) фельдшерско-акушерский пункт в пос. Советский Устьянского района Архангельской области</t>
  </si>
  <si>
    <t>8) фельдшерско-акушерский пункт в дер. Гридино Няндомского района Архангельской области</t>
  </si>
  <si>
    <t>9) фельдшерско-акушерский пункт на ж/д ст. Бурачиха Няндомского района Архангельской области</t>
  </si>
  <si>
    <t>10) фельдшерско-акушерский пункт в дер. Уна Приморского района Архангельской области</t>
  </si>
  <si>
    <t>11) фельдшерско-акушерский пункт в дер. Верхняя Золотица Приморского района Архангельской области</t>
  </si>
  <si>
    <t>12) фельдшерско-акушерский пункт в дер. Усачевская Каргопольского района Архангельской области</t>
  </si>
  <si>
    <t>13) фельдшерско-акушерский пункт в с. Павловск Вилегодского района Архангельской области</t>
  </si>
  <si>
    <t>14) фельдшерско-акушерский пункт в дер. Летняя Золотица Приморского района Архангельской области</t>
  </si>
  <si>
    <t>15) фельдшерско-акушерский пункт в пос. Летнеозерский Плесецкого района Архангельской области</t>
  </si>
  <si>
    <t>2019 / 2019</t>
  </si>
  <si>
    <t>2020 / 2020</t>
  </si>
  <si>
    <t>6) детский сад на 220 мест в с. Карпогоры Пинежского района*</t>
  </si>
  <si>
    <t>7) детский сад на 220 мест в округе Варавино-Фактория города Архангельска*</t>
  </si>
  <si>
    <t>1. Обеспечение устойчивого сокращения непригодного для проживания жилищного фонда</t>
  </si>
  <si>
    <t>1) средняя общеобразовательная школа с эстетическим уклоном на 240 мест в пос. Ерцево Коношского района</t>
  </si>
  <si>
    <t>4) строительство школы на 90 учащихся в с. Долгощелье Мезенского района Архангельской области*</t>
  </si>
  <si>
    <t>2015 / 2019</t>
  </si>
  <si>
    <t>8) детский сад на 120 мест в п. Каменка МО "Мезенский муниципальный район"*</t>
  </si>
  <si>
    <t>1) детский сад на 120 мест в пос. Катунино Приморского района                                                                                                       Архангельской области*</t>
  </si>
  <si>
    <t>3. Развитие сети фельдшерско-акушерских пунктов и/или офисов врача общей практики в сельской местности</t>
  </si>
  <si>
    <t>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"Развитие образования и науки Архангельской области (2013 – 2025 годы)"</t>
  </si>
  <si>
    <t>2019 / -</t>
  </si>
  <si>
    <t>3. Реконструкция аэропортового комплекса "Соловки", о. Соловецкий, Архангельская область</t>
  </si>
  <si>
    <t>Общий (предельный) объем бюджетных ассигнований областного бюджета на                                                           2019 год,                                                 тыс. рублей</t>
  </si>
  <si>
    <t>5. Развитие сети автомобильных дорог, ведущих к общественно значимым объектам сельских населенных пунктов, объектам производства и переработки сельскохозяйственной продукции</t>
  </si>
  <si>
    <t xml:space="preserve">бюджетные инвестиции в объекты государственной собственности Архангельской области, проектирование и реконструкция </t>
  </si>
  <si>
    <t>протяженность дороги – 11,811 км (2019 год – 4,566 км, 2020 год – 7,245 км)</t>
  </si>
  <si>
    <t>1. Здание специального учреждения УФМС в г. Архангельске</t>
  </si>
  <si>
    <t>30 человек</t>
  </si>
  <si>
    <t>производительность КОС до 1000 куб. м / сутки, 10 КНС, 11,04 км сетей водоотведения</t>
  </si>
  <si>
    <t xml:space="preserve">бюджетные инвестиции в объекты государственной собственности Архангельской области,                                       приобретение </t>
  </si>
  <si>
    <t xml:space="preserve">бюджетные инвестиции в объекты государственной собственности Архангельской области,                                                                                                    приобретение </t>
  </si>
  <si>
    <t>3. Лечебно-диагностический корпус ГБУЗ Архангельской области "Архангельская областная детская клиническая больница 
им. П.Г. Выжлецова"</t>
  </si>
  <si>
    <t>1) газопровод высокого, среднего и низкого давления в МО "Аргуновское" Вельского района Архангельской области (2 очередь)</t>
  </si>
  <si>
    <t>2013 / 2020</t>
  </si>
  <si>
    <t>2) обеспечение объектами инженерной инфраструктуры                                                                                                                                                        300-квартирного дома по пр. Московскому в г. Архангельске</t>
  </si>
  <si>
    <t>180 коек</t>
  </si>
  <si>
    <t>2011 / -</t>
  </si>
  <si>
    <t>2) газопровод высокого, среднего и низкого давления в МО "Аргуновское" Вельского района Архангельской области (3 очередь)</t>
  </si>
  <si>
    <t>1. Создание комплекса обеспечивающей инфраструктуры туристско-рекреационных кластеров на территории Архангельской области, в том числе:</t>
  </si>
  <si>
    <t>4. Привязка проекта и строительство здания корпуса Мезенской центральной районной больницы</t>
  </si>
  <si>
    <t>5. Приобретение фельдшерско-акушерских пунктов в отдаленных населенных пунктах Архангельской области, в том числе:</t>
  </si>
  <si>
    <t>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"Обеспечение качественным, доступным жильем и объектами инженерной инфраструктуры населения Архангельской области                                                                                   (2014 – 2024 годы)"</t>
  </si>
  <si>
    <t>3. Физкультурно-оздоровительный комплекс в Архангельске (Строительство физкультурно-оздоровительного комплекса в территориальном округе Варавино-Фактория муниципального образования "Город Архангельск")*</t>
  </si>
  <si>
    <t>2. Строительство тренажера для спортивного скалолазания                                                                                  (скалодрома) в г. Северодвинске*</t>
  </si>
  <si>
    <t>10 коек</t>
  </si>
  <si>
    <t>12 квартир</t>
  </si>
  <si>
    <t>2020 / 2021</t>
  </si>
  <si>
    <t>5. Строительство многоквартирного жилищного фонда для расселения из ветхого и аварийного жилищного фонда поселка Соловецкий, включая расселение из монастырских памятников истории и культуры, проведение оценки воздействия на объект всемирного наследия ЮНЕСКО</t>
  </si>
  <si>
    <t>2021 / 2021</t>
  </si>
  <si>
    <t>3) фельдшерско-акушерский пункт в с. Долгощелье Мезенского района Архангельской области</t>
  </si>
  <si>
    <t>2019 / 2021</t>
  </si>
  <si>
    <t>1) строительство школы на 860 мест в г. Котласе*</t>
  </si>
  <si>
    <t>агентство по спорту Архангельской области</t>
  </si>
  <si>
    <t>3) реконструкция зданий жилищного фонда (устройство вентилируемых фасадов многоквартирных домов) в г. Мирный Архангельской области</t>
  </si>
  <si>
    <t>4) реконструкция городских автомобильных дорог                                                (ул. Неделина, ул. Гагарина, ул. Ломоносова, ул. Овчинникова, ул. Мира, ул. Степанченко) в г. Мирный Архангельской области</t>
  </si>
  <si>
    <t>2) фельдшерско-акушерский пункт в пос. Зеленый Бор Вельского района Архангельской области</t>
  </si>
  <si>
    <t>4. Физкультурно-оздоровительный комплекс с универсальным игровым залом  42 х 24 м по адресу: Архангельская обл., г. Северодвинск,                                              о. Ягры, пр. Машиностроителей*</t>
  </si>
  <si>
    <t>VI.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"Развитие инфраструктуры Соловецкого архипелага (2014 – 2021 годы)"</t>
  </si>
  <si>
    <t>III.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"Культура Русского Севера (2013 – 2024 годы)"</t>
  </si>
  <si>
    <t>IV. Государственная программа Архангельской области                                                                                                                                                                        "Развитие здравоохранения Архангельской области (2013 – 2024 годы)"</t>
  </si>
  <si>
    <t>V.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"Развитие транспортной системы Архангельской области (2014 – 2024 годы)"</t>
  </si>
  <si>
    <t>VII.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"Устойчивое развитие сельских территорий Архангельской области (2014 – 2021 годы)"</t>
  </si>
  <si>
    <t>VIII.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"Охрана окружающей среды, воспроизводство и использование природных ресурсов Архангельской области (2014 – 2024 годы)"</t>
  </si>
  <si>
    <t>IX.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"Патриотическое воспитание, развитие физической культуры, спорта, туризма и повышение эффективности реализации молодежной политики в Архангельской области (2014 – 2024 годы)"</t>
  </si>
  <si>
    <t>X. Государственная программа Архангельской области                                                                                                                                                                        "Развитие энергетики и жилищно-коммунального хозяйства Архангельской области (2014 – 2024 годы)"</t>
  </si>
  <si>
    <t>4. Строительство здания участковой больницы на 40 посещений и стационаром на 10 коек в поселке Соловецкий, корректировка проектно-сметной документации, экспертиза проекта, проведение оценки воздействия на объект всемирного наследия ЮНЕСКО</t>
  </si>
  <si>
    <t>2. Комплексное освоение территории VI – VII микрорайонов с целью развития жилищного строительства в г. Архангельске</t>
  </si>
  <si>
    <t>1) детский сад на 280 мест в 7 микрорайоне территориального округа Майская горка города Архангельска*</t>
  </si>
  <si>
    <t>3. Комплексное освоение территории 7 и 10 кварталов Южного района с целью развития жилищного строительства в г. Котласе</t>
  </si>
  <si>
    <t>2) детский сад на 125 мест в Соломбальском территориальном округе                                                                                            города Архангельска*</t>
  </si>
  <si>
    <t>3) детский сад на 280 мест в 6 микрорайоне территориального округа Майская горка города Архангельска*</t>
  </si>
  <si>
    <t>5) детский сад на 280 мест в квартале 162 г. Северодвинска*</t>
  </si>
  <si>
    <t xml:space="preserve">1) реконструкция мостового перехода через реку Вага на участке км 2 + 067 автомобильной дороги Вельск – Шангалы                                                        </t>
  </si>
  <si>
    <t>протяженность дороги – 560 м,                                    в том числе мост – 172,77 м</t>
  </si>
  <si>
    <t xml:space="preserve">1. Реконструкция автомобильной дороги Усть-Ваеньга – Осиново – Фалюки (до дер. Задориха) на участке км 43 + 500 – км 63 + 000 </t>
  </si>
  <si>
    <t>2. Строительство  мостового перехода через реку Сельменьга на автомобильной дороге Усть-Ваеньга – Осиново – Фалюки (до дер. Задориха) в Виноградовском районе Архангельской области</t>
  </si>
  <si>
    <t>протяженность дороги – 642,18 м, в том числе мост – 81,3 м</t>
  </si>
  <si>
    <t>3. Реконструкция проспекта Ленинградского от улицы Первомайской                                                                                                                               до улицы Смольный Буян в городе Архангельске</t>
  </si>
  <si>
    <t>протяженность сетей водоснабжения –                                                                       14,4 км</t>
  </si>
  <si>
    <t>3) строительство школы на 860 мест в территориальном округе Варавино-Фактория г. Архангельска*</t>
  </si>
  <si>
    <t>протяженность сетей газопровода – 7,5 км</t>
  </si>
  <si>
    <t>3) газораспределительная сеть дер. Куимиха Котласского района Архангельской области (газификация ул. Рябиновая, ул. Полевая, ул. Сиреневая, ул. Строительная)</t>
  </si>
  <si>
    <t>администрация муниципального образования "Котласский муниципальный район"</t>
  </si>
  <si>
    <t>1) фельдшерско-акушерский пункт в деревне Погост муниципального образования "Емецкое" Холмогорского района Архангельской области</t>
  </si>
  <si>
    <t>администрация муниципального образования "Няндомский муниципальный район"</t>
  </si>
  <si>
    <t xml:space="preserve">1) разработка проектной документации на реконструкцию автомобильной дороги Усть-Ваеньга – Осиново – Фалюки на участке км 85 – км 97 в Виноградовском районе Архангельской области </t>
  </si>
  <si>
    <t>45 человек в смену</t>
  </si>
  <si>
    <t>18 человек в смену</t>
  </si>
  <si>
    <t>67 человек в смену</t>
  </si>
  <si>
    <t>483,9 кв. м</t>
  </si>
  <si>
    <t>5. Приобретение административного здания, расположенного по адресу: Архангельская область, г. Няндома, ул. Труда, д. 5, стр. 8</t>
  </si>
  <si>
    <t>1. Перевод жилищного фонда города Мирный Архангельской области на природный газ (перевод на природный газ жилых домов по ул. Ленина, 21, 23, 25, 26, 27, 28, 29, 30, 37, 41; ул. Пушкина, 5, 7, 9, 11, 15, 4, 6; ул. Овчинникова, 3, 4, 5, 6, 7, 8, 10, 15, 19, 22, 26; ул. Мира, 4, 6, 8, 10, 12, 16; ул. Неделина, 4, 6, 8, 16, 14, 22, 24, 26, 30; ул. Гагарина, 1, 3, 5, 7, 9, 11, 12, 13, 14, 14а, 16;          ул. Чайковского, 2, 4, 5, 6, 8, 10, 12, 14; ул. Ломоносова, 9, 9а, 11, 13)</t>
  </si>
  <si>
    <t>расселение                                                               370,85 тыс. кв. м аварийного жилищного фонда</t>
  </si>
  <si>
    <t xml:space="preserve">             ___________________________</t>
  </si>
  <si>
    <t>1. Предоставление доступного и комфортного жилья 60 процентам семей, проживающих в Архангельской области и желающих улучшить свои жилищные условия, включая граждан – членов жилищно-строительных кооперативов, и ветеранам Великой Отечественной войны (строительство и приобретение жилья,  в том числе для использования в качестве маневренного жилищного фонда, и объектов инженерной инфраструктуры), в том числе:</t>
  </si>
  <si>
    <r>
      <t>объем нагрузки                                           на сети – 7,37 м</t>
    </r>
    <r>
      <rPr>
        <vertAlign val="superscript"/>
        <sz val="11"/>
        <color indexed="8"/>
        <rFont val="Times New Roman"/>
        <family val="1"/>
        <charset val="204"/>
      </rPr>
      <t>3</t>
    </r>
    <r>
      <rPr>
        <sz val="11"/>
        <color indexed="8"/>
        <rFont val="Times New Roman"/>
        <family val="1"/>
        <charset val="204"/>
      </rPr>
      <t>/час</t>
    </r>
  </si>
  <si>
    <t>протяженность сетей газопровода – 2,1 км</t>
  </si>
  <si>
    <t>размеры площадки – 44 × 26 м</t>
  </si>
  <si>
    <t>2) строительство  автомобильной дороги к селу Ненокса от автодороги "Северодвинск – Онега"*</t>
  </si>
  <si>
    <t>64 человека в смену</t>
  </si>
  <si>
    <t>1. Строительство и реконструкция системы водоснабжения поселка Соловецкий, корректировка проектно-сметной документации, экспертиза проекта*</t>
  </si>
  <si>
    <t>2. Строительство канализационных сетей и коллекторов, канализационных очистных сооружений поселка Соловецкий, корректировка проектно-сметной документации, экспертиза проекта*</t>
  </si>
  <si>
    <t>Предлагаемые изменений</t>
  </si>
  <si>
    <t>1. Строительство и реконструкция системы водоснабжения поселка Соловецкий, корректировка проектно-сметной документации, экспертиза проекта</t>
  </si>
  <si>
    <t>2. Строительство канализационных сетей и коллекторов, канализационных очистных сооружений поселка Соловецкий, корректировка проектно-сметной документации, экспертиза проекта</t>
  </si>
  <si>
    <r>
      <t>535 м</t>
    </r>
    <r>
      <rPr>
        <vertAlign val="superscript"/>
        <sz val="11"/>
        <color indexed="8"/>
        <rFont val="Times New Roman"/>
        <family val="1"/>
        <charset val="204"/>
      </rPr>
      <t>3</t>
    </r>
    <r>
      <rPr>
        <sz val="11"/>
        <color indexed="8"/>
        <rFont val="Times New Roman"/>
        <family val="1"/>
        <charset val="204"/>
      </rPr>
      <t xml:space="preserve"> / сутки</t>
    </r>
  </si>
  <si>
    <t>5) реконструкция водопроводных очистных сооружений в пос. Сия Пинежского района</t>
  </si>
  <si>
    <t>2009 / 2019</t>
  </si>
  <si>
    <t>251,8 кв. м</t>
  </si>
  <si>
    <t>бюджетные инвестиции в объекты государственной собственности Архангельской области,  приобретение</t>
  </si>
  <si>
    <t>4. Обеспечение земельных участков, предоставляемых многодетным семьям и жилищно-строительным кооперативам, созданным многодетными семьями, для индивидуального жилищного строительства и ведения личного подсобного хозяйства, объектами инженерной инфраструктуры</t>
  </si>
  <si>
    <t>64 земельных                 участка</t>
  </si>
  <si>
    <t>администрация муниципального образования                                                       "Город Новодвинск"</t>
  </si>
  <si>
    <t>1) строительство инженерной инфраструктуры (водоснабжение)                                                              к земельным участкам для строительства индивидуальных жилых домов многодетным семьям в районе ул. Южная, д. 19, г. Новодвинск. Строительство водопровода*</t>
  </si>
  <si>
    <t>субсидии на софинансирование капитальных вложений в объекты муниципальной собственности / иные межбюджетные трансферты на софинансирование капитальных вложений в объекты муниципальной собственности, строительство</t>
  </si>
  <si>
    <t>6. Проектирование и строительство здания офиса врача общей практики на территории 29-го лесозавода города Архангельска</t>
  </si>
  <si>
    <t>2018 / -</t>
  </si>
  <si>
    <t>1 проект</t>
  </si>
  <si>
    <t>4 306,5 кв. м</t>
  </si>
  <si>
    <t>2017 / -</t>
  </si>
  <si>
    <t>60 мест</t>
  </si>
  <si>
    <t>администрация муниципального образования "Онежский муниципальный район"</t>
  </si>
  <si>
    <t>9) детский сад на 280 мест в округе Варавино-Фактория города Архангельска*</t>
  </si>
  <si>
    <t>10) детский сад на 280 мест в Октябрьском округе города Архангельска*</t>
  </si>
  <si>
    <t>11) детский сад на 220 мест в микрорайоне Южный г. Котласа*</t>
  </si>
  <si>
    <t>12) детский сад на 220 мест в г. Вельске*</t>
  </si>
  <si>
    <t>13) детский сад на 220 мест в г. Мезени*</t>
  </si>
  <si>
    <t>14) детский сад на 60 мест в г. Няндома*</t>
  </si>
  <si>
    <t>15) детский сад на 60 мест в пос. Боброво Приморского района*</t>
  </si>
  <si>
    <t>17) детский сад на 60 мест в пос. Курцево Котласского района*</t>
  </si>
  <si>
    <t>18) детский сад на 280 мест в Соломбальском округе города Архангельска*</t>
  </si>
  <si>
    <t>19) детский сад на 280 мест в Ломоносовском округе города Архангельска*</t>
  </si>
  <si>
    <t>2019/2020</t>
  </si>
  <si>
    <t>2019/2019</t>
  </si>
  <si>
    <t>2021/2021</t>
  </si>
  <si>
    <t>2015 / -</t>
  </si>
  <si>
    <t>администрация муниципального образования "Виноградовский муниципальный район"</t>
  </si>
  <si>
    <t>субсидии на софинансирование капитальных вложений в объекты муниципальной собственности, реконструкция</t>
  </si>
  <si>
    <t>9 чел.</t>
  </si>
  <si>
    <t>3. Реконструкция здания ГАОУ ДПО "Архангельский областной институт открытого образования"</t>
  </si>
  <si>
    <t>бюджетные инвестиции в объекты государственной собственности Архангельской области, подготовка обоснования инвестиций и проведение его технологического и ценового аудита</t>
  </si>
  <si>
    <t>4) детский сад на 280 мест в г. Котласе Архангельской области по пр. Мира, д. 24а*</t>
  </si>
  <si>
    <t>2. Реализация проекта "Остров Ломоносова"</t>
  </si>
  <si>
    <t xml:space="preserve">1) многофункциональный культурно-образовательный центр в селе Ломоносово
</t>
  </si>
  <si>
    <t>1604,2 кв.м</t>
  </si>
  <si>
    <t>Субсидии на осуществление капитальных вложений в объекты капитального строительства государственной собственности государственным унитарным предприятиям</t>
  </si>
  <si>
    <t>государственное унитарное предприятие Архангельской области «Фонд имущества и инвестиций»</t>
  </si>
  <si>
    <t>субсидии на софинансирование капитальных вложений в объекты муниципальной собственности,  строительство</t>
  </si>
  <si>
    <t>5. Реконструкция моста через Никольское устье Северной Двины в г. Северодвинске</t>
  </si>
  <si>
    <t xml:space="preserve">4. Приобретение земельного участка и здания столовой № 10 в пос. Кизема Устьянского района для нужд государственного бюджетного общеобразовательного учреждения Архангельской области "Киземская специальная (коррекционная) общеобразовательная школа-интернат" </t>
  </si>
  <si>
    <t>субсидии на осуществление  капитальных вложений 
в объекты
капитального строительства государственной собственности  Архангельской
области,                 приобретение</t>
  </si>
  <si>
    <t>государственное бюджетное общеобразовательное учреждение Архангельской области "Киземская специальная (коррекционная) общеобразовательная школа-интернат"</t>
  </si>
  <si>
    <t>протяженность дороги – 2,916 км, в том числе мост – 185,8 м</t>
  </si>
  <si>
    <t>субсидии на софинансирование капитальных вложений в объекты муниципальной собственности, проектирование и реконструкция</t>
  </si>
  <si>
    <t>2019/2021</t>
  </si>
  <si>
    <t>субсидии на софинансирование капитальных вложений в объекты муниципальной собственности</t>
  </si>
  <si>
    <t>XII. Адресная программа Архангельской области "Переселение граждан из аварийного жилищного фонда" на 2013 – 2018 годы</t>
  </si>
  <si>
    <t>XIII.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"Обеспечение общественного порядка, профилактика преступности, коррупции, терроризма, экстремизма и незаконного потребления наркотических средств и психотропных веществ  в Архангельской области (2014 – 2021 годы)"</t>
  </si>
  <si>
    <t>7. Строительство комплекса по переработке и размещению отходов производства и потребления в поселке Соловецкий, корректировка проектно-сметной документации, экспертиза проекта*</t>
  </si>
  <si>
    <t>2015/2021</t>
  </si>
  <si>
    <t>XIV. Государственная программа Архангельской области "Социальная поддержка граждан в Архангельской области (2013 – 2024 годы)"</t>
  </si>
  <si>
    <t>1. Приобретение здания для ГБУ АО "Центр социальной адаптации для лиц без определенного места жительства и занятий"</t>
  </si>
  <si>
    <t>571,4 кв. м</t>
  </si>
  <si>
    <t>субсидии на осуществление капитальных вложений в приобретение объектов недвижимого имущества в государственную собственность</t>
  </si>
  <si>
    <t>министерство труда, занятости и социального развития Архангельской области</t>
  </si>
  <si>
    <t xml:space="preserve"> ГБУ АО "Центр социальной адаптации для лиц без определенного места жительства и занятий"</t>
  </si>
  <si>
    <r>
      <t>46,66 тыс. м</t>
    </r>
    <r>
      <rPr>
        <vertAlign val="superscript"/>
        <sz val="11"/>
        <rFont val="Times New Roman"/>
        <family val="1"/>
        <charset val="204"/>
      </rPr>
      <t>3</t>
    </r>
  </si>
  <si>
    <t xml:space="preserve">136 кв. м жилых площадей
</t>
  </si>
  <si>
    <t>министерство здравоохранения Архангельской области</t>
  </si>
  <si>
    <t>администрация муниципального образования "Лешуконский муниципальный район"</t>
  </si>
  <si>
    <t>7. Приобретение служебного жилья для медицинских работников ГБУЗ Архангельской области «Лешуконская центральная районная больница» в с. Лешуконское Лешуконского района</t>
  </si>
  <si>
    <t>министерство имущественных отношений
 Архангельской области</t>
  </si>
  <si>
    <t>2. Корректировка проектной документации для строительства здания фондохранилища государственного бюджетного учреждения культуры Архангельской области "Государственное музейное объединение "Художественная культура Русского Севера" в г. Архангельске для сохранения музейного фонда Российской Федерации</t>
  </si>
  <si>
    <t>3. Реконструкция крыши культурно-досугового центра в пос. Березник Виноградовского района</t>
  </si>
  <si>
    <t xml:space="preserve">              к областному закону</t>
  </si>
  <si>
    <t xml:space="preserve">              от 17 декабря 2018 г.</t>
  </si>
  <si>
    <t>министерство культуры Архангельской области</t>
  </si>
  <si>
    <t>4. Приобретение здания для размещения библиотеки, расположенного по адресу: Архангельская область, Пинежский район, с. Карпогоры, ул. Федора Абрамова, д. 30</t>
  </si>
  <si>
    <t xml:space="preserve">6)  приобретение 4 жилых помещений 
в муниципальном образовании "Город Архангельск" </t>
  </si>
  <si>
    <t>администрация муниципального образования                                                                                                                                   "Мезенский  муниципальный район"</t>
  </si>
  <si>
    <t>16) детский сад на 120 мест в пос. Малошуйка Онежского района*</t>
  </si>
  <si>
    <t>2) строительство средней общеобразовательной школы на 250 учащихся с блоком временного проживания на 50 человек в с. Ровдино Шенкурского района*</t>
  </si>
  <si>
    <t>772,2 кв.м</t>
  </si>
  <si>
    <t>258,6 кв.м</t>
  </si>
  <si>
    <t>субсидии на софинансирование приобретения объектов недвижимого имущества в муниципальную собственность</t>
  </si>
  <si>
    <t>4. Корректировка проектной документации и строительство объекта "Пристройка к зданию хирургического корпуса государственного бюджетного учреждения здравоохранения Архангельской области "Мезенская центральная районная больница"</t>
  </si>
  <si>
    <t>274 кв.м</t>
  </si>
  <si>
    <t>4. Автомобильная дорога "Восточное шоссе" в г. Котласе (погашение кредиторской задолженности)</t>
  </si>
  <si>
    <t>6. Разработка (приобретение) проектной документации по объекту "Реконструкция аэропортового комплекса "Соловки", о. Соловецкий, Архангельская область"</t>
  </si>
  <si>
    <t>1 тыс. кв. м</t>
  </si>
  <si>
    <t>министерство агропромышлен-ного комплекса и торговли Архангельской области</t>
  </si>
  <si>
    <t>104,5 кв.м,                 7400 м</t>
  </si>
  <si>
    <t xml:space="preserve">1. Строительство  многоквартирных домов, приобретение жилых помещений в многоквартирных домах и выплата выкупной цены собственникам жилых помещений для расселения многоквартирных домов, признанных аварийными до 1 января 2012 года в связи с физическим износом и подлежащих сносу или реконструкции (за счет остатка на 01.01.2019 средств областного бюджета) </t>
  </si>
  <si>
    <t>1) устройство поля для мини-футбола с искусственным покрытием, расположенного по адресу: Архангельская область, Няндомский район,                                        п. Шалакуша, ул. Заводская, 10*</t>
  </si>
  <si>
    <t>2. Приобретение здания насосной станции на о. Хайнозеро, водопровода напорного магистрального Л в Онежском муниципальном районе в государственную (муниципальную) собственность</t>
  </si>
  <si>
    <t>5. Формирование государственного жилищного фонда для предоставления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 в соответствии со статьей 109.1 ЖК РФ</t>
  </si>
  <si>
    <t>министерство образования и науки Архангельской области</t>
  </si>
  <si>
    <t xml:space="preserve">              № 35-4-ОЗ</t>
  </si>
  <si>
    <t>6. Обеспечение жильем в сельской местности специалистов сельскохозяйственных товаропроизводителей</t>
  </si>
  <si>
    <t xml:space="preserve">              Приложение № 16</t>
  </si>
  <si>
    <t>XI. Адресная программа Архангельской области "Переселение граждан из аварийного жилищного фонда" на 2019 – 2025 годы</t>
  </si>
  <si>
    <t>2019 / 2025</t>
  </si>
  <si>
    <t>Предлагаемые изменения</t>
  </si>
  <si>
    <t>2016 / 2020</t>
  </si>
  <si>
    <t>7) обеспечение объектами инженерной инфраструктуры и наружного пожаротушения земельных участков, предоставляемых для расселения аварийного жилья, а также выполнение комплекса работ по созданию инфраструктуры, необходимой для полноценного функционирования объекта</t>
  </si>
  <si>
    <r>
      <t>сети: водоснабжения – 113 м</t>
    </r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>/час; теплоснабжения – 7,1 Гкал/час; электроснабжения – 3562 кВА</t>
    </r>
  </si>
  <si>
    <t>2015 / 2017</t>
  </si>
  <si>
    <t>2. Строительство (создание "под ключ") многоквартирных домов, приобретение жилых помещений в многоквартирных домах для расселения многоквартирных домов, признанных аварийными                                                                                                                                 до 1 января 2012 года в связи с физическим износом и подлежащих сносу или реконструкции</t>
  </si>
  <si>
    <t xml:space="preserve">76 848 кв. м                                             жилых площадей
</t>
  </si>
  <si>
    <t>бюджетные инвестиции в объекты государственной собственности Архангельской области, строительство / приобретение</t>
  </si>
  <si>
    <t>3. Строительство многоквартирных домов, приобретение жилых помещений в многоквартирных домах для расселения многоквартирных домов, признанных аварийными до 1 января 2012 года в связи                                                                                                                        с физическим износом и подлежащих сносу или реконструкции</t>
  </si>
  <si>
    <t>4 724,2 кв. м                                         жилых площадей</t>
  </si>
  <si>
    <t xml:space="preserve">бюджетные инвестиции в объекты государственной собственности Архангельской области, строительство / приобретение </t>
  </si>
  <si>
    <t>2018 / 2018</t>
  </si>
  <si>
    <t>320 мест</t>
  </si>
  <si>
    <t>администрация муниципального образования                                                                                                                                   "Вилегодский  муниципальный район"</t>
  </si>
  <si>
    <t>10) детский сад на 280 мест в территориальном округе Майская горка г. Архангельска*</t>
  </si>
  <si>
    <t>18) детский сад на 280 мест в 167 квартале города Северодвинска Архангельской области*</t>
  </si>
  <si>
    <t>19) детский сад на 280 мест по ул. Первомайской территориального округа Майская горка г. Архангельска*</t>
  </si>
  <si>
    <t xml:space="preserve">6. Спортивный зал ГБНОУ АО "АГЛ имени М.В. Ломоносова" по адресу г. Архангельск, набережная Северной Двины, д. 25 </t>
  </si>
  <si>
    <t>7. Строительство и реконструкция физкультурно-оздоровительных комплексов и центров для массового спорта (разработка ПСД)</t>
  </si>
  <si>
    <t>5. Приобретение здания и пристройки по адресу: г. Архангельск, ул. Добролюбова, д. 1, корп. 1</t>
  </si>
  <si>
    <t>5356,7 кв.м.</t>
  </si>
  <si>
    <t>субсидии на осуществление капитальных вложений в объекты капитального строительства государственной собственности Архангельской области, приобретение</t>
  </si>
  <si>
    <t xml:space="preserve">государственное бюджетное учреждение Архангельской области "Архангельский государственный архив" </t>
  </si>
  <si>
    <t>расселение                                                               19,33 тыс. кв. м аварийного жилищного фонда</t>
  </si>
  <si>
    <t>расселение                                                               16,66 тыс. кв. м аварийного жилищного фонда</t>
  </si>
  <si>
    <t>5. Нначальная общеоразовательная школа на 320 учащихся                                                            в с. Ильинско-Подомское Вилегодского района                                                     Архангельской области*</t>
  </si>
  <si>
    <t>Областная адресная инвестиционная программа на 2019 год и на плановый период 2020 и 2021 годов</t>
  </si>
  <si>
    <t xml:space="preserve">              "Приложение № 16</t>
  </si>
  <si>
    <t xml:space="preserve">            * Условием предоставления субсидий бюджетам муниципальных образований Архангельской области на софинансирование объектов программы, по которым они являются заказчиками, является централизация закупок в соответствии с частью 7 статьи 26 Федерального закона от 5 апреля 2013 года № 44-ФЗ "О контрактной системе в сфере закупок товаров, работ, услуг для обеспечения государственных и муниципальных нужд"."</t>
  </si>
  <si>
    <t>3. Осуществление функций авторского и археологического надзора, возмещение затрат, понесенных в ходе проведения надзоров, корректировка проектно-сметной документации и проведение проверки достоверности определения сметной стоимости, а также проведение экспертиз по объекту "Укрепление правого берега реки Северная Двина в Соломбальском территориальном округе г. Архангельска на участке от ул. Маяковского до ул. Кедрова (I этап, 1 подэтап, I этап,                                                                                                                                                                          2 подэтап и II этап)</t>
  </si>
  <si>
    <t xml:space="preserve">              Приложение № 11</t>
  </si>
  <si>
    <t>XV. Государственная программа Архангельской области "Развитие местного самоуправления в Архангельской области и государственная поддержка социально ориентированных некоммерческих организаций (2014 – 2021 годы)"</t>
  </si>
  <si>
    <t>1. Проектирование и строительство начальной школы на 320 мест в селе Яренск</t>
  </si>
  <si>
    <t>2. Проектирование и строительство физкультурно-оздоровительного комплекса в селе Яренск</t>
  </si>
  <si>
    <t>3. Реконструкция системы водоснабжения в селе Яренск</t>
  </si>
  <si>
    <t>1 395,7                                                                                                                  куб. м / сутки</t>
  </si>
  <si>
    <t>4. Проектирование и строительство автомобильной дороги Заболотье-Сольвычегодск-Яренск на участке Фоминская-Слободчиково, в том числе мост</t>
  </si>
  <si>
    <t>8,2 км</t>
  </si>
  <si>
    <t>2. Выполнение работ по проектированию, строительству и вводу в эксплуатацию объектов капитального строительства для расселения многоквартирных домов признанных аварийными до 1 января 2017 года 
в связи с физическим износом и подлежащих сносу или реконструкции</t>
  </si>
  <si>
    <t>3. Выполнение работ на основании муниципальных контрактов, предметом которых является одновременно выполнение работ по проектированию, строительству и вводу в эксплуатацию объектов капитального строительства, приобретение жилых помещений 
в многоквартирных домах для расселения многоквартирных домов, признанных аварийными до 1 января 2017 года в связи с физическим износом и подлежащих сносу или реконструкции*</t>
  </si>
  <si>
    <t>8. Приобретение фельшерско-акушерского пункта в пос. Поча Плесецкого района Архангельской области</t>
  </si>
  <si>
    <t xml:space="preserve">15 посещений в смену </t>
  </si>
  <si>
    <t>ГБУЗ Архангельской области "Плесецкая центральная районная больница"</t>
  </si>
  <si>
    <t>4. Выполнение инженерных изысканий, разработка обоснования инвестиций и проведение ценового и технологического аудита по мероприятию "Укрепление берега Белого моря в пос. Пертоминске Приморского района"</t>
  </si>
</sst>
</file>

<file path=xl/styles.xml><?xml version="1.0" encoding="utf-8"?>
<styleSheet xmlns="http://schemas.openxmlformats.org/spreadsheetml/2006/main">
  <numFmts count="6">
    <numFmt numFmtId="164" formatCode="_-* #,##0.00_р_._-;\-* #,##0.00_р_._-;_-* &quot;-&quot;??_р_._-;_-@_-"/>
    <numFmt numFmtId="165" formatCode="_-* #,##0.0_р_._-;\-* #,##0.0_р_._-;_-* &quot;-&quot;??_р_._-;_-@_-"/>
    <numFmt numFmtId="166" formatCode="_-* #,##0.0\ _₽_-;\-* #,##0.0\ _₽_-;_-* &quot;-&quot;?\ _₽_-;_-@_-"/>
    <numFmt numFmtId="167" formatCode="_-* #,##0.0_р_._-;\-* #,##0.0_р_._-;_-* &quot;-&quot;?_р_._-;_-@_-"/>
    <numFmt numFmtId="168" formatCode="#,##0.0"/>
    <numFmt numFmtId="169" formatCode="0.0"/>
  </numFmts>
  <fonts count="2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i/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vertAlign val="superscript"/>
      <sz val="11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6">
    <xf numFmtId="0" fontId="0" fillId="0" borderId="0" xfId="0"/>
    <xf numFmtId="0" fontId="0" fillId="0" borderId="0" xfId="0" applyFont="1" applyFill="1" applyBorder="1"/>
    <xf numFmtId="0" fontId="0" fillId="0" borderId="0" xfId="0" applyFont="1" applyFill="1"/>
    <xf numFmtId="0" fontId="2" fillId="0" borderId="0" xfId="0" applyFont="1" applyFill="1" applyBorder="1" applyAlignment="1"/>
    <xf numFmtId="0" fontId="2" fillId="0" borderId="0" xfId="0" applyFont="1" applyFill="1" applyAlignment="1"/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/>
    <xf numFmtId="0" fontId="4" fillId="0" borderId="0" xfId="0" applyFont="1" applyFill="1"/>
    <xf numFmtId="0" fontId="4" fillId="0" borderId="0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/>
    <xf numFmtId="166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/>
    </xf>
    <xf numFmtId="165" fontId="8" fillId="0" borderId="1" xfId="0" applyNumberFormat="1" applyFont="1" applyFill="1" applyBorder="1" applyAlignment="1">
      <alignment vertical="center" wrapText="1"/>
    </xf>
    <xf numFmtId="166" fontId="18" fillId="0" borderId="1" xfId="0" applyNumberFormat="1" applyFont="1" applyFill="1" applyBorder="1" applyAlignment="1">
      <alignment horizontal="center" vertical="center"/>
    </xf>
    <xf numFmtId="165" fontId="18" fillId="0" borderId="1" xfId="1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Fill="1" applyAlignment="1"/>
    <xf numFmtId="0" fontId="0" fillId="0" borderId="0" xfId="0" applyFont="1" applyFill="1" applyBorder="1" applyAlignment="1"/>
    <xf numFmtId="0" fontId="10" fillId="0" borderId="0" xfId="0" applyFont="1" applyFill="1"/>
    <xf numFmtId="166" fontId="2" fillId="0" borderId="1" xfId="0" applyNumberFormat="1" applyFont="1" applyFill="1" applyBorder="1" applyAlignment="1">
      <alignment horizontal="center" vertical="center" wrapText="1"/>
    </xf>
    <xf numFmtId="167" fontId="2" fillId="0" borderId="1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 vertical="center" wrapText="1"/>
    </xf>
    <xf numFmtId="165" fontId="10" fillId="0" borderId="1" xfId="1" applyNumberFormat="1" applyFont="1" applyFill="1" applyBorder="1" applyAlignment="1">
      <alignment vertical="center"/>
    </xf>
    <xf numFmtId="166" fontId="8" fillId="0" borderId="1" xfId="0" applyNumberFormat="1" applyFont="1" applyFill="1" applyBorder="1" applyAlignment="1">
      <alignment vertical="center" wrapText="1"/>
    </xf>
    <xf numFmtId="168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165" fontId="18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/>
    </xf>
    <xf numFmtId="165" fontId="2" fillId="0" borderId="1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168" fontId="2" fillId="0" borderId="1" xfId="0" applyNumberFormat="1" applyFont="1" applyFill="1" applyBorder="1" applyAlignment="1">
      <alignment horizontal="center" vertical="center" wrapText="1"/>
    </xf>
    <xf numFmtId="165" fontId="2" fillId="0" borderId="1" xfId="2" applyNumberFormat="1" applyFont="1" applyFill="1" applyBorder="1" applyAlignment="1">
      <alignment vertical="center"/>
    </xf>
    <xf numFmtId="0" fontId="2" fillId="0" borderId="5" xfId="0" applyFont="1" applyFill="1" applyBorder="1" applyAlignment="1">
      <alignment horizontal="left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165" fontId="2" fillId="0" borderId="5" xfId="0" applyNumberFormat="1" applyFont="1" applyFill="1" applyBorder="1" applyAlignment="1">
      <alignment vertical="center" wrapText="1"/>
    </xf>
    <xf numFmtId="168" fontId="10" fillId="0" borderId="5" xfId="0" applyNumberFormat="1" applyFont="1" applyFill="1" applyBorder="1" applyAlignment="1">
      <alignment horizontal="center" vertical="center"/>
    </xf>
    <xf numFmtId="165" fontId="2" fillId="0" borderId="5" xfId="2" applyNumberFormat="1" applyFont="1" applyFill="1" applyBorder="1" applyAlignment="1">
      <alignment vertical="center"/>
    </xf>
    <xf numFmtId="168" fontId="10" fillId="0" borderId="1" xfId="0" applyNumberFormat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168" fontId="10" fillId="0" borderId="9" xfId="0" applyNumberFormat="1" applyFont="1" applyFill="1" applyBorder="1" applyAlignment="1">
      <alignment horizontal="center" vertical="center"/>
    </xf>
    <xf numFmtId="165" fontId="2" fillId="0" borderId="9" xfId="2" applyNumberFormat="1" applyFont="1" applyFill="1" applyBorder="1" applyAlignment="1">
      <alignment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165" fontId="2" fillId="0" borderId="9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165" fontId="2" fillId="0" borderId="1" xfId="1" applyNumberFormat="1" applyFont="1" applyFill="1" applyBorder="1" applyAlignment="1">
      <alignment horizontal="right" vertical="center"/>
    </xf>
    <xf numFmtId="165" fontId="2" fillId="0" borderId="1" xfId="2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165" fontId="2" fillId="0" borderId="1" xfId="1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/>
    </xf>
    <xf numFmtId="165" fontId="2" fillId="0" borderId="1" xfId="0" applyNumberFormat="1" applyFont="1" applyFill="1" applyBorder="1" applyAlignment="1">
      <alignment vertical="center"/>
    </xf>
    <xf numFmtId="165" fontId="13" fillId="0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165" fontId="18" fillId="0" borderId="1" xfId="2" applyNumberFormat="1" applyFont="1" applyFill="1" applyBorder="1" applyAlignment="1">
      <alignment vertical="center"/>
    </xf>
    <xf numFmtId="165" fontId="8" fillId="0" borderId="1" xfId="2" applyNumberFormat="1" applyFont="1" applyFill="1" applyBorder="1" applyAlignment="1">
      <alignment vertical="center"/>
    </xf>
    <xf numFmtId="0" fontId="8" fillId="0" borderId="0" xfId="0" applyNumberFormat="1" applyFont="1" applyFill="1" applyBorder="1" applyAlignment="1">
      <alignment horizontal="left"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165" fontId="2" fillId="0" borderId="0" xfId="2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/>
    <xf numFmtId="166" fontId="10" fillId="0" borderId="1" xfId="0" applyNumberFormat="1" applyFont="1" applyFill="1" applyBorder="1" applyAlignment="1">
      <alignment vertical="center"/>
    </xf>
    <xf numFmtId="168" fontId="2" fillId="0" borderId="1" xfId="0" applyNumberFormat="1" applyFont="1" applyFill="1" applyBorder="1" applyAlignment="1">
      <alignment horizontal="center" vertical="center"/>
    </xf>
    <xf numFmtId="169" fontId="10" fillId="0" borderId="1" xfId="0" applyNumberFormat="1" applyFont="1" applyFill="1" applyBorder="1" applyAlignment="1">
      <alignment horizontal="center" vertical="center"/>
    </xf>
    <xf numFmtId="164" fontId="10" fillId="0" borderId="1" xfId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65" fontId="21" fillId="0" borderId="1" xfId="1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/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4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3" xfId="0" applyNumberFormat="1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Fill="1" applyAlignment="1"/>
  </cellXfs>
  <cellStyles count="5">
    <cellStyle name="Обычный" xfId="0" builtinId="0"/>
    <cellStyle name="Финансовый" xfId="1" builtinId="3"/>
    <cellStyle name="Финансовый 2" xfId="2"/>
    <cellStyle name="Финансовый 2 2" xfId="3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AE187"/>
  <sheetViews>
    <sheetView showGridLines="0" tabSelected="1" view="pageBreakPreview" zoomScaleNormal="100" zoomScaleSheetLayoutView="100" workbookViewId="0">
      <selection activeCell="A7" sqref="A7"/>
    </sheetView>
  </sheetViews>
  <sheetFormatPr defaultRowHeight="15" outlineLevelRow="1"/>
  <cols>
    <col min="1" max="1" width="67.42578125" style="2" customWidth="1"/>
    <col min="2" max="2" width="19.85546875" style="2" customWidth="1"/>
    <col min="3" max="3" width="22" style="2" customWidth="1"/>
    <col min="4" max="4" width="16.5703125" style="2" customWidth="1"/>
    <col min="5" max="5" width="23.85546875" style="2" customWidth="1"/>
    <col min="6" max="6" width="12.28515625" style="2" customWidth="1"/>
    <col min="7" max="9" width="17" style="2" hidden="1" customWidth="1"/>
    <col min="10" max="12" width="15.85546875" style="2" hidden="1" customWidth="1"/>
    <col min="13" max="13" width="15.85546875" style="2" customWidth="1"/>
    <col min="14" max="14" width="15.85546875" style="2" hidden="1" customWidth="1"/>
    <col min="15" max="17" width="15" style="2" hidden="1" customWidth="1"/>
    <col min="18" max="18" width="15" style="2" customWidth="1"/>
    <col min="19" max="20" width="15" style="2" hidden="1" customWidth="1"/>
    <col min="21" max="22" width="15.7109375" style="1" hidden="1" customWidth="1"/>
    <col min="23" max="23" width="14.42578125" style="1" customWidth="1"/>
    <col min="24" max="24" width="15.28515625" style="1" hidden="1" customWidth="1"/>
    <col min="25" max="25" width="15.85546875" style="1" hidden="1" customWidth="1"/>
    <col min="26" max="26" width="0" style="1" hidden="1" customWidth="1"/>
    <col min="27" max="27" width="14.85546875" style="2" customWidth="1"/>
    <col min="28" max="16384" width="9.140625" style="2"/>
  </cols>
  <sheetData>
    <row r="1" spans="1:27" s="24" customFormat="1">
      <c r="U1" s="25"/>
      <c r="V1" s="25"/>
      <c r="W1" s="26" t="s">
        <v>323</v>
      </c>
      <c r="X1" s="25"/>
      <c r="Y1" s="26" t="s">
        <v>290</v>
      </c>
      <c r="Z1" s="25"/>
    </row>
    <row r="2" spans="1:27" s="24" customFormat="1">
      <c r="U2" s="25"/>
      <c r="V2" s="25"/>
      <c r="W2" s="26" t="s">
        <v>265</v>
      </c>
      <c r="X2" s="25"/>
      <c r="Y2" s="26" t="s">
        <v>265</v>
      </c>
      <c r="Z2" s="25"/>
    </row>
    <row r="3" spans="1:27" s="24" customFormat="1">
      <c r="U3" s="25"/>
      <c r="V3" s="25"/>
      <c r="W3" s="2"/>
      <c r="X3" s="25"/>
      <c r="Y3" s="26"/>
      <c r="Z3" s="25"/>
    </row>
    <row r="4" spans="1:27" s="24" customFormat="1" ht="11.25" customHeight="1">
      <c r="U4" s="25"/>
      <c r="V4" s="25"/>
      <c r="W4" s="2"/>
      <c r="X4" s="25"/>
      <c r="Y4" s="26"/>
      <c r="Z4" s="25"/>
    </row>
    <row r="5" spans="1:27" s="24" customFormat="1" ht="8.25" customHeight="1">
      <c r="U5" s="25"/>
      <c r="V5" s="25"/>
      <c r="W5" s="2"/>
      <c r="X5" s="25"/>
      <c r="Y5" s="26"/>
      <c r="Z5" s="25"/>
    </row>
    <row r="6" spans="1:27" s="24" customFormat="1" ht="9.75" customHeight="1">
      <c r="U6" s="25"/>
      <c r="V6" s="25"/>
      <c r="W6" s="2"/>
      <c r="X6" s="25"/>
      <c r="Y6" s="26"/>
      <c r="Z6" s="25"/>
    </row>
    <row r="7" spans="1:27" s="24" customFormat="1">
      <c r="U7" s="25"/>
      <c r="V7" s="25"/>
      <c r="W7" s="26" t="s">
        <v>320</v>
      </c>
      <c r="X7" s="25"/>
      <c r="Y7" s="26"/>
      <c r="Z7" s="25"/>
    </row>
    <row r="8" spans="1:27" s="24" customFormat="1">
      <c r="U8" s="25"/>
      <c r="V8" s="25"/>
      <c r="W8" s="26" t="s">
        <v>265</v>
      </c>
      <c r="X8" s="25"/>
      <c r="Y8" s="26"/>
      <c r="Z8" s="25"/>
    </row>
    <row r="9" spans="1:27" s="24" customFormat="1">
      <c r="U9" s="25"/>
      <c r="V9" s="25"/>
      <c r="W9" s="26" t="s">
        <v>266</v>
      </c>
      <c r="X9" s="25"/>
      <c r="Y9" s="26"/>
      <c r="Z9" s="25"/>
    </row>
    <row r="10" spans="1:27" s="24" customFormat="1">
      <c r="U10" s="25"/>
      <c r="V10" s="25"/>
      <c r="W10" s="26" t="s">
        <v>288</v>
      </c>
      <c r="X10" s="25"/>
      <c r="Y10" s="26"/>
      <c r="Z10" s="25"/>
    </row>
    <row r="11" spans="1:27" s="24" customFormat="1" ht="6.75" customHeight="1">
      <c r="U11" s="25"/>
      <c r="V11" s="25"/>
      <c r="W11" s="25"/>
      <c r="X11" s="25"/>
      <c r="Y11" s="26"/>
      <c r="Z11" s="25"/>
    </row>
    <row r="12" spans="1:27" ht="26.25" customHeight="1">
      <c r="A12" s="114" t="s">
        <v>319</v>
      </c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</row>
    <row r="13" spans="1:27" ht="10.5" customHeight="1">
      <c r="A13" s="104"/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</row>
    <row r="14" spans="1:27" ht="68.25" customHeight="1">
      <c r="A14" s="101" t="s">
        <v>3</v>
      </c>
      <c r="B14" s="101" t="s">
        <v>0</v>
      </c>
      <c r="C14" s="101" t="s">
        <v>4</v>
      </c>
      <c r="D14" s="101" t="s">
        <v>2</v>
      </c>
      <c r="E14" s="101" t="s">
        <v>1</v>
      </c>
      <c r="F14" s="101" t="s">
        <v>11</v>
      </c>
      <c r="G14" s="101" t="s">
        <v>32</v>
      </c>
      <c r="H14" s="103" t="s">
        <v>193</v>
      </c>
      <c r="I14" s="101" t="s">
        <v>32</v>
      </c>
      <c r="J14" s="101" t="s">
        <v>113</v>
      </c>
      <c r="K14" s="103" t="s">
        <v>193</v>
      </c>
      <c r="L14" s="115" t="s">
        <v>293</v>
      </c>
      <c r="M14" s="101" t="s">
        <v>32</v>
      </c>
      <c r="N14" s="101" t="s">
        <v>113</v>
      </c>
      <c r="O14" s="101" t="s">
        <v>81</v>
      </c>
      <c r="P14" s="103" t="s">
        <v>193</v>
      </c>
      <c r="Q14" s="115" t="s">
        <v>293</v>
      </c>
      <c r="R14" s="101" t="s">
        <v>113</v>
      </c>
      <c r="S14" s="101" t="s">
        <v>81</v>
      </c>
      <c r="T14" s="101" t="s">
        <v>82</v>
      </c>
      <c r="U14" s="103" t="s">
        <v>193</v>
      </c>
      <c r="V14" s="115" t="s">
        <v>293</v>
      </c>
      <c r="W14" s="101" t="s">
        <v>81</v>
      </c>
      <c r="X14" s="101" t="s">
        <v>82</v>
      </c>
      <c r="Y14" s="115" t="s">
        <v>293</v>
      </c>
      <c r="Z14" s="115"/>
      <c r="AA14" s="101" t="s">
        <v>82</v>
      </c>
    </row>
    <row r="15" spans="1:27" ht="83.25" customHeight="1">
      <c r="A15" s="101"/>
      <c r="B15" s="101"/>
      <c r="C15" s="102"/>
      <c r="D15" s="102"/>
      <c r="E15" s="102"/>
      <c r="F15" s="102"/>
      <c r="G15" s="102"/>
      <c r="H15" s="103"/>
      <c r="I15" s="102"/>
      <c r="J15" s="102"/>
      <c r="K15" s="103"/>
      <c r="L15" s="116"/>
      <c r="M15" s="102"/>
      <c r="N15" s="102"/>
      <c r="O15" s="102"/>
      <c r="P15" s="103"/>
      <c r="Q15" s="116"/>
      <c r="R15" s="102"/>
      <c r="S15" s="102"/>
      <c r="T15" s="102"/>
      <c r="U15" s="103"/>
      <c r="V15" s="116"/>
      <c r="W15" s="102"/>
      <c r="X15" s="102"/>
      <c r="Y15" s="116"/>
      <c r="Z15" s="116"/>
      <c r="AA15" s="102"/>
    </row>
    <row r="16" spans="1:27" ht="15" customHeight="1">
      <c r="A16" s="5">
        <v>1</v>
      </c>
      <c r="B16" s="5">
        <v>2</v>
      </c>
      <c r="C16" s="6">
        <v>3</v>
      </c>
      <c r="D16" s="6">
        <v>4</v>
      </c>
      <c r="E16" s="6">
        <v>5</v>
      </c>
      <c r="F16" s="6">
        <v>6</v>
      </c>
      <c r="G16" s="6">
        <v>7</v>
      </c>
      <c r="H16" s="6">
        <v>7</v>
      </c>
      <c r="I16" s="6">
        <v>7</v>
      </c>
      <c r="J16" s="6">
        <v>8</v>
      </c>
      <c r="K16" s="6">
        <v>8</v>
      </c>
      <c r="L16" s="6">
        <v>7</v>
      </c>
      <c r="M16" s="6">
        <v>7</v>
      </c>
      <c r="N16" s="6">
        <v>8</v>
      </c>
      <c r="O16" s="6">
        <v>9</v>
      </c>
      <c r="P16" s="6">
        <v>9</v>
      </c>
      <c r="Q16" s="6">
        <v>8</v>
      </c>
      <c r="R16" s="6">
        <v>8</v>
      </c>
      <c r="S16" s="6">
        <v>9</v>
      </c>
      <c r="T16" s="6">
        <v>10</v>
      </c>
      <c r="U16" s="12"/>
      <c r="V16" s="6">
        <v>9</v>
      </c>
      <c r="W16" s="6">
        <v>9</v>
      </c>
      <c r="X16" s="6">
        <v>10</v>
      </c>
      <c r="Y16" s="6">
        <v>10</v>
      </c>
      <c r="Z16" s="6">
        <v>10</v>
      </c>
      <c r="AA16" s="6">
        <v>10</v>
      </c>
    </row>
    <row r="17" spans="1:27" ht="21.75" customHeight="1">
      <c r="A17" s="107" t="s">
        <v>8</v>
      </c>
      <c r="B17" s="113"/>
      <c r="C17" s="113"/>
      <c r="D17" s="113"/>
      <c r="E17" s="97"/>
      <c r="F17" s="97"/>
      <c r="G17" s="7">
        <f>G18+G34+G67+G76+G101+G120+G137+G142+G150+G110+G154+G162</f>
        <v>45737722.545999996</v>
      </c>
      <c r="H17" s="7">
        <f>H18+H34+H67+H76+H101+H120+H137+H142+H150+H110+H154+H162+H158+H164</f>
        <v>5901869.1251000008</v>
      </c>
      <c r="I17" s="7">
        <f>G17+H17</f>
        <v>51639591.671099998</v>
      </c>
      <c r="J17" s="7">
        <f>J18+J34+J67+J76+J101+J120+J137+J142+J150+J110+J154+J162</f>
        <v>1902475.63</v>
      </c>
      <c r="K17" s="7">
        <f>K18+K34+K67+K76+K101+K120+K137+K142+K150+K110+K154+K162+K158+K164</f>
        <v>539671.78999999992</v>
      </c>
      <c r="L17" s="7">
        <f>L18+L34+L67+L76+L101+L110+L120+L137+L142+L150+L154+L162+L158+L164</f>
        <v>5725621.7932600006</v>
      </c>
      <c r="M17" s="7">
        <f>I17+L17+M100+M166</f>
        <v>58695835.404359996</v>
      </c>
      <c r="N17" s="7">
        <f>J17+K17</f>
        <v>2442147.42</v>
      </c>
      <c r="O17" s="7">
        <f>O18+O34+O67+O76+O101+O120+O137+O142+O150+O110+O154+O162</f>
        <v>1445473.7000000002</v>
      </c>
      <c r="P17" s="7">
        <f>P18+P34+P67+P76+P101+P120+P137+P142+P150+P110+P154+P162+P158+P164</f>
        <v>122689.78</v>
      </c>
      <c r="Q17" s="7">
        <f>Q18+Q34+Q67+Q76+Q101+Q110+Q120+Q137+Q142+Q150+Q154+Q162+Q158+Q164</f>
        <v>245723.58231999996</v>
      </c>
      <c r="R17" s="7">
        <f>N17+Q17+R100+R166-1494.35</f>
        <v>2806007.5923200003</v>
      </c>
      <c r="S17" s="7">
        <f>O17+P17</f>
        <v>1568163.4800000002</v>
      </c>
      <c r="T17" s="7">
        <f>T18+T34+T67+T76+T101+T120+T137+T142+T150+T110+T154+T162</f>
        <v>1012485.6</v>
      </c>
      <c r="U17" s="7">
        <f>U18+U34+U67+U76+U101+U120+U137+U142+U150+U110+U154+U162+U158+U164</f>
        <v>76237.200000000012</v>
      </c>
      <c r="V17" s="7">
        <f>V18+V34+V67+V76+V101+V110+V120+V137+V142+V150+V154+V162+V158+V164</f>
        <v>1000</v>
      </c>
      <c r="W17" s="7">
        <f>S17+V17+W166</f>
        <v>2084663.4800000002</v>
      </c>
      <c r="X17" s="13">
        <f t="shared" ref="X17:X32" si="0">T17+U17</f>
        <v>1088722.8</v>
      </c>
      <c r="Y17" s="7">
        <f>Y18+Y34+Y67+Y76+Y101+Y110+Y120+Y137+Y142+Y150+Y154+Y162+Y158+Y164</f>
        <v>1000</v>
      </c>
      <c r="Z17" s="12"/>
      <c r="AA17" s="85">
        <f>X17+Y17+AA166</f>
        <v>1780252</v>
      </c>
    </row>
    <row r="18" spans="1:27" ht="56.25" customHeight="1">
      <c r="A18" s="107" t="s">
        <v>132</v>
      </c>
      <c r="B18" s="108"/>
      <c r="C18" s="108"/>
      <c r="D18" s="108"/>
      <c r="E18" s="96"/>
      <c r="F18" s="96"/>
      <c r="G18" s="7">
        <f>G19+G27+G29+G31</f>
        <v>6506813.5</v>
      </c>
      <c r="H18" s="7">
        <f>H19+H27+H29+H31+H33</f>
        <v>477071.5</v>
      </c>
      <c r="I18" s="7">
        <f>G18+H18</f>
        <v>6983885</v>
      </c>
      <c r="J18" s="7">
        <f>J19+J27+J29+J31</f>
        <v>193665.5</v>
      </c>
      <c r="K18" s="7">
        <f>K19+K27+K29+K31+K33</f>
        <v>142549.1</v>
      </c>
      <c r="L18" s="7">
        <f>L19+L27+L29+L31+L33</f>
        <v>270769.59999999998</v>
      </c>
      <c r="M18" s="7">
        <f t="shared" ref="M18:M87" si="1">I18+L18</f>
        <v>7254654.5999999996</v>
      </c>
      <c r="N18" s="7">
        <f t="shared" ref="N18:N122" si="2">J18+K18</f>
        <v>336214.6</v>
      </c>
      <c r="O18" s="7">
        <f>O19+O27+O29</f>
        <v>142866.6</v>
      </c>
      <c r="P18" s="7">
        <f>P19+P27+P29+P31+P33</f>
        <v>15757.7</v>
      </c>
      <c r="Q18" s="7">
        <f>Q19+Q27+Q29+Q31+Q33</f>
        <v>-141740.90000000002</v>
      </c>
      <c r="R18" s="7">
        <f t="shared" ref="R18:R87" si="3">N18+Q18</f>
        <v>194473.69999999995</v>
      </c>
      <c r="S18" s="7">
        <f t="shared" ref="S18:S122" si="4">O18+P18</f>
        <v>158624.30000000002</v>
      </c>
      <c r="T18" s="7">
        <f>T19+T27+T29</f>
        <v>200686.2</v>
      </c>
      <c r="U18" s="7">
        <f>U19+U27+U29+U31+U33</f>
        <v>-91606.2</v>
      </c>
      <c r="V18" s="7">
        <f>V19+V27+V29+V31+V33</f>
        <v>0</v>
      </c>
      <c r="W18" s="7">
        <f t="shared" ref="W18:W86" si="5">S18+V18</f>
        <v>158624.30000000002</v>
      </c>
      <c r="X18" s="13">
        <f t="shared" si="0"/>
        <v>109080.00000000001</v>
      </c>
      <c r="Y18" s="7">
        <f>Y19+Y27+Y29+Y31+Y33</f>
        <v>0</v>
      </c>
      <c r="Z18" s="12"/>
      <c r="AA18" s="85">
        <f t="shared" ref="AA18:AA87" si="6">X18+Y18</f>
        <v>109080.00000000001</v>
      </c>
    </row>
    <row r="19" spans="1:27" ht="69.75" customHeight="1">
      <c r="A19" s="105" t="s">
        <v>185</v>
      </c>
      <c r="B19" s="109"/>
      <c r="C19" s="109"/>
      <c r="D19" s="106"/>
      <c r="E19" s="27"/>
      <c r="F19" s="28"/>
      <c r="G19" s="7">
        <f>SUM(G20:G24)</f>
        <v>5573137.2000000002</v>
      </c>
      <c r="H19" s="7">
        <f>SUM(H20:H25)</f>
        <v>75985.5</v>
      </c>
      <c r="I19" s="7">
        <f>G19+H19</f>
        <v>5649122.7000000002</v>
      </c>
      <c r="J19" s="7">
        <f>SUM(J20:J25)</f>
        <v>173541.19999999998</v>
      </c>
      <c r="K19" s="7">
        <f>SUM(K20:K25)</f>
        <v>128515.2</v>
      </c>
      <c r="L19" s="7">
        <f>L20+L21+L22+L23+L24+L25+L26</f>
        <v>270769.59999999998</v>
      </c>
      <c r="M19" s="7">
        <f t="shared" si="1"/>
        <v>5919892.2999999998</v>
      </c>
      <c r="N19" s="7">
        <f>J19+K19</f>
        <v>302056.39999999997</v>
      </c>
      <c r="O19" s="7">
        <f>O20+O21+O22+O23+O24</f>
        <v>142866.6</v>
      </c>
      <c r="P19" s="7">
        <f>P20+P21+P22+P23</f>
        <v>-28393.8</v>
      </c>
      <c r="Q19" s="7">
        <f>Q20+Q21+Q22+Q23+Q24+Q25+Q26</f>
        <v>-161677.6</v>
      </c>
      <c r="R19" s="7">
        <f t="shared" si="3"/>
        <v>140378.79999999996</v>
      </c>
      <c r="S19" s="7">
        <f t="shared" si="4"/>
        <v>114472.8</v>
      </c>
      <c r="T19" s="7">
        <f>T20+T21+T22+T23</f>
        <v>200686.2</v>
      </c>
      <c r="U19" s="7">
        <f>U20+U21+U22+U23</f>
        <v>-91606.2</v>
      </c>
      <c r="V19" s="7">
        <f>V20+V21+V22+V23+V24+V25+V26</f>
        <v>0</v>
      </c>
      <c r="W19" s="7">
        <f t="shared" si="5"/>
        <v>114472.8</v>
      </c>
      <c r="X19" s="13">
        <f t="shared" si="0"/>
        <v>109080.00000000001</v>
      </c>
      <c r="Y19" s="7">
        <f>Y20+Y21+Y22+Y23+Y24+Y25+Y26</f>
        <v>0</v>
      </c>
      <c r="Z19" s="12"/>
      <c r="AA19" s="85">
        <f t="shared" si="6"/>
        <v>109080.00000000001</v>
      </c>
    </row>
    <row r="20" spans="1:27" ht="139.5" customHeight="1">
      <c r="A20" s="23" t="s">
        <v>78</v>
      </c>
      <c r="B20" s="21" t="s">
        <v>72</v>
      </c>
      <c r="C20" s="22" t="s">
        <v>5</v>
      </c>
      <c r="D20" s="22" t="s">
        <v>7</v>
      </c>
      <c r="E20" s="22" t="s">
        <v>25</v>
      </c>
      <c r="F20" s="22" t="s">
        <v>294</v>
      </c>
      <c r="G20" s="7">
        <v>499363.4</v>
      </c>
      <c r="H20" s="7"/>
      <c r="I20" s="7">
        <f>G20+H20</f>
        <v>499363.4</v>
      </c>
      <c r="J20" s="29">
        <v>109723.5</v>
      </c>
      <c r="K20" s="29">
        <v>120000</v>
      </c>
      <c r="L20" s="29"/>
      <c r="M20" s="7">
        <f t="shared" si="1"/>
        <v>499363.4</v>
      </c>
      <c r="N20" s="7">
        <f t="shared" si="2"/>
        <v>229723.5</v>
      </c>
      <c r="O20" s="7">
        <v>82456.600000000006</v>
      </c>
      <c r="P20" s="7">
        <v>-28393.8</v>
      </c>
      <c r="Q20" s="7">
        <f>-165066.3+6049.9-4229.2-0.1</f>
        <v>-163245.70000000001</v>
      </c>
      <c r="R20" s="7">
        <f t="shared" si="3"/>
        <v>66477.799999999988</v>
      </c>
      <c r="S20" s="7">
        <f t="shared" si="4"/>
        <v>54062.8</v>
      </c>
      <c r="T20" s="7">
        <v>91606.2</v>
      </c>
      <c r="U20" s="30">
        <v>-91606.2</v>
      </c>
      <c r="V20" s="30"/>
      <c r="W20" s="7">
        <f t="shared" si="5"/>
        <v>54062.8</v>
      </c>
      <c r="X20" s="13">
        <f t="shared" si="0"/>
        <v>0</v>
      </c>
      <c r="Y20" s="12"/>
      <c r="Z20" s="12"/>
      <c r="AA20" s="85">
        <f t="shared" si="6"/>
        <v>0</v>
      </c>
    </row>
    <row r="21" spans="1:27" ht="108.75" customHeight="1">
      <c r="A21" s="95" t="s">
        <v>125</v>
      </c>
      <c r="B21" s="98" t="s">
        <v>186</v>
      </c>
      <c r="C21" s="97" t="s">
        <v>5</v>
      </c>
      <c r="D21" s="97" t="s">
        <v>7</v>
      </c>
      <c r="E21" s="97" t="s">
        <v>13</v>
      </c>
      <c r="F21" s="97" t="s">
        <v>14</v>
      </c>
      <c r="G21" s="7">
        <v>22273.7</v>
      </c>
      <c r="H21" s="7"/>
      <c r="I21" s="7">
        <f t="shared" ref="I21:I127" si="7">G21+H21</f>
        <v>22273.7</v>
      </c>
      <c r="J21" s="7">
        <v>4998.8</v>
      </c>
      <c r="K21" s="7">
        <v>4771.5</v>
      </c>
      <c r="L21" s="7"/>
      <c r="M21" s="7">
        <f t="shared" si="1"/>
        <v>22273.7</v>
      </c>
      <c r="N21" s="7">
        <f t="shared" si="2"/>
        <v>9770.2999999999993</v>
      </c>
      <c r="O21" s="7">
        <v>0</v>
      </c>
      <c r="P21" s="7"/>
      <c r="Q21" s="7"/>
      <c r="R21" s="7">
        <f t="shared" si="3"/>
        <v>9770.2999999999993</v>
      </c>
      <c r="S21" s="7">
        <f t="shared" si="4"/>
        <v>0</v>
      </c>
      <c r="T21" s="7">
        <v>0</v>
      </c>
      <c r="U21" s="14"/>
      <c r="V21" s="14"/>
      <c r="W21" s="7">
        <f t="shared" si="5"/>
        <v>0</v>
      </c>
      <c r="X21" s="13">
        <f t="shared" si="0"/>
        <v>0</v>
      </c>
      <c r="Y21" s="12"/>
      <c r="Z21" s="12"/>
      <c r="AA21" s="85">
        <f t="shared" si="6"/>
        <v>0</v>
      </c>
    </row>
    <row r="22" spans="1:27" ht="112.5" customHeight="1">
      <c r="A22" s="95" t="s">
        <v>144</v>
      </c>
      <c r="B22" s="97" t="s">
        <v>33</v>
      </c>
      <c r="C22" s="97" t="s">
        <v>18</v>
      </c>
      <c r="D22" s="97" t="s">
        <v>7</v>
      </c>
      <c r="E22" s="97" t="s">
        <v>71</v>
      </c>
      <c r="F22" s="97" t="s">
        <v>53</v>
      </c>
      <c r="G22" s="7">
        <v>4237022.4000000004</v>
      </c>
      <c r="H22" s="7"/>
      <c r="I22" s="7">
        <f t="shared" si="7"/>
        <v>4237022.4000000004</v>
      </c>
      <c r="J22" s="29">
        <v>52050</v>
      </c>
      <c r="K22" s="29"/>
      <c r="L22" s="29"/>
      <c r="M22" s="7">
        <f t="shared" si="1"/>
        <v>4237022.4000000004</v>
      </c>
      <c r="N22" s="7">
        <f t="shared" si="2"/>
        <v>52050</v>
      </c>
      <c r="O22" s="7">
        <v>60410</v>
      </c>
      <c r="P22" s="7"/>
      <c r="Q22" s="7"/>
      <c r="R22" s="7">
        <f t="shared" si="3"/>
        <v>52050</v>
      </c>
      <c r="S22" s="7">
        <f t="shared" si="4"/>
        <v>60410</v>
      </c>
      <c r="T22" s="31">
        <v>109080</v>
      </c>
      <c r="U22" s="14"/>
      <c r="V22" s="14"/>
      <c r="W22" s="7">
        <f t="shared" si="5"/>
        <v>60410</v>
      </c>
      <c r="X22" s="13">
        <f t="shared" si="0"/>
        <v>109080</v>
      </c>
      <c r="Y22" s="12"/>
      <c r="Z22" s="12"/>
      <c r="AA22" s="85">
        <f t="shared" si="6"/>
        <v>109080</v>
      </c>
    </row>
    <row r="23" spans="1:27" ht="107.25" customHeight="1">
      <c r="A23" s="95" t="s">
        <v>145</v>
      </c>
      <c r="B23" s="97" t="s">
        <v>41</v>
      </c>
      <c r="C23" s="97" t="s">
        <v>18</v>
      </c>
      <c r="D23" s="97" t="s">
        <v>7</v>
      </c>
      <c r="E23" s="97" t="s">
        <v>71</v>
      </c>
      <c r="F23" s="97" t="s">
        <v>54</v>
      </c>
      <c r="G23" s="17">
        <v>814477.7</v>
      </c>
      <c r="H23" s="17"/>
      <c r="I23" s="7">
        <f t="shared" si="7"/>
        <v>814477.7</v>
      </c>
      <c r="J23" s="29">
        <v>6768.9</v>
      </c>
      <c r="K23" s="29"/>
      <c r="L23" s="29"/>
      <c r="M23" s="7">
        <f t="shared" si="1"/>
        <v>814477.7</v>
      </c>
      <c r="N23" s="7">
        <f t="shared" si="2"/>
        <v>6768.9</v>
      </c>
      <c r="O23" s="7">
        <v>0</v>
      </c>
      <c r="P23" s="7"/>
      <c r="Q23" s="7"/>
      <c r="R23" s="7">
        <f t="shared" si="3"/>
        <v>6768.9</v>
      </c>
      <c r="S23" s="7">
        <f t="shared" si="4"/>
        <v>0</v>
      </c>
      <c r="T23" s="31">
        <v>0</v>
      </c>
      <c r="U23" s="14"/>
      <c r="V23" s="14"/>
      <c r="W23" s="7">
        <f t="shared" si="5"/>
        <v>0</v>
      </c>
      <c r="X23" s="13">
        <f t="shared" si="0"/>
        <v>0</v>
      </c>
      <c r="Y23" s="12"/>
      <c r="Z23" s="12"/>
      <c r="AA23" s="85">
        <f t="shared" si="6"/>
        <v>0</v>
      </c>
    </row>
    <row r="24" spans="1:27" ht="99" customHeight="1">
      <c r="A24" s="95" t="s">
        <v>197</v>
      </c>
      <c r="B24" s="97" t="s">
        <v>196</v>
      </c>
      <c r="C24" s="97" t="s">
        <v>18</v>
      </c>
      <c r="D24" s="97" t="s">
        <v>7</v>
      </c>
      <c r="E24" s="97" t="s">
        <v>70</v>
      </c>
      <c r="F24" s="97" t="s">
        <v>198</v>
      </c>
      <c r="G24" s="17"/>
      <c r="H24" s="17">
        <v>59108.5</v>
      </c>
      <c r="I24" s="7">
        <f>G24+H24</f>
        <v>59108.5</v>
      </c>
      <c r="J24" s="29"/>
      <c r="K24" s="29">
        <v>693.7</v>
      </c>
      <c r="L24" s="29"/>
      <c r="M24" s="7">
        <f t="shared" si="1"/>
        <v>59108.5</v>
      </c>
      <c r="N24" s="7">
        <f>J24+K24</f>
        <v>693.7</v>
      </c>
      <c r="O24" s="7"/>
      <c r="P24" s="7"/>
      <c r="Q24" s="7"/>
      <c r="R24" s="7">
        <f t="shared" si="3"/>
        <v>693.7</v>
      </c>
      <c r="S24" s="7">
        <f>O24+P24</f>
        <v>0</v>
      </c>
      <c r="T24" s="31"/>
      <c r="U24" s="14"/>
      <c r="V24" s="14"/>
      <c r="W24" s="7">
        <f t="shared" si="5"/>
        <v>0</v>
      </c>
      <c r="X24" s="13">
        <f t="shared" si="0"/>
        <v>0</v>
      </c>
      <c r="Y24" s="12"/>
      <c r="Z24" s="12"/>
      <c r="AA24" s="85">
        <f t="shared" si="6"/>
        <v>0</v>
      </c>
    </row>
    <row r="25" spans="1:27" ht="105" customHeight="1">
      <c r="A25" s="23" t="s">
        <v>269</v>
      </c>
      <c r="B25" s="21" t="s">
        <v>199</v>
      </c>
      <c r="C25" s="22" t="s">
        <v>200</v>
      </c>
      <c r="D25" s="22" t="s">
        <v>7</v>
      </c>
      <c r="E25" s="97" t="s">
        <v>13</v>
      </c>
      <c r="F25" s="22" t="s">
        <v>22</v>
      </c>
      <c r="G25" s="17"/>
      <c r="H25" s="17">
        <v>16877</v>
      </c>
      <c r="I25" s="7">
        <f>G25+H25</f>
        <v>16877</v>
      </c>
      <c r="J25" s="29"/>
      <c r="K25" s="29">
        <v>3050</v>
      </c>
      <c r="L25" s="29"/>
      <c r="M25" s="7">
        <f t="shared" si="1"/>
        <v>16877</v>
      </c>
      <c r="N25" s="7">
        <f>J25+K25</f>
        <v>3050</v>
      </c>
      <c r="O25" s="7"/>
      <c r="P25" s="7"/>
      <c r="Q25" s="7"/>
      <c r="R25" s="7">
        <f t="shared" si="3"/>
        <v>3050</v>
      </c>
      <c r="S25" s="7">
        <v>0</v>
      </c>
      <c r="T25" s="31"/>
      <c r="U25" s="14"/>
      <c r="V25" s="14"/>
      <c r="W25" s="7">
        <f t="shared" si="5"/>
        <v>0</v>
      </c>
      <c r="X25" s="13">
        <f t="shared" si="0"/>
        <v>0</v>
      </c>
      <c r="Y25" s="12"/>
      <c r="Z25" s="12"/>
      <c r="AA25" s="85">
        <f t="shared" si="6"/>
        <v>0</v>
      </c>
    </row>
    <row r="26" spans="1:27" ht="116.25" customHeight="1">
      <c r="A26" s="95" t="s">
        <v>295</v>
      </c>
      <c r="B26" s="33" t="s">
        <v>296</v>
      </c>
      <c r="C26" s="97" t="s">
        <v>5</v>
      </c>
      <c r="D26" s="22" t="s">
        <v>7</v>
      </c>
      <c r="E26" s="97" t="s">
        <v>13</v>
      </c>
      <c r="F26" s="22" t="s">
        <v>297</v>
      </c>
      <c r="G26" s="17"/>
      <c r="H26" s="17"/>
      <c r="I26" s="7"/>
      <c r="J26" s="29"/>
      <c r="K26" s="29"/>
      <c r="L26" s="29">
        <v>270769.59999999998</v>
      </c>
      <c r="M26" s="7">
        <f t="shared" si="1"/>
        <v>270769.59999999998</v>
      </c>
      <c r="N26" s="7"/>
      <c r="O26" s="7"/>
      <c r="P26" s="7"/>
      <c r="Q26" s="7">
        <v>1568.1</v>
      </c>
      <c r="R26" s="7">
        <f t="shared" si="3"/>
        <v>1568.1</v>
      </c>
      <c r="S26" s="7"/>
      <c r="T26" s="31"/>
      <c r="U26" s="14"/>
      <c r="V26" s="14"/>
      <c r="W26" s="7"/>
      <c r="X26" s="13"/>
      <c r="Y26" s="12"/>
      <c r="Z26" s="12"/>
      <c r="AA26" s="85"/>
    </row>
    <row r="27" spans="1:27" ht="36" customHeight="1">
      <c r="A27" s="105" t="s">
        <v>157</v>
      </c>
      <c r="B27" s="110"/>
      <c r="C27" s="110"/>
      <c r="D27" s="111"/>
      <c r="E27" s="97"/>
      <c r="F27" s="97"/>
      <c r="G27" s="7">
        <f>G28</f>
        <v>216748.6</v>
      </c>
      <c r="H27" s="7">
        <f>H28</f>
        <v>0</v>
      </c>
      <c r="I27" s="7">
        <f t="shared" si="7"/>
        <v>216748.6</v>
      </c>
      <c r="J27" s="7">
        <f>J28</f>
        <v>9942.2000000000007</v>
      </c>
      <c r="K27" s="7">
        <f>K28</f>
        <v>7558.3</v>
      </c>
      <c r="L27" s="7">
        <f>L28</f>
        <v>0</v>
      </c>
      <c r="M27" s="7">
        <f t="shared" si="1"/>
        <v>216748.6</v>
      </c>
      <c r="N27" s="7">
        <f t="shared" si="2"/>
        <v>17500.5</v>
      </c>
      <c r="O27" s="7">
        <f>O28</f>
        <v>0</v>
      </c>
      <c r="P27" s="7">
        <f>P28</f>
        <v>0</v>
      </c>
      <c r="Q27" s="7">
        <f>Q28</f>
        <v>19936.699999999997</v>
      </c>
      <c r="R27" s="7">
        <f t="shared" si="3"/>
        <v>37437.199999999997</v>
      </c>
      <c r="S27" s="7">
        <f t="shared" si="4"/>
        <v>0</v>
      </c>
      <c r="T27" s="7">
        <f>T28</f>
        <v>0</v>
      </c>
      <c r="U27" s="14"/>
      <c r="V27" s="7">
        <f>V28</f>
        <v>0</v>
      </c>
      <c r="W27" s="7">
        <f t="shared" si="5"/>
        <v>0</v>
      </c>
      <c r="X27" s="13">
        <f t="shared" si="0"/>
        <v>0</v>
      </c>
      <c r="Y27" s="7">
        <f>Y28</f>
        <v>0</v>
      </c>
      <c r="Z27" s="12"/>
      <c r="AA27" s="85">
        <f t="shared" si="6"/>
        <v>0</v>
      </c>
    </row>
    <row r="28" spans="1:27" ht="111.75" customHeight="1">
      <c r="A28" s="95" t="s">
        <v>158</v>
      </c>
      <c r="B28" s="98" t="s">
        <v>46</v>
      </c>
      <c r="C28" s="97" t="s">
        <v>18</v>
      </c>
      <c r="D28" s="97" t="s">
        <v>16</v>
      </c>
      <c r="E28" s="97" t="s">
        <v>26</v>
      </c>
      <c r="F28" s="97" t="s">
        <v>22</v>
      </c>
      <c r="G28" s="7">
        <v>216748.6</v>
      </c>
      <c r="H28" s="7"/>
      <c r="I28" s="7">
        <f t="shared" si="7"/>
        <v>216748.6</v>
      </c>
      <c r="J28" s="7">
        <v>9942.2000000000007</v>
      </c>
      <c r="K28" s="7">
        <v>7558.3</v>
      </c>
      <c r="L28" s="7"/>
      <c r="M28" s="7">
        <f t="shared" si="1"/>
        <v>216748.6</v>
      </c>
      <c r="N28" s="7">
        <f t="shared" si="2"/>
        <v>17500.5</v>
      </c>
      <c r="O28" s="7">
        <v>0</v>
      </c>
      <c r="P28" s="7"/>
      <c r="Q28" s="7">
        <f>11901.6+2840.2+5194.9</f>
        <v>19936.699999999997</v>
      </c>
      <c r="R28" s="7">
        <f t="shared" si="3"/>
        <v>37437.199999999997</v>
      </c>
      <c r="S28" s="7">
        <f t="shared" si="4"/>
        <v>0</v>
      </c>
      <c r="T28" s="7">
        <v>0</v>
      </c>
      <c r="U28" s="14"/>
      <c r="V28" s="14"/>
      <c r="W28" s="7">
        <f t="shared" si="5"/>
        <v>0</v>
      </c>
      <c r="X28" s="13">
        <f t="shared" si="0"/>
        <v>0</v>
      </c>
      <c r="Y28" s="12"/>
      <c r="Z28" s="12"/>
      <c r="AA28" s="85">
        <f t="shared" si="6"/>
        <v>0</v>
      </c>
    </row>
    <row r="29" spans="1:27" ht="36.75" customHeight="1">
      <c r="A29" s="105" t="s">
        <v>159</v>
      </c>
      <c r="B29" s="109"/>
      <c r="C29" s="109"/>
      <c r="D29" s="106"/>
      <c r="E29" s="97"/>
      <c r="F29" s="97"/>
      <c r="G29" s="7">
        <f>SUM(G30:G30)</f>
        <v>716927.7</v>
      </c>
      <c r="H29" s="7">
        <f>SUM(H30:H30)</f>
        <v>345409</v>
      </c>
      <c r="I29" s="7">
        <f t="shared" si="7"/>
        <v>1062336.7</v>
      </c>
      <c r="J29" s="7">
        <f>SUM(J30:J30)</f>
        <v>10182.1</v>
      </c>
      <c r="K29" s="7">
        <f>SUM(K30:K30)</f>
        <v>0</v>
      </c>
      <c r="L29" s="7">
        <f>L30</f>
        <v>0</v>
      </c>
      <c r="M29" s="7">
        <f t="shared" si="1"/>
        <v>1062336.7</v>
      </c>
      <c r="N29" s="7">
        <f t="shared" si="2"/>
        <v>10182.1</v>
      </c>
      <c r="O29" s="7">
        <f>SUM(O30:O30)</f>
        <v>0</v>
      </c>
      <c r="P29" s="7">
        <f>SUM(P30:P30)</f>
        <v>0</v>
      </c>
      <c r="Q29" s="7">
        <f>Q30</f>
        <v>0</v>
      </c>
      <c r="R29" s="7">
        <f t="shared" si="3"/>
        <v>10182.1</v>
      </c>
      <c r="S29" s="7">
        <f t="shared" si="4"/>
        <v>0</v>
      </c>
      <c r="T29" s="7">
        <f>SUM(T30:T30)</f>
        <v>0</v>
      </c>
      <c r="U29" s="14"/>
      <c r="V29" s="7">
        <f>V30</f>
        <v>0</v>
      </c>
      <c r="W29" s="7">
        <f t="shared" si="5"/>
        <v>0</v>
      </c>
      <c r="X29" s="13">
        <f t="shared" si="0"/>
        <v>0</v>
      </c>
      <c r="Y29" s="7">
        <f>Y30</f>
        <v>0</v>
      </c>
      <c r="Z29" s="12"/>
      <c r="AA29" s="85">
        <f t="shared" si="6"/>
        <v>0</v>
      </c>
    </row>
    <row r="30" spans="1:27" ht="101.25" customHeight="1">
      <c r="A30" s="23" t="s">
        <v>142</v>
      </c>
      <c r="B30" s="22" t="s">
        <v>60</v>
      </c>
      <c r="C30" s="97" t="s">
        <v>18</v>
      </c>
      <c r="D30" s="22" t="s">
        <v>7</v>
      </c>
      <c r="E30" s="97" t="s">
        <v>29</v>
      </c>
      <c r="F30" s="22" t="s">
        <v>141</v>
      </c>
      <c r="G30" s="7">
        <v>716927.7</v>
      </c>
      <c r="H30" s="7">
        <v>345409</v>
      </c>
      <c r="I30" s="7">
        <f t="shared" si="7"/>
        <v>1062336.7</v>
      </c>
      <c r="J30" s="7">
        <v>10182.1</v>
      </c>
      <c r="K30" s="7"/>
      <c r="L30" s="7"/>
      <c r="M30" s="7">
        <f t="shared" si="1"/>
        <v>1062336.7</v>
      </c>
      <c r="N30" s="7">
        <f t="shared" si="2"/>
        <v>10182.1</v>
      </c>
      <c r="O30" s="7">
        <v>0</v>
      </c>
      <c r="P30" s="7"/>
      <c r="Q30" s="7"/>
      <c r="R30" s="7">
        <f t="shared" si="3"/>
        <v>10182.1</v>
      </c>
      <c r="S30" s="7">
        <f t="shared" si="4"/>
        <v>0</v>
      </c>
      <c r="T30" s="7">
        <v>0</v>
      </c>
      <c r="U30" s="14"/>
      <c r="V30" s="14"/>
      <c r="W30" s="7">
        <f t="shared" si="5"/>
        <v>0</v>
      </c>
      <c r="X30" s="13">
        <f t="shared" si="0"/>
        <v>0</v>
      </c>
      <c r="Y30" s="12"/>
      <c r="Z30" s="12"/>
      <c r="AA30" s="85">
        <f t="shared" si="6"/>
        <v>0</v>
      </c>
    </row>
    <row r="31" spans="1:27" ht="53.25" customHeight="1">
      <c r="A31" s="107" t="s">
        <v>201</v>
      </c>
      <c r="B31" s="107"/>
      <c r="C31" s="107"/>
      <c r="D31" s="107"/>
      <c r="E31" s="97"/>
      <c r="F31" s="22"/>
      <c r="G31" s="7">
        <f>G32</f>
        <v>0</v>
      </c>
      <c r="H31" s="7">
        <f>H32</f>
        <v>11525.5</v>
      </c>
      <c r="I31" s="7">
        <f>G31+H31</f>
        <v>11525.5</v>
      </c>
      <c r="J31" s="7">
        <f>J32</f>
        <v>0</v>
      </c>
      <c r="K31" s="7">
        <f>K32</f>
        <v>6475.6</v>
      </c>
      <c r="L31" s="7">
        <f>L32</f>
        <v>0</v>
      </c>
      <c r="M31" s="7">
        <f t="shared" si="1"/>
        <v>11525.5</v>
      </c>
      <c r="N31" s="7">
        <f>J31+K31</f>
        <v>6475.6</v>
      </c>
      <c r="O31" s="7">
        <f>O32</f>
        <v>0</v>
      </c>
      <c r="P31" s="7"/>
      <c r="Q31" s="7">
        <f>Q32</f>
        <v>0</v>
      </c>
      <c r="R31" s="7">
        <f t="shared" si="3"/>
        <v>6475.6</v>
      </c>
      <c r="S31" s="7">
        <f>O31+P31</f>
        <v>0</v>
      </c>
      <c r="T31" s="7"/>
      <c r="U31" s="14"/>
      <c r="V31" s="7">
        <f>V32</f>
        <v>0</v>
      </c>
      <c r="W31" s="7">
        <f t="shared" si="5"/>
        <v>0</v>
      </c>
      <c r="X31" s="13">
        <f t="shared" si="0"/>
        <v>0</v>
      </c>
      <c r="Y31" s="7">
        <f>Y32</f>
        <v>0</v>
      </c>
      <c r="Z31" s="12"/>
      <c r="AA31" s="85">
        <f t="shared" si="6"/>
        <v>0</v>
      </c>
    </row>
    <row r="32" spans="1:27" ht="105.75" customHeight="1">
      <c r="A32" s="95" t="s">
        <v>204</v>
      </c>
      <c r="B32" s="97" t="s">
        <v>202</v>
      </c>
      <c r="C32" s="97" t="s">
        <v>18</v>
      </c>
      <c r="D32" s="97" t="s">
        <v>7</v>
      </c>
      <c r="E32" s="97" t="s">
        <v>203</v>
      </c>
      <c r="F32" s="97" t="s">
        <v>22</v>
      </c>
      <c r="G32" s="7">
        <v>0</v>
      </c>
      <c r="H32" s="7">
        <v>11525.5</v>
      </c>
      <c r="I32" s="7">
        <f>G32+H32</f>
        <v>11525.5</v>
      </c>
      <c r="J32" s="7">
        <v>0</v>
      </c>
      <c r="K32" s="7">
        <v>6475.6</v>
      </c>
      <c r="L32" s="7"/>
      <c r="M32" s="7">
        <f t="shared" si="1"/>
        <v>11525.5</v>
      </c>
      <c r="N32" s="7">
        <f>J32+K32</f>
        <v>6475.6</v>
      </c>
      <c r="O32" s="7">
        <v>0</v>
      </c>
      <c r="P32" s="7"/>
      <c r="Q32" s="7"/>
      <c r="R32" s="7">
        <f t="shared" si="3"/>
        <v>6475.6</v>
      </c>
      <c r="S32" s="7">
        <v>0</v>
      </c>
      <c r="T32" s="7">
        <v>0</v>
      </c>
      <c r="U32" s="14"/>
      <c r="V32" s="14"/>
      <c r="W32" s="7">
        <f t="shared" si="5"/>
        <v>0</v>
      </c>
      <c r="X32" s="13">
        <f t="shared" si="0"/>
        <v>0</v>
      </c>
      <c r="Y32" s="12"/>
      <c r="Z32" s="12"/>
      <c r="AA32" s="85">
        <f t="shared" si="6"/>
        <v>0</v>
      </c>
    </row>
    <row r="33" spans="1:27" ht="114.75" customHeight="1">
      <c r="A33" s="95" t="s">
        <v>286</v>
      </c>
      <c r="B33" s="97" t="s">
        <v>21</v>
      </c>
      <c r="C33" s="22" t="s">
        <v>200</v>
      </c>
      <c r="D33" s="22" t="s">
        <v>7</v>
      </c>
      <c r="E33" s="97" t="s">
        <v>13</v>
      </c>
      <c r="F33" s="97">
        <v>2019</v>
      </c>
      <c r="G33" s="7"/>
      <c r="H33" s="7">
        <v>44151.5</v>
      </c>
      <c r="I33" s="7">
        <f>G33+H33</f>
        <v>44151.5</v>
      </c>
      <c r="J33" s="7"/>
      <c r="K33" s="7"/>
      <c r="L33" s="7"/>
      <c r="M33" s="7">
        <f t="shared" si="1"/>
        <v>44151.5</v>
      </c>
      <c r="N33" s="7">
        <f>J33+K33</f>
        <v>0</v>
      </c>
      <c r="O33" s="7"/>
      <c r="P33" s="7">
        <v>44151.5</v>
      </c>
      <c r="Q33" s="7"/>
      <c r="R33" s="7">
        <f t="shared" si="3"/>
        <v>0</v>
      </c>
      <c r="S33" s="7">
        <f>O33+P33</f>
        <v>44151.5</v>
      </c>
      <c r="T33" s="7"/>
      <c r="U33" s="14"/>
      <c r="V33" s="14"/>
      <c r="W33" s="7">
        <f t="shared" si="5"/>
        <v>44151.5</v>
      </c>
      <c r="X33" s="13">
        <v>0</v>
      </c>
      <c r="Y33" s="12"/>
      <c r="Z33" s="12"/>
      <c r="AA33" s="85">
        <f t="shared" si="6"/>
        <v>0</v>
      </c>
    </row>
    <row r="34" spans="1:27" ht="40.5" customHeight="1">
      <c r="A34" s="107" t="s">
        <v>110</v>
      </c>
      <c r="B34" s="108"/>
      <c r="C34" s="108"/>
      <c r="D34" s="108"/>
      <c r="E34" s="97"/>
      <c r="F34" s="95"/>
      <c r="G34" s="7">
        <f>G35+G58+G63</f>
        <v>3079439.7</v>
      </c>
      <c r="H34" s="7">
        <f>H35+H58+H63+H64+H65</f>
        <v>2368511.1051000003</v>
      </c>
      <c r="I34" s="7">
        <f t="shared" si="7"/>
        <v>5447950.8051000005</v>
      </c>
      <c r="J34" s="7">
        <f>J35+J58+J63</f>
        <v>247888.19999999995</v>
      </c>
      <c r="K34" s="7">
        <f>K35+K58+K63+K64+K65</f>
        <v>136647.69</v>
      </c>
      <c r="L34" s="7">
        <f>L35+L58+L63+L64+L66</f>
        <v>379345.09326000005</v>
      </c>
      <c r="M34" s="7">
        <f t="shared" si="1"/>
        <v>5827295.8983600009</v>
      </c>
      <c r="N34" s="7">
        <f t="shared" si="2"/>
        <v>384535.88999999996</v>
      </c>
      <c r="O34" s="7">
        <f>O35+O58</f>
        <v>122414.79999999999</v>
      </c>
      <c r="P34" s="7">
        <f>P35+P58+P63+P64+P65</f>
        <v>11040.58</v>
      </c>
      <c r="Q34" s="7">
        <f>Q35+Q58+Q63+Q64+Q66</f>
        <v>71710.682319999993</v>
      </c>
      <c r="R34" s="7">
        <f t="shared" si="3"/>
        <v>456246.57231999992</v>
      </c>
      <c r="S34" s="7">
        <f t="shared" si="4"/>
        <v>133455.37999999998</v>
      </c>
      <c r="T34" s="7">
        <f>T35+T58</f>
        <v>0</v>
      </c>
      <c r="U34" s="7">
        <f>U35+U58+U63+U64+U65</f>
        <v>12237.2</v>
      </c>
      <c r="V34" s="7">
        <f>V35+V58+V63+V64+V66</f>
        <v>5000</v>
      </c>
      <c r="W34" s="7">
        <f t="shared" si="5"/>
        <v>138455.37999999998</v>
      </c>
      <c r="X34" s="13">
        <f t="shared" ref="X34:X54" si="8">T34+U34</f>
        <v>12237.2</v>
      </c>
      <c r="Y34" s="7">
        <f>Y35+Y58+Y63+Y64+Y66</f>
        <v>5000</v>
      </c>
      <c r="Z34" s="12"/>
      <c r="AA34" s="85">
        <f t="shared" si="6"/>
        <v>17237.2</v>
      </c>
    </row>
    <row r="35" spans="1:27" ht="27" customHeight="1">
      <c r="A35" s="107" t="s">
        <v>17</v>
      </c>
      <c r="B35" s="131"/>
      <c r="C35" s="131"/>
      <c r="D35" s="131"/>
      <c r="E35" s="97"/>
      <c r="F35" s="95"/>
      <c r="G35" s="7">
        <f>SUM(G36:G56)</f>
        <v>1457952.7</v>
      </c>
      <c r="H35" s="7">
        <f>SUM(H36:H56)</f>
        <v>2364701.9051000001</v>
      </c>
      <c r="I35" s="7">
        <f t="shared" si="7"/>
        <v>3822654.6051000003</v>
      </c>
      <c r="J35" s="7">
        <f>SUM(J36:J43)</f>
        <v>98588.999999999985</v>
      </c>
      <c r="K35" s="7">
        <f>SUM(K36:K56)</f>
        <v>68264.19</v>
      </c>
      <c r="L35" s="7">
        <f>L36+L37+L38+L39+L40+L41+L42+L43+L44+L45+L47+L48+L49+L50+L51+L52+L53+L54+L56+L55+L57+L46</f>
        <v>-30642.906739999948</v>
      </c>
      <c r="M35" s="7">
        <f t="shared" si="1"/>
        <v>3792011.6983600003</v>
      </c>
      <c r="N35" s="7">
        <f>SUM(N36:N56)</f>
        <v>166853.18999999997</v>
      </c>
      <c r="O35" s="7">
        <f>SUM(O36:O43)</f>
        <v>0</v>
      </c>
      <c r="P35" s="7">
        <f>SUM(P36:P56)</f>
        <v>11040.58</v>
      </c>
      <c r="Q35" s="7">
        <f>Q36+Q37+Q38+Q39+Q40+Q41+Q42+Q43+Q44+Q45+Q47+Q48+Q49+Q50+Q51+Q52+Q53+Q54+Q56+Q55+Q57+Q46</f>
        <v>23968.182319999993</v>
      </c>
      <c r="R35" s="7">
        <f t="shared" si="3"/>
        <v>190821.37231999997</v>
      </c>
      <c r="S35" s="7">
        <f>SUM(S36:S56)</f>
        <v>11040.58</v>
      </c>
      <c r="T35" s="7">
        <f>SUM(T36:T36)</f>
        <v>0</v>
      </c>
      <c r="U35" s="7">
        <f>SUM(U36:U56)</f>
        <v>12237.2</v>
      </c>
      <c r="V35" s="7">
        <v>0</v>
      </c>
      <c r="W35" s="7">
        <f t="shared" si="5"/>
        <v>11040.58</v>
      </c>
      <c r="X35" s="7">
        <f>SUM(X36:X56)</f>
        <v>12237.2</v>
      </c>
      <c r="Y35" s="7">
        <f>Y36+Y37+Y38+Y39+Y40+Y41+Y42+Y43+Y44+Y45+Y47+Y48+Y49+Y50+Y51+Y52+Y53+Y54+Y56+Y55+Y57+Y46</f>
        <v>0</v>
      </c>
      <c r="Z35" s="12"/>
      <c r="AA35" s="85">
        <f t="shared" si="6"/>
        <v>12237.2</v>
      </c>
    </row>
    <row r="36" spans="1:27" ht="127.5" customHeight="1" outlineLevel="1">
      <c r="A36" s="95" t="s">
        <v>108</v>
      </c>
      <c r="B36" s="97" t="s">
        <v>15</v>
      </c>
      <c r="C36" s="97" t="s">
        <v>79</v>
      </c>
      <c r="D36" s="97" t="s">
        <v>7</v>
      </c>
      <c r="E36" s="22" t="s">
        <v>48</v>
      </c>
      <c r="F36" s="97" t="s">
        <v>106</v>
      </c>
      <c r="G36" s="7">
        <v>101257.9</v>
      </c>
      <c r="H36" s="7"/>
      <c r="I36" s="7">
        <f t="shared" si="7"/>
        <v>101257.9</v>
      </c>
      <c r="J36" s="7">
        <v>406</v>
      </c>
      <c r="K36" s="7">
        <v>4936.3999999999996</v>
      </c>
      <c r="L36" s="7"/>
      <c r="M36" s="7">
        <f t="shared" si="1"/>
        <v>101257.9</v>
      </c>
      <c r="N36" s="7">
        <f t="shared" si="2"/>
        <v>5342.4</v>
      </c>
      <c r="O36" s="17">
        <v>0</v>
      </c>
      <c r="P36" s="17"/>
      <c r="Q36" s="17">
        <f>444.9-728.1</f>
        <v>-283.20000000000005</v>
      </c>
      <c r="R36" s="7">
        <f t="shared" si="3"/>
        <v>5059.2</v>
      </c>
      <c r="S36" s="7">
        <f t="shared" si="4"/>
        <v>0</v>
      </c>
      <c r="T36" s="17">
        <v>0</v>
      </c>
      <c r="U36" s="14"/>
      <c r="V36" s="14"/>
      <c r="W36" s="7">
        <f t="shared" si="5"/>
        <v>0</v>
      </c>
      <c r="X36" s="13">
        <f t="shared" si="8"/>
        <v>0</v>
      </c>
      <c r="Y36" s="12"/>
      <c r="Z36" s="12"/>
      <c r="AA36" s="85">
        <f t="shared" si="6"/>
        <v>0</v>
      </c>
    </row>
    <row r="37" spans="1:27" ht="127.5" customHeight="1" outlineLevel="1">
      <c r="A37" s="95" t="s">
        <v>160</v>
      </c>
      <c r="B37" s="97" t="s">
        <v>80</v>
      </c>
      <c r="C37" s="97" t="s">
        <v>79</v>
      </c>
      <c r="D37" s="97" t="s">
        <v>7</v>
      </c>
      <c r="E37" s="97" t="s">
        <v>47</v>
      </c>
      <c r="F37" s="97" t="s">
        <v>22</v>
      </c>
      <c r="G37" s="17">
        <v>152863.9</v>
      </c>
      <c r="H37" s="17"/>
      <c r="I37" s="7">
        <f t="shared" si="7"/>
        <v>152863.9</v>
      </c>
      <c r="J37" s="7">
        <v>8786.4</v>
      </c>
      <c r="K37" s="7">
        <v>6711.1</v>
      </c>
      <c r="L37" s="7"/>
      <c r="M37" s="7">
        <f t="shared" si="1"/>
        <v>152863.9</v>
      </c>
      <c r="N37" s="7">
        <f t="shared" si="2"/>
        <v>15497.5</v>
      </c>
      <c r="O37" s="17">
        <v>0</v>
      </c>
      <c r="P37" s="17"/>
      <c r="Q37" s="17">
        <f>-137.1-1.2</f>
        <v>-138.29999999999998</v>
      </c>
      <c r="R37" s="7">
        <f t="shared" si="3"/>
        <v>15359.2</v>
      </c>
      <c r="S37" s="7">
        <f t="shared" si="4"/>
        <v>0</v>
      </c>
      <c r="T37" s="17">
        <v>0</v>
      </c>
      <c r="U37" s="14"/>
      <c r="V37" s="14"/>
      <c r="W37" s="7">
        <f t="shared" si="5"/>
        <v>0</v>
      </c>
      <c r="X37" s="13">
        <f t="shared" si="8"/>
        <v>0</v>
      </c>
      <c r="Y37" s="12"/>
      <c r="Z37" s="12"/>
      <c r="AA37" s="85">
        <f t="shared" si="6"/>
        <v>0</v>
      </c>
    </row>
    <row r="38" spans="1:27" ht="147" customHeight="1" outlineLevel="1">
      <c r="A38" s="95" t="s">
        <v>161</v>
      </c>
      <c r="B38" s="97" t="s">
        <v>46</v>
      </c>
      <c r="C38" s="97" t="s">
        <v>79</v>
      </c>
      <c r="D38" s="97" t="s">
        <v>7</v>
      </c>
      <c r="E38" s="97" t="s">
        <v>47</v>
      </c>
      <c r="F38" s="97" t="s">
        <v>22</v>
      </c>
      <c r="G38" s="17">
        <v>215123.1</v>
      </c>
      <c r="H38" s="17"/>
      <c r="I38" s="7">
        <f t="shared" si="7"/>
        <v>215123.1</v>
      </c>
      <c r="J38" s="7">
        <v>12340.5</v>
      </c>
      <c r="K38" s="7">
        <v>9067.4</v>
      </c>
      <c r="L38" s="7"/>
      <c r="M38" s="7">
        <f t="shared" si="1"/>
        <v>215123.1</v>
      </c>
      <c r="N38" s="7">
        <f t="shared" si="2"/>
        <v>21407.9</v>
      </c>
      <c r="O38" s="17">
        <v>0</v>
      </c>
      <c r="P38" s="17"/>
      <c r="Q38" s="17">
        <f>1197.6-1982.1</f>
        <v>-784.5</v>
      </c>
      <c r="R38" s="7">
        <f t="shared" si="3"/>
        <v>20623.400000000001</v>
      </c>
      <c r="S38" s="7">
        <f t="shared" si="4"/>
        <v>0</v>
      </c>
      <c r="T38" s="17">
        <v>0</v>
      </c>
      <c r="U38" s="14"/>
      <c r="V38" s="14"/>
      <c r="W38" s="7">
        <f t="shared" si="5"/>
        <v>0</v>
      </c>
      <c r="X38" s="13">
        <f t="shared" si="8"/>
        <v>0</v>
      </c>
      <c r="Y38" s="12"/>
      <c r="Z38" s="12"/>
      <c r="AA38" s="85">
        <f t="shared" si="6"/>
        <v>0</v>
      </c>
    </row>
    <row r="39" spans="1:27" ht="122.25" customHeight="1" outlineLevel="1">
      <c r="A39" s="95" t="s">
        <v>232</v>
      </c>
      <c r="B39" s="97" t="s">
        <v>46</v>
      </c>
      <c r="C39" s="97" t="s">
        <v>79</v>
      </c>
      <c r="D39" s="97" t="s">
        <v>7</v>
      </c>
      <c r="E39" s="97" t="s">
        <v>29</v>
      </c>
      <c r="F39" s="97" t="s">
        <v>22</v>
      </c>
      <c r="G39" s="17">
        <v>179406.1</v>
      </c>
      <c r="H39" s="32">
        <v>49759.9</v>
      </c>
      <c r="I39" s="7">
        <f t="shared" si="7"/>
        <v>229166</v>
      </c>
      <c r="J39" s="7">
        <v>8182.3</v>
      </c>
      <c r="K39" s="7">
        <f>10065.3+2449+1744.7</f>
        <v>14259</v>
      </c>
      <c r="L39" s="7"/>
      <c r="M39" s="7">
        <f t="shared" si="1"/>
        <v>229166</v>
      </c>
      <c r="N39" s="17">
        <f t="shared" si="2"/>
        <v>22441.3</v>
      </c>
      <c r="O39" s="17">
        <v>0</v>
      </c>
      <c r="P39" s="17"/>
      <c r="Q39" s="17">
        <f>-1939.5-8.6+25711.8</f>
        <v>23763.7</v>
      </c>
      <c r="R39" s="7">
        <f t="shared" si="3"/>
        <v>46205</v>
      </c>
      <c r="S39" s="7">
        <f t="shared" si="4"/>
        <v>0</v>
      </c>
      <c r="T39" s="17">
        <v>0</v>
      </c>
      <c r="U39" s="14"/>
      <c r="V39" s="14"/>
      <c r="W39" s="7">
        <f t="shared" si="5"/>
        <v>0</v>
      </c>
      <c r="X39" s="13">
        <f t="shared" si="8"/>
        <v>0</v>
      </c>
      <c r="Y39" s="12"/>
      <c r="Z39" s="12">
        <v>8.1</v>
      </c>
      <c r="AA39" s="85">
        <f t="shared" si="6"/>
        <v>0</v>
      </c>
    </row>
    <row r="40" spans="1:27" ht="123.75" customHeight="1" outlineLevel="1">
      <c r="A40" s="95" t="s">
        <v>162</v>
      </c>
      <c r="B40" s="97" t="s">
        <v>46</v>
      </c>
      <c r="C40" s="97" t="s">
        <v>79</v>
      </c>
      <c r="D40" s="97" t="s">
        <v>7</v>
      </c>
      <c r="E40" s="97" t="s">
        <v>31</v>
      </c>
      <c r="F40" s="97" t="s">
        <v>22</v>
      </c>
      <c r="G40" s="17">
        <v>251317.5</v>
      </c>
      <c r="H40" s="32">
        <v>6271.6</v>
      </c>
      <c r="I40" s="7">
        <f t="shared" si="7"/>
        <v>257589.1</v>
      </c>
      <c r="J40" s="7">
        <v>23140.7</v>
      </c>
      <c r="K40" s="7">
        <v>-5081.1099999999997</v>
      </c>
      <c r="L40" s="7"/>
      <c r="M40" s="7">
        <f t="shared" si="1"/>
        <v>257589.1</v>
      </c>
      <c r="N40" s="7">
        <f t="shared" si="2"/>
        <v>18059.59</v>
      </c>
      <c r="O40" s="17">
        <v>0</v>
      </c>
      <c r="P40" s="17"/>
      <c r="Q40" s="17"/>
      <c r="R40" s="7">
        <f t="shared" si="3"/>
        <v>18059.59</v>
      </c>
      <c r="S40" s="7">
        <f t="shared" si="4"/>
        <v>0</v>
      </c>
      <c r="T40" s="17">
        <v>0</v>
      </c>
      <c r="U40" s="14"/>
      <c r="V40" s="14"/>
      <c r="W40" s="7">
        <f t="shared" si="5"/>
        <v>0</v>
      </c>
      <c r="X40" s="13">
        <f t="shared" si="8"/>
        <v>0</v>
      </c>
      <c r="Y40" s="12"/>
      <c r="Z40" s="12"/>
      <c r="AA40" s="85">
        <f t="shared" si="6"/>
        <v>0</v>
      </c>
    </row>
    <row r="41" spans="1:27" ht="130.5" customHeight="1" outlineLevel="1">
      <c r="A41" s="95" t="s">
        <v>101</v>
      </c>
      <c r="B41" s="97" t="s">
        <v>74</v>
      </c>
      <c r="C41" s="97" t="s">
        <v>79</v>
      </c>
      <c r="D41" s="97" t="s">
        <v>7</v>
      </c>
      <c r="E41" s="97" t="s">
        <v>70</v>
      </c>
      <c r="F41" s="97" t="s">
        <v>22</v>
      </c>
      <c r="G41" s="17">
        <v>188981.5</v>
      </c>
      <c r="H41" s="17"/>
      <c r="I41" s="7">
        <f t="shared" si="7"/>
        <v>188981.5</v>
      </c>
      <c r="J41" s="7">
        <v>14959.5</v>
      </c>
      <c r="K41" s="7">
        <v>5733.6</v>
      </c>
      <c r="L41" s="7"/>
      <c r="M41" s="7">
        <f t="shared" si="1"/>
        <v>188981.5</v>
      </c>
      <c r="N41" s="17">
        <f t="shared" si="2"/>
        <v>20693.099999999999</v>
      </c>
      <c r="O41" s="17">
        <v>0</v>
      </c>
      <c r="P41" s="17"/>
      <c r="Q41" s="17">
        <f>351.6-1046.8</f>
        <v>-695.19999999999993</v>
      </c>
      <c r="R41" s="7">
        <f t="shared" si="3"/>
        <v>19997.899999999998</v>
      </c>
      <c r="S41" s="7">
        <f t="shared" si="4"/>
        <v>0</v>
      </c>
      <c r="T41" s="17">
        <v>0</v>
      </c>
      <c r="U41" s="14"/>
      <c r="V41" s="14"/>
      <c r="W41" s="7">
        <f t="shared" si="5"/>
        <v>0</v>
      </c>
      <c r="X41" s="13">
        <f t="shared" si="8"/>
        <v>0</v>
      </c>
      <c r="Y41" s="12"/>
      <c r="Z41" s="12">
        <v>-0.1</v>
      </c>
      <c r="AA41" s="85">
        <f t="shared" si="6"/>
        <v>0</v>
      </c>
    </row>
    <row r="42" spans="1:27" ht="134.25" customHeight="1" outlineLevel="1">
      <c r="A42" s="95" t="s">
        <v>102</v>
      </c>
      <c r="B42" s="97" t="s">
        <v>74</v>
      </c>
      <c r="C42" s="97" t="s">
        <v>79</v>
      </c>
      <c r="D42" s="97" t="s">
        <v>7</v>
      </c>
      <c r="E42" s="97" t="s">
        <v>47</v>
      </c>
      <c r="F42" s="97" t="s">
        <v>22</v>
      </c>
      <c r="G42" s="17">
        <v>221750</v>
      </c>
      <c r="H42" s="17"/>
      <c r="I42" s="7">
        <f t="shared" si="7"/>
        <v>221750</v>
      </c>
      <c r="J42" s="7">
        <v>19470.2</v>
      </c>
      <c r="K42" s="7">
        <f>2632.1+1093.4</f>
        <v>3725.5</v>
      </c>
      <c r="L42" s="7"/>
      <c r="M42" s="7">
        <f t="shared" si="1"/>
        <v>221750</v>
      </c>
      <c r="N42" s="17">
        <f t="shared" si="2"/>
        <v>23195.7</v>
      </c>
      <c r="O42" s="17">
        <v>0</v>
      </c>
      <c r="P42" s="17"/>
      <c r="Q42" s="17">
        <f>-1093.4</f>
        <v>-1093.4000000000001</v>
      </c>
      <c r="R42" s="7">
        <f t="shared" si="3"/>
        <v>22102.3</v>
      </c>
      <c r="S42" s="7">
        <f t="shared" si="4"/>
        <v>0</v>
      </c>
      <c r="T42" s="17">
        <v>0</v>
      </c>
      <c r="U42" s="14"/>
      <c r="V42" s="14"/>
      <c r="W42" s="7">
        <f t="shared" si="5"/>
        <v>0</v>
      </c>
      <c r="X42" s="13">
        <f t="shared" si="8"/>
        <v>0</v>
      </c>
      <c r="Y42" s="12"/>
      <c r="Z42" s="12"/>
      <c r="AA42" s="85">
        <f t="shared" si="6"/>
        <v>0</v>
      </c>
    </row>
    <row r="43" spans="1:27" ht="206.25" customHeight="1" outlineLevel="1">
      <c r="A43" s="95" t="s">
        <v>107</v>
      </c>
      <c r="B43" s="97" t="s">
        <v>15</v>
      </c>
      <c r="C43" s="97" t="s">
        <v>205</v>
      </c>
      <c r="D43" s="97" t="s">
        <v>7</v>
      </c>
      <c r="E43" s="97" t="s">
        <v>270</v>
      </c>
      <c r="F43" s="97" t="s">
        <v>35</v>
      </c>
      <c r="G43" s="17">
        <v>147252.70000000001</v>
      </c>
      <c r="H43" s="17"/>
      <c r="I43" s="7">
        <f t="shared" si="7"/>
        <v>147252.70000000001</v>
      </c>
      <c r="J43" s="7">
        <v>11303.4</v>
      </c>
      <c r="K43" s="7">
        <v>6062.6</v>
      </c>
      <c r="L43" s="7"/>
      <c r="M43" s="7">
        <f t="shared" si="1"/>
        <v>147252.70000000001</v>
      </c>
      <c r="N43" s="7">
        <f t="shared" si="2"/>
        <v>17366</v>
      </c>
      <c r="O43" s="17">
        <v>0</v>
      </c>
      <c r="P43" s="17"/>
      <c r="Q43" s="17">
        <f>3451.3+82.5-334.7</f>
        <v>3199.1000000000004</v>
      </c>
      <c r="R43" s="7">
        <f t="shared" si="3"/>
        <v>20565.099999999999</v>
      </c>
      <c r="S43" s="7">
        <f t="shared" si="4"/>
        <v>0</v>
      </c>
      <c r="T43" s="17">
        <v>0</v>
      </c>
      <c r="U43" s="14"/>
      <c r="V43" s="14"/>
      <c r="W43" s="7">
        <f t="shared" si="5"/>
        <v>0</v>
      </c>
      <c r="X43" s="13">
        <f t="shared" si="8"/>
        <v>0</v>
      </c>
      <c r="Y43" s="12"/>
      <c r="Z43" s="12"/>
      <c r="AA43" s="85">
        <f t="shared" si="6"/>
        <v>0</v>
      </c>
    </row>
    <row r="44" spans="1:27" ht="123.75" customHeight="1" outlineLevel="1">
      <c r="A44" s="95" t="s">
        <v>213</v>
      </c>
      <c r="B44" s="97" t="s">
        <v>46</v>
      </c>
      <c r="C44" s="97" t="s">
        <v>30</v>
      </c>
      <c r="D44" s="97" t="s">
        <v>7</v>
      </c>
      <c r="E44" s="97" t="s">
        <v>47</v>
      </c>
      <c r="F44" s="97" t="s">
        <v>223</v>
      </c>
      <c r="G44" s="17">
        <v>0</v>
      </c>
      <c r="H44" s="17">
        <v>306735.30674000003</v>
      </c>
      <c r="I44" s="7">
        <f t="shared" si="7"/>
        <v>306735.30674000003</v>
      </c>
      <c r="J44" s="7">
        <v>0</v>
      </c>
      <c r="K44" s="7">
        <v>3061.2</v>
      </c>
      <c r="L44" s="7"/>
      <c r="M44" s="7">
        <f t="shared" si="1"/>
        <v>306735.30674000003</v>
      </c>
      <c r="N44" s="7">
        <f t="shared" si="2"/>
        <v>3061.2</v>
      </c>
      <c r="O44" s="17">
        <v>0</v>
      </c>
      <c r="P44" s="17">
        <v>3067.34</v>
      </c>
      <c r="Q44" s="17">
        <v>-99.9</v>
      </c>
      <c r="R44" s="7">
        <f t="shared" si="3"/>
        <v>2961.2999999999997</v>
      </c>
      <c r="S44" s="7">
        <f t="shared" si="4"/>
        <v>3067.34</v>
      </c>
      <c r="T44" s="17">
        <v>0</v>
      </c>
      <c r="U44" s="14"/>
      <c r="V44" s="16">
        <v>-1318.4</v>
      </c>
      <c r="W44" s="7">
        <f t="shared" si="5"/>
        <v>1748.94</v>
      </c>
      <c r="X44" s="13">
        <f t="shared" si="8"/>
        <v>0</v>
      </c>
      <c r="Y44" s="15">
        <v>799.2</v>
      </c>
      <c r="Z44" s="12"/>
      <c r="AA44" s="85">
        <f t="shared" si="6"/>
        <v>799.2</v>
      </c>
    </row>
    <row r="45" spans="1:27" ht="107.25" customHeight="1" outlineLevel="1">
      <c r="A45" s="95" t="s">
        <v>214</v>
      </c>
      <c r="B45" s="97" t="s">
        <v>46</v>
      </c>
      <c r="C45" s="97" t="s">
        <v>18</v>
      </c>
      <c r="D45" s="97" t="s">
        <v>7</v>
      </c>
      <c r="E45" s="97" t="s">
        <v>47</v>
      </c>
      <c r="F45" s="97" t="s">
        <v>223</v>
      </c>
      <c r="G45" s="17">
        <v>0</v>
      </c>
      <c r="H45" s="17">
        <v>306735.30674000003</v>
      </c>
      <c r="I45" s="7">
        <f t="shared" si="7"/>
        <v>306735.30674000003</v>
      </c>
      <c r="J45" s="7">
        <v>0</v>
      </c>
      <c r="K45" s="7">
        <v>3061.2</v>
      </c>
      <c r="L45" s="7">
        <f>-I45</f>
        <v>-306735.30674000003</v>
      </c>
      <c r="M45" s="7">
        <f t="shared" si="1"/>
        <v>0</v>
      </c>
      <c r="N45" s="7">
        <f t="shared" si="2"/>
        <v>3061.2</v>
      </c>
      <c r="O45" s="17">
        <v>0</v>
      </c>
      <c r="P45" s="17">
        <v>3067.34</v>
      </c>
      <c r="Q45" s="17">
        <v>-3061.2240000000002</v>
      </c>
      <c r="R45" s="7"/>
      <c r="S45" s="7">
        <f t="shared" si="4"/>
        <v>3067.34</v>
      </c>
      <c r="T45" s="17">
        <v>0</v>
      </c>
      <c r="U45" s="14"/>
      <c r="V45" s="16">
        <f>-S45</f>
        <v>-3067.34</v>
      </c>
      <c r="W45" s="7">
        <f t="shared" si="5"/>
        <v>0</v>
      </c>
      <c r="X45" s="13">
        <f t="shared" si="8"/>
        <v>0</v>
      </c>
      <c r="Y45" s="12"/>
      <c r="Z45" s="12"/>
      <c r="AA45" s="85">
        <f t="shared" si="6"/>
        <v>0</v>
      </c>
    </row>
    <row r="46" spans="1:27" ht="114" customHeight="1" outlineLevel="1">
      <c r="A46" s="95" t="s">
        <v>307</v>
      </c>
      <c r="B46" s="97" t="s">
        <v>46</v>
      </c>
      <c r="C46" s="97" t="s">
        <v>30</v>
      </c>
      <c r="D46" s="97" t="s">
        <v>7</v>
      </c>
      <c r="E46" s="97" t="s">
        <v>47</v>
      </c>
      <c r="F46" s="97" t="s">
        <v>223</v>
      </c>
      <c r="G46" s="17"/>
      <c r="H46" s="17"/>
      <c r="I46" s="7"/>
      <c r="J46" s="7"/>
      <c r="K46" s="7"/>
      <c r="L46" s="7">
        <v>276092.40000000002</v>
      </c>
      <c r="M46" s="7">
        <f t="shared" si="1"/>
        <v>276092.40000000002</v>
      </c>
      <c r="N46" s="7"/>
      <c r="O46" s="17"/>
      <c r="P46" s="17"/>
      <c r="Q46" s="17">
        <v>3002.87</v>
      </c>
      <c r="R46" s="7">
        <f t="shared" si="3"/>
        <v>3002.87</v>
      </c>
      <c r="S46" s="7"/>
      <c r="T46" s="17"/>
      <c r="U46" s="14"/>
      <c r="V46" s="16">
        <v>1714.3</v>
      </c>
      <c r="W46" s="7">
        <f t="shared" si="5"/>
        <v>1714.3</v>
      </c>
      <c r="X46" s="13"/>
      <c r="Y46" s="69">
        <v>799.2</v>
      </c>
      <c r="Z46" s="12"/>
      <c r="AA46" s="7">
        <f>X46+Y46</f>
        <v>799.2</v>
      </c>
    </row>
    <row r="47" spans="1:27" ht="123.75" customHeight="1" outlineLevel="1">
      <c r="A47" s="95" t="s">
        <v>215</v>
      </c>
      <c r="B47" s="97" t="s">
        <v>74</v>
      </c>
      <c r="C47" s="97" t="s">
        <v>30</v>
      </c>
      <c r="D47" s="97" t="s">
        <v>7</v>
      </c>
      <c r="E47" s="97" t="s">
        <v>29</v>
      </c>
      <c r="F47" s="97" t="s">
        <v>223</v>
      </c>
      <c r="G47" s="17">
        <v>0</v>
      </c>
      <c r="H47" s="17">
        <v>245143.10229000001</v>
      </c>
      <c r="I47" s="7">
        <f t="shared" si="7"/>
        <v>245143.10229000001</v>
      </c>
      <c r="J47" s="7">
        <v>0</v>
      </c>
      <c r="K47" s="7">
        <v>2449</v>
      </c>
      <c r="L47" s="7"/>
      <c r="M47" s="7">
        <f t="shared" si="1"/>
        <v>245143.10229000001</v>
      </c>
      <c r="N47" s="7">
        <f t="shared" si="2"/>
        <v>2449</v>
      </c>
      <c r="O47" s="17">
        <v>0</v>
      </c>
      <c r="P47" s="17">
        <v>2449</v>
      </c>
      <c r="Q47" s="17"/>
      <c r="R47" s="7">
        <f t="shared" si="3"/>
        <v>2449</v>
      </c>
      <c r="S47" s="7">
        <f t="shared" si="4"/>
        <v>2449</v>
      </c>
      <c r="T47" s="17">
        <v>0</v>
      </c>
      <c r="U47" s="14"/>
      <c r="V47" s="87">
        <v>-999</v>
      </c>
      <c r="W47" s="7">
        <f t="shared" si="5"/>
        <v>1450</v>
      </c>
      <c r="X47" s="13">
        <f t="shared" si="8"/>
        <v>0</v>
      </c>
      <c r="Y47" s="69">
        <v>799.2</v>
      </c>
      <c r="Z47" s="12"/>
      <c r="AA47" s="85">
        <f t="shared" si="6"/>
        <v>799.2</v>
      </c>
    </row>
    <row r="48" spans="1:27" ht="123.75" customHeight="1" outlineLevel="1">
      <c r="A48" s="95" t="s">
        <v>216</v>
      </c>
      <c r="B48" s="97" t="s">
        <v>74</v>
      </c>
      <c r="C48" s="97" t="s">
        <v>30</v>
      </c>
      <c r="D48" s="97" t="s">
        <v>7</v>
      </c>
      <c r="E48" s="97" t="s">
        <v>27</v>
      </c>
      <c r="F48" s="97" t="s">
        <v>223</v>
      </c>
      <c r="G48" s="17">
        <v>0</v>
      </c>
      <c r="H48" s="17">
        <v>245538.59982</v>
      </c>
      <c r="I48" s="7">
        <f t="shared" si="7"/>
        <v>245538.59982</v>
      </c>
      <c r="J48" s="7">
        <v>0</v>
      </c>
      <c r="K48" s="7">
        <v>2449</v>
      </c>
      <c r="L48" s="7"/>
      <c r="M48" s="7">
        <f t="shared" si="1"/>
        <v>245538.59982</v>
      </c>
      <c r="N48" s="7">
        <f t="shared" si="2"/>
        <v>2449</v>
      </c>
      <c r="O48" s="17">
        <v>0</v>
      </c>
      <c r="P48" s="17">
        <v>2456.9</v>
      </c>
      <c r="Q48" s="17">
        <v>-200</v>
      </c>
      <c r="R48" s="7">
        <f t="shared" si="3"/>
        <v>2249</v>
      </c>
      <c r="S48" s="7">
        <f t="shared" si="4"/>
        <v>2456.9</v>
      </c>
      <c r="T48" s="17">
        <v>0</v>
      </c>
      <c r="U48" s="14"/>
      <c r="V48" s="16">
        <v>-1098.9000000000001</v>
      </c>
      <c r="W48" s="7">
        <f t="shared" si="5"/>
        <v>1358</v>
      </c>
      <c r="X48" s="13">
        <f t="shared" si="8"/>
        <v>0</v>
      </c>
      <c r="Y48" s="69">
        <v>799.2</v>
      </c>
      <c r="Z48" s="12"/>
      <c r="AA48" s="85">
        <f t="shared" si="6"/>
        <v>799.2</v>
      </c>
    </row>
    <row r="49" spans="1:27" ht="123.75" customHeight="1" outlineLevel="1">
      <c r="A49" s="95" t="s">
        <v>217</v>
      </c>
      <c r="B49" s="97" t="s">
        <v>74</v>
      </c>
      <c r="C49" s="97" t="s">
        <v>30</v>
      </c>
      <c r="D49" s="97" t="s">
        <v>7</v>
      </c>
      <c r="E49" s="97" t="s">
        <v>270</v>
      </c>
      <c r="F49" s="97" t="s">
        <v>224</v>
      </c>
      <c r="G49" s="17">
        <v>0</v>
      </c>
      <c r="H49" s="17">
        <v>245784.8665</v>
      </c>
      <c r="I49" s="7">
        <f t="shared" si="7"/>
        <v>245784.8665</v>
      </c>
      <c r="J49" s="7">
        <v>0</v>
      </c>
      <c r="K49" s="7">
        <v>4910.8</v>
      </c>
      <c r="L49" s="7"/>
      <c r="M49" s="7">
        <f t="shared" si="1"/>
        <v>245784.8665</v>
      </c>
      <c r="N49" s="7">
        <f t="shared" si="2"/>
        <v>4910.8</v>
      </c>
      <c r="O49" s="17">
        <v>0</v>
      </c>
      <c r="P49" s="17"/>
      <c r="Q49" s="17">
        <f>-2313.18164</f>
        <v>-2313.1816399999998</v>
      </c>
      <c r="R49" s="7">
        <f t="shared" si="3"/>
        <v>2597.6183600000004</v>
      </c>
      <c r="S49" s="7">
        <f t="shared" si="4"/>
        <v>0</v>
      </c>
      <c r="T49" s="17">
        <v>0</v>
      </c>
      <c r="U49" s="14"/>
      <c r="V49" s="16">
        <v>2213.4</v>
      </c>
      <c r="W49" s="7">
        <f t="shared" si="5"/>
        <v>2213.4</v>
      </c>
      <c r="X49" s="13">
        <f t="shared" si="8"/>
        <v>0</v>
      </c>
      <c r="Y49" s="69">
        <v>799.2</v>
      </c>
      <c r="Z49" s="12"/>
      <c r="AA49" s="85">
        <f t="shared" si="6"/>
        <v>799.2</v>
      </c>
    </row>
    <row r="50" spans="1:27" ht="123.75" customHeight="1" outlineLevel="1">
      <c r="A50" s="95" t="s">
        <v>218</v>
      </c>
      <c r="B50" s="97" t="s">
        <v>211</v>
      </c>
      <c r="C50" s="97" t="s">
        <v>30</v>
      </c>
      <c r="D50" s="97" t="s">
        <v>7</v>
      </c>
      <c r="E50" s="33" t="s">
        <v>175</v>
      </c>
      <c r="F50" s="97" t="s">
        <v>224</v>
      </c>
      <c r="G50" s="17">
        <v>0</v>
      </c>
      <c r="H50" s="17">
        <v>69457.212310000003</v>
      </c>
      <c r="I50" s="7">
        <f t="shared" si="7"/>
        <v>69457.212310000003</v>
      </c>
      <c r="J50" s="7">
        <v>0</v>
      </c>
      <c r="K50" s="7">
        <v>1387.8</v>
      </c>
      <c r="L50" s="7"/>
      <c r="M50" s="7">
        <f t="shared" si="1"/>
        <v>69457.212310000003</v>
      </c>
      <c r="N50" s="7">
        <f t="shared" si="2"/>
        <v>1387.8</v>
      </c>
      <c r="O50" s="17">
        <v>0</v>
      </c>
      <c r="P50" s="17"/>
      <c r="Q50" s="17">
        <v>210.44</v>
      </c>
      <c r="R50" s="7">
        <f t="shared" si="3"/>
        <v>1598.24</v>
      </c>
      <c r="S50" s="7">
        <f t="shared" si="4"/>
        <v>0</v>
      </c>
      <c r="T50" s="17">
        <v>0</v>
      </c>
      <c r="U50" s="14"/>
      <c r="V50" s="87">
        <v>200</v>
      </c>
      <c r="W50" s="7">
        <f t="shared" si="5"/>
        <v>200</v>
      </c>
      <c r="X50" s="13">
        <f t="shared" si="8"/>
        <v>0</v>
      </c>
      <c r="Y50" s="12"/>
      <c r="Z50" s="12"/>
      <c r="AA50" s="85">
        <f t="shared" si="6"/>
        <v>0</v>
      </c>
    </row>
    <row r="51" spans="1:27" ht="123.75" customHeight="1" outlineLevel="1">
      <c r="A51" s="95" t="s">
        <v>219</v>
      </c>
      <c r="B51" s="97" t="s">
        <v>211</v>
      </c>
      <c r="C51" s="97" t="s">
        <v>30</v>
      </c>
      <c r="D51" s="97" t="s">
        <v>7</v>
      </c>
      <c r="E51" s="97" t="s">
        <v>48</v>
      </c>
      <c r="F51" s="97" t="s">
        <v>224</v>
      </c>
      <c r="G51" s="17">
        <v>0</v>
      </c>
      <c r="H51" s="17">
        <v>69457.212310000003</v>
      </c>
      <c r="I51" s="7">
        <f t="shared" si="7"/>
        <v>69457.212310000003</v>
      </c>
      <c r="J51" s="7">
        <v>0</v>
      </c>
      <c r="K51" s="7">
        <v>1387.8</v>
      </c>
      <c r="L51" s="7"/>
      <c r="M51" s="7">
        <f t="shared" si="1"/>
        <v>69457.212310000003</v>
      </c>
      <c r="N51" s="7">
        <f t="shared" si="2"/>
        <v>1387.8</v>
      </c>
      <c r="O51" s="17">
        <v>0</v>
      </c>
      <c r="P51" s="17"/>
      <c r="Q51" s="17">
        <v>210.44</v>
      </c>
      <c r="R51" s="7">
        <f t="shared" si="3"/>
        <v>1598.24</v>
      </c>
      <c r="S51" s="7">
        <f t="shared" si="4"/>
        <v>0</v>
      </c>
      <c r="T51" s="17">
        <v>0</v>
      </c>
      <c r="U51" s="14"/>
      <c r="V51" s="88">
        <v>200</v>
      </c>
      <c r="W51" s="7">
        <f t="shared" si="5"/>
        <v>200</v>
      </c>
      <c r="X51" s="13">
        <f t="shared" si="8"/>
        <v>0</v>
      </c>
      <c r="Y51" s="12"/>
      <c r="Z51" s="12"/>
      <c r="AA51" s="85">
        <f t="shared" si="6"/>
        <v>0</v>
      </c>
    </row>
    <row r="52" spans="1:27" ht="123.75" customHeight="1" outlineLevel="1">
      <c r="A52" s="95" t="s">
        <v>271</v>
      </c>
      <c r="B52" s="97" t="s">
        <v>15</v>
      </c>
      <c r="C52" s="97" t="s">
        <v>30</v>
      </c>
      <c r="D52" s="97" t="s">
        <v>7</v>
      </c>
      <c r="E52" s="97" t="s">
        <v>212</v>
      </c>
      <c r="F52" s="97" t="s">
        <v>224</v>
      </c>
      <c r="G52" s="17">
        <v>0</v>
      </c>
      <c r="H52" s="17">
        <v>137892.99504000001</v>
      </c>
      <c r="I52" s="7">
        <f t="shared" si="7"/>
        <v>137892.99504000001</v>
      </c>
      <c r="J52" s="7">
        <v>0</v>
      </c>
      <c r="K52" s="7">
        <v>2755.1</v>
      </c>
      <c r="L52" s="7"/>
      <c r="M52" s="7">
        <f t="shared" si="1"/>
        <v>137892.99504000001</v>
      </c>
      <c r="N52" s="7">
        <f t="shared" si="2"/>
        <v>2755.1</v>
      </c>
      <c r="O52" s="17">
        <v>0</v>
      </c>
      <c r="P52" s="17"/>
      <c r="Q52" s="17">
        <v>-1556.30204</v>
      </c>
      <c r="R52" s="7">
        <f t="shared" si="3"/>
        <v>1198.7979599999999</v>
      </c>
      <c r="S52" s="7">
        <f t="shared" si="4"/>
        <v>0</v>
      </c>
      <c r="T52" s="17">
        <v>0</v>
      </c>
      <c r="U52" s="14"/>
      <c r="V52" s="16">
        <v>1156.7</v>
      </c>
      <c r="W52" s="7">
        <f t="shared" si="5"/>
        <v>1156.7</v>
      </c>
      <c r="X52" s="13">
        <f t="shared" si="8"/>
        <v>0</v>
      </c>
      <c r="Y52" s="16">
        <v>399.6</v>
      </c>
      <c r="Z52" s="12"/>
      <c r="AA52" s="85">
        <f t="shared" si="6"/>
        <v>399.6</v>
      </c>
    </row>
    <row r="53" spans="1:27" ht="123.75" customHeight="1" outlineLevel="1">
      <c r="A53" s="95" t="s">
        <v>220</v>
      </c>
      <c r="B53" s="97" t="s">
        <v>211</v>
      </c>
      <c r="C53" s="97" t="s">
        <v>30</v>
      </c>
      <c r="D53" s="97" t="s">
        <v>7</v>
      </c>
      <c r="E53" s="97" t="s">
        <v>173</v>
      </c>
      <c r="F53" s="97" t="s">
        <v>224</v>
      </c>
      <c r="G53" s="17">
        <v>0</v>
      </c>
      <c r="H53" s="17">
        <v>69457.212310000003</v>
      </c>
      <c r="I53" s="7">
        <f t="shared" si="7"/>
        <v>69457.212310000003</v>
      </c>
      <c r="J53" s="7">
        <v>0</v>
      </c>
      <c r="K53" s="7">
        <v>1387.8</v>
      </c>
      <c r="L53" s="7"/>
      <c r="M53" s="7">
        <f t="shared" si="1"/>
        <v>69457.212310000003</v>
      </c>
      <c r="N53" s="7">
        <f t="shared" si="2"/>
        <v>1387.8</v>
      </c>
      <c r="O53" s="17">
        <v>0</v>
      </c>
      <c r="P53" s="17"/>
      <c r="Q53" s="17">
        <v>210.44</v>
      </c>
      <c r="R53" s="7">
        <f t="shared" si="3"/>
        <v>1598.24</v>
      </c>
      <c r="S53" s="7">
        <f t="shared" si="4"/>
        <v>0</v>
      </c>
      <c r="T53" s="17">
        <v>0</v>
      </c>
      <c r="U53" s="14"/>
      <c r="V53" s="88">
        <v>200</v>
      </c>
      <c r="W53" s="7">
        <f t="shared" si="5"/>
        <v>200</v>
      </c>
      <c r="X53" s="13">
        <f t="shared" si="8"/>
        <v>0</v>
      </c>
      <c r="Y53" s="12"/>
      <c r="Z53" s="12"/>
      <c r="AA53" s="85">
        <f t="shared" si="6"/>
        <v>0</v>
      </c>
    </row>
    <row r="54" spans="1:27" ht="111.75" customHeight="1" outlineLevel="1">
      <c r="A54" s="95" t="s">
        <v>221</v>
      </c>
      <c r="B54" s="97" t="s">
        <v>46</v>
      </c>
      <c r="C54" s="97" t="s">
        <v>18</v>
      </c>
      <c r="D54" s="97" t="s">
        <v>7</v>
      </c>
      <c r="E54" s="97" t="s">
        <v>47</v>
      </c>
      <c r="F54" s="97" t="s">
        <v>225</v>
      </c>
      <c r="G54" s="17">
        <v>0</v>
      </c>
      <c r="H54" s="17">
        <v>306233.78480999998</v>
      </c>
      <c r="I54" s="7">
        <f t="shared" si="7"/>
        <v>306233.78480999998</v>
      </c>
      <c r="J54" s="7">
        <v>0</v>
      </c>
      <c r="K54" s="7"/>
      <c r="L54" s="7">
        <v>-306233.8</v>
      </c>
      <c r="M54" s="7">
        <v>0</v>
      </c>
      <c r="N54" s="7">
        <f t="shared" si="2"/>
        <v>0</v>
      </c>
      <c r="O54" s="17">
        <v>0</v>
      </c>
      <c r="P54" s="17"/>
      <c r="Q54" s="17"/>
      <c r="R54" s="7">
        <f t="shared" si="3"/>
        <v>0</v>
      </c>
      <c r="S54" s="7">
        <f t="shared" si="4"/>
        <v>0</v>
      </c>
      <c r="T54" s="17">
        <v>0</v>
      </c>
      <c r="U54" s="7">
        <v>6118.6</v>
      </c>
      <c r="V54" s="89"/>
      <c r="W54" s="7">
        <f t="shared" si="5"/>
        <v>0</v>
      </c>
      <c r="X54" s="13">
        <f t="shared" si="8"/>
        <v>6118.6</v>
      </c>
      <c r="Y54" s="16">
        <v>-6118.6</v>
      </c>
      <c r="Z54" s="12"/>
      <c r="AA54" s="85">
        <f t="shared" si="6"/>
        <v>0</v>
      </c>
    </row>
    <row r="55" spans="1:27" ht="117" customHeight="1" outlineLevel="1">
      <c r="A55" s="95" t="s">
        <v>308</v>
      </c>
      <c r="B55" s="97" t="s">
        <v>46</v>
      </c>
      <c r="C55" s="97" t="s">
        <v>30</v>
      </c>
      <c r="D55" s="97" t="s">
        <v>7</v>
      </c>
      <c r="E55" s="97" t="s">
        <v>31</v>
      </c>
      <c r="F55" s="97" t="s">
        <v>245</v>
      </c>
      <c r="G55" s="17"/>
      <c r="H55" s="17"/>
      <c r="I55" s="7"/>
      <c r="J55" s="7"/>
      <c r="K55" s="7"/>
      <c r="L55" s="7">
        <v>306234.8</v>
      </c>
      <c r="M55" s="7">
        <f t="shared" si="1"/>
        <v>306234.8</v>
      </c>
      <c r="N55" s="7"/>
      <c r="O55" s="17"/>
      <c r="P55" s="17"/>
      <c r="Q55" s="17">
        <v>1798.2</v>
      </c>
      <c r="R55" s="7">
        <f t="shared" si="3"/>
        <v>1798.2</v>
      </c>
      <c r="S55" s="7"/>
      <c r="T55" s="17"/>
      <c r="U55" s="7"/>
      <c r="V55" s="89">
        <v>399.6</v>
      </c>
      <c r="W55" s="7">
        <f t="shared" si="5"/>
        <v>399.6</v>
      </c>
      <c r="X55" s="13"/>
      <c r="Y55" s="16">
        <v>3920.8</v>
      </c>
      <c r="Z55" s="12"/>
      <c r="AA55" s="85">
        <f t="shared" si="6"/>
        <v>3920.8</v>
      </c>
    </row>
    <row r="56" spans="1:27" ht="123.75" customHeight="1" outlineLevel="1">
      <c r="A56" s="95" t="s">
        <v>222</v>
      </c>
      <c r="B56" s="97" t="s">
        <v>46</v>
      </c>
      <c r="C56" s="97" t="s">
        <v>18</v>
      </c>
      <c r="D56" s="97" t="s">
        <v>7</v>
      </c>
      <c r="E56" s="97" t="s">
        <v>47</v>
      </c>
      <c r="F56" s="97" t="s">
        <v>225</v>
      </c>
      <c r="G56" s="17">
        <v>0</v>
      </c>
      <c r="H56" s="17">
        <v>306234.80622999999</v>
      </c>
      <c r="I56" s="7">
        <f t="shared" si="7"/>
        <v>306234.80622999999</v>
      </c>
      <c r="J56" s="7">
        <v>0</v>
      </c>
      <c r="K56" s="7"/>
      <c r="L56" s="7">
        <v>-306234.8</v>
      </c>
      <c r="M56" s="7">
        <f t="shared" si="1"/>
        <v>6.229999999050051E-3</v>
      </c>
      <c r="N56" s="7">
        <f t="shared" si="2"/>
        <v>0</v>
      </c>
      <c r="O56" s="17">
        <v>0</v>
      </c>
      <c r="P56" s="17"/>
      <c r="Q56" s="17"/>
      <c r="R56" s="7">
        <f t="shared" si="3"/>
        <v>0</v>
      </c>
      <c r="S56" s="7">
        <f t="shared" si="4"/>
        <v>0</v>
      </c>
      <c r="T56" s="17">
        <v>0</v>
      </c>
      <c r="U56" s="7">
        <v>6118.6</v>
      </c>
      <c r="V56" s="89"/>
      <c r="W56" s="7">
        <f t="shared" si="5"/>
        <v>0</v>
      </c>
      <c r="X56" s="13">
        <f>T56+U56</f>
        <v>6118.6</v>
      </c>
      <c r="Y56" s="16">
        <f>-X56</f>
        <v>-6118.6</v>
      </c>
      <c r="Z56" s="12"/>
      <c r="AA56" s="85">
        <f t="shared" si="6"/>
        <v>0</v>
      </c>
    </row>
    <row r="57" spans="1:27" ht="123.75" customHeight="1" outlineLevel="1">
      <c r="A57" s="95" t="s">
        <v>309</v>
      </c>
      <c r="B57" s="97" t="s">
        <v>46</v>
      </c>
      <c r="C57" s="97" t="s">
        <v>30</v>
      </c>
      <c r="D57" s="97" t="s">
        <v>7</v>
      </c>
      <c r="E57" s="97" t="s">
        <v>47</v>
      </c>
      <c r="F57" s="97" t="s">
        <v>245</v>
      </c>
      <c r="G57" s="17"/>
      <c r="H57" s="17"/>
      <c r="I57" s="7"/>
      <c r="J57" s="7"/>
      <c r="K57" s="7"/>
      <c r="L57" s="7">
        <v>306233.8</v>
      </c>
      <c r="M57" s="7">
        <f t="shared" si="1"/>
        <v>306233.8</v>
      </c>
      <c r="N57" s="7"/>
      <c r="O57" s="17"/>
      <c r="P57" s="17"/>
      <c r="Q57" s="17">
        <v>1798.2</v>
      </c>
      <c r="R57" s="7">
        <f t="shared" si="3"/>
        <v>1798.2</v>
      </c>
      <c r="S57" s="7"/>
      <c r="T57" s="17"/>
      <c r="U57" s="7"/>
      <c r="V57" s="89">
        <v>399.6</v>
      </c>
      <c r="W57" s="7">
        <f t="shared" si="5"/>
        <v>399.6</v>
      </c>
      <c r="X57" s="13"/>
      <c r="Y57" s="16">
        <v>3920.8</v>
      </c>
      <c r="Z57" s="12"/>
      <c r="AA57" s="85">
        <f t="shared" si="6"/>
        <v>3920.8</v>
      </c>
    </row>
    <row r="58" spans="1:27" ht="27" customHeight="1">
      <c r="A58" s="107" t="s">
        <v>19</v>
      </c>
      <c r="B58" s="131"/>
      <c r="C58" s="131"/>
      <c r="D58" s="131"/>
      <c r="E58" s="97"/>
      <c r="F58" s="95"/>
      <c r="G58" s="7">
        <f>SUM(G59:G61)</f>
        <v>1621487</v>
      </c>
      <c r="H58" s="7">
        <f>SUM(H59:H62)</f>
        <v>0</v>
      </c>
      <c r="I58" s="7">
        <f t="shared" si="7"/>
        <v>1621487</v>
      </c>
      <c r="J58" s="7">
        <f>SUM(J59:J62)</f>
        <v>149299.19999999998</v>
      </c>
      <c r="K58" s="7">
        <f>SUM(K59:K62)</f>
        <v>64574.3</v>
      </c>
      <c r="L58" s="7">
        <f>L59+L60+L61+L62</f>
        <v>0</v>
      </c>
      <c r="M58" s="7">
        <f t="shared" si="1"/>
        <v>1621487</v>
      </c>
      <c r="N58" s="7">
        <f t="shared" si="2"/>
        <v>213873.5</v>
      </c>
      <c r="O58" s="7">
        <f>SUM(O59:O62)</f>
        <v>122414.79999999999</v>
      </c>
      <c r="P58" s="7">
        <f>SUM(P59:P62)</f>
        <v>0</v>
      </c>
      <c r="Q58" s="7">
        <f>Q59+Q60+Q61+Q62</f>
        <v>42742.5</v>
      </c>
      <c r="R58" s="7">
        <f t="shared" si="3"/>
        <v>256616</v>
      </c>
      <c r="S58" s="7">
        <f t="shared" si="4"/>
        <v>122414.79999999999</v>
      </c>
      <c r="T58" s="7">
        <f>SUM(T59:T61)</f>
        <v>0</v>
      </c>
      <c r="U58" s="7">
        <f>SUM(U59:U62)</f>
        <v>0</v>
      </c>
      <c r="V58" s="7">
        <f>V59+V60+V61+V62</f>
        <v>0</v>
      </c>
      <c r="W58" s="7">
        <f t="shared" si="5"/>
        <v>122414.79999999999</v>
      </c>
      <c r="X58" s="13">
        <f t="shared" ref="X58:X140" si="9">T58+U58</f>
        <v>0</v>
      </c>
      <c r="Y58" s="7">
        <f>Y59+Y60+Y61+Y62</f>
        <v>0</v>
      </c>
      <c r="Z58" s="12"/>
      <c r="AA58" s="85">
        <f t="shared" si="6"/>
        <v>0</v>
      </c>
    </row>
    <row r="59" spans="1:27" ht="127.5" customHeight="1" outlineLevel="1">
      <c r="A59" s="95" t="s">
        <v>104</v>
      </c>
      <c r="B59" s="97" t="s">
        <v>20</v>
      </c>
      <c r="C59" s="97" t="s">
        <v>5</v>
      </c>
      <c r="D59" s="97" t="s">
        <v>7</v>
      </c>
      <c r="E59" s="97" t="s">
        <v>13</v>
      </c>
      <c r="F59" s="97" t="s">
        <v>14</v>
      </c>
      <c r="G59" s="7">
        <v>403634.6</v>
      </c>
      <c r="H59" s="7"/>
      <c r="I59" s="7">
        <f t="shared" si="7"/>
        <v>403634.6</v>
      </c>
      <c r="J59" s="7">
        <f>23820.1-2370-2948.9-5338.3-224.4</f>
        <v>12938.499999999998</v>
      </c>
      <c r="K59" s="7">
        <f>-1744.7-3263.2</f>
        <v>-5007.8999999999996</v>
      </c>
      <c r="L59" s="7"/>
      <c r="M59" s="7">
        <f t="shared" si="1"/>
        <v>403634.6</v>
      </c>
      <c r="N59" s="7">
        <f t="shared" si="2"/>
        <v>7930.5999999999985</v>
      </c>
      <c r="O59" s="17">
        <v>0</v>
      </c>
      <c r="P59" s="17"/>
      <c r="Q59" s="17">
        <f>75.4-1223+42667.1</f>
        <v>41519.5</v>
      </c>
      <c r="R59" s="7">
        <f t="shared" si="3"/>
        <v>49450.1</v>
      </c>
      <c r="S59" s="7">
        <f t="shared" si="4"/>
        <v>0</v>
      </c>
      <c r="T59" s="17">
        <v>0</v>
      </c>
      <c r="U59" s="15"/>
      <c r="V59" s="15"/>
      <c r="W59" s="7">
        <f t="shared" si="5"/>
        <v>0</v>
      </c>
      <c r="X59" s="13">
        <f t="shared" si="9"/>
        <v>0</v>
      </c>
      <c r="Y59" s="12"/>
      <c r="Z59" s="12"/>
      <c r="AA59" s="85">
        <f t="shared" si="6"/>
        <v>0</v>
      </c>
    </row>
    <row r="60" spans="1:27" ht="106.5" customHeight="1" outlineLevel="1">
      <c r="A60" s="95" t="s">
        <v>272</v>
      </c>
      <c r="B60" s="97" t="s">
        <v>59</v>
      </c>
      <c r="C60" s="97" t="s">
        <v>18</v>
      </c>
      <c r="D60" s="97" t="s">
        <v>7</v>
      </c>
      <c r="E60" s="97" t="s">
        <v>61</v>
      </c>
      <c r="F60" s="97" t="s">
        <v>124</v>
      </c>
      <c r="G60" s="7">
        <v>406846.8</v>
      </c>
      <c r="H60" s="7"/>
      <c r="I60" s="7">
        <f t="shared" si="7"/>
        <v>406846.8</v>
      </c>
      <c r="J60" s="7">
        <v>17011.3</v>
      </c>
      <c r="K60" s="7">
        <v>29682.2</v>
      </c>
      <c r="L60" s="7"/>
      <c r="M60" s="7">
        <f t="shared" si="1"/>
        <v>406846.8</v>
      </c>
      <c r="N60" s="7">
        <f t="shared" si="2"/>
        <v>46693.5</v>
      </c>
      <c r="O60" s="7">
        <v>71329.399999999994</v>
      </c>
      <c r="P60" s="7"/>
      <c r="Q60" s="7"/>
      <c r="R60" s="7">
        <f t="shared" si="3"/>
        <v>46693.5</v>
      </c>
      <c r="S60" s="7">
        <f t="shared" si="4"/>
        <v>71329.399999999994</v>
      </c>
      <c r="T60" s="17">
        <v>0</v>
      </c>
      <c r="U60" s="15"/>
      <c r="V60" s="15"/>
      <c r="W60" s="7">
        <f t="shared" si="5"/>
        <v>71329.399999999994</v>
      </c>
      <c r="X60" s="13">
        <f t="shared" si="9"/>
        <v>0</v>
      </c>
      <c r="Y60" s="12"/>
      <c r="Z60" s="12"/>
      <c r="AA60" s="85">
        <f t="shared" si="6"/>
        <v>0</v>
      </c>
    </row>
    <row r="61" spans="1:27" ht="113.25" customHeight="1" outlineLevel="1">
      <c r="A61" s="95" t="s">
        <v>170</v>
      </c>
      <c r="B61" s="97" t="s">
        <v>60</v>
      </c>
      <c r="C61" s="97" t="s">
        <v>18</v>
      </c>
      <c r="D61" s="97" t="s">
        <v>7</v>
      </c>
      <c r="E61" s="97" t="s">
        <v>47</v>
      </c>
      <c r="F61" s="97" t="s">
        <v>77</v>
      </c>
      <c r="G61" s="7">
        <v>811005.6</v>
      </c>
      <c r="H61" s="7"/>
      <c r="I61" s="7">
        <f t="shared" si="7"/>
        <v>811005.6</v>
      </c>
      <c r="J61" s="7">
        <v>111501</v>
      </c>
      <c r="K61" s="7"/>
      <c r="L61" s="7"/>
      <c r="M61" s="7">
        <f t="shared" si="1"/>
        <v>811005.6</v>
      </c>
      <c r="N61" s="7">
        <f t="shared" si="2"/>
        <v>111501</v>
      </c>
      <c r="O61" s="17">
        <v>44558.400000000001</v>
      </c>
      <c r="P61" s="17"/>
      <c r="Q61" s="17"/>
      <c r="R61" s="7">
        <f t="shared" si="3"/>
        <v>111501</v>
      </c>
      <c r="S61" s="7">
        <f t="shared" si="4"/>
        <v>44558.400000000001</v>
      </c>
      <c r="T61" s="17">
        <v>0</v>
      </c>
      <c r="U61" s="15"/>
      <c r="V61" s="15"/>
      <c r="W61" s="7">
        <f t="shared" si="5"/>
        <v>44558.400000000001</v>
      </c>
      <c r="X61" s="13">
        <f t="shared" si="9"/>
        <v>0</v>
      </c>
      <c r="Y61" s="12"/>
      <c r="Z61" s="12"/>
      <c r="AA61" s="85">
        <f t="shared" si="6"/>
        <v>0</v>
      </c>
    </row>
    <row r="62" spans="1:27" ht="114.75" customHeight="1" outlineLevel="1">
      <c r="A62" s="95" t="s">
        <v>105</v>
      </c>
      <c r="B62" s="97" t="s">
        <v>67</v>
      </c>
      <c r="C62" s="97" t="s">
        <v>18</v>
      </c>
      <c r="D62" s="97" t="s">
        <v>7</v>
      </c>
      <c r="E62" s="97" t="s">
        <v>270</v>
      </c>
      <c r="F62" s="97" t="s">
        <v>37</v>
      </c>
      <c r="G62" s="7">
        <v>183953.7</v>
      </c>
      <c r="H62" s="7"/>
      <c r="I62" s="7">
        <f t="shared" si="7"/>
        <v>183953.7</v>
      </c>
      <c r="J62" s="7">
        <v>7848.4</v>
      </c>
      <c r="K62" s="7">
        <v>39900</v>
      </c>
      <c r="L62" s="7"/>
      <c r="M62" s="7">
        <f t="shared" si="1"/>
        <v>183953.7</v>
      </c>
      <c r="N62" s="7">
        <f t="shared" si="2"/>
        <v>47748.4</v>
      </c>
      <c r="O62" s="17">
        <v>6527</v>
      </c>
      <c r="P62" s="17"/>
      <c r="Q62" s="17">
        <v>1223</v>
      </c>
      <c r="R62" s="7">
        <f t="shared" si="3"/>
        <v>48971.4</v>
      </c>
      <c r="S62" s="7">
        <f t="shared" si="4"/>
        <v>6527</v>
      </c>
      <c r="T62" s="17">
        <v>0</v>
      </c>
      <c r="U62" s="15"/>
      <c r="V62" s="15"/>
      <c r="W62" s="7">
        <f t="shared" si="5"/>
        <v>6527</v>
      </c>
      <c r="X62" s="13">
        <f t="shared" si="9"/>
        <v>0</v>
      </c>
      <c r="Y62" s="12"/>
      <c r="Z62" s="12"/>
      <c r="AA62" s="85">
        <f t="shared" si="6"/>
        <v>0</v>
      </c>
    </row>
    <row r="63" spans="1:27" ht="129" customHeight="1" outlineLevel="1">
      <c r="A63" s="95" t="s">
        <v>230</v>
      </c>
      <c r="B63" s="97" t="s">
        <v>21</v>
      </c>
      <c r="C63" s="97" t="s">
        <v>115</v>
      </c>
      <c r="D63" s="97" t="s">
        <v>7</v>
      </c>
      <c r="E63" s="97" t="s">
        <v>13</v>
      </c>
      <c r="F63" s="97" t="s">
        <v>207</v>
      </c>
      <c r="G63" s="7">
        <v>0</v>
      </c>
      <c r="H63" s="7">
        <v>3638</v>
      </c>
      <c r="I63" s="7">
        <f t="shared" si="7"/>
        <v>3638</v>
      </c>
      <c r="J63" s="7">
        <v>0</v>
      </c>
      <c r="K63" s="7">
        <v>3638</v>
      </c>
      <c r="L63" s="7"/>
      <c r="M63" s="7">
        <f t="shared" si="1"/>
        <v>3638</v>
      </c>
      <c r="N63" s="7">
        <f t="shared" si="2"/>
        <v>3638</v>
      </c>
      <c r="O63" s="17">
        <v>0</v>
      </c>
      <c r="P63" s="17"/>
      <c r="Q63" s="17"/>
      <c r="R63" s="7">
        <f t="shared" si="3"/>
        <v>3638</v>
      </c>
      <c r="S63" s="7">
        <f t="shared" si="4"/>
        <v>0</v>
      </c>
      <c r="T63" s="17">
        <v>0</v>
      </c>
      <c r="U63" s="15"/>
      <c r="V63" s="15"/>
      <c r="W63" s="7">
        <f t="shared" si="5"/>
        <v>0</v>
      </c>
      <c r="X63" s="13">
        <f t="shared" si="9"/>
        <v>0</v>
      </c>
      <c r="Y63" s="12"/>
      <c r="Z63" s="12"/>
      <c r="AA63" s="85">
        <f t="shared" si="6"/>
        <v>0</v>
      </c>
    </row>
    <row r="64" spans="1:27" ht="182.25" customHeight="1" outlineLevel="1">
      <c r="A64" s="95" t="s">
        <v>240</v>
      </c>
      <c r="B64" s="97" t="s">
        <v>274</v>
      </c>
      <c r="C64" s="97" t="s">
        <v>241</v>
      </c>
      <c r="D64" s="97" t="s">
        <v>287</v>
      </c>
      <c r="E64" s="97" t="s">
        <v>242</v>
      </c>
      <c r="F64" s="97" t="s">
        <v>224</v>
      </c>
      <c r="G64" s="7"/>
      <c r="H64" s="7">
        <v>171.2</v>
      </c>
      <c r="I64" s="7">
        <f t="shared" si="7"/>
        <v>171.2</v>
      </c>
      <c r="J64" s="7"/>
      <c r="K64" s="7">
        <v>171.2</v>
      </c>
      <c r="L64" s="7"/>
      <c r="M64" s="7">
        <f t="shared" si="1"/>
        <v>171.2</v>
      </c>
      <c r="N64" s="7">
        <f t="shared" si="2"/>
        <v>171.2</v>
      </c>
      <c r="O64" s="17"/>
      <c r="P64" s="17"/>
      <c r="Q64" s="17"/>
      <c r="R64" s="7">
        <f t="shared" si="3"/>
        <v>171.2</v>
      </c>
      <c r="S64" s="7">
        <v>0</v>
      </c>
      <c r="T64" s="17"/>
      <c r="U64" s="15"/>
      <c r="V64" s="15"/>
      <c r="W64" s="7">
        <f t="shared" si="5"/>
        <v>0</v>
      </c>
      <c r="X64" s="13">
        <v>0</v>
      </c>
      <c r="Y64" s="12"/>
      <c r="Z64" s="12"/>
      <c r="AA64" s="85">
        <f t="shared" si="6"/>
        <v>0</v>
      </c>
    </row>
    <row r="65" spans="1:27" ht="108" hidden="1" customHeight="1" outlineLevel="1">
      <c r="A65" s="23"/>
      <c r="B65" s="22"/>
      <c r="C65" s="34"/>
      <c r="D65" s="22"/>
      <c r="E65" s="22"/>
      <c r="F65" s="22"/>
      <c r="G65" s="35"/>
      <c r="H65" s="17"/>
      <c r="I65" s="17"/>
      <c r="J65" s="17"/>
      <c r="K65" s="17"/>
      <c r="L65" s="17"/>
      <c r="M65" s="7">
        <f t="shared" si="1"/>
        <v>0</v>
      </c>
      <c r="N65" s="17"/>
      <c r="O65" s="17"/>
      <c r="P65" s="17"/>
      <c r="Q65" s="17"/>
      <c r="R65" s="7">
        <f t="shared" si="3"/>
        <v>0</v>
      </c>
      <c r="S65" s="7"/>
      <c r="T65" s="17"/>
      <c r="U65" s="15"/>
      <c r="V65" s="15"/>
      <c r="W65" s="7">
        <f t="shared" si="5"/>
        <v>0</v>
      </c>
      <c r="X65" s="13"/>
      <c r="Y65" s="12"/>
      <c r="Z65" s="12"/>
      <c r="AA65" s="85">
        <f t="shared" si="6"/>
        <v>0</v>
      </c>
    </row>
    <row r="66" spans="1:27" ht="108" customHeight="1" outlineLevel="1">
      <c r="A66" s="95" t="s">
        <v>318</v>
      </c>
      <c r="B66" s="97" t="s">
        <v>305</v>
      </c>
      <c r="C66" s="97" t="s">
        <v>18</v>
      </c>
      <c r="D66" s="97" t="s">
        <v>7</v>
      </c>
      <c r="E66" s="97" t="s">
        <v>306</v>
      </c>
      <c r="F66" s="97" t="s">
        <v>245</v>
      </c>
      <c r="G66" s="35"/>
      <c r="H66" s="17"/>
      <c r="I66" s="17"/>
      <c r="J66" s="17"/>
      <c r="K66" s="17"/>
      <c r="L66" s="17">
        <v>409988</v>
      </c>
      <c r="M66" s="7">
        <f t="shared" si="1"/>
        <v>409988</v>
      </c>
      <c r="N66" s="17"/>
      <c r="O66" s="17"/>
      <c r="P66" s="17"/>
      <c r="Q66" s="17">
        <v>5000</v>
      </c>
      <c r="R66" s="7">
        <f t="shared" si="3"/>
        <v>5000</v>
      </c>
      <c r="S66" s="7"/>
      <c r="T66" s="17"/>
      <c r="U66" s="15"/>
      <c r="V66" s="87">
        <v>5000</v>
      </c>
      <c r="W66" s="7">
        <f t="shared" si="5"/>
        <v>5000</v>
      </c>
      <c r="X66" s="13"/>
      <c r="Y66" s="87">
        <v>5000</v>
      </c>
      <c r="Z66" s="12"/>
      <c r="AA66" s="85">
        <f t="shared" si="6"/>
        <v>5000</v>
      </c>
    </row>
    <row r="67" spans="1:27" ht="41.25" customHeight="1">
      <c r="A67" s="112" t="s">
        <v>149</v>
      </c>
      <c r="B67" s="112"/>
      <c r="C67" s="112"/>
      <c r="D67" s="112"/>
      <c r="E67" s="36"/>
      <c r="F67" s="36"/>
      <c r="G67" s="37">
        <f>G68+G72+G73</f>
        <v>588752.4</v>
      </c>
      <c r="H67" s="37">
        <f>H68+H72+H73+H70+H74</f>
        <v>59957.599999999999</v>
      </c>
      <c r="I67" s="7">
        <f>I68+I72+I73+I74</f>
        <v>648710.00000000012</v>
      </c>
      <c r="J67" s="37">
        <f t="shared" ref="J67:K67" si="10">J68+J72+J73+J70+J74</f>
        <v>32566.7</v>
      </c>
      <c r="K67" s="37">
        <f t="shared" si="10"/>
        <v>58080</v>
      </c>
      <c r="L67" s="37">
        <f>L68+L72+L73+L74+L75</f>
        <v>32000</v>
      </c>
      <c r="M67" s="7">
        <f t="shared" si="1"/>
        <v>680710.00000000012</v>
      </c>
      <c r="N67" s="37">
        <f>N68+N72+N73+N70+N74</f>
        <v>90646.7</v>
      </c>
      <c r="O67" s="7">
        <f>SUM(O68:O68)</f>
        <v>19577.8</v>
      </c>
      <c r="P67" s="37">
        <f>P68+P72</f>
        <v>0</v>
      </c>
      <c r="Q67" s="37">
        <f>Q68+Q72+Q73+Q74+Q75</f>
        <v>32000</v>
      </c>
      <c r="R67" s="7">
        <f t="shared" si="3"/>
        <v>122646.7</v>
      </c>
      <c r="S67" s="7">
        <f t="shared" si="4"/>
        <v>19577.8</v>
      </c>
      <c r="T67" s="7">
        <f>SUM(T68:T68)</f>
        <v>6731</v>
      </c>
      <c r="U67" s="37">
        <f>U68+U72</f>
        <v>0</v>
      </c>
      <c r="V67" s="37">
        <f>V68+V72+V73+V74+V75</f>
        <v>0</v>
      </c>
      <c r="W67" s="7">
        <f t="shared" si="5"/>
        <v>19577.8</v>
      </c>
      <c r="X67" s="13">
        <f t="shared" si="9"/>
        <v>6731</v>
      </c>
      <c r="Y67" s="37">
        <f>Y68+Y72+Y73+Y74+Y75</f>
        <v>0</v>
      </c>
      <c r="Z67" s="12"/>
      <c r="AA67" s="85">
        <f t="shared" si="6"/>
        <v>6731</v>
      </c>
    </row>
    <row r="68" spans="1:27" ht="35.25" customHeight="1" outlineLevel="1">
      <c r="A68" s="105" t="s">
        <v>129</v>
      </c>
      <c r="B68" s="111"/>
      <c r="C68" s="97"/>
      <c r="D68" s="97"/>
      <c r="E68" s="97"/>
      <c r="F68" s="97"/>
      <c r="G68" s="17">
        <f>G69</f>
        <v>588752.4</v>
      </c>
      <c r="H68" s="17">
        <f>H69</f>
        <v>0</v>
      </c>
      <c r="I68" s="7">
        <f t="shared" si="7"/>
        <v>588752.4</v>
      </c>
      <c r="J68" s="17">
        <f t="shared" ref="J68:U68" si="11">J69</f>
        <v>32566.7</v>
      </c>
      <c r="K68" s="17">
        <f t="shared" si="11"/>
        <v>0</v>
      </c>
      <c r="L68" s="17">
        <f>L69</f>
        <v>0</v>
      </c>
      <c r="M68" s="7">
        <f t="shared" si="1"/>
        <v>588752.4</v>
      </c>
      <c r="N68" s="7">
        <f t="shared" si="2"/>
        <v>32566.7</v>
      </c>
      <c r="O68" s="17">
        <f t="shared" si="11"/>
        <v>19577.8</v>
      </c>
      <c r="P68" s="17">
        <f t="shared" si="11"/>
        <v>0</v>
      </c>
      <c r="Q68" s="17">
        <f>Q69</f>
        <v>0</v>
      </c>
      <c r="R68" s="7">
        <f t="shared" si="3"/>
        <v>32566.7</v>
      </c>
      <c r="S68" s="7">
        <f t="shared" si="4"/>
        <v>19577.8</v>
      </c>
      <c r="T68" s="17">
        <f t="shared" si="11"/>
        <v>6731</v>
      </c>
      <c r="U68" s="17">
        <f t="shared" si="11"/>
        <v>0</v>
      </c>
      <c r="V68" s="17">
        <f>V69</f>
        <v>0</v>
      </c>
      <c r="W68" s="7">
        <f t="shared" si="5"/>
        <v>19577.8</v>
      </c>
      <c r="X68" s="13">
        <f t="shared" si="9"/>
        <v>6731</v>
      </c>
      <c r="Y68" s="17">
        <f>Y69</f>
        <v>0</v>
      </c>
      <c r="Z68" s="12"/>
      <c r="AA68" s="85">
        <f t="shared" si="6"/>
        <v>6731</v>
      </c>
    </row>
    <row r="69" spans="1:27" ht="123.75" customHeight="1" outlineLevel="1">
      <c r="A69" s="38" t="s">
        <v>163</v>
      </c>
      <c r="B69" s="39" t="s">
        <v>164</v>
      </c>
      <c r="C69" s="39" t="s">
        <v>115</v>
      </c>
      <c r="D69" s="97" t="s">
        <v>6</v>
      </c>
      <c r="E69" s="97" t="s">
        <v>42</v>
      </c>
      <c r="F69" s="97" t="s">
        <v>141</v>
      </c>
      <c r="G69" s="40">
        <v>588752.4</v>
      </c>
      <c r="H69" s="40"/>
      <c r="I69" s="7">
        <f t="shared" si="7"/>
        <v>588752.4</v>
      </c>
      <c r="J69" s="40">
        <v>32566.7</v>
      </c>
      <c r="K69" s="40"/>
      <c r="L69" s="40"/>
      <c r="M69" s="7">
        <f t="shared" si="1"/>
        <v>588752.4</v>
      </c>
      <c r="N69" s="7">
        <f t="shared" si="2"/>
        <v>32566.7</v>
      </c>
      <c r="O69" s="40">
        <v>19577.8</v>
      </c>
      <c r="P69" s="40"/>
      <c r="Q69" s="40"/>
      <c r="R69" s="7">
        <f t="shared" si="3"/>
        <v>32566.7</v>
      </c>
      <c r="S69" s="7">
        <f t="shared" si="4"/>
        <v>19577.8</v>
      </c>
      <c r="T69" s="40">
        <v>6731</v>
      </c>
      <c r="U69" s="15"/>
      <c r="V69" s="15"/>
      <c r="W69" s="7">
        <f t="shared" si="5"/>
        <v>19577.8</v>
      </c>
      <c r="X69" s="13">
        <f t="shared" si="9"/>
        <v>6731</v>
      </c>
      <c r="Y69" s="12"/>
      <c r="Z69" s="12"/>
      <c r="AA69" s="85">
        <f t="shared" si="6"/>
        <v>6731</v>
      </c>
    </row>
    <row r="70" spans="1:27" ht="56.25" hidden="1" customHeight="1" outlineLevel="1">
      <c r="A70" s="105" t="s">
        <v>233</v>
      </c>
      <c r="B70" s="106"/>
      <c r="C70" s="39"/>
      <c r="D70" s="97"/>
      <c r="E70" s="97"/>
      <c r="F70" s="97"/>
      <c r="G70" s="40"/>
      <c r="H70" s="40">
        <f>H71</f>
        <v>0</v>
      </c>
      <c r="I70" s="40">
        <f t="shared" ref="I70:N70" si="12">I71</f>
        <v>0</v>
      </c>
      <c r="J70" s="40"/>
      <c r="K70" s="40">
        <f t="shared" si="12"/>
        <v>0</v>
      </c>
      <c r="L70" s="40"/>
      <c r="M70" s="7">
        <f t="shared" si="1"/>
        <v>0</v>
      </c>
      <c r="N70" s="40">
        <f t="shared" si="12"/>
        <v>0</v>
      </c>
      <c r="O70" s="40"/>
      <c r="P70" s="40"/>
      <c r="Q70" s="40"/>
      <c r="R70" s="7">
        <f t="shared" si="3"/>
        <v>0</v>
      </c>
      <c r="S70" s="7"/>
      <c r="T70" s="40"/>
      <c r="U70" s="15"/>
      <c r="V70" s="15"/>
      <c r="W70" s="7">
        <f t="shared" si="5"/>
        <v>0</v>
      </c>
      <c r="X70" s="13"/>
      <c r="Y70" s="12"/>
      <c r="Z70" s="12"/>
      <c r="AA70" s="85">
        <f t="shared" si="6"/>
        <v>0</v>
      </c>
    </row>
    <row r="71" spans="1:27" ht="170.25" hidden="1" customHeight="1" outlineLevel="1">
      <c r="A71" s="38" t="s">
        <v>234</v>
      </c>
      <c r="B71" s="98" t="s">
        <v>235</v>
      </c>
      <c r="C71" s="97" t="s">
        <v>236</v>
      </c>
      <c r="D71" s="97" t="s">
        <v>262</v>
      </c>
      <c r="E71" s="97" t="s">
        <v>237</v>
      </c>
      <c r="F71" s="97" t="s">
        <v>77</v>
      </c>
      <c r="G71" s="40"/>
      <c r="H71" s="40"/>
      <c r="I71" s="7">
        <f>G71+H71</f>
        <v>0</v>
      </c>
      <c r="J71" s="40"/>
      <c r="K71" s="40"/>
      <c r="L71" s="40"/>
      <c r="M71" s="7">
        <f t="shared" si="1"/>
        <v>0</v>
      </c>
      <c r="N71" s="7">
        <f>J71+K71</f>
        <v>0</v>
      </c>
      <c r="O71" s="40"/>
      <c r="P71" s="40"/>
      <c r="Q71" s="40"/>
      <c r="R71" s="7">
        <f t="shared" si="3"/>
        <v>0</v>
      </c>
      <c r="S71" s="7"/>
      <c r="T71" s="40"/>
      <c r="U71" s="15"/>
      <c r="V71" s="15"/>
      <c r="W71" s="7">
        <f t="shared" si="5"/>
        <v>0</v>
      </c>
      <c r="X71" s="13"/>
      <c r="Y71" s="12"/>
      <c r="Z71" s="12"/>
      <c r="AA71" s="85">
        <f t="shared" si="6"/>
        <v>0</v>
      </c>
    </row>
    <row r="72" spans="1:27" ht="123.75" customHeight="1" outlineLevel="1">
      <c r="A72" s="95" t="s">
        <v>263</v>
      </c>
      <c r="B72" s="97" t="s">
        <v>209</v>
      </c>
      <c r="C72" s="97" t="s">
        <v>12</v>
      </c>
      <c r="D72" s="97" t="s">
        <v>7</v>
      </c>
      <c r="E72" s="97" t="s">
        <v>13</v>
      </c>
      <c r="F72" s="97" t="s">
        <v>210</v>
      </c>
      <c r="G72" s="41">
        <v>0</v>
      </c>
      <c r="H72" s="40">
        <v>22404</v>
      </c>
      <c r="I72" s="7">
        <f>G72+H72</f>
        <v>22404</v>
      </c>
      <c r="J72" s="41">
        <v>0</v>
      </c>
      <c r="K72" s="40">
        <v>22404</v>
      </c>
      <c r="L72" s="40"/>
      <c r="M72" s="7">
        <f t="shared" si="1"/>
        <v>22404</v>
      </c>
      <c r="N72" s="7">
        <f>J72+K72</f>
        <v>22404</v>
      </c>
      <c r="O72" s="41">
        <v>0</v>
      </c>
      <c r="P72" s="40"/>
      <c r="Q72" s="40"/>
      <c r="R72" s="7">
        <f t="shared" si="3"/>
        <v>22404</v>
      </c>
      <c r="S72" s="7">
        <f t="shared" si="4"/>
        <v>0</v>
      </c>
      <c r="T72" s="41">
        <v>0</v>
      </c>
      <c r="U72" s="15"/>
      <c r="V72" s="15"/>
      <c r="W72" s="7">
        <f t="shared" si="5"/>
        <v>0</v>
      </c>
      <c r="X72" s="13">
        <f t="shared" si="9"/>
        <v>0</v>
      </c>
      <c r="Y72" s="12"/>
      <c r="Z72" s="12"/>
      <c r="AA72" s="85">
        <f t="shared" si="6"/>
        <v>0</v>
      </c>
    </row>
    <row r="73" spans="1:27" ht="123.75" customHeight="1" outlineLevel="1">
      <c r="A73" s="95" t="s">
        <v>264</v>
      </c>
      <c r="B73" s="97" t="s">
        <v>229</v>
      </c>
      <c r="C73" s="97" t="s">
        <v>228</v>
      </c>
      <c r="D73" s="97" t="s">
        <v>7</v>
      </c>
      <c r="E73" s="97" t="s">
        <v>227</v>
      </c>
      <c r="F73" s="97" t="s">
        <v>99</v>
      </c>
      <c r="G73" s="41">
        <v>0</v>
      </c>
      <c r="H73" s="40">
        <v>9326.7999999999993</v>
      </c>
      <c r="I73" s="7">
        <f>G73+H73</f>
        <v>9326.7999999999993</v>
      </c>
      <c r="J73" s="41">
        <v>0</v>
      </c>
      <c r="K73" s="40">
        <v>8860.5</v>
      </c>
      <c r="L73" s="40"/>
      <c r="M73" s="7">
        <f t="shared" si="1"/>
        <v>9326.7999999999993</v>
      </c>
      <c r="N73" s="7">
        <f>J73+K73</f>
        <v>8860.5</v>
      </c>
      <c r="O73" s="41">
        <v>0</v>
      </c>
      <c r="P73" s="40"/>
      <c r="Q73" s="40"/>
      <c r="R73" s="7">
        <f t="shared" si="3"/>
        <v>8860.5</v>
      </c>
      <c r="S73" s="7">
        <v>0</v>
      </c>
      <c r="T73" s="41">
        <v>0</v>
      </c>
      <c r="U73" s="15"/>
      <c r="V73" s="15"/>
      <c r="W73" s="7">
        <f t="shared" si="5"/>
        <v>0</v>
      </c>
      <c r="X73" s="13">
        <v>0</v>
      </c>
      <c r="Y73" s="12"/>
      <c r="Z73" s="12"/>
      <c r="AA73" s="85">
        <f t="shared" si="6"/>
        <v>0</v>
      </c>
    </row>
    <row r="74" spans="1:27" ht="123.75" customHeight="1" outlineLevel="1">
      <c r="A74" s="23" t="s">
        <v>268</v>
      </c>
      <c r="B74" s="22" t="s">
        <v>273</v>
      </c>
      <c r="C74" s="90" t="s">
        <v>275</v>
      </c>
      <c r="D74" s="22" t="s">
        <v>267</v>
      </c>
      <c r="E74" s="22" t="s">
        <v>70</v>
      </c>
      <c r="F74" s="22" t="s">
        <v>99</v>
      </c>
      <c r="G74" s="35"/>
      <c r="H74" s="17">
        <v>28226.799999999999</v>
      </c>
      <c r="I74" s="17">
        <f t="shared" ref="I74" si="13">G74+H74</f>
        <v>28226.799999999999</v>
      </c>
      <c r="J74" s="17"/>
      <c r="K74" s="17">
        <v>26815.5</v>
      </c>
      <c r="L74" s="17"/>
      <c r="M74" s="7">
        <f t="shared" si="1"/>
        <v>28226.799999999999</v>
      </c>
      <c r="N74" s="17">
        <f t="shared" ref="N74" si="14">J74+K74</f>
        <v>26815.5</v>
      </c>
      <c r="O74" s="17"/>
      <c r="P74" s="17"/>
      <c r="Q74" s="17"/>
      <c r="R74" s="7">
        <f t="shared" si="3"/>
        <v>26815.5</v>
      </c>
      <c r="S74" s="7">
        <v>0</v>
      </c>
      <c r="T74" s="17"/>
      <c r="U74" s="15"/>
      <c r="V74" s="15"/>
      <c r="W74" s="7">
        <f t="shared" si="5"/>
        <v>0</v>
      </c>
      <c r="X74" s="13">
        <v>0</v>
      </c>
      <c r="Y74" s="12"/>
      <c r="Z74" s="12"/>
      <c r="AA74" s="85">
        <f t="shared" si="6"/>
        <v>0</v>
      </c>
    </row>
    <row r="75" spans="1:27" ht="153" customHeight="1" outlineLevel="1">
      <c r="A75" s="23" t="s">
        <v>312</v>
      </c>
      <c r="B75" s="22" t="s">
        <v>313</v>
      </c>
      <c r="C75" s="97" t="s">
        <v>314</v>
      </c>
      <c r="D75" s="22" t="s">
        <v>267</v>
      </c>
      <c r="E75" s="97" t="s">
        <v>315</v>
      </c>
      <c r="F75" s="22" t="s">
        <v>224</v>
      </c>
      <c r="G75" s="35"/>
      <c r="H75" s="17"/>
      <c r="I75" s="17"/>
      <c r="J75" s="17"/>
      <c r="K75" s="17"/>
      <c r="L75" s="17">
        <v>32000</v>
      </c>
      <c r="M75" s="7">
        <f t="shared" si="1"/>
        <v>32000</v>
      </c>
      <c r="N75" s="17"/>
      <c r="O75" s="17"/>
      <c r="P75" s="17"/>
      <c r="Q75" s="17">
        <v>32000</v>
      </c>
      <c r="R75" s="7">
        <f t="shared" si="3"/>
        <v>32000</v>
      </c>
      <c r="S75" s="7"/>
      <c r="T75" s="17"/>
      <c r="U75" s="15"/>
      <c r="V75" s="15"/>
      <c r="W75" s="7"/>
      <c r="X75" s="13"/>
      <c r="Y75" s="12"/>
      <c r="Z75" s="12"/>
      <c r="AA75" s="85"/>
    </row>
    <row r="76" spans="1:27" ht="37.5" customHeight="1">
      <c r="A76" s="112" t="s">
        <v>150</v>
      </c>
      <c r="B76" s="118"/>
      <c r="C76" s="118"/>
      <c r="D76" s="118"/>
      <c r="E76" s="97"/>
      <c r="F76" s="97"/>
      <c r="G76" s="41">
        <f>SUM(G77:G82)</f>
        <v>5955027.642</v>
      </c>
      <c r="H76" s="41">
        <f>SUM(H77:H82)+H98+H99</f>
        <v>229831.92</v>
      </c>
      <c r="I76" s="7">
        <f t="shared" si="7"/>
        <v>6184859.5619999999</v>
      </c>
      <c r="J76" s="41">
        <f>SUM(J77:J82)</f>
        <v>209150.6</v>
      </c>
      <c r="K76" s="41">
        <f>SUM(K77:K82)+K98+K99</f>
        <v>9740.1</v>
      </c>
      <c r="L76" s="41">
        <f>L77+L78+L79+L81+L82+L98+L99</f>
        <v>0</v>
      </c>
      <c r="M76" s="7">
        <f t="shared" si="1"/>
        <v>6184859.5619999999</v>
      </c>
      <c r="N76" s="7">
        <f>J76+K76</f>
        <v>218890.7</v>
      </c>
      <c r="O76" s="41">
        <f>SUM(O77:O82)</f>
        <v>209324.3</v>
      </c>
      <c r="P76" s="41">
        <f>SUM(P77:P82)+P98+P99</f>
        <v>-3263.1</v>
      </c>
      <c r="Q76" s="41">
        <f>Q77+Q78+Q79+Q81+Q82+Q98+Q99</f>
        <v>44113.7</v>
      </c>
      <c r="R76" s="7">
        <f t="shared" si="3"/>
        <v>263004.40000000002</v>
      </c>
      <c r="S76" s="7">
        <f t="shared" si="4"/>
        <v>206061.19999999998</v>
      </c>
      <c r="T76" s="41">
        <f>SUM(T77:T82)</f>
        <v>259976</v>
      </c>
      <c r="U76" s="41">
        <f>SUM(U77:U82)+U98+U99</f>
        <v>0</v>
      </c>
      <c r="V76" s="41">
        <f>V77+V78+V79+V81+V82+V98+V99</f>
        <v>-5000</v>
      </c>
      <c r="W76" s="7">
        <f t="shared" si="5"/>
        <v>201061.19999999998</v>
      </c>
      <c r="X76" s="13">
        <f t="shared" si="9"/>
        <v>259976</v>
      </c>
      <c r="Y76" s="41">
        <f>Y77+Y78+Y79+Y81+Y82+Y98+Y99</f>
        <v>-11116.4</v>
      </c>
      <c r="Z76" s="12"/>
      <c r="AA76" s="85">
        <f t="shared" si="6"/>
        <v>248859.6</v>
      </c>
    </row>
    <row r="77" spans="1:27" ht="126.75" customHeight="1" outlineLevel="1">
      <c r="A77" s="42" t="s">
        <v>55</v>
      </c>
      <c r="B77" s="43" t="s">
        <v>52</v>
      </c>
      <c r="C77" s="39" t="s">
        <v>12</v>
      </c>
      <c r="D77" s="39" t="s">
        <v>16</v>
      </c>
      <c r="E77" s="39" t="s">
        <v>9</v>
      </c>
      <c r="F77" s="39" t="s">
        <v>44</v>
      </c>
      <c r="G77" s="44">
        <v>225144.6</v>
      </c>
      <c r="H77" s="44"/>
      <c r="I77" s="7">
        <f t="shared" si="7"/>
        <v>225144.6</v>
      </c>
      <c r="J77" s="45">
        <v>67699.5</v>
      </c>
      <c r="K77" s="45">
        <f>-3263.1+3263.1+0.1</f>
        <v>0.1</v>
      </c>
      <c r="L77" s="45"/>
      <c r="M77" s="7">
        <f t="shared" si="1"/>
        <v>225144.6</v>
      </c>
      <c r="N77" s="7">
        <f t="shared" si="2"/>
        <v>67699.600000000006</v>
      </c>
      <c r="O77" s="45">
        <v>61179.5</v>
      </c>
      <c r="P77" s="45">
        <v>-3263.1</v>
      </c>
      <c r="Q77" s="45">
        <f>14113.7</f>
        <v>14113.7</v>
      </c>
      <c r="R77" s="7">
        <f t="shared" si="3"/>
        <v>81813.3</v>
      </c>
      <c r="S77" s="7">
        <f t="shared" si="4"/>
        <v>57916.4</v>
      </c>
      <c r="T77" s="46">
        <v>0</v>
      </c>
      <c r="U77" s="15"/>
      <c r="V77" s="15">
        <v>-5000</v>
      </c>
      <c r="W77" s="7">
        <f t="shared" si="5"/>
        <v>52916.4</v>
      </c>
      <c r="X77" s="13">
        <f t="shared" si="9"/>
        <v>0</v>
      </c>
      <c r="Y77" s="12"/>
      <c r="Z77" s="12"/>
      <c r="AA77" s="85">
        <f t="shared" si="6"/>
        <v>0</v>
      </c>
    </row>
    <row r="78" spans="1:27" ht="124.5" customHeight="1" outlineLevel="1">
      <c r="A78" s="42" t="s">
        <v>62</v>
      </c>
      <c r="B78" s="43" t="s">
        <v>63</v>
      </c>
      <c r="C78" s="39" t="s">
        <v>12</v>
      </c>
      <c r="D78" s="39" t="s">
        <v>16</v>
      </c>
      <c r="E78" s="39" t="s">
        <v>9</v>
      </c>
      <c r="F78" s="39" t="s">
        <v>49</v>
      </c>
      <c r="G78" s="44">
        <v>371836.9</v>
      </c>
      <c r="H78" s="44"/>
      <c r="I78" s="7">
        <f t="shared" si="7"/>
        <v>371836.9</v>
      </c>
      <c r="J78" s="45">
        <f>26426.7+224.4</f>
        <v>26651.100000000002</v>
      </c>
      <c r="K78" s="45"/>
      <c r="L78" s="45"/>
      <c r="M78" s="7">
        <f t="shared" si="1"/>
        <v>371836.9</v>
      </c>
      <c r="N78" s="7">
        <f t="shared" si="2"/>
        <v>26651.100000000002</v>
      </c>
      <c r="O78" s="45">
        <v>78424.800000000003</v>
      </c>
      <c r="P78" s="45"/>
      <c r="Q78" s="45">
        <f>30000</f>
        <v>30000</v>
      </c>
      <c r="R78" s="7">
        <f t="shared" si="3"/>
        <v>56651.100000000006</v>
      </c>
      <c r="S78" s="7">
        <f t="shared" si="4"/>
        <v>78424.800000000003</v>
      </c>
      <c r="T78" s="41">
        <f>260200.4-224.4</f>
        <v>259976</v>
      </c>
      <c r="U78" s="15"/>
      <c r="V78" s="15"/>
      <c r="W78" s="7">
        <f t="shared" si="5"/>
        <v>78424.800000000003</v>
      </c>
      <c r="X78" s="13">
        <f t="shared" si="9"/>
        <v>259976</v>
      </c>
      <c r="Y78" s="91">
        <v>-11116.4</v>
      </c>
      <c r="Z78" s="12"/>
      <c r="AA78" s="85">
        <f t="shared" si="6"/>
        <v>248859.6</v>
      </c>
    </row>
    <row r="79" spans="1:27" s="1" customFormat="1" ht="125.25" customHeight="1" outlineLevel="1">
      <c r="A79" s="94" t="s">
        <v>122</v>
      </c>
      <c r="B79" s="22" t="s">
        <v>126</v>
      </c>
      <c r="C79" s="97" t="s">
        <v>12</v>
      </c>
      <c r="D79" s="97" t="s">
        <v>16</v>
      </c>
      <c r="E79" s="97" t="s">
        <v>9</v>
      </c>
      <c r="F79" s="15" t="s">
        <v>127</v>
      </c>
      <c r="G79" s="47">
        <v>5208526.142</v>
      </c>
      <c r="H79" s="47"/>
      <c r="I79" s="7">
        <f t="shared" si="7"/>
        <v>5208526.142</v>
      </c>
      <c r="J79" s="47">
        <v>35000</v>
      </c>
      <c r="K79" s="47"/>
      <c r="L79" s="47"/>
      <c r="M79" s="7">
        <f t="shared" si="1"/>
        <v>5208526.142</v>
      </c>
      <c r="N79" s="7">
        <f t="shared" si="2"/>
        <v>35000</v>
      </c>
      <c r="O79" s="41">
        <v>0</v>
      </c>
      <c r="P79" s="41"/>
      <c r="Q79" s="41"/>
      <c r="R79" s="7">
        <f t="shared" si="3"/>
        <v>35000</v>
      </c>
      <c r="S79" s="7">
        <f t="shared" si="4"/>
        <v>0</v>
      </c>
      <c r="T79" s="41">
        <v>0</v>
      </c>
      <c r="U79" s="15"/>
      <c r="V79" s="15"/>
      <c r="W79" s="7">
        <f t="shared" si="5"/>
        <v>0</v>
      </c>
      <c r="X79" s="13">
        <f t="shared" si="9"/>
        <v>0</v>
      </c>
      <c r="Y79" s="12"/>
      <c r="Z79" s="12"/>
      <c r="AA79" s="85">
        <f t="shared" si="6"/>
        <v>0</v>
      </c>
    </row>
    <row r="80" spans="1:27" s="1" customFormat="1" ht="129" hidden="1" customHeight="1" outlineLevel="1">
      <c r="A80" s="94" t="s">
        <v>130</v>
      </c>
      <c r="B80" s="22" t="s">
        <v>21</v>
      </c>
      <c r="C80" s="97" t="s">
        <v>12</v>
      </c>
      <c r="D80" s="97" t="s">
        <v>16</v>
      </c>
      <c r="E80" s="97" t="s">
        <v>9</v>
      </c>
      <c r="F80" s="48" t="s">
        <v>111</v>
      </c>
      <c r="G80" s="49">
        <v>5000</v>
      </c>
      <c r="H80" s="49">
        <v>-5000</v>
      </c>
      <c r="I80" s="7">
        <f t="shared" si="7"/>
        <v>0</v>
      </c>
      <c r="J80" s="49">
        <v>5000</v>
      </c>
      <c r="K80" s="49">
        <v>-5000</v>
      </c>
      <c r="L80" s="49"/>
      <c r="M80" s="7">
        <f t="shared" si="1"/>
        <v>0</v>
      </c>
      <c r="N80" s="7">
        <f t="shared" si="2"/>
        <v>0</v>
      </c>
      <c r="O80" s="41">
        <v>0</v>
      </c>
      <c r="P80" s="41"/>
      <c r="Q80" s="41"/>
      <c r="R80" s="7">
        <f t="shared" si="3"/>
        <v>0</v>
      </c>
      <c r="S80" s="7">
        <f t="shared" si="4"/>
        <v>0</v>
      </c>
      <c r="T80" s="41">
        <v>0</v>
      </c>
      <c r="U80" s="15"/>
      <c r="V80" s="15"/>
      <c r="W80" s="7">
        <f t="shared" si="5"/>
        <v>0</v>
      </c>
      <c r="X80" s="13">
        <f t="shared" si="9"/>
        <v>0</v>
      </c>
      <c r="Y80" s="12"/>
      <c r="Z80" s="12"/>
      <c r="AA80" s="85">
        <f t="shared" si="6"/>
        <v>0</v>
      </c>
    </row>
    <row r="81" spans="1:27" s="1" customFormat="1" ht="129" customHeight="1" outlineLevel="1">
      <c r="A81" s="94" t="s">
        <v>276</v>
      </c>
      <c r="B81" s="22" t="s">
        <v>21</v>
      </c>
      <c r="C81" s="97" t="s">
        <v>12</v>
      </c>
      <c r="D81" s="97" t="s">
        <v>16</v>
      </c>
      <c r="E81" s="97" t="s">
        <v>9</v>
      </c>
      <c r="F81" s="48" t="s">
        <v>226</v>
      </c>
      <c r="G81" s="49">
        <v>0</v>
      </c>
      <c r="H81" s="49">
        <v>224641.92000000001</v>
      </c>
      <c r="I81" s="7">
        <f t="shared" si="7"/>
        <v>224641.92000000001</v>
      </c>
      <c r="J81" s="49">
        <v>0</v>
      </c>
      <c r="K81" s="49">
        <v>5000</v>
      </c>
      <c r="L81" s="49"/>
      <c r="M81" s="7">
        <f t="shared" si="1"/>
        <v>224641.92000000001</v>
      </c>
      <c r="N81" s="7">
        <f t="shared" si="2"/>
        <v>5000</v>
      </c>
      <c r="O81" s="50">
        <v>0</v>
      </c>
      <c r="P81" s="50"/>
      <c r="Q81" s="50"/>
      <c r="R81" s="7">
        <f t="shared" si="3"/>
        <v>5000</v>
      </c>
      <c r="S81" s="7">
        <f t="shared" si="4"/>
        <v>0</v>
      </c>
      <c r="T81" s="50">
        <v>0</v>
      </c>
      <c r="U81" s="48"/>
      <c r="V81" s="48"/>
      <c r="W81" s="7">
        <f t="shared" si="5"/>
        <v>0</v>
      </c>
      <c r="X81" s="13">
        <f t="shared" si="9"/>
        <v>0</v>
      </c>
      <c r="Y81" s="12"/>
      <c r="Z81" s="12"/>
      <c r="AA81" s="85">
        <f t="shared" si="6"/>
        <v>0</v>
      </c>
    </row>
    <row r="82" spans="1:27" ht="28.5" customHeight="1" outlineLevel="1">
      <c r="A82" s="132" t="s">
        <v>131</v>
      </c>
      <c r="B82" s="133"/>
      <c r="C82" s="133"/>
      <c r="D82" s="133"/>
      <c r="E82" s="92"/>
      <c r="F82" s="51"/>
      <c r="G82" s="52">
        <f>SUM(G83:G97)</f>
        <v>144520</v>
      </c>
      <c r="H82" s="52">
        <f>SUM(H83:H97)</f>
        <v>0</v>
      </c>
      <c r="I82" s="7">
        <f t="shared" si="7"/>
        <v>144520</v>
      </c>
      <c r="J82" s="52">
        <f>SUM(J83:J97)</f>
        <v>74800</v>
      </c>
      <c r="K82" s="52">
        <f>SUM(K83:K97)</f>
        <v>0</v>
      </c>
      <c r="L82" s="52"/>
      <c r="M82" s="7">
        <f t="shared" si="1"/>
        <v>144520</v>
      </c>
      <c r="N82" s="7">
        <f t="shared" si="2"/>
        <v>74800</v>
      </c>
      <c r="O82" s="52">
        <f>SUM(O83:O97)</f>
        <v>69720</v>
      </c>
      <c r="P82" s="52">
        <f>SUM(P83:P97)</f>
        <v>0</v>
      </c>
      <c r="Q82" s="52"/>
      <c r="R82" s="7">
        <f t="shared" si="3"/>
        <v>74800</v>
      </c>
      <c r="S82" s="7">
        <f t="shared" si="4"/>
        <v>69720</v>
      </c>
      <c r="T82" s="52">
        <f>SUM(T83:T97)</f>
        <v>0</v>
      </c>
      <c r="U82" s="52">
        <f>SUM(U83:U97)</f>
        <v>0</v>
      </c>
      <c r="V82" s="52"/>
      <c r="W82" s="7">
        <f t="shared" si="5"/>
        <v>69720</v>
      </c>
      <c r="X82" s="13">
        <f t="shared" si="9"/>
        <v>0</v>
      </c>
      <c r="Y82" s="12"/>
      <c r="Z82" s="12"/>
      <c r="AA82" s="85">
        <f t="shared" si="6"/>
        <v>0</v>
      </c>
    </row>
    <row r="83" spans="1:27" ht="112.5" customHeight="1" outlineLevel="1">
      <c r="A83" s="94" t="s">
        <v>84</v>
      </c>
      <c r="B83" s="22" t="s">
        <v>64</v>
      </c>
      <c r="C83" s="97" t="s">
        <v>65</v>
      </c>
      <c r="D83" s="97" t="s">
        <v>16</v>
      </c>
      <c r="E83" s="97" t="s">
        <v>9</v>
      </c>
      <c r="F83" s="97" t="s">
        <v>99</v>
      </c>
      <c r="G83" s="7">
        <v>9960</v>
      </c>
      <c r="H83" s="7"/>
      <c r="I83" s="7">
        <f t="shared" si="7"/>
        <v>9960</v>
      </c>
      <c r="J83" s="7">
        <v>9960</v>
      </c>
      <c r="K83" s="7"/>
      <c r="L83" s="7"/>
      <c r="M83" s="7">
        <f t="shared" si="1"/>
        <v>9960</v>
      </c>
      <c r="N83" s="7">
        <f t="shared" si="2"/>
        <v>9960</v>
      </c>
      <c r="O83" s="41">
        <v>0</v>
      </c>
      <c r="P83" s="41"/>
      <c r="Q83" s="41"/>
      <c r="R83" s="7">
        <f t="shared" si="3"/>
        <v>9960</v>
      </c>
      <c r="S83" s="7">
        <f t="shared" si="4"/>
        <v>0</v>
      </c>
      <c r="T83" s="41">
        <v>0</v>
      </c>
      <c r="U83" s="15"/>
      <c r="V83" s="15"/>
      <c r="W83" s="7">
        <f t="shared" si="5"/>
        <v>0</v>
      </c>
      <c r="X83" s="13">
        <f t="shared" si="9"/>
        <v>0</v>
      </c>
      <c r="Y83" s="12"/>
      <c r="Z83" s="12"/>
      <c r="AA83" s="85">
        <f t="shared" si="6"/>
        <v>0</v>
      </c>
    </row>
    <row r="84" spans="1:27" ht="111.75" customHeight="1" outlineLevel="1">
      <c r="A84" s="94" t="s">
        <v>85</v>
      </c>
      <c r="B84" s="22" t="s">
        <v>64</v>
      </c>
      <c r="C84" s="97" t="s">
        <v>65</v>
      </c>
      <c r="D84" s="97" t="s">
        <v>16</v>
      </c>
      <c r="E84" s="97" t="s">
        <v>9</v>
      </c>
      <c r="F84" s="97" t="s">
        <v>99</v>
      </c>
      <c r="G84" s="7">
        <v>9960</v>
      </c>
      <c r="H84" s="7"/>
      <c r="I84" s="7">
        <f t="shared" si="7"/>
        <v>9960</v>
      </c>
      <c r="J84" s="7">
        <v>9960</v>
      </c>
      <c r="K84" s="7"/>
      <c r="L84" s="7"/>
      <c r="M84" s="7">
        <f t="shared" si="1"/>
        <v>9960</v>
      </c>
      <c r="N84" s="7">
        <f t="shared" si="2"/>
        <v>9960</v>
      </c>
      <c r="O84" s="41">
        <v>0</v>
      </c>
      <c r="P84" s="41"/>
      <c r="Q84" s="41"/>
      <c r="R84" s="7">
        <f t="shared" si="3"/>
        <v>9960</v>
      </c>
      <c r="S84" s="7">
        <f t="shared" si="4"/>
        <v>0</v>
      </c>
      <c r="T84" s="41">
        <v>0</v>
      </c>
      <c r="U84" s="15"/>
      <c r="V84" s="15"/>
      <c r="W84" s="7">
        <f t="shared" si="5"/>
        <v>0</v>
      </c>
      <c r="X84" s="13">
        <f t="shared" si="9"/>
        <v>0</v>
      </c>
      <c r="Y84" s="12"/>
      <c r="Z84" s="12"/>
      <c r="AA84" s="85">
        <f t="shared" si="6"/>
        <v>0</v>
      </c>
    </row>
    <row r="85" spans="1:27" ht="108" customHeight="1" outlineLevel="1">
      <c r="A85" s="94" t="s">
        <v>86</v>
      </c>
      <c r="B85" s="22" t="s">
        <v>64</v>
      </c>
      <c r="C85" s="97" t="s">
        <v>65</v>
      </c>
      <c r="D85" s="97" t="s">
        <v>16</v>
      </c>
      <c r="E85" s="97" t="s">
        <v>9</v>
      </c>
      <c r="F85" s="97" t="s">
        <v>99</v>
      </c>
      <c r="G85" s="7">
        <v>7520</v>
      </c>
      <c r="H85" s="7"/>
      <c r="I85" s="7">
        <f t="shared" si="7"/>
        <v>7520</v>
      </c>
      <c r="J85" s="7">
        <v>7520</v>
      </c>
      <c r="K85" s="7"/>
      <c r="L85" s="7"/>
      <c r="M85" s="7">
        <f t="shared" si="1"/>
        <v>7520</v>
      </c>
      <c r="N85" s="7">
        <f t="shared" si="2"/>
        <v>7520</v>
      </c>
      <c r="O85" s="41">
        <v>0</v>
      </c>
      <c r="P85" s="41"/>
      <c r="Q85" s="41"/>
      <c r="R85" s="7">
        <f t="shared" si="3"/>
        <v>7520</v>
      </c>
      <c r="S85" s="7">
        <f t="shared" si="4"/>
        <v>0</v>
      </c>
      <c r="T85" s="41">
        <v>0</v>
      </c>
      <c r="U85" s="15"/>
      <c r="V85" s="15"/>
      <c r="W85" s="7">
        <f t="shared" si="5"/>
        <v>0</v>
      </c>
      <c r="X85" s="13">
        <f t="shared" si="9"/>
        <v>0</v>
      </c>
      <c r="Y85" s="12"/>
      <c r="Z85" s="12"/>
      <c r="AA85" s="85">
        <f t="shared" si="6"/>
        <v>0</v>
      </c>
    </row>
    <row r="86" spans="1:27" ht="107.25" customHeight="1" outlineLevel="1">
      <c r="A86" s="94" t="s">
        <v>87</v>
      </c>
      <c r="B86" s="22" t="s">
        <v>64</v>
      </c>
      <c r="C86" s="97" t="s">
        <v>65</v>
      </c>
      <c r="D86" s="97" t="s">
        <v>16</v>
      </c>
      <c r="E86" s="97" t="s">
        <v>9</v>
      </c>
      <c r="F86" s="97" t="s">
        <v>99</v>
      </c>
      <c r="G86" s="7">
        <v>9960</v>
      </c>
      <c r="H86" s="7"/>
      <c r="I86" s="7">
        <f t="shared" si="7"/>
        <v>9960</v>
      </c>
      <c r="J86" s="7">
        <v>9960</v>
      </c>
      <c r="K86" s="7"/>
      <c r="L86" s="7"/>
      <c r="M86" s="7">
        <f t="shared" si="1"/>
        <v>9960</v>
      </c>
      <c r="N86" s="7">
        <f t="shared" si="2"/>
        <v>9960</v>
      </c>
      <c r="O86" s="41">
        <v>0</v>
      </c>
      <c r="P86" s="41"/>
      <c r="Q86" s="41"/>
      <c r="R86" s="7">
        <f t="shared" si="3"/>
        <v>9960</v>
      </c>
      <c r="S86" s="7">
        <f t="shared" si="4"/>
        <v>0</v>
      </c>
      <c r="T86" s="41">
        <v>0</v>
      </c>
      <c r="U86" s="15"/>
      <c r="V86" s="15"/>
      <c r="W86" s="7">
        <f t="shared" si="5"/>
        <v>0</v>
      </c>
      <c r="X86" s="13">
        <f t="shared" si="9"/>
        <v>0</v>
      </c>
      <c r="Y86" s="12"/>
      <c r="Z86" s="12"/>
      <c r="AA86" s="85">
        <f t="shared" si="6"/>
        <v>0</v>
      </c>
    </row>
    <row r="87" spans="1:27" ht="115.5" customHeight="1" outlineLevel="1">
      <c r="A87" s="94" t="s">
        <v>88</v>
      </c>
      <c r="B87" s="22" t="s">
        <v>64</v>
      </c>
      <c r="C87" s="97" t="s">
        <v>65</v>
      </c>
      <c r="D87" s="97" t="s">
        <v>16</v>
      </c>
      <c r="E87" s="97" t="s">
        <v>9</v>
      </c>
      <c r="F87" s="97" t="s">
        <v>99</v>
      </c>
      <c r="G87" s="7">
        <v>7520</v>
      </c>
      <c r="H87" s="7"/>
      <c r="I87" s="7">
        <f t="shared" si="7"/>
        <v>7520</v>
      </c>
      <c r="J87" s="7">
        <v>7520</v>
      </c>
      <c r="K87" s="7"/>
      <c r="L87" s="7"/>
      <c r="M87" s="7">
        <f t="shared" si="1"/>
        <v>7520</v>
      </c>
      <c r="N87" s="7">
        <f t="shared" si="2"/>
        <v>7520</v>
      </c>
      <c r="O87" s="41">
        <v>0</v>
      </c>
      <c r="P87" s="41"/>
      <c r="Q87" s="41"/>
      <c r="R87" s="7">
        <f t="shared" si="3"/>
        <v>7520</v>
      </c>
      <c r="S87" s="7">
        <f t="shared" si="4"/>
        <v>0</v>
      </c>
      <c r="T87" s="41">
        <v>0</v>
      </c>
      <c r="U87" s="15"/>
      <c r="V87" s="15"/>
      <c r="W87" s="7">
        <f t="shared" ref="W87:W153" si="15">S87+V87</f>
        <v>0</v>
      </c>
      <c r="X87" s="13">
        <f t="shared" si="9"/>
        <v>0</v>
      </c>
      <c r="Y87" s="12"/>
      <c r="Z87" s="12"/>
      <c r="AA87" s="85">
        <f t="shared" si="6"/>
        <v>0</v>
      </c>
    </row>
    <row r="88" spans="1:27" ht="111" customHeight="1" outlineLevel="1">
      <c r="A88" s="94" t="s">
        <v>89</v>
      </c>
      <c r="B88" s="22" t="s">
        <v>64</v>
      </c>
      <c r="C88" s="97" t="s">
        <v>65</v>
      </c>
      <c r="D88" s="97" t="s">
        <v>16</v>
      </c>
      <c r="E88" s="97" t="s">
        <v>9</v>
      </c>
      <c r="F88" s="97" t="s">
        <v>99</v>
      </c>
      <c r="G88" s="7">
        <v>9960</v>
      </c>
      <c r="H88" s="7"/>
      <c r="I88" s="7">
        <f t="shared" si="7"/>
        <v>9960</v>
      </c>
      <c r="J88" s="7">
        <v>9960</v>
      </c>
      <c r="K88" s="7"/>
      <c r="L88" s="7"/>
      <c r="M88" s="7">
        <f t="shared" ref="M88:M154" si="16">I88+L88</f>
        <v>9960</v>
      </c>
      <c r="N88" s="7">
        <f t="shared" si="2"/>
        <v>9960</v>
      </c>
      <c r="O88" s="41">
        <v>0</v>
      </c>
      <c r="P88" s="41"/>
      <c r="Q88" s="41"/>
      <c r="R88" s="7">
        <f t="shared" ref="R88:R154" si="17">N88+Q88</f>
        <v>9960</v>
      </c>
      <c r="S88" s="7">
        <f t="shared" si="4"/>
        <v>0</v>
      </c>
      <c r="T88" s="41">
        <v>0</v>
      </c>
      <c r="U88" s="15"/>
      <c r="V88" s="15"/>
      <c r="W88" s="7">
        <f t="shared" si="15"/>
        <v>0</v>
      </c>
      <c r="X88" s="13">
        <f t="shared" si="9"/>
        <v>0</v>
      </c>
      <c r="Y88" s="12"/>
      <c r="Z88" s="12"/>
      <c r="AA88" s="85">
        <f t="shared" ref="AA88:AA154" si="18">X88+Y88</f>
        <v>0</v>
      </c>
    </row>
    <row r="89" spans="1:27" ht="111" customHeight="1" outlineLevel="1">
      <c r="A89" s="94" t="s">
        <v>90</v>
      </c>
      <c r="B89" s="22" t="s">
        <v>64</v>
      </c>
      <c r="C89" s="97" t="s">
        <v>65</v>
      </c>
      <c r="D89" s="97" t="s">
        <v>16</v>
      </c>
      <c r="E89" s="97" t="s">
        <v>9</v>
      </c>
      <c r="F89" s="97" t="s">
        <v>99</v>
      </c>
      <c r="G89" s="7">
        <v>9960</v>
      </c>
      <c r="H89" s="7"/>
      <c r="I89" s="7">
        <f t="shared" si="7"/>
        <v>9960</v>
      </c>
      <c r="J89" s="7">
        <v>9960</v>
      </c>
      <c r="K89" s="7"/>
      <c r="L89" s="7"/>
      <c r="M89" s="7">
        <f t="shared" si="16"/>
        <v>9960</v>
      </c>
      <c r="N89" s="7">
        <f t="shared" si="2"/>
        <v>9960</v>
      </c>
      <c r="O89" s="41">
        <v>0</v>
      </c>
      <c r="P89" s="41"/>
      <c r="Q89" s="41"/>
      <c r="R89" s="7">
        <f t="shared" si="17"/>
        <v>9960</v>
      </c>
      <c r="S89" s="7">
        <f t="shared" si="4"/>
        <v>0</v>
      </c>
      <c r="T89" s="41">
        <v>0</v>
      </c>
      <c r="U89" s="15"/>
      <c r="V89" s="15"/>
      <c r="W89" s="7">
        <f t="shared" si="15"/>
        <v>0</v>
      </c>
      <c r="X89" s="13">
        <f t="shared" si="9"/>
        <v>0</v>
      </c>
      <c r="Y89" s="12"/>
      <c r="Z89" s="12"/>
      <c r="AA89" s="85">
        <f t="shared" si="18"/>
        <v>0</v>
      </c>
    </row>
    <row r="90" spans="1:27" ht="115.5" customHeight="1" outlineLevel="1">
      <c r="A90" s="94" t="s">
        <v>91</v>
      </c>
      <c r="B90" s="22" t="s">
        <v>64</v>
      </c>
      <c r="C90" s="97" t="s">
        <v>65</v>
      </c>
      <c r="D90" s="97" t="s">
        <v>16</v>
      </c>
      <c r="E90" s="97" t="s">
        <v>9</v>
      </c>
      <c r="F90" s="22" t="s">
        <v>99</v>
      </c>
      <c r="G90" s="17">
        <v>9960</v>
      </c>
      <c r="H90" s="17"/>
      <c r="I90" s="7">
        <f t="shared" si="7"/>
        <v>9960</v>
      </c>
      <c r="J90" s="17">
        <v>9960</v>
      </c>
      <c r="K90" s="17"/>
      <c r="L90" s="17"/>
      <c r="M90" s="7">
        <f t="shared" si="16"/>
        <v>9960</v>
      </c>
      <c r="N90" s="7">
        <f t="shared" si="2"/>
        <v>9960</v>
      </c>
      <c r="O90" s="41">
        <v>0</v>
      </c>
      <c r="P90" s="41"/>
      <c r="Q90" s="41"/>
      <c r="R90" s="7">
        <f t="shared" si="17"/>
        <v>9960</v>
      </c>
      <c r="S90" s="7">
        <f t="shared" si="4"/>
        <v>0</v>
      </c>
      <c r="T90" s="41">
        <v>0</v>
      </c>
      <c r="U90" s="15"/>
      <c r="V90" s="15"/>
      <c r="W90" s="7">
        <f t="shared" si="15"/>
        <v>0</v>
      </c>
      <c r="X90" s="13">
        <f t="shared" si="9"/>
        <v>0</v>
      </c>
      <c r="Y90" s="12"/>
      <c r="Z90" s="12"/>
      <c r="AA90" s="85">
        <f t="shared" si="18"/>
        <v>0</v>
      </c>
    </row>
    <row r="91" spans="1:27" ht="119.25" customHeight="1" outlineLevel="1">
      <c r="A91" s="94" t="s">
        <v>92</v>
      </c>
      <c r="B91" s="22" t="s">
        <v>64</v>
      </c>
      <c r="C91" s="97" t="s">
        <v>65</v>
      </c>
      <c r="D91" s="97" t="s">
        <v>16</v>
      </c>
      <c r="E91" s="97" t="s">
        <v>9</v>
      </c>
      <c r="F91" s="97" t="s">
        <v>100</v>
      </c>
      <c r="G91" s="7">
        <v>9960</v>
      </c>
      <c r="H91" s="7"/>
      <c r="I91" s="7">
        <f t="shared" si="7"/>
        <v>9960</v>
      </c>
      <c r="J91" s="7">
        <v>0</v>
      </c>
      <c r="K91" s="7"/>
      <c r="L91" s="7"/>
      <c r="M91" s="7">
        <f t="shared" si="16"/>
        <v>9960</v>
      </c>
      <c r="N91" s="7">
        <f t="shared" si="2"/>
        <v>0</v>
      </c>
      <c r="O91" s="7">
        <v>9960</v>
      </c>
      <c r="P91" s="7"/>
      <c r="Q91" s="7"/>
      <c r="R91" s="7">
        <f t="shared" si="17"/>
        <v>0</v>
      </c>
      <c r="S91" s="7">
        <f t="shared" si="4"/>
        <v>9960</v>
      </c>
      <c r="T91" s="41">
        <v>0</v>
      </c>
      <c r="U91" s="15"/>
      <c r="V91" s="15"/>
      <c r="W91" s="7">
        <f t="shared" si="15"/>
        <v>9960</v>
      </c>
      <c r="X91" s="13">
        <f t="shared" si="9"/>
        <v>0</v>
      </c>
      <c r="Y91" s="12"/>
      <c r="Z91" s="12"/>
      <c r="AA91" s="85">
        <f t="shared" si="18"/>
        <v>0</v>
      </c>
    </row>
    <row r="92" spans="1:27" ht="116.25" customHeight="1" outlineLevel="1">
      <c r="A92" s="94" t="s">
        <v>93</v>
      </c>
      <c r="B92" s="22" t="s">
        <v>64</v>
      </c>
      <c r="C92" s="97" t="s">
        <v>65</v>
      </c>
      <c r="D92" s="97" t="s">
        <v>16</v>
      </c>
      <c r="E92" s="97" t="s">
        <v>9</v>
      </c>
      <c r="F92" s="97" t="s">
        <v>100</v>
      </c>
      <c r="G92" s="7">
        <v>9960</v>
      </c>
      <c r="H92" s="7"/>
      <c r="I92" s="7">
        <f t="shared" si="7"/>
        <v>9960</v>
      </c>
      <c r="J92" s="7">
        <v>0</v>
      </c>
      <c r="K92" s="7"/>
      <c r="L92" s="7"/>
      <c r="M92" s="7">
        <f t="shared" si="16"/>
        <v>9960</v>
      </c>
      <c r="N92" s="7">
        <f t="shared" si="2"/>
        <v>0</v>
      </c>
      <c r="O92" s="7">
        <v>9960</v>
      </c>
      <c r="P92" s="7"/>
      <c r="Q92" s="7"/>
      <c r="R92" s="7">
        <f t="shared" si="17"/>
        <v>0</v>
      </c>
      <c r="S92" s="7">
        <f t="shared" si="4"/>
        <v>9960</v>
      </c>
      <c r="T92" s="41">
        <v>0</v>
      </c>
      <c r="U92" s="15"/>
      <c r="V92" s="15"/>
      <c r="W92" s="7">
        <f t="shared" si="15"/>
        <v>9960</v>
      </c>
      <c r="X92" s="13">
        <f t="shared" si="9"/>
        <v>0</v>
      </c>
      <c r="Y92" s="12"/>
      <c r="Z92" s="12"/>
      <c r="AA92" s="85">
        <f t="shared" si="18"/>
        <v>0</v>
      </c>
    </row>
    <row r="93" spans="1:27" ht="105.75" customHeight="1" outlineLevel="1">
      <c r="A93" s="94" t="s">
        <v>94</v>
      </c>
      <c r="B93" s="22" t="s">
        <v>64</v>
      </c>
      <c r="C93" s="97" t="s">
        <v>65</v>
      </c>
      <c r="D93" s="97" t="s">
        <v>16</v>
      </c>
      <c r="E93" s="97" t="s">
        <v>9</v>
      </c>
      <c r="F93" s="97" t="s">
        <v>100</v>
      </c>
      <c r="G93" s="7">
        <v>9960</v>
      </c>
      <c r="H93" s="7"/>
      <c r="I93" s="7">
        <f t="shared" si="7"/>
        <v>9960</v>
      </c>
      <c r="J93" s="7">
        <v>0</v>
      </c>
      <c r="K93" s="7"/>
      <c r="L93" s="7"/>
      <c r="M93" s="7">
        <f t="shared" si="16"/>
        <v>9960</v>
      </c>
      <c r="N93" s="7">
        <f t="shared" si="2"/>
        <v>0</v>
      </c>
      <c r="O93" s="7">
        <v>9960</v>
      </c>
      <c r="P93" s="7"/>
      <c r="Q93" s="7"/>
      <c r="R93" s="7">
        <f t="shared" si="17"/>
        <v>0</v>
      </c>
      <c r="S93" s="7">
        <f t="shared" si="4"/>
        <v>9960</v>
      </c>
      <c r="T93" s="41">
        <v>0</v>
      </c>
      <c r="U93" s="15"/>
      <c r="V93" s="15"/>
      <c r="W93" s="7">
        <f t="shared" si="15"/>
        <v>9960</v>
      </c>
      <c r="X93" s="13">
        <f t="shared" si="9"/>
        <v>0</v>
      </c>
      <c r="Y93" s="12"/>
      <c r="Z93" s="12"/>
      <c r="AA93" s="85">
        <f t="shared" si="18"/>
        <v>0</v>
      </c>
    </row>
    <row r="94" spans="1:27" ht="110.25" customHeight="1" outlineLevel="1">
      <c r="A94" s="94" t="s">
        <v>95</v>
      </c>
      <c r="B94" s="22" t="s">
        <v>64</v>
      </c>
      <c r="C94" s="97" t="s">
        <v>65</v>
      </c>
      <c r="D94" s="97" t="s">
        <v>16</v>
      </c>
      <c r="E94" s="97" t="s">
        <v>9</v>
      </c>
      <c r="F94" s="97" t="s">
        <v>100</v>
      </c>
      <c r="G94" s="7">
        <v>9960</v>
      </c>
      <c r="H94" s="7"/>
      <c r="I94" s="7">
        <f t="shared" si="7"/>
        <v>9960</v>
      </c>
      <c r="J94" s="7">
        <v>0</v>
      </c>
      <c r="K94" s="7"/>
      <c r="L94" s="7"/>
      <c r="M94" s="7">
        <f t="shared" si="16"/>
        <v>9960</v>
      </c>
      <c r="N94" s="7">
        <f t="shared" si="2"/>
        <v>0</v>
      </c>
      <c r="O94" s="7">
        <v>9960</v>
      </c>
      <c r="P94" s="7"/>
      <c r="Q94" s="7"/>
      <c r="R94" s="7">
        <f t="shared" si="17"/>
        <v>0</v>
      </c>
      <c r="S94" s="7">
        <f t="shared" si="4"/>
        <v>9960</v>
      </c>
      <c r="T94" s="41">
        <v>0</v>
      </c>
      <c r="U94" s="15"/>
      <c r="V94" s="15"/>
      <c r="W94" s="7">
        <f t="shared" si="15"/>
        <v>9960</v>
      </c>
      <c r="X94" s="13">
        <f t="shared" si="9"/>
        <v>0</v>
      </c>
      <c r="Y94" s="12"/>
      <c r="Z94" s="12"/>
      <c r="AA94" s="85">
        <f t="shared" si="18"/>
        <v>0</v>
      </c>
    </row>
    <row r="95" spans="1:27" ht="112.5" customHeight="1" outlineLevel="1">
      <c r="A95" s="94" t="s">
        <v>96</v>
      </c>
      <c r="B95" s="22" t="s">
        <v>64</v>
      </c>
      <c r="C95" s="97" t="s">
        <v>65</v>
      </c>
      <c r="D95" s="97" t="s">
        <v>16</v>
      </c>
      <c r="E95" s="97" t="s">
        <v>9</v>
      </c>
      <c r="F95" s="97" t="s">
        <v>100</v>
      </c>
      <c r="G95" s="7">
        <v>9960</v>
      </c>
      <c r="H95" s="7"/>
      <c r="I95" s="7">
        <f t="shared" si="7"/>
        <v>9960</v>
      </c>
      <c r="J95" s="7">
        <v>0</v>
      </c>
      <c r="K95" s="7"/>
      <c r="L95" s="7"/>
      <c r="M95" s="7">
        <f t="shared" si="16"/>
        <v>9960</v>
      </c>
      <c r="N95" s="7">
        <f t="shared" si="2"/>
        <v>0</v>
      </c>
      <c r="O95" s="7">
        <v>9960</v>
      </c>
      <c r="P95" s="7"/>
      <c r="Q95" s="7"/>
      <c r="R95" s="7">
        <f t="shared" si="17"/>
        <v>0</v>
      </c>
      <c r="S95" s="7">
        <f t="shared" si="4"/>
        <v>9960</v>
      </c>
      <c r="T95" s="41">
        <v>0</v>
      </c>
      <c r="U95" s="15"/>
      <c r="V95" s="15"/>
      <c r="W95" s="7">
        <f t="shared" si="15"/>
        <v>9960</v>
      </c>
      <c r="X95" s="13">
        <f t="shared" si="9"/>
        <v>0</v>
      </c>
      <c r="Y95" s="12"/>
      <c r="Z95" s="12"/>
      <c r="AA95" s="85">
        <f t="shared" si="18"/>
        <v>0</v>
      </c>
    </row>
    <row r="96" spans="1:27" ht="108" customHeight="1" outlineLevel="1">
      <c r="A96" s="94" t="s">
        <v>97</v>
      </c>
      <c r="B96" s="22" t="s">
        <v>64</v>
      </c>
      <c r="C96" s="97" t="s">
        <v>65</v>
      </c>
      <c r="D96" s="97" t="s">
        <v>16</v>
      </c>
      <c r="E96" s="97" t="s">
        <v>9</v>
      </c>
      <c r="F96" s="97" t="s">
        <v>100</v>
      </c>
      <c r="G96" s="7">
        <v>9960</v>
      </c>
      <c r="H96" s="7"/>
      <c r="I96" s="7">
        <f t="shared" si="7"/>
        <v>9960</v>
      </c>
      <c r="J96" s="7">
        <v>0</v>
      </c>
      <c r="K96" s="7"/>
      <c r="L96" s="7"/>
      <c r="M96" s="7">
        <f t="shared" si="16"/>
        <v>9960</v>
      </c>
      <c r="N96" s="7">
        <f t="shared" si="2"/>
        <v>0</v>
      </c>
      <c r="O96" s="7">
        <v>9960</v>
      </c>
      <c r="P96" s="7"/>
      <c r="Q96" s="7"/>
      <c r="R96" s="7">
        <f t="shared" si="17"/>
        <v>0</v>
      </c>
      <c r="S96" s="7">
        <f t="shared" si="4"/>
        <v>9960</v>
      </c>
      <c r="T96" s="41">
        <v>0</v>
      </c>
      <c r="U96" s="15"/>
      <c r="V96" s="15"/>
      <c r="W96" s="7">
        <f t="shared" si="15"/>
        <v>9960</v>
      </c>
      <c r="X96" s="13">
        <f t="shared" si="9"/>
        <v>0</v>
      </c>
      <c r="Y96" s="12"/>
      <c r="Z96" s="12"/>
      <c r="AA96" s="85">
        <f t="shared" si="18"/>
        <v>0</v>
      </c>
    </row>
    <row r="97" spans="1:27" ht="115.5" customHeight="1" outlineLevel="1">
      <c r="A97" s="94" t="s">
        <v>98</v>
      </c>
      <c r="B97" s="22" t="s">
        <v>64</v>
      </c>
      <c r="C97" s="97" t="s">
        <v>65</v>
      </c>
      <c r="D97" s="97" t="s">
        <v>16</v>
      </c>
      <c r="E97" s="97" t="s">
        <v>9</v>
      </c>
      <c r="F97" s="97" t="s">
        <v>100</v>
      </c>
      <c r="G97" s="7">
        <v>9960</v>
      </c>
      <c r="H97" s="7"/>
      <c r="I97" s="7">
        <f t="shared" si="7"/>
        <v>9960</v>
      </c>
      <c r="J97" s="7">
        <v>0</v>
      </c>
      <c r="K97" s="7"/>
      <c r="L97" s="7"/>
      <c r="M97" s="7">
        <f t="shared" si="16"/>
        <v>9960</v>
      </c>
      <c r="N97" s="7">
        <f t="shared" si="2"/>
        <v>0</v>
      </c>
      <c r="O97" s="7">
        <v>9960</v>
      </c>
      <c r="P97" s="7"/>
      <c r="Q97" s="7"/>
      <c r="R97" s="7">
        <f t="shared" si="17"/>
        <v>0</v>
      </c>
      <c r="S97" s="7">
        <f t="shared" si="4"/>
        <v>9960</v>
      </c>
      <c r="T97" s="41">
        <v>0</v>
      </c>
      <c r="U97" s="15"/>
      <c r="V97" s="15"/>
      <c r="W97" s="7">
        <f t="shared" si="15"/>
        <v>9960</v>
      </c>
      <c r="X97" s="13">
        <f t="shared" si="9"/>
        <v>0</v>
      </c>
      <c r="Y97" s="12"/>
      <c r="Z97" s="12"/>
      <c r="AA97" s="85">
        <f t="shared" si="18"/>
        <v>0</v>
      </c>
    </row>
    <row r="98" spans="1:27" ht="131.25" customHeight="1" outlineLevel="1">
      <c r="A98" s="94" t="s">
        <v>206</v>
      </c>
      <c r="B98" s="22" t="s">
        <v>21</v>
      </c>
      <c r="C98" s="97" t="s">
        <v>12</v>
      </c>
      <c r="D98" s="97" t="s">
        <v>16</v>
      </c>
      <c r="E98" s="97" t="s">
        <v>9</v>
      </c>
      <c r="F98" s="97" t="s">
        <v>207</v>
      </c>
      <c r="G98" s="7">
        <v>0</v>
      </c>
      <c r="H98" s="7">
        <v>1190</v>
      </c>
      <c r="I98" s="7">
        <f>G98+H98</f>
        <v>1190</v>
      </c>
      <c r="J98" s="7">
        <v>0</v>
      </c>
      <c r="K98" s="7">
        <v>1190</v>
      </c>
      <c r="L98" s="7"/>
      <c r="M98" s="7">
        <f t="shared" si="16"/>
        <v>1190</v>
      </c>
      <c r="N98" s="7">
        <f>J98+K98</f>
        <v>1190</v>
      </c>
      <c r="O98" s="7">
        <v>0</v>
      </c>
      <c r="P98" s="7"/>
      <c r="Q98" s="7"/>
      <c r="R98" s="7">
        <f t="shared" si="17"/>
        <v>1190</v>
      </c>
      <c r="S98" s="7">
        <f t="shared" si="4"/>
        <v>0</v>
      </c>
      <c r="T98" s="41">
        <v>0</v>
      </c>
      <c r="U98" s="15"/>
      <c r="V98" s="15"/>
      <c r="W98" s="7">
        <f t="shared" si="15"/>
        <v>0</v>
      </c>
      <c r="X98" s="13">
        <f t="shared" si="9"/>
        <v>0</v>
      </c>
      <c r="Y98" s="12"/>
      <c r="Z98" s="12"/>
      <c r="AA98" s="85">
        <f t="shared" si="18"/>
        <v>0</v>
      </c>
    </row>
    <row r="99" spans="1:27" ht="131.25" customHeight="1" outlineLevel="1">
      <c r="A99" s="94" t="s">
        <v>261</v>
      </c>
      <c r="B99" s="22" t="s">
        <v>277</v>
      </c>
      <c r="C99" s="93" t="s">
        <v>275</v>
      </c>
      <c r="D99" s="97" t="s">
        <v>259</v>
      </c>
      <c r="E99" s="97" t="s">
        <v>260</v>
      </c>
      <c r="F99" s="97" t="s">
        <v>224</v>
      </c>
      <c r="G99" s="7"/>
      <c r="H99" s="7">
        <v>9000</v>
      </c>
      <c r="I99" s="7">
        <f>G99+H99</f>
        <v>9000</v>
      </c>
      <c r="J99" s="7"/>
      <c r="K99" s="7">
        <v>8550</v>
      </c>
      <c r="L99" s="7"/>
      <c r="M99" s="7">
        <f t="shared" si="16"/>
        <v>9000</v>
      </c>
      <c r="N99" s="7">
        <f>J99+K99</f>
        <v>8550</v>
      </c>
      <c r="O99" s="7"/>
      <c r="P99" s="7"/>
      <c r="Q99" s="7"/>
      <c r="R99" s="7">
        <f t="shared" si="17"/>
        <v>8550</v>
      </c>
      <c r="S99" s="7">
        <v>0</v>
      </c>
      <c r="T99" s="41"/>
      <c r="U99" s="15"/>
      <c r="V99" s="15"/>
      <c r="W99" s="7">
        <f t="shared" si="15"/>
        <v>0</v>
      </c>
      <c r="X99" s="13">
        <v>0</v>
      </c>
      <c r="Y99" s="12"/>
      <c r="Z99" s="12"/>
      <c r="AA99" s="85">
        <f t="shared" si="18"/>
        <v>0</v>
      </c>
    </row>
    <row r="100" spans="1:27" ht="131.25" customHeight="1" outlineLevel="1">
      <c r="A100" s="94" t="s">
        <v>333</v>
      </c>
      <c r="B100" s="22" t="s">
        <v>334</v>
      </c>
      <c r="C100" s="21" t="s">
        <v>254</v>
      </c>
      <c r="D100" s="97" t="s">
        <v>259</v>
      </c>
      <c r="E100" s="97" t="s">
        <v>335</v>
      </c>
      <c r="F100" s="97" t="s">
        <v>224</v>
      </c>
      <c r="G100" s="7"/>
      <c r="H100" s="7"/>
      <c r="I100" s="7"/>
      <c r="J100" s="7"/>
      <c r="K100" s="7"/>
      <c r="L100" s="7"/>
      <c r="M100" s="7">
        <v>6850</v>
      </c>
      <c r="N100" s="7"/>
      <c r="O100" s="7"/>
      <c r="P100" s="7"/>
      <c r="Q100" s="7"/>
      <c r="R100" s="7">
        <v>1888.2</v>
      </c>
      <c r="S100" s="7"/>
      <c r="T100" s="41"/>
      <c r="U100" s="15"/>
      <c r="V100" s="15"/>
      <c r="W100" s="7">
        <v>0</v>
      </c>
      <c r="X100" s="13"/>
      <c r="Y100" s="12"/>
      <c r="Z100" s="12"/>
      <c r="AA100" s="85">
        <v>0</v>
      </c>
    </row>
    <row r="101" spans="1:27" ht="39" customHeight="1">
      <c r="A101" s="112" t="s">
        <v>151</v>
      </c>
      <c r="B101" s="112"/>
      <c r="C101" s="112"/>
      <c r="D101" s="112"/>
      <c r="E101" s="36"/>
      <c r="F101" s="36"/>
      <c r="G101" s="7">
        <f>SUM(G102:G104)</f>
        <v>1445519.1</v>
      </c>
      <c r="H101" s="7">
        <f>SUM(H102:H109)</f>
        <v>2382888.7000000002</v>
      </c>
      <c r="I101" s="7">
        <f t="shared" si="7"/>
        <v>3828407.8000000003</v>
      </c>
      <c r="J101" s="7">
        <f t="shared" ref="J101:T101" si="19">SUM(J102:J104)</f>
        <v>199234.7</v>
      </c>
      <c r="K101" s="7">
        <f>SUM(K102:K109)</f>
        <v>75883.600000000006</v>
      </c>
      <c r="L101" s="7"/>
      <c r="M101" s="7">
        <f t="shared" si="16"/>
        <v>3828407.8000000003</v>
      </c>
      <c r="N101" s="7">
        <f t="shared" si="2"/>
        <v>275118.30000000005</v>
      </c>
      <c r="O101" s="7">
        <f t="shared" si="19"/>
        <v>231064</v>
      </c>
      <c r="P101" s="7">
        <f>SUM(P102:P109)</f>
        <v>60000</v>
      </c>
      <c r="Q101" s="7"/>
      <c r="R101" s="7">
        <f t="shared" si="17"/>
        <v>275118.30000000005</v>
      </c>
      <c r="S101" s="7">
        <f t="shared" si="4"/>
        <v>291064</v>
      </c>
      <c r="T101" s="7">
        <f t="shared" si="19"/>
        <v>375588</v>
      </c>
      <c r="U101" s="7">
        <f>SUM(U102:U109)</f>
        <v>60000</v>
      </c>
      <c r="V101" s="7"/>
      <c r="W101" s="7">
        <f t="shared" si="15"/>
        <v>291064</v>
      </c>
      <c r="X101" s="13">
        <f t="shared" si="9"/>
        <v>435588</v>
      </c>
      <c r="Y101" s="12"/>
      <c r="Z101" s="12"/>
      <c r="AA101" s="85">
        <f t="shared" si="18"/>
        <v>435588</v>
      </c>
    </row>
    <row r="102" spans="1:27" ht="114.75" customHeight="1" outlineLevel="1">
      <c r="A102" s="53" t="s">
        <v>165</v>
      </c>
      <c r="B102" s="98" t="s">
        <v>56</v>
      </c>
      <c r="C102" s="97" t="s">
        <v>36</v>
      </c>
      <c r="D102" s="97" t="s">
        <v>6</v>
      </c>
      <c r="E102" s="97" t="s">
        <v>42</v>
      </c>
      <c r="F102" s="97" t="s">
        <v>34</v>
      </c>
      <c r="G102" s="54">
        <v>1029108.1</v>
      </c>
      <c r="H102" s="54"/>
      <c r="I102" s="7">
        <f t="shared" si="7"/>
        <v>1029108.1</v>
      </c>
      <c r="J102" s="55">
        <v>76811.100000000006</v>
      </c>
      <c r="K102" s="55">
        <v>25928.9</v>
      </c>
      <c r="L102" s="55"/>
      <c r="M102" s="7">
        <f t="shared" si="16"/>
        <v>1029108.1</v>
      </c>
      <c r="N102" s="7">
        <f t="shared" si="2"/>
        <v>102740</v>
      </c>
      <c r="O102" s="7">
        <v>140430</v>
      </c>
      <c r="P102" s="7"/>
      <c r="Q102" s="7"/>
      <c r="R102" s="7">
        <f t="shared" si="17"/>
        <v>102740</v>
      </c>
      <c r="S102" s="7">
        <f t="shared" si="4"/>
        <v>140430</v>
      </c>
      <c r="T102" s="55">
        <v>375588</v>
      </c>
      <c r="U102" s="15"/>
      <c r="V102" s="15"/>
      <c r="W102" s="7">
        <f t="shared" si="15"/>
        <v>140430</v>
      </c>
      <c r="X102" s="13">
        <f t="shared" si="9"/>
        <v>375588</v>
      </c>
      <c r="Y102" s="12"/>
      <c r="Z102" s="12"/>
      <c r="AA102" s="85">
        <f t="shared" si="18"/>
        <v>375588</v>
      </c>
    </row>
    <row r="103" spans="1:27" ht="114" customHeight="1" outlineLevel="1">
      <c r="A103" s="53" t="s">
        <v>166</v>
      </c>
      <c r="B103" s="98" t="s">
        <v>167</v>
      </c>
      <c r="C103" s="97" t="s">
        <v>5</v>
      </c>
      <c r="D103" s="97" t="s">
        <v>6</v>
      </c>
      <c r="E103" s="97" t="s">
        <v>42</v>
      </c>
      <c r="F103" s="97" t="s">
        <v>77</v>
      </c>
      <c r="G103" s="54">
        <v>134003.1</v>
      </c>
      <c r="H103" s="55">
        <v>1954.7</v>
      </c>
      <c r="I103" s="7">
        <f t="shared" si="7"/>
        <v>135957.80000000002</v>
      </c>
      <c r="J103" s="55">
        <v>43369.1</v>
      </c>
      <c r="K103" s="55">
        <v>1954.7</v>
      </c>
      <c r="L103" s="55"/>
      <c r="M103" s="7">
        <f t="shared" si="16"/>
        <v>135957.80000000002</v>
      </c>
      <c r="N103" s="7">
        <f t="shared" si="2"/>
        <v>45323.799999999996</v>
      </c>
      <c r="O103" s="7">
        <v>90634</v>
      </c>
      <c r="P103" s="7"/>
      <c r="Q103" s="7"/>
      <c r="R103" s="7">
        <f t="shared" si="17"/>
        <v>45323.799999999996</v>
      </c>
      <c r="S103" s="7">
        <f t="shared" si="4"/>
        <v>90634</v>
      </c>
      <c r="T103" s="55">
        <v>0</v>
      </c>
      <c r="U103" s="15"/>
      <c r="V103" s="15"/>
      <c r="W103" s="7">
        <f t="shared" si="15"/>
        <v>90634</v>
      </c>
      <c r="X103" s="13">
        <f t="shared" si="9"/>
        <v>0</v>
      </c>
      <c r="Y103" s="12"/>
      <c r="Z103" s="12"/>
      <c r="AA103" s="85">
        <f t="shared" si="18"/>
        <v>0</v>
      </c>
    </row>
    <row r="104" spans="1:27" ht="130.5" customHeight="1" outlineLevel="1">
      <c r="A104" s="56" t="s">
        <v>168</v>
      </c>
      <c r="B104" s="57" t="s">
        <v>68</v>
      </c>
      <c r="C104" s="57" t="s">
        <v>30</v>
      </c>
      <c r="D104" s="57" t="s">
        <v>6</v>
      </c>
      <c r="E104" s="57" t="s">
        <v>26</v>
      </c>
      <c r="F104" s="58" t="s">
        <v>22</v>
      </c>
      <c r="G104" s="59">
        <v>282407.90000000002</v>
      </c>
      <c r="H104" s="59"/>
      <c r="I104" s="7">
        <f t="shared" si="7"/>
        <v>282407.90000000002</v>
      </c>
      <c r="J104" s="59">
        <v>79054.5</v>
      </c>
      <c r="K104" s="59"/>
      <c r="L104" s="59"/>
      <c r="M104" s="7">
        <f t="shared" si="16"/>
        <v>282407.90000000002</v>
      </c>
      <c r="N104" s="7">
        <f t="shared" si="2"/>
        <v>79054.5</v>
      </c>
      <c r="O104" s="7">
        <v>0</v>
      </c>
      <c r="P104" s="7"/>
      <c r="Q104" s="7"/>
      <c r="R104" s="7">
        <f t="shared" si="17"/>
        <v>79054.5</v>
      </c>
      <c r="S104" s="7">
        <f t="shared" si="4"/>
        <v>0</v>
      </c>
      <c r="T104" s="7">
        <v>0</v>
      </c>
      <c r="U104" s="15"/>
      <c r="V104" s="15"/>
      <c r="W104" s="7">
        <f t="shared" si="15"/>
        <v>0</v>
      </c>
      <c r="X104" s="13">
        <f t="shared" si="9"/>
        <v>0</v>
      </c>
      <c r="Y104" s="12"/>
      <c r="Z104" s="12"/>
      <c r="AA104" s="85">
        <f t="shared" si="18"/>
        <v>0</v>
      </c>
    </row>
    <row r="105" spans="1:27" ht="130.5" customHeight="1" outlineLevel="1">
      <c r="A105" s="20" t="s">
        <v>278</v>
      </c>
      <c r="B105" s="21" t="s">
        <v>21</v>
      </c>
      <c r="C105" s="21" t="s">
        <v>238</v>
      </c>
      <c r="D105" s="21" t="s">
        <v>6</v>
      </c>
      <c r="E105" s="21" t="s">
        <v>29</v>
      </c>
      <c r="F105" s="60" t="s">
        <v>224</v>
      </c>
      <c r="G105" s="61"/>
      <c r="H105" s="61">
        <v>51034</v>
      </c>
      <c r="I105" s="17">
        <f t="shared" si="7"/>
        <v>51034</v>
      </c>
      <c r="J105" s="59"/>
      <c r="K105" s="59">
        <v>28000</v>
      </c>
      <c r="L105" s="59"/>
      <c r="M105" s="7">
        <f t="shared" si="16"/>
        <v>51034</v>
      </c>
      <c r="N105" s="7">
        <f t="shared" si="2"/>
        <v>28000</v>
      </c>
      <c r="O105" s="7"/>
      <c r="P105" s="7"/>
      <c r="Q105" s="7"/>
      <c r="R105" s="7">
        <f t="shared" si="17"/>
        <v>28000</v>
      </c>
      <c r="S105" s="7">
        <v>0</v>
      </c>
      <c r="T105" s="7"/>
      <c r="U105" s="15"/>
      <c r="V105" s="15"/>
      <c r="W105" s="7">
        <f t="shared" si="15"/>
        <v>0</v>
      </c>
      <c r="X105" s="13">
        <v>0</v>
      </c>
      <c r="Y105" s="12"/>
      <c r="Z105" s="12"/>
      <c r="AA105" s="85">
        <f t="shared" si="18"/>
        <v>0</v>
      </c>
    </row>
    <row r="106" spans="1:27" ht="130.5" hidden="1" customHeight="1" outlineLevel="1">
      <c r="A106" s="20"/>
      <c r="B106" s="21"/>
      <c r="C106" s="21"/>
      <c r="D106" s="21"/>
      <c r="E106" s="21"/>
      <c r="F106" s="60"/>
      <c r="G106" s="61"/>
      <c r="H106" s="61"/>
      <c r="I106" s="17"/>
      <c r="J106" s="59"/>
      <c r="K106" s="59"/>
      <c r="L106" s="59"/>
      <c r="M106" s="7">
        <f t="shared" si="16"/>
        <v>0</v>
      </c>
      <c r="N106" s="7"/>
      <c r="O106" s="7"/>
      <c r="P106" s="7"/>
      <c r="Q106" s="7"/>
      <c r="R106" s="7">
        <f t="shared" si="17"/>
        <v>0</v>
      </c>
      <c r="S106" s="7"/>
      <c r="T106" s="7"/>
      <c r="U106" s="15"/>
      <c r="V106" s="15"/>
      <c r="W106" s="7">
        <f t="shared" si="15"/>
        <v>0</v>
      </c>
      <c r="X106" s="13"/>
      <c r="Y106" s="12"/>
      <c r="Z106" s="12"/>
      <c r="AA106" s="85">
        <f t="shared" si="18"/>
        <v>0</v>
      </c>
    </row>
    <row r="107" spans="1:27" ht="130.5" hidden="1" customHeight="1" outlineLevel="1">
      <c r="A107" s="20"/>
      <c r="B107" s="21"/>
      <c r="C107" s="21"/>
      <c r="D107" s="21"/>
      <c r="E107" s="21"/>
      <c r="F107" s="60"/>
      <c r="G107" s="61"/>
      <c r="H107" s="61"/>
      <c r="I107" s="17"/>
      <c r="J107" s="59"/>
      <c r="K107" s="59"/>
      <c r="L107" s="59"/>
      <c r="M107" s="7">
        <f t="shared" si="16"/>
        <v>0</v>
      </c>
      <c r="N107" s="7"/>
      <c r="O107" s="7"/>
      <c r="P107" s="7"/>
      <c r="Q107" s="7"/>
      <c r="R107" s="7">
        <f t="shared" si="17"/>
        <v>0</v>
      </c>
      <c r="S107" s="7"/>
      <c r="T107" s="7"/>
      <c r="U107" s="15"/>
      <c r="V107" s="15"/>
      <c r="W107" s="7">
        <f t="shared" si="15"/>
        <v>0</v>
      </c>
      <c r="X107" s="13"/>
      <c r="Y107" s="12"/>
      <c r="Z107" s="12"/>
      <c r="AA107" s="85">
        <f t="shared" si="18"/>
        <v>0</v>
      </c>
    </row>
    <row r="108" spans="1:27" ht="130.5" hidden="1" customHeight="1" outlineLevel="1">
      <c r="A108" s="20"/>
      <c r="B108" s="21"/>
      <c r="C108" s="21"/>
      <c r="D108" s="21"/>
      <c r="E108" s="21"/>
      <c r="F108" s="60"/>
      <c r="G108" s="61"/>
      <c r="H108" s="61"/>
      <c r="I108" s="17"/>
      <c r="J108" s="59"/>
      <c r="K108" s="59"/>
      <c r="L108" s="59"/>
      <c r="M108" s="7">
        <f t="shared" si="16"/>
        <v>0</v>
      </c>
      <c r="N108" s="7"/>
      <c r="O108" s="7"/>
      <c r="P108" s="7"/>
      <c r="Q108" s="7"/>
      <c r="R108" s="7">
        <f t="shared" si="17"/>
        <v>0</v>
      </c>
      <c r="S108" s="7"/>
      <c r="T108" s="7"/>
      <c r="U108" s="15"/>
      <c r="V108" s="15"/>
      <c r="W108" s="7">
        <f t="shared" si="15"/>
        <v>0</v>
      </c>
      <c r="X108" s="13"/>
      <c r="Y108" s="12"/>
      <c r="Z108" s="12"/>
      <c r="AA108" s="85">
        <f t="shared" si="18"/>
        <v>0</v>
      </c>
    </row>
    <row r="109" spans="1:27" ht="130.5" customHeight="1" outlineLevel="1">
      <c r="A109" s="20" t="s">
        <v>239</v>
      </c>
      <c r="B109" s="21" t="s">
        <v>243</v>
      </c>
      <c r="C109" s="21" t="s">
        <v>244</v>
      </c>
      <c r="D109" s="21" t="s">
        <v>6</v>
      </c>
      <c r="E109" s="21" t="s">
        <v>31</v>
      </c>
      <c r="F109" s="60" t="s">
        <v>245</v>
      </c>
      <c r="G109" s="61"/>
      <c r="H109" s="61">
        <v>2329900</v>
      </c>
      <c r="I109" s="17">
        <f t="shared" si="7"/>
        <v>2329900</v>
      </c>
      <c r="J109" s="59"/>
      <c r="K109" s="59">
        <v>20000</v>
      </c>
      <c r="L109" s="59"/>
      <c r="M109" s="7">
        <f t="shared" si="16"/>
        <v>2329900</v>
      </c>
      <c r="N109" s="7">
        <f t="shared" ref="N109" si="20">J109+K109</f>
        <v>20000</v>
      </c>
      <c r="O109" s="7"/>
      <c r="P109" s="7">
        <v>60000</v>
      </c>
      <c r="Q109" s="7"/>
      <c r="R109" s="7">
        <f t="shared" si="17"/>
        <v>20000</v>
      </c>
      <c r="S109" s="7">
        <f t="shared" ref="S109" si="21">O109+P109</f>
        <v>60000</v>
      </c>
      <c r="T109" s="7"/>
      <c r="U109" s="16">
        <v>60000</v>
      </c>
      <c r="V109" s="16"/>
      <c r="W109" s="7">
        <f t="shared" si="15"/>
        <v>60000</v>
      </c>
      <c r="X109" s="7">
        <f t="shared" ref="X109" si="22">T109+U109</f>
        <v>60000</v>
      </c>
      <c r="Y109" s="12"/>
      <c r="Z109" s="12"/>
      <c r="AA109" s="85">
        <f t="shared" si="18"/>
        <v>60000</v>
      </c>
    </row>
    <row r="110" spans="1:27" ht="35.25" customHeight="1" collapsed="1">
      <c r="A110" s="126" t="s">
        <v>148</v>
      </c>
      <c r="B110" s="126"/>
      <c r="C110" s="126"/>
      <c r="D110" s="126"/>
      <c r="E110" s="62"/>
      <c r="F110" s="63"/>
      <c r="G110" s="7">
        <f>SUM(G111:G117)</f>
        <v>4162538.3</v>
      </c>
      <c r="H110" s="7">
        <f>SUM(H111:H119)</f>
        <v>115721.4</v>
      </c>
      <c r="I110" s="7">
        <f>G110+H110</f>
        <v>4278259.7</v>
      </c>
      <c r="J110" s="7">
        <f>SUM(J111:J117)</f>
        <v>467584.8</v>
      </c>
      <c r="K110" s="7">
        <f>SUM(K111:K119)</f>
        <v>104378.69999999995</v>
      </c>
      <c r="L110" s="7">
        <f>L112+L114+L115+L116+L117+L118+L119</f>
        <v>0</v>
      </c>
      <c r="M110" s="7">
        <f>I110+L110</f>
        <v>4278259.7</v>
      </c>
      <c r="N110" s="7">
        <f t="shared" si="2"/>
        <v>571963.5</v>
      </c>
      <c r="O110" s="7">
        <f>SUM(O111:O117)</f>
        <v>161998.1</v>
      </c>
      <c r="P110" s="7">
        <f>SUM(P111:P119)</f>
        <v>3263.1</v>
      </c>
      <c r="Q110" s="7">
        <f>Q112+Q114+Q115+Q116+Q117+Q118+Q119</f>
        <v>165913.5</v>
      </c>
      <c r="R110" s="7">
        <f>N110+Q110-1494.35</f>
        <v>736382.65</v>
      </c>
      <c r="S110" s="7">
        <f t="shared" si="4"/>
        <v>165261.20000000001</v>
      </c>
      <c r="T110" s="7">
        <f>SUM(T111:T117)</f>
        <v>3734.1</v>
      </c>
      <c r="U110" s="7">
        <f>SUM(U111:U119)</f>
        <v>0</v>
      </c>
      <c r="V110" s="7">
        <f>V112+V114+V115+V116+V117+V118+V119</f>
        <v>0</v>
      </c>
      <c r="W110" s="7">
        <f t="shared" si="15"/>
        <v>165261.20000000001</v>
      </c>
      <c r="X110" s="13">
        <f t="shared" si="9"/>
        <v>3734.1</v>
      </c>
      <c r="Y110" s="7">
        <f>Y112+Y114+Y115+Y116+Y117+Y118+Y119</f>
        <v>0</v>
      </c>
      <c r="Z110" s="12"/>
      <c r="AA110" s="85">
        <f t="shared" si="18"/>
        <v>3734.1</v>
      </c>
    </row>
    <row r="111" spans="1:27" ht="120" hidden="1" customHeight="1" outlineLevel="1">
      <c r="A111" s="20" t="s">
        <v>191</v>
      </c>
      <c r="B111" s="22" t="s">
        <v>169</v>
      </c>
      <c r="C111" s="97" t="s">
        <v>18</v>
      </c>
      <c r="D111" s="97" t="s">
        <v>45</v>
      </c>
      <c r="E111" s="97" t="s">
        <v>48</v>
      </c>
      <c r="F111" s="11" t="s">
        <v>106</v>
      </c>
      <c r="G111" s="17">
        <v>318238.59999999998</v>
      </c>
      <c r="H111" s="17">
        <v>-318238.59999999998</v>
      </c>
      <c r="I111" s="7">
        <f t="shared" si="7"/>
        <v>0</v>
      </c>
      <c r="J111" s="59">
        <v>205398.1</v>
      </c>
      <c r="K111" s="59">
        <v>-205398.1</v>
      </c>
      <c r="L111" s="59"/>
      <c r="M111" s="7">
        <f t="shared" si="16"/>
        <v>0</v>
      </c>
      <c r="N111" s="7">
        <f t="shared" si="2"/>
        <v>0</v>
      </c>
      <c r="O111" s="7">
        <v>0</v>
      </c>
      <c r="P111" s="7"/>
      <c r="Q111" s="7"/>
      <c r="R111" s="7">
        <f t="shared" si="17"/>
        <v>0</v>
      </c>
      <c r="S111" s="7">
        <f t="shared" si="4"/>
        <v>0</v>
      </c>
      <c r="T111" s="7">
        <v>0</v>
      </c>
      <c r="U111" s="15"/>
      <c r="V111" s="15"/>
      <c r="W111" s="7">
        <f t="shared" si="15"/>
        <v>0</v>
      </c>
      <c r="X111" s="13">
        <f t="shared" si="9"/>
        <v>0</v>
      </c>
      <c r="Y111" s="12"/>
      <c r="Z111" s="12"/>
      <c r="AA111" s="85">
        <f t="shared" si="18"/>
        <v>0</v>
      </c>
    </row>
    <row r="112" spans="1:27" ht="120" customHeight="1" outlineLevel="1">
      <c r="A112" s="20" t="s">
        <v>194</v>
      </c>
      <c r="B112" s="22" t="s">
        <v>169</v>
      </c>
      <c r="C112" s="97" t="s">
        <v>5</v>
      </c>
      <c r="D112" s="97" t="s">
        <v>16</v>
      </c>
      <c r="E112" s="97" t="s">
        <v>9</v>
      </c>
      <c r="F112" s="11" t="s">
        <v>106</v>
      </c>
      <c r="G112" s="17">
        <v>0</v>
      </c>
      <c r="H112" s="17">
        <v>318238.59999999998</v>
      </c>
      <c r="I112" s="7">
        <f>G112+H112</f>
        <v>318238.59999999998</v>
      </c>
      <c r="J112" s="59">
        <v>0</v>
      </c>
      <c r="K112" s="59">
        <f>234379.4+11038.3</f>
        <v>245417.69999999998</v>
      </c>
      <c r="L112" s="59"/>
      <c r="M112" s="7">
        <f t="shared" si="16"/>
        <v>318238.59999999998</v>
      </c>
      <c r="N112" s="7">
        <f t="shared" si="2"/>
        <v>245417.69999999998</v>
      </c>
      <c r="O112" s="7"/>
      <c r="P112" s="7"/>
      <c r="Q112" s="7"/>
      <c r="R112" s="7">
        <f t="shared" si="17"/>
        <v>245417.69999999998</v>
      </c>
      <c r="S112" s="7">
        <f t="shared" si="4"/>
        <v>0</v>
      </c>
      <c r="T112" s="7"/>
      <c r="U112" s="15"/>
      <c r="V112" s="15"/>
      <c r="W112" s="7">
        <f t="shared" si="15"/>
        <v>0</v>
      </c>
      <c r="X112" s="13">
        <f t="shared" si="9"/>
        <v>0</v>
      </c>
      <c r="Y112" s="12"/>
      <c r="Z112" s="12"/>
      <c r="AA112" s="85">
        <f t="shared" si="18"/>
        <v>0</v>
      </c>
    </row>
    <row r="113" spans="1:31" ht="125.25" hidden="1" customHeight="1" outlineLevel="1">
      <c r="A113" s="20" t="s">
        <v>192</v>
      </c>
      <c r="B113" s="22" t="s">
        <v>119</v>
      </c>
      <c r="C113" s="97" t="s">
        <v>18</v>
      </c>
      <c r="D113" s="97" t="s">
        <v>45</v>
      </c>
      <c r="E113" s="97" t="s">
        <v>48</v>
      </c>
      <c r="F113" s="11" t="s">
        <v>106</v>
      </c>
      <c r="G113" s="17">
        <v>612113.69999999995</v>
      </c>
      <c r="H113" s="17">
        <v>-612113.69999999995</v>
      </c>
      <c r="I113" s="7">
        <f t="shared" si="7"/>
        <v>0</v>
      </c>
      <c r="J113" s="59">
        <v>109349</v>
      </c>
      <c r="K113" s="59">
        <v>-109349</v>
      </c>
      <c r="L113" s="59"/>
      <c r="M113" s="7">
        <f t="shared" si="16"/>
        <v>0</v>
      </c>
      <c r="N113" s="7">
        <f t="shared" si="2"/>
        <v>0</v>
      </c>
      <c r="O113" s="7">
        <v>0</v>
      </c>
      <c r="P113" s="7"/>
      <c r="Q113" s="7"/>
      <c r="R113" s="7">
        <f t="shared" si="17"/>
        <v>0</v>
      </c>
      <c r="S113" s="7">
        <f t="shared" si="4"/>
        <v>0</v>
      </c>
      <c r="T113" s="7">
        <v>0</v>
      </c>
      <c r="U113" s="15"/>
      <c r="V113" s="15"/>
      <c r="W113" s="7">
        <f t="shared" si="15"/>
        <v>0</v>
      </c>
      <c r="X113" s="13">
        <f t="shared" si="9"/>
        <v>0</v>
      </c>
      <c r="Y113" s="12"/>
      <c r="Z113" s="12"/>
      <c r="AA113" s="85">
        <f t="shared" si="18"/>
        <v>0</v>
      </c>
    </row>
    <row r="114" spans="1:31" ht="125.25" customHeight="1" outlineLevel="1">
      <c r="A114" s="20" t="s">
        <v>195</v>
      </c>
      <c r="B114" s="22" t="s">
        <v>119</v>
      </c>
      <c r="C114" s="97" t="s">
        <v>5</v>
      </c>
      <c r="D114" s="97" t="s">
        <v>16</v>
      </c>
      <c r="E114" s="97" t="s">
        <v>9</v>
      </c>
      <c r="F114" s="11" t="s">
        <v>106</v>
      </c>
      <c r="G114" s="17">
        <v>0</v>
      </c>
      <c r="H114" s="17">
        <v>612113.69999999995</v>
      </c>
      <c r="I114" s="7">
        <f>H114+G114</f>
        <v>612113.69999999995</v>
      </c>
      <c r="J114" s="59">
        <v>0</v>
      </c>
      <c r="K114" s="59">
        <f>142399.3+15634.4</f>
        <v>158033.69999999998</v>
      </c>
      <c r="L114" s="59"/>
      <c r="M114" s="7">
        <f t="shared" si="16"/>
        <v>612113.69999999995</v>
      </c>
      <c r="N114" s="7">
        <f t="shared" si="2"/>
        <v>158033.69999999998</v>
      </c>
      <c r="O114" s="7">
        <v>0</v>
      </c>
      <c r="P114" s="7"/>
      <c r="Q114" s="7">
        <v>3000</v>
      </c>
      <c r="R114" s="7">
        <f t="shared" si="17"/>
        <v>161033.69999999998</v>
      </c>
      <c r="S114" s="7">
        <f t="shared" si="4"/>
        <v>0</v>
      </c>
      <c r="T114" s="7">
        <v>0</v>
      </c>
      <c r="U114" s="15"/>
      <c r="V114" s="15"/>
      <c r="W114" s="7">
        <f t="shared" si="15"/>
        <v>0</v>
      </c>
      <c r="X114" s="13">
        <f t="shared" si="9"/>
        <v>0</v>
      </c>
      <c r="Y114" s="12"/>
      <c r="Z114" s="12"/>
      <c r="AA114" s="85">
        <f t="shared" si="18"/>
        <v>0</v>
      </c>
    </row>
    <row r="115" spans="1:31" ht="113.25" customHeight="1" outlineLevel="1">
      <c r="A115" s="20" t="s">
        <v>112</v>
      </c>
      <c r="B115" s="22" t="s">
        <v>66</v>
      </c>
      <c r="C115" s="97" t="s">
        <v>36</v>
      </c>
      <c r="D115" s="97" t="s">
        <v>16</v>
      </c>
      <c r="E115" s="97" t="s">
        <v>9</v>
      </c>
      <c r="F115" s="11" t="s">
        <v>37</v>
      </c>
      <c r="G115" s="17">
        <v>2777777.8</v>
      </c>
      <c r="H115" s="17"/>
      <c r="I115" s="7">
        <f t="shared" si="7"/>
        <v>2777777.8</v>
      </c>
      <c r="J115" s="59">
        <v>122222.2</v>
      </c>
      <c r="K115" s="59">
        <v>3263.1</v>
      </c>
      <c r="L115" s="59"/>
      <c r="M115" s="7">
        <f t="shared" si="16"/>
        <v>2777777.8</v>
      </c>
      <c r="N115" s="7">
        <f t="shared" si="2"/>
        <v>125485.3</v>
      </c>
      <c r="O115" s="7">
        <v>122222.2</v>
      </c>
      <c r="P115" s="7">
        <v>3263.1</v>
      </c>
      <c r="Q115" s="7">
        <f>35000+129966.1</f>
        <v>164966.1</v>
      </c>
      <c r="R115" s="7">
        <f t="shared" si="17"/>
        <v>290451.40000000002</v>
      </c>
      <c r="S115" s="7">
        <f t="shared" si="4"/>
        <v>125485.3</v>
      </c>
      <c r="T115" s="7">
        <v>0</v>
      </c>
      <c r="U115" s="15"/>
      <c r="V115" s="15"/>
      <c r="W115" s="7">
        <f t="shared" si="15"/>
        <v>125485.3</v>
      </c>
      <c r="X115" s="13">
        <f t="shared" si="9"/>
        <v>0</v>
      </c>
      <c r="Y115" s="12"/>
      <c r="Z115" s="12"/>
      <c r="AA115" s="85">
        <f t="shared" si="18"/>
        <v>0</v>
      </c>
    </row>
    <row r="116" spans="1:31" ht="130.5" customHeight="1" outlineLevel="1">
      <c r="A116" s="20" t="s">
        <v>156</v>
      </c>
      <c r="B116" s="22" t="s">
        <v>135</v>
      </c>
      <c r="C116" s="97" t="s">
        <v>12</v>
      </c>
      <c r="D116" s="97" t="s">
        <v>16</v>
      </c>
      <c r="E116" s="97" t="s">
        <v>9</v>
      </c>
      <c r="F116" s="11" t="s">
        <v>77</v>
      </c>
      <c r="G116" s="17">
        <v>388902.2</v>
      </c>
      <c r="H116" s="17"/>
      <c r="I116" s="7">
        <f t="shared" si="7"/>
        <v>388902.2</v>
      </c>
      <c r="J116" s="59">
        <v>30615.5</v>
      </c>
      <c r="K116" s="59"/>
      <c r="L116" s="59"/>
      <c r="M116" s="7">
        <f t="shared" si="16"/>
        <v>388902.2</v>
      </c>
      <c r="N116" s="7">
        <f t="shared" si="2"/>
        <v>30615.5</v>
      </c>
      <c r="O116" s="7">
        <v>35885</v>
      </c>
      <c r="P116" s="7"/>
      <c r="Q116" s="7"/>
      <c r="R116" s="7">
        <f t="shared" si="17"/>
        <v>30615.5</v>
      </c>
      <c r="S116" s="7">
        <f t="shared" si="4"/>
        <v>35885</v>
      </c>
      <c r="T116" s="7">
        <v>0</v>
      </c>
      <c r="U116" s="15"/>
      <c r="V116" s="15"/>
      <c r="W116" s="7">
        <f t="shared" si="15"/>
        <v>35885</v>
      </c>
      <c r="X116" s="13">
        <f t="shared" si="9"/>
        <v>0</v>
      </c>
      <c r="Y116" s="12"/>
      <c r="Z116" s="12"/>
      <c r="AA116" s="85">
        <f t="shared" si="18"/>
        <v>0</v>
      </c>
    </row>
    <row r="117" spans="1:31" ht="110.25" customHeight="1" outlineLevel="1">
      <c r="A117" s="20" t="s">
        <v>138</v>
      </c>
      <c r="B117" s="22" t="s">
        <v>136</v>
      </c>
      <c r="C117" s="97" t="s">
        <v>18</v>
      </c>
      <c r="D117" s="97" t="s">
        <v>45</v>
      </c>
      <c r="E117" s="97" t="s">
        <v>57</v>
      </c>
      <c r="F117" s="11" t="s">
        <v>137</v>
      </c>
      <c r="G117" s="17">
        <v>65506</v>
      </c>
      <c r="H117" s="17"/>
      <c r="I117" s="7">
        <f t="shared" si="7"/>
        <v>65506</v>
      </c>
      <c r="J117" s="59">
        <v>0</v>
      </c>
      <c r="K117" s="59"/>
      <c r="L117" s="59"/>
      <c r="M117" s="7">
        <f t="shared" si="16"/>
        <v>65506</v>
      </c>
      <c r="N117" s="7">
        <f t="shared" si="2"/>
        <v>0</v>
      </c>
      <c r="O117" s="59">
        <v>3890.9</v>
      </c>
      <c r="P117" s="59"/>
      <c r="Q117" s="59"/>
      <c r="R117" s="7">
        <f t="shared" si="17"/>
        <v>0</v>
      </c>
      <c r="S117" s="7">
        <f t="shared" si="4"/>
        <v>3890.9</v>
      </c>
      <c r="T117" s="7">
        <v>3734.1</v>
      </c>
      <c r="U117" s="15"/>
      <c r="V117" s="15"/>
      <c r="W117" s="7">
        <f t="shared" si="15"/>
        <v>3890.9</v>
      </c>
      <c r="X117" s="13">
        <f t="shared" si="9"/>
        <v>3734.1</v>
      </c>
      <c r="Y117" s="12"/>
      <c r="Z117" s="12"/>
      <c r="AA117" s="85">
        <f t="shared" si="18"/>
        <v>3734.1</v>
      </c>
    </row>
    <row r="118" spans="1:31" ht="127.5" customHeight="1" outlineLevel="1">
      <c r="A118" s="20" t="s">
        <v>279</v>
      </c>
      <c r="B118" s="22" t="s">
        <v>208</v>
      </c>
      <c r="C118" s="97" t="s">
        <v>115</v>
      </c>
      <c r="D118" s="97" t="s">
        <v>16</v>
      </c>
      <c r="E118" s="97" t="s">
        <v>9</v>
      </c>
      <c r="F118" s="11" t="s">
        <v>22</v>
      </c>
      <c r="G118" s="17"/>
      <c r="H118" s="17">
        <v>110000</v>
      </c>
      <c r="I118" s="7">
        <f>G118+H118</f>
        <v>110000</v>
      </c>
      <c r="J118" s="59">
        <v>0</v>
      </c>
      <c r="K118" s="59">
        <v>6975.9</v>
      </c>
      <c r="L118" s="59"/>
      <c r="M118" s="7">
        <f t="shared" si="16"/>
        <v>110000</v>
      </c>
      <c r="N118" s="7">
        <f t="shared" si="2"/>
        <v>6975.9</v>
      </c>
      <c r="O118" s="59">
        <v>0</v>
      </c>
      <c r="P118" s="59"/>
      <c r="Q118" s="59"/>
      <c r="R118" s="7">
        <f t="shared" si="17"/>
        <v>6975.9</v>
      </c>
      <c r="S118" s="7">
        <f t="shared" si="4"/>
        <v>0</v>
      </c>
      <c r="T118" s="7">
        <v>0</v>
      </c>
      <c r="U118" s="15"/>
      <c r="V118" s="15"/>
      <c r="W118" s="7">
        <f t="shared" si="15"/>
        <v>0</v>
      </c>
      <c r="X118" s="13">
        <f t="shared" si="9"/>
        <v>0</v>
      </c>
      <c r="Y118" s="12"/>
      <c r="Z118" s="12"/>
      <c r="AA118" s="85">
        <f t="shared" si="18"/>
        <v>0</v>
      </c>
    </row>
    <row r="119" spans="1:31" ht="127.5" customHeight="1" outlineLevel="1">
      <c r="A119" s="20" t="s">
        <v>249</v>
      </c>
      <c r="B119" s="21" t="s">
        <v>257</v>
      </c>
      <c r="C119" s="22" t="s">
        <v>18</v>
      </c>
      <c r="D119" s="22" t="s">
        <v>45</v>
      </c>
      <c r="E119" s="22" t="s">
        <v>48</v>
      </c>
      <c r="F119" s="134" t="s">
        <v>250</v>
      </c>
      <c r="G119" s="17"/>
      <c r="H119" s="17">
        <v>5721.4</v>
      </c>
      <c r="I119" s="17">
        <f>G119+H119</f>
        <v>5721.4</v>
      </c>
      <c r="J119" s="61"/>
      <c r="K119" s="61">
        <v>5435.4</v>
      </c>
      <c r="L119" s="61"/>
      <c r="M119" s="7">
        <f>I119+L119</f>
        <v>5721.4</v>
      </c>
      <c r="N119" s="17">
        <f t="shared" si="2"/>
        <v>5435.4</v>
      </c>
      <c r="O119" s="59"/>
      <c r="P119" s="59"/>
      <c r="Q119" s="59">
        <v>-2052.6</v>
      </c>
      <c r="R119" s="7">
        <f>N119+Q119-1494.35</f>
        <v>1888.4499999999998</v>
      </c>
      <c r="S119" s="7">
        <v>0</v>
      </c>
      <c r="T119" s="7"/>
      <c r="U119" s="15"/>
      <c r="V119" s="15"/>
      <c r="W119" s="7">
        <f t="shared" si="15"/>
        <v>0</v>
      </c>
      <c r="X119" s="13">
        <v>0</v>
      </c>
      <c r="Y119" s="12"/>
      <c r="Z119" s="12"/>
      <c r="AA119" s="85">
        <f t="shared" si="18"/>
        <v>0</v>
      </c>
    </row>
    <row r="120" spans="1:31" ht="42" customHeight="1">
      <c r="A120" s="112" t="s">
        <v>152</v>
      </c>
      <c r="B120" s="112"/>
      <c r="C120" s="112"/>
      <c r="D120" s="112"/>
      <c r="E120" s="64"/>
      <c r="F120" s="64"/>
      <c r="G120" s="37">
        <f>G121+G123+G127+G131+G133</f>
        <v>663306.69999999995</v>
      </c>
      <c r="H120" s="37">
        <f>H121+H123+H127+H131+H133+H136</f>
        <v>35000</v>
      </c>
      <c r="I120" s="7">
        <f t="shared" si="7"/>
        <v>698306.7</v>
      </c>
      <c r="J120" s="37">
        <f>J121+J123+J127+J131+J133</f>
        <v>157767.09</v>
      </c>
      <c r="K120" s="37">
        <f>K121+K123+K127+K131+K133+K136</f>
        <v>6000</v>
      </c>
      <c r="L120" s="37">
        <f>L121+L123+L127+L131+L133+L136</f>
        <v>-34160</v>
      </c>
      <c r="M120" s="7">
        <f t="shared" si="16"/>
        <v>664146.69999999995</v>
      </c>
      <c r="N120" s="7">
        <f t="shared" si="2"/>
        <v>163767.09</v>
      </c>
      <c r="O120" s="37">
        <f>O121+O123+O127+O131+O133</f>
        <v>175681.80000000002</v>
      </c>
      <c r="P120" s="37">
        <f>P121+P123+P127+P131+P133+P136</f>
        <v>7497.7</v>
      </c>
      <c r="Q120" s="37">
        <f>Q121+Q123+Q127+Q131+Q133+Q136</f>
        <v>-6035</v>
      </c>
      <c r="R120" s="7">
        <f t="shared" si="17"/>
        <v>157732.09</v>
      </c>
      <c r="S120" s="7">
        <f t="shared" si="4"/>
        <v>183179.50000000003</v>
      </c>
      <c r="T120" s="37">
        <f>T121+T123+T127+T131+T133</f>
        <v>224.4</v>
      </c>
      <c r="U120" s="37">
        <f>U121+U123+U127+U131+U133+U136</f>
        <v>4000</v>
      </c>
      <c r="V120" s="37">
        <f>V121+V123+V127+V131+V133+V136</f>
        <v>-4000</v>
      </c>
      <c r="W120" s="7">
        <f t="shared" si="15"/>
        <v>179179.50000000003</v>
      </c>
      <c r="X120" s="13">
        <f t="shared" si="9"/>
        <v>4224.3999999999996</v>
      </c>
      <c r="Y120" s="37">
        <f>Y121+Y123+Y127+Y131+Y133+Y136</f>
        <v>2116.3999999999996</v>
      </c>
      <c r="Z120" s="12"/>
      <c r="AA120" s="85">
        <f t="shared" si="18"/>
        <v>6340.7999999999993</v>
      </c>
    </row>
    <row r="121" spans="1:31" ht="24" customHeight="1" outlineLevel="1">
      <c r="A121" s="112" t="s">
        <v>24</v>
      </c>
      <c r="B121" s="113"/>
      <c r="C121" s="113"/>
      <c r="D121" s="113"/>
      <c r="E121" s="64"/>
      <c r="F121" s="64"/>
      <c r="G121" s="37">
        <f>G122</f>
        <v>121674.15</v>
      </c>
      <c r="H121" s="37">
        <f>H122</f>
        <v>0</v>
      </c>
      <c r="I121" s="7">
        <f t="shared" si="7"/>
        <v>121674.15</v>
      </c>
      <c r="J121" s="37">
        <f>J122</f>
        <v>20000</v>
      </c>
      <c r="K121" s="37">
        <f>K122</f>
        <v>0</v>
      </c>
      <c r="L121" s="37"/>
      <c r="M121" s="7">
        <f t="shared" si="16"/>
        <v>121674.15</v>
      </c>
      <c r="N121" s="7">
        <f t="shared" si="2"/>
        <v>20000</v>
      </c>
      <c r="O121" s="7">
        <f>O122</f>
        <v>17800</v>
      </c>
      <c r="P121" s="7">
        <f>P122</f>
        <v>0</v>
      </c>
      <c r="Q121" s="7"/>
      <c r="R121" s="7">
        <f t="shared" si="17"/>
        <v>20000</v>
      </c>
      <c r="S121" s="7">
        <f t="shared" si="4"/>
        <v>17800</v>
      </c>
      <c r="T121" s="37">
        <f>T122</f>
        <v>0</v>
      </c>
      <c r="U121" s="7">
        <f>U122</f>
        <v>0</v>
      </c>
      <c r="V121" s="7"/>
      <c r="W121" s="7">
        <f t="shared" si="15"/>
        <v>17800</v>
      </c>
      <c r="X121" s="13">
        <f t="shared" si="9"/>
        <v>0</v>
      </c>
      <c r="Y121" s="12"/>
      <c r="Z121" s="12"/>
      <c r="AA121" s="85">
        <f t="shared" si="18"/>
        <v>0</v>
      </c>
    </row>
    <row r="122" spans="1:31" ht="108.75" customHeight="1" outlineLevel="1">
      <c r="A122" s="95" t="s">
        <v>50</v>
      </c>
      <c r="B122" s="97" t="s">
        <v>15</v>
      </c>
      <c r="C122" s="97" t="s">
        <v>18</v>
      </c>
      <c r="D122" s="97" t="s">
        <v>16</v>
      </c>
      <c r="E122" s="97" t="s">
        <v>28</v>
      </c>
      <c r="F122" s="97" t="s">
        <v>37</v>
      </c>
      <c r="G122" s="17">
        <v>121674.15</v>
      </c>
      <c r="H122" s="17"/>
      <c r="I122" s="7">
        <f t="shared" si="7"/>
        <v>121674.15</v>
      </c>
      <c r="J122" s="7">
        <v>20000</v>
      </c>
      <c r="K122" s="7"/>
      <c r="L122" s="7"/>
      <c r="M122" s="7">
        <f t="shared" si="16"/>
        <v>121674.15</v>
      </c>
      <c r="N122" s="7">
        <f t="shared" si="2"/>
        <v>20000</v>
      </c>
      <c r="O122" s="7">
        <v>17800</v>
      </c>
      <c r="P122" s="7"/>
      <c r="Q122" s="7"/>
      <c r="R122" s="7">
        <f t="shared" si="17"/>
        <v>20000</v>
      </c>
      <c r="S122" s="7">
        <f t="shared" si="4"/>
        <v>17800</v>
      </c>
      <c r="T122" s="17">
        <v>0</v>
      </c>
      <c r="U122" s="15"/>
      <c r="V122" s="15"/>
      <c r="W122" s="7">
        <f t="shared" si="15"/>
        <v>17800</v>
      </c>
      <c r="X122" s="13">
        <f t="shared" si="9"/>
        <v>0</v>
      </c>
      <c r="Y122" s="12"/>
      <c r="Z122" s="12"/>
      <c r="AA122" s="85">
        <f t="shared" si="18"/>
        <v>0</v>
      </c>
    </row>
    <row r="123" spans="1:31" ht="26.25" customHeight="1" outlineLevel="1">
      <c r="A123" s="123" t="s">
        <v>38</v>
      </c>
      <c r="B123" s="124"/>
      <c r="C123" s="124"/>
      <c r="D123" s="125"/>
      <c r="E123" s="94"/>
      <c r="F123" s="94"/>
      <c r="G123" s="65">
        <f>SUM(G124:G126)</f>
        <v>92298.4</v>
      </c>
      <c r="H123" s="65">
        <f>SUM(H124:H126)</f>
        <v>0</v>
      </c>
      <c r="I123" s="7">
        <f t="shared" si="7"/>
        <v>92298.4</v>
      </c>
      <c r="J123" s="65">
        <f>SUM(J124:J126)</f>
        <v>3017.99</v>
      </c>
      <c r="K123" s="65">
        <f>SUM(K124:K126)</f>
        <v>0</v>
      </c>
      <c r="L123" s="65"/>
      <c r="M123" s="7">
        <f t="shared" si="16"/>
        <v>92298.4</v>
      </c>
      <c r="N123" s="7">
        <f t="shared" ref="N123:N165" si="23">J123+K123</f>
        <v>3017.99</v>
      </c>
      <c r="O123" s="65">
        <f>SUM(O124:O126)</f>
        <v>0</v>
      </c>
      <c r="P123" s="65">
        <f>SUM(P124:P126)</f>
        <v>3497.7</v>
      </c>
      <c r="Q123" s="65"/>
      <c r="R123" s="7">
        <f t="shared" si="17"/>
        <v>3017.99</v>
      </c>
      <c r="S123" s="7">
        <f t="shared" ref="S123:S163" si="24">O123+P123</f>
        <v>3497.7</v>
      </c>
      <c r="T123" s="65">
        <f>SUM(T124:T126)</f>
        <v>0</v>
      </c>
      <c r="U123" s="65">
        <f>SUM(U124:U126)</f>
        <v>0</v>
      </c>
      <c r="V123" s="65"/>
      <c r="W123" s="7">
        <f t="shared" si="15"/>
        <v>3497.7</v>
      </c>
      <c r="X123" s="13">
        <f t="shared" si="9"/>
        <v>0</v>
      </c>
      <c r="Y123" s="12"/>
      <c r="Z123" s="12"/>
      <c r="AA123" s="85">
        <f t="shared" si="18"/>
        <v>0</v>
      </c>
      <c r="AB123" s="1"/>
      <c r="AC123" s="1"/>
      <c r="AD123" s="1"/>
      <c r="AE123" s="1"/>
    </row>
    <row r="124" spans="1:31" ht="145.5" customHeight="1" outlineLevel="1">
      <c r="A124" s="53" t="s">
        <v>123</v>
      </c>
      <c r="B124" s="98" t="s">
        <v>40</v>
      </c>
      <c r="C124" s="97" t="s">
        <v>18</v>
      </c>
      <c r="D124" s="97" t="s">
        <v>10</v>
      </c>
      <c r="E124" s="97" t="s">
        <v>27</v>
      </c>
      <c r="F124" s="97" t="s">
        <v>22</v>
      </c>
      <c r="G124" s="65">
        <v>48325.5</v>
      </c>
      <c r="H124" s="65"/>
      <c r="I124" s="7">
        <f t="shared" si="7"/>
        <v>48325.5</v>
      </c>
      <c r="J124" s="66">
        <v>275.52999999999997</v>
      </c>
      <c r="K124" s="66"/>
      <c r="L124" s="66"/>
      <c r="M124" s="7">
        <f t="shared" si="16"/>
        <v>48325.5</v>
      </c>
      <c r="N124" s="7">
        <f t="shared" si="23"/>
        <v>275.52999999999997</v>
      </c>
      <c r="O124" s="41">
        <v>0</v>
      </c>
      <c r="P124" s="41"/>
      <c r="Q124" s="41"/>
      <c r="R124" s="7">
        <f t="shared" si="17"/>
        <v>275.52999999999997</v>
      </c>
      <c r="S124" s="7">
        <f t="shared" si="24"/>
        <v>0</v>
      </c>
      <c r="T124" s="41">
        <v>0</v>
      </c>
      <c r="U124" s="15"/>
      <c r="V124" s="15"/>
      <c r="W124" s="7">
        <f t="shared" si="15"/>
        <v>0</v>
      </c>
      <c r="X124" s="13">
        <f t="shared" si="9"/>
        <v>0</v>
      </c>
      <c r="Y124" s="12"/>
      <c r="Z124" s="12"/>
      <c r="AA124" s="85">
        <f t="shared" si="18"/>
        <v>0</v>
      </c>
      <c r="AB124" s="1"/>
      <c r="AC124" s="1"/>
      <c r="AD124" s="1"/>
      <c r="AE124" s="1"/>
    </row>
    <row r="125" spans="1:31" ht="155.25" customHeight="1" outlineLevel="1">
      <c r="A125" s="95" t="s">
        <v>128</v>
      </c>
      <c r="B125" s="98" t="s">
        <v>171</v>
      </c>
      <c r="C125" s="97" t="s">
        <v>18</v>
      </c>
      <c r="D125" s="97" t="s">
        <v>10</v>
      </c>
      <c r="E125" s="97" t="s">
        <v>27</v>
      </c>
      <c r="F125" s="97" t="s">
        <v>77</v>
      </c>
      <c r="G125" s="65">
        <v>38500</v>
      </c>
      <c r="H125" s="65"/>
      <c r="I125" s="7">
        <f t="shared" si="7"/>
        <v>38500</v>
      </c>
      <c r="J125" s="7">
        <v>2292.4699999999998</v>
      </c>
      <c r="K125" s="7"/>
      <c r="L125" s="7"/>
      <c r="M125" s="7">
        <f t="shared" si="16"/>
        <v>38500</v>
      </c>
      <c r="N125" s="7">
        <f t="shared" si="23"/>
        <v>2292.4699999999998</v>
      </c>
      <c r="O125" s="41">
        <v>0</v>
      </c>
      <c r="P125" s="41">
        <v>3401</v>
      </c>
      <c r="Q125" s="41"/>
      <c r="R125" s="7">
        <f t="shared" si="17"/>
        <v>2292.4699999999998</v>
      </c>
      <c r="S125" s="7">
        <f t="shared" si="24"/>
        <v>3401</v>
      </c>
      <c r="T125" s="41">
        <v>0</v>
      </c>
      <c r="U125" s="15"/>
      <c r="V125" s="15"/>
      <c r="W125" s="7">
        <f t="shared" si="15"/>
        <v>3401</v>
      </c>
      <c r="X125" s="13">
        <f t="shared" si="9"/>
        <v>0</v>
      </c>
      <c r="Y125" s="12"/>
      <c r="Z125" s="12"/>
      <c r="AA125" s="85">
        <f t="shared" si="18"/>
        <v>0</v>
      </c>
      <c r="AB125" s="1"/>
      <c r="AC125" s="1"/>
      <c r="AD125" s="1"/>
      <c r="AE125" s="1"/>
    </row>
    <row r="126" spans="1:31" ht="168.75" customHeight="1" outlineLevel="1">
      <c r="A126" s="95" t="s">
        <v>172</v>
      </c>
      <c r="B126" s="98" t="s">
        <v>187</v>
      </c>
      <c r="C126" s="97" t="s">
        <v>18</v>
      </c>
      <c r="D126" s="97" t="s">
        <v>10</v>
      </c>
      <c r="E126" s="97" t="s">
        <v>173</v>
      </c>
      <c r="F126" s="97" t="s">
        <v>77</v>
      </c>
      <c r="G126" s="65">
        <v>5472.9</v>
      </c>
      <c r="H126" s="65"/>
      <c r="I126" s="7">
        <f t="shared" si="7"/>
        <v>5472.9</v>
      </c>
      <c r="J126" s="7">
        <v>449.99</v>
      </c>
      <c r="K126" s="7"/>
      <c r="L126" s="7"/>
      <c r="M126" s="7">
        <f t="shared" si="16"/>
        <v>5472.9</v>
      </c>
      <c r="N126" s="7">
        <f t="shared" si="23"/>
        <v>449.99</v>
      </c>
      <c r="O126" s="41">
        <v>0</v>
      </c>
      <c r="P126" s="41">
        <v>96.7</v>
      </c>
      <c r="Q126" s="41"/>
      <c r="R126" s="7">
        <f t="shared" si="17"/>
        <v>449.99</v>
      </c>
      <c r="S126" s="7">
        <f t="shared" si="24"/>
        <v>96.7</v>
      </c>
      <c r="T126" s="41">
        <v>0</v>
      </c>
      <c r="U126" s="15"/>
      <c r="V126" s="15"/>
      <c r="W126" s="7">
        <f t="shared" si="15"/>
        <v>96.7</v>
      </c>
      <c r="X126" s="13">
        <f t="shared" si="9"/>
        <v>0</v>
      </c>
      <c r="Y126" s="12"/>
      <c r="Z126" s="12"/>
      <c r="AA126" s="85">
        <f t="shared" si="18"/>
        <v>0</v>
      </c>
      <c r="AB126" s="1"/>
      <c r="AC126" s="1"/>
      <c r="AD126" s="1"/>
      <c r="AE126" s="1"/>
    </row>
    <row r="127" spans="1:31" ht="31.5" customHeight="1" outlineLevel="1">
      <c r="A127" s="123" t="s">
        <v>109</v>
      </c>
      <c r="B127" s="124"/>
      <c r="C127" s="124"/>
      <c r="D127" s="125"/>
      <c r="E127" s="97"/>
      <c r="F127" s="97"/>
      <c r="G127" s="65">
        <f>SUM(G128:G130)</f>
        <v>22560</v>
      </c>
      <c r="H127" s="65">
        <f>SUM(H128:H130)</f>
        <v>0</v>
      </c>
      <c r="I127" s="7">
        <f t="shared" si="7"/>
        <v>22560</v>
      </c>
      <c r="J127" s="65">
        <f>SUM(J128:J129)</f>
        <v>5555</v>
      </c>
      <c r="K127" s="65">
        <f>SUM(K128:K129)</f>
        <v>0</v>
      </c>
      <c r="L127" s="65">
        <f>L128+L129+L130</f>
        <v>840</v>
      </c>
      <c r="M127" s="7">
        <f t="shared" si="16"/>
        <v>23400</v>
      </c>
      <c r="N127" s="7">
        <f t="shared" si="23"/>
        <v>5555</v>
      </c>
      <c r="O127" s="65">
        <f>SUM(O128:O129)</f>
        <v>5544.2</v>
      </c>
      <c r="P127" s="65">
        <f>SUM(P128:P129)</f>
        <v>0</v>
      </c>
      <c r="Q127" s="65">
        <f>Q128+Q129+Q130</f>
        <v>0</v>
      </c>
      <c r="R127" s="7">
        <f t="shared" si="17"/>
        <v>5555</v>
      </c>
      <c r="S127" s="7">
        <f t="shared" si="24"/>
        <v>5544.2</v>
      </c>
      <c r="T127" s="65">
        <f>SUM(T128:T130)</f>
        <v>224.4</v>
      </c>
      <c r="U127" s="65">
        <f>SUM(U128:U129)</f>
        <v>0</v>
      </c>
      <c r="V127" s="65">
        <f>V128+V129+V130</f>
        <v>0</v>
      </c>
      <c r="W127" s="7">
        <f t="shared" si="15"/>
        <v>5544.2</v>
      </c>
      <c r="X127" s="13">
        <f t="shared" si="9"/>
        <v>224.4</v>
      </c>
      <c r="Y127" s="65">
        <f>Y128+Y129+Y130</f>
        <v>6116.4</v>
      </c>
      <c r="Z127" s="12"/>
      <c r="AA127" s="85">
        <f t="shared" si="18"/>
        <v>6340.7999999999993</v>
      </c>
      <c r="AB127" s="1"/>
      <c r="AC127" s="1"/>
      <c r="AD127" s="1"/>
      <c r="AE127" s="1"/>
    </row>
    <row r="128" spans="1:31" ht="114.75" customHeight="1" outlineLevel="1">
      <c r="A128" s="100" t="s">
        <v>174</v>
      </c>
      <c r="B128" s="22" t="s">
        <v>64</v>
      </c>
      <c r="C128" s="97" t="s">
        <v>120</v>
      </c>
      <c r="D128" s="97" t="s">
        <v>7</v>
      </c>
      <c r="E128" s="97" t="s">
        <v>9</v>
      </c>
      <c r="F128" s="97" t="s">
        <v>99</v>
      </c>
      <c r="G128" s="65">
        <v>7520</v>
      </c>
      <c r="H128" s="65"/>
      <c r="I128" s="7">
        <f t="shared" ref="I128:I163" si="25">G128+H128</f>
        <v>7520</v>
      </c>
      <c r="J128" s="65">
        <v>5555</v>
      </c>
      <c r="K128" s="65"/>
      <c r="L128" s="65"/>
      <c r="M128" s="7">
        <f t="shared" si="16"/>
        <v>7520</v>
      </c>
      <c r="N128" s="7">
        <f t="shared" si="23"/>
        <v>5555</v>
      </c>
      <c r="O128" s="65">
        <v>0</v>
      </c>
      <c r="P128" s="65"/>
      <c r="Q128" s="65"/>
      <c r="R128" s="7">
        <f t="shared" si="17"/>
        <v>5555</v>
      </c>
      <c r="S128" s="7">
        <f t="shared" si="24"/>
        <v>0</v>
      </c>
      <c r="T128" s="65">
        <v>0</v>
      </c>
      <c r="U128" s="15"/>
      <c r="V128" s="15"/>
      <c r="W128" s="7">
        <f t="shared" si="15"/>
        <v>0</v>
      </c>
      <c r="X128" s="13">
        <f t="shared" si="9"/>
        <v>0</v>
      </c>
      <c r="Y128" s="12"/>
      <c r="Z128" s="12"/>
      <c r="AA128" s="85">
        <f t="shared" si="18"/>
        <v>0</v>
      </c>
      <c r="AB128" s="1"/>
      <c r="AC128" s="1"/>
      <c r="AD128" s="1"/>
      <c r="AE128" s="1"/>
    </row>
    <row r="129" spans="1:31" ht="110.25" customHeight="1" outlineLevel="1">
      <c r="A129" s="67" t="s">
        <v>146</v>
      </c>
      <c r="B129" s="22" t="s">
        <v>64</v>
      </c>
      <c r="C129" s="97" t="s">
        <v>121</v>
      </c>
      <c r="D129" s="97" t="s">
        <v>7</v>
      </c>
      <c r="E129" s="97" t="s">
        <v>9</v>
      </c>
      <c r="F129" s="97" t="s">
        <v>100</v>
      </c>
      <c r="G129" s="65">
        <v>7520</v>
      </c>
      <c r="H129" s="65"/>
      <c r="I129" s="7">
        <f t="shared" si="25"/>
        <v>7520</v>
      </c>
      <c r="J129" s="7">
        <v>0</v>
      </c>
      <c r="K129" s="7"/>
      <c r="L129" s="7"/>
      <c r="M129" s="7">
        <f t="shared" si="16"/>
        <v>7520</v>
      </c>
      <c r="N129" s="7">
        <f t="shared" si="23"/>
        <v>0</v>
      </c>
      <c r="O129" s="7">
        <v>5544.2</v>
      </c>
      <c r="P129" s="7"/>
      <c r="Q129" s="7"/>
      <c r="R129" s="7">
        <f t="shared" si="17"/>
        <v>0</v>
      </c>
      <c r="S129" s="7">
        <f t="shared" si="24"/>
        <v>5544.2</v>
      </c>
      <c r="T129" s="41">
        <v>0</v>
      </c>
      <c r="U129" s="15"/>
      <c r="V129" s="15"/>
      <c r="W129" s="7">
        <f t="shared" si="15"/>
        <v>5544.2</v>
      </c>
      <c r="X129" s="13">
        <f t="shared" si="9"/>
        <v>0</v>
      </c>
      <c r="Y129" s="12"/>
      <c r="Z129" s="12"/>
      <c r="AA129" s="85">
        <f t="shared" si="18"/>
        <v>0</v>
      </c>
      <c r="AB129" s="1"/>
      <c r="AC129" s="1"/>
      <c r="AD129" s="1"/>
      <c r="AE129" s="1"/>
    </row>
    <row r="130" spans="1:31" ht="110.25" customHeight="1" outlineLevel="1">
      <c r="A130" s="100" t="s">
        <v>140</v>
      </c>
      <c r="B130" s="22" t="s">
        <v>64</v>
      </c>
      <c r="C130" s="97" t="s">
        <v>121</v>
      </c>
      <c r="D130" s="97" t="s">
        <v>7</v>
      </c>
      <c r="E130" s="97" t="s">
        <v>9</v>
      </c>
      <c r="F130" s="97" t="s">
        <v>139</v>
      </c>
      <c r="G130" s="65">
        <v>7520</v>
      </c>
      <c r="H130" s="65"/>
      <c r="I130" s="7">
        <f t="shared" si="25"/>
        <v>7520</v>
      </c>
      <c r="J130" s="7">
        <v>0</v>
      </c>
      <c r="K130" s="7"/>
      <c r="L130" s="7">
        <v>840</v>
      </c>
      <c r="M130" s="7">
        <f t="shared" si="16"/>
        <v>8360</v>
      </c>
      <c r="N130" s="7">
        <f t="shared" si="23"/>
        <v>0</v>
      </c>
      <c r="O130" s="7">
        <v>0</v>
      </c>
      <c r="P130" s="7"/>
      <c r="Q130" s="7"/>
      <c r="R130" s="7">
        <f t="shared" si="17"/>
        <v>0</v>
      </c>
      <c r="S130" s="7">
        <f t="shared" si="24"/>
        <v>0</v>
      </c>
      <c r="T130" s="41">
        <v>224.4</v>
      </c>
      <c r="U130" s="15"/>
      <c r="V130" s="15"/>
      <c r="W130" s="7">
        <f t="shared" si="15"/>
        <v>0</v>
      </c>
      <c r="X130" s="13">
        <f t="shared" si="9"/>
        <v>224.4</v>
      </c>
      <c r="Y130" s="69">
        <v>6116.4</v>
      </c>
      <c r="Z130" s="12"/>
      <c r="AA130" s="85">
        <f t="shared" si="18"/>
        <v>6340.7999999999993</v>
      </c>
      <c r="AB130" s="1"/>
      <c r="AC130" s="1"/>
      <c r="AD130" s="1"/>
      <c r="AE130" s="1"/>
    </row>
    <row r="131" spans="1:31" ht="21.75" customHeight="1" outlineLevel="1">
      <c r="A131" s="127" t="s">
        <v>83</v>
      </c>
      <c r="B131" s="128"/>
      <c r="C131" s="128"/>
      <c r="D131" s="128"/>
      <c r="E131" s="129"/>
      <c r="F131" s="97"/>
      <c r="G131" s="7">
        <f>G132</f>
        <v>3264.95</v>
      </c>
      <c r="H131" s="7">
        <f>H132</f>
        <v>0</v>
      </c>
      <c r="I131" s="7">
        <f t="shared" si="25"/>
        <v>3264.95</v>
      </c>
      <c r="J131" s="7">
        <f>J132</f>
        <v>905</v>
      </c>
      <c r="K131" s="7">
        <f>K132</f>
        <v>0</v>
      </c>
      <c r="L131" s="7"/>
      <c r="M131" s="7">
        <f t="shared" si="16"/>
        <v>3264.95</v>
      </c>
      <c r="N131" s="7">
        <f t="shared" si="23"/>
        <v>905</v>
      </c>
      <c r="O131" s="7">
        <f>O132</f>
        <v>0</v>
      </c>
      <c r="P131" s="7">
        <f>P132</f>
        <v>0</v>
      </c>
      <c r="Q131" s="7">
        <f>Q132</f>
        <v>-35</v>
      </c>
      <c r="R131" s="7">
        <f t="shared" si="17"/>
        <v>870</v>
      </c>
      <c r="S131" s="7">
        <f t="shared" si="24"/>
        <v>0</v>
      </c>
      <c r="T131" s="7">
        <f>T132</f>
        <v>0</v>
      </c>
      <c r="U131" s="7">
        <f>U132</f>
        <v>0</v>
      </c>
      <c r="V131" s="7"/>
      <c r="W131" s="7">
        <f t="shared" si="15"/>
        <v>0</v>
      </c>
      <c r="X131" s="13">
        <f t="shared" si="9"/>
        <v>0</v>
      </c>
      <c r="Y131" s="12"/>
      <c r="Z131" s="12"/>
      <c r="AA131" s="85">
        <f t="shared" si="18"/>
        <v>0</v>
      </c>
      <c r="AB131" s="1"/>
      <c r="AC131" s="1"/>
      <c r="AD131" s="1"/>
      <c r="AE131" s="1"/>
    </row>
    <row r="132" spans="1:31" ht="117" customHeight="1" outlineLevel="1">
      <c r="A132" s="67" t="s">
        <v>284</v>
      </c>
      <c r="B132" s="98" t="s">
        <v>188</v>
      </c>
      <c r="C132" s="97" t="s">
        <v>18</v>
      </c>
      <c r="D132" s="97" t="s">
        <v>7</v>
      </c>
      <c r="E132" s="33" t="s">
        <v>175</v>
      </c>
      <c r="F132" s="97" t="s">
        <v>99</v>
      </c>
      <c r="G132" s="65">
        <v>3264.95</v>
      </c>
      <c r="H132" s="65"/>
      <c r="I132" s="7">
        <f t="shared" si="25"/>
        <v>3264.95</v>
      </c>
      <c r="J132" s="7">
        <f>256.7+648.3</f>
        <v>905</v>
      </c>
      <c r="K132" s="7"/>
      <c r="L132" s="7"/>
      <c r="M132" s="7">
        <f t="shared" si="16"/>
        <v>3264.95</v>
      </c>
      <c r="N132" s="7">
        <f t="shared" si="23"/>
        <v>905</v>
      </c>
      <c r="O132" s="7">
        <v>0</v>
      </c>
      <c r="P132" s="7"/>
      <c r="Q132" s="7">
        <v>-35</v>
      </c>
      <c r="R132" s="7">
        <f t="shared" si="17"/>
        <v>870</v>
      </c>
      <c r="S132" s="7">
        <f t="shared" si="24"/>
        <v>0</v>
      </c>
      <c r="T132" s="7">
        <v>0</v>
      </c>
      <c r="U132" s="15"/>
      <c r="V132" s="15"/>
      <c r="W132" s="7">
        <f t="shared" si="15"/>
        <v>0</v>
      </c>
      <c r="X132" s="13">
        <f t="shared" si="9"/>
        <v>0</v>
      </c>
      <c r="Y132" s="12"/>
      <c r="Z132" s="12"/>
      <c r="AA132" s="85">
        <f t="shared" si="18"/>
        <v>0</v>
      </c>
      <c r="AB132" s="1"/>
      <c r="AC132" s="1"/>
      <c r="AD132" s="1"/>
      <c r="AE132" s="1"/>
    </row>
    <row r="133" spans="1:31" ht="35.25" customHeight="1" outlineLevel="1">
      <c r="A133" s="130" t="s">
        <v>114</v>
      </c>
      <c r="B133" s="110"/>
      <c r="C133" s="110"/>
      <c r="D133" s="110"/>
      <c r="E133" s="111"/>
      <c r="F133" s="97"/>
      <c r="G133" s="65">
        <f>SUM(G134:G135)</f>
        <v>423509.2</v>
      </c>
      <c r="H133" s="65">
        <f>SUM(H134:H135)</f>
        <v>0</v>
      </c>
      <c r="I133" s="7">
        <f t="shared" si="25"/>
        <v>423509.2</v>
      </c>
      <c r="J133" s="65">
        <f t="shared" ref="J133:U133" si="26">SUM(J134:J135)</f>
        <v>128289.1</v>
      </c>
      <c r="K133" s="65">
        <f t="shared" si="26"/>
        <v>0</v>
      </c>
      <c r="L133" s="65"/>
      <c r="M133" s="7">
        <f t="shared" si="16"/>
        <v>423509.2</v>
      </c>
      <c r="N133" s="7">
        <f t="shared" si="23"/>
        <v>128289.1</v>
      </c>
      <c r="O133" s="65">
        <f t="shared" si="26"/>
        <v>152337.60000000001</v>
      </c>
      <c r="P133" s="65">
        <f t="shared" si="26"/>
        <v>0</v>
      </c>
      <c r="Q133" s="65"/>
      <c r="R133" s="7">
        <f t="shared" si="17"/>
        <v>128289.1</v>
      </c>
      <c r="S133" s="7">
        <f t="shared" si="24"/>
        <v>152337.60000000001</v>
      </c>
      <c r="T133" s="65">
        <f t="shared" si="26"/>
        <v>0</v>
      </c>
      <c r="U133" s="65">
        <f t="shared" si="26"/>
        <v>0</v>
      </c>
      <c r="V133" s="65"/>
      <c r="W133" s="7">
        <f t="shared" si="15"/>
        <v>152337.60000000001</v>
      </c>
      <c r="X133" s="13">
        <f t="shared" si="9"/>
        <v>0</v>
      </c>
      <c r="Y133" s="12"/>
      <c r="Z133" s="12"/>
      <c r="AA133" s="85">
        <f t="shared" si="18"/>
        <v>0</v>
      </c>
      <c r="AB133" s="1"/>
      <c r="AC133" s="1"/>
      <c r="AD133" s="1"/>
      <c r="AE133" s="1"/>
    </row>
    <row r="134" spans="1:31" ht="126" customHeight="1" outlineLevel="1">
      <c r="A134" s="67" t="s">
        <v>176</v>
      </c>
      <c r="B134" s="98" t="s">
        <v>21</v>
      </c>
      <c r="C134" s="97" t="s">
        <v>115</v>
      </c>
      <c r="D134" s="57" t="s">
        <v>6</v>
      </c>
      <c r="E134" s="97" t="s">
        <v>42</v>
      </c>
      <c r="F134" s="97" t="s">
        <v>22</v>
      </c>
      <c r="G134" s="65">
        <v>7270</v>
      </c>
      <c r="H134" s="65"/>
      <c r="I134" s="7">
        <f t="shared" si="25"/>
        <v>7270</v>
      </c>
      <c r="J134" s="7">
        <v>5060</v>
      </c>
      <c r="K134" s="7"/>
      <c r="L134" s="7"/>
      <c r="M134" s="7">
        <f t="shared" si="16"/>
        <v>7270</v>
      </c>
      <c r="N134" s="7">
        <f t="shared" si="23"/>
        <v>5060</v>
      </c>
      <c r="O134" s="7">
        <v>0</v>
      </c>
      <c r="P134" s="7"/>
      <c r="Q134" s="7"/>
      <c r="R134" s="7">
        <f t="shared" si="17"/>
        <v>5060</v>
      </c>
      <c r="S134" s="7">
        <f t="shared" si="24"/>
        <v>0</v>
      </c>
      <c r="T134" s="7">
        <v>0</v>
      </c>
      <c r="U134" s="15"/>
      <c r="V134" s="15"/>
      <c r="W134" s="7">
        <f t="shared" si="15"/>
        <v>0</v>
      </c>
      <c r="X134" s="13">
        <f t="shared" si="9"/>
        <v>0</v>
      </c>
      <c r="Y134" s="12"/>
      <c r="Z134" s="12"/>
      <c r="AA134" s="85">
        <f t="shared" si="18"/>
        <v>0</v>
      </c>
      <c r="AB134" s="1"/>
      <c r="AC134" s="1"/>
      <c r="AD134" s="1"/>
      <c r="AE134" s="1"/>
    </row>
    <row r="135" spans="1:31" ht="110.25" customHeight="1" outlineLevel="1">
      <c r="A135" s="67" t="s">
        <v>189</v>
      </c>
      <c r="B135" s="98" t="s">
        <v>116</v>
      </c>
      <c r="C135" s="97" t="s">
        <v>18</v>
      </c>
      <c r="D135" s="57" t="s">
        <v>6</v>
      </c>
      <c r="E135" s="97" t="s">
        <v>31</v>
      </c>
      <c r="F135" s="97" t="s">
        <v>77</v>
      </c>
      <c r="G135" s="65">
        <v>416239.2</v>
      </c>
      <c r="H135" s="65"/>
      <c r="I135" s="7">
        <f t="shared" si="25"/>
        <v>416239.2</v>
      </c>
      <c r="J135" s="7">
        <v>123229.1</v>
      </c>
      <c r="K135" s="7"/>
      <c r="L135" s="7"/>
      <c r="M135" s="7">
        <f t="shared" si="16"/>
        <v>416239.2</v>
      </c>
      <c r="N135" s="7">
        <f t="shared" si="23"/>
        <v>123229.1</v>
      </c>
      <c r="O135" s="7">
        <v>152337.60000000001</v>
      </c>
      <c r="P135" s="7"/>
      <c r="Q135" s="7"/>
      <c r="R135" s="7">
        <f t="shared" si="17"/>
        <v>123229.1</v>
      </c>
      <c r="S135" s="7">
        <f t="shared" si="24"/>
        <v>152337.60000000001</v>
      </c>
      <c r="T135" s="7">
        <v>0</v>
      </c>
      <c r="U135" s="15"/>
      <c r="V135" s="15"/>
      <c r="W135" s="7">
        <f t="shared" si="15"/>
        <v>152337.60000000001</v>
      </c>
      <c r="X135" s="13">
        <f t="shared" si="9"/>
        <v>0</v>
      </c>
      <c r="Y135" s="12"/>
      <c r="Z135" s="12"/>
      <c r="AA135" s="85">
        <f t="shared" si="18"/>
        <v>0</v>
      </c>
      <c r="AB135" s="1"/>
      <c r="AC135" s="1"/>
      <c r="AD135" s="1"/>
      <c r="AE135" s="1"/>
    </row>
    <row r="136" spans="1:31" ht="120" customHeight="1" outlineLevel="1">
      <c r="A136" s="67" t="s">
        <v>289</v>
      </c>
      <c r="B136" s="98" t="s">
        <v>280</v>
      </c>
      <c r="C136" s="97" t="s">
        <v>18</v>
      </c>
      <c r="D136" s="57" t="s">
        <v>281</v>
      </c>
      <c r="E136" s="22" t="s">
        <v>69</v>
      </c>
      <c r="F136" s="97" t="s">
        <v>34</v>
      </c>
      <c r="G136" s="65"/>
      <c r="H136" s="65">
        <v>35000</v>
      </c>
      <c r="I136" s="7">
        <f t="shared" si="25"/>
        <v>35000</v>
      </c>
      <c r="J136" s="7"/>
      <c r="K136" s="7">
        <v>6000</v>
      </c>
      <c r="L136" s="7">
        <v>-35000</v>
      </c>
      <c r="M136" s="7">
        <f t="shared" si="16"/>
        <v>0</v>
      </c>
      <c r="N136" s="7">
        <f t="shared" si="23"/>
        <v>6000</v>
      </c>
      <c r="O136" s="7"/>
      <c r="P136" s="7">
        <v>4000</v>
      </c>
      <c r="Q136" s="7">
        <v>-6000</v>
      </c>
      <c r="R136" s="7">
        <f t="shared" si="17"/>
        <v>0</v>
      </c>
      <c r="S136" s="7">
        <f t="shared" si="24"/>
        <v>4000</v>
      </c>
      <c r="T136" s="7"/>
      <c r="U136" s="15">
        <v>4000</v>
      </c>
      <c r="V136" s="88">
        <v>-4000</v>
      </c>
      <c r="W136" s="7">
        <f t="shared" si="15"/>
        <v>0</v>
      </c>
      <c r="X136" s="7">
        <f t="shared" si="9"/>
        <v>4000</v>
      </c>
      <c r="Y136" s="87">
        <v>-4000</v>
      </c>
      <c r="Z136" s="12"/>
      <c r="AA136" s="85">
        <f t="shared" si="18"/>
        <v>0</v>
      </c>
      <c r="AB136" s="1"/>
      <c r="AC136" s="1"/>
      <c r="AD136" s="1"/>
      <c r="AE136" s="1"/>
    </row>
    <row r="137" spans="1:31" s="4" customFormat="1" ht="42.75" customHeight="1">
      <c r="A137" s="112" t="s">
        <v>153</v>
      </c>
      <c r="B137" s="118"/>
      <c r="C137" s="118"/>
      <c r="D137" s="118"/>
      <c r="E137" s="68"/>
      <c r="F137" s="68"/>
      <c r="G137" s="7">
        <f>SUM(G138:G141)</f>
        <v>523752.39999999997</v>
      </c>
      <c r="H137" s="7">
        <f>SUM(H138:H141)</f>
        <v>216.1</v>
      </c>
      <c r="I137" s="7">
        <f t="shared" si="25"/>
        <v>523968.49999999994</v>
      </c>
      <c r="J137" s="7">
        <f>SUM(J138:J141)</f>
        <v>85878.84</v>
      </c>
      <c r="K137" s="7">
        <f>SUM(K138:K141)</f>
        <v>26253</v>
      </c>
      <c r="L137" s="7">
        <f>L138+L139+L140+L141</f>
        <v>278.89999999999998</v>
      </c>
      <c r="M137" s="7">
        <f t="shared" si="16"/>
        <v>524247.39999999997</v>
      </c>
      <c r="N137" s="7">
        <f t="shared" si="23"/>
        <v>112131.84</v>
      </c>
      <c r="O137" s="7">
        <f>SUM(O138:O140)</f>
        <v>82456.7</v>
      </c>
      <c r="P137" s="7">
        <f>SUM(P138:P140)</f>
        <v>62645.9</v>
      </c>
      <c r="Q137" s="7">
        <f>Q138+Q139+Q140+Q141</f>
        <v>17913.5</v>
      </c>
      <c r="R137" s="7">
        <f t="shared" si="17"/>
        <v>130045.34</v>
      </c>
      <c r="S137" s="7">
        <f t="shared" si="24"/>
        <v>145102.6</v>
      </c>
      <c r="T137" s="7">
        <f>SUM(T138:T140)</f>
        <v>62645.9</v>
      </c>
      <c r="U137" s="7">
        <f>SUM(U138:U140)</f>
        <v>-62645.9</v>
      </c>
      <c r="V137" s="7">
        <f>V138+V139+V140+V141</f>
        <v>-11419.4</v>
      </c>
      <c r="W137" s="7">
        <f t="shared" si="15"/>
        <v>133683.20000000001</v>
      </c>
      <c r="X137" s="13">
        <f t="shared" si="9"/>
        <v>0</v>
      </c>
      <c r="Y137" s="7">
        <f>Y138+Y139+Y140+Y141</f>
        <v>0</v>
      </c>
      <c r="Z137" s="84"/>
      <c r="AA137" s="85">
        <f t="shared" si="18"/>
        <v>0</v>
      </c>
    </row>
    <row r="138" spans="1:31" s="4" customFormat="1" ht="111" customHeight="1" outlineLevel="1">
      <c r="A138" s="95" t="s">
        <v>75</v>
      </c>
      <c r="B138" s="11" t="s">
        <v>23</v>
      </c>
      <c r="C138" s="97" t="s">
        <v>5</v>
      </c>
      <c r="D138" s="97" t="s">
        <v>7</v>
      </c>
      <c r="E138" s="97" t="s">
        <v>9</v>
      </c>
      <c r="F138" s="97" t="s">
        <v>35</v>
      </c>
      <c r="G138" s="7">
        <v>372853.1</v>
      </c>
      <c r="H138" s="7"/>
      <c r="I138" s="7">
        <f t="shared" si="25"/>
        <v>372853.1</v>
      </c>
      <c r="J138" s="7">
        <f>73789.8+19810.71-10182.07</f>
        <v>83418.44</v>
      </c>
      <c r="K138" s="7">
        <f>9791.4+14856.5</f>
        <v>24647.9</v>
      </c>
      <c r="L138" s="7"/>
      <c r="M138" s="7">
        <f t="shared" si="16"/>
        <v>372853.1</v>
      </c>
      <c r="N138" s="7">
        <f t="shared" si="23"/>
        <v>108066.34</v>
      </c>
      <c r="O138" s="7">
        <v>0</v>
      </c>
      <c r="P138" s="7"/>
      <c r="Q138" s="7">
        <f>130.3+17634.6</f>
        <v>17764.899999999998</v>
      </c>
      <c r="R138" s="7">
        <f t="shared" si="17"/>
        <v>125831.23999999999</v>
      </c>
      <c r="S138" s="7">
        <f t="shared" si="24"/>
        <v>0</v>
      </c>
      <c r="T138" s="41">
        <v>0</v>
      </c>
      <c r="U138" s="11"/>
      <c r="V138" s="11"/>
      <c r="W138" s="7">
        <f t="shared" si="15"/>
        <v>0</v>
      </c>
      <c r="X138" s="13">
        <f t="shared" si="9"/>
        <v>0</v>
      </c>
      <c r="Y138" s="84"/>
      <c r="Z138" s="84"/>
      <c r="AA138" s="85">
        <f t="shared" si="18"/>
        <v>0</v>
      </c>
    </row>
    <row r="139" spans="1:31" s="4" customFormat="1" ht="111" customHeight="1" outlineLevel="1">
      <c r="A139" s="94" t="s">
        <v>76</v>
      </c>
      <c r="B139" s="69" t="s">
        <v>21</v>
      </c>
      <c r="C139" s="97" t="s">
        <v>5</v>
      </c>
      <c r="D139" s="97" t="s">
        <v>7</v>
      </c>
      <c r="E139" s="97" t="s">
        <v>9</v>
      </c>
      <c r="F139" s="97" t="s">
        <v>77</v>
      </c>
      <c r="G139" s="7">
        <v>146383.5</v>
      </c>
      <c r="H139" s="7"/>
      <c r="I139" s="7">
        <f t="shared" si="25"/>
        <v>146383.5</v>
      </c>
      <c r="J139" s="7">
        <v>1280.9000000000001</v>
      </c>
      <c r="K139" s="7"/>
      <c r="L139" s="7"/>
      <c r="M139" s="7">
        <f t="shared" si="16"/>
        <v>146383.5</v>
      </c>
      <c r="N139" s="7">
        <f t="shared" si="23"/>
        <v>1280.9000000000001</v>
      </c>
      <c r="O139" s="7">
        <v>82456.7</v>
      </c>
      <c r="P139" s="7">
        <v>62645.9</v>
      </c>
      <c r="Q139" s="7">
        <v>-130.30000000000001</v>
      </c>
      <c r="R139" s="7">
        <f t="shared" si="17"/>
        <v>1150.6000000000001</v>
      </c>
      <c r="S139" s="7">
        <f t="shared" si="24"/>
        <v>145102.6</v>
      </c>
      <c r="T139" s="65">
        <v>62645.9</v>
      </c>
      <c r="U139" s="70">
        <v>-62645.9</v>
      </c>
      <c r="V139" s="70">
        <v>-11419.4</v>
      </c>
      <c r="W139" s="7">
        <f t="shared" si="15"/>
        <v>133683.20000000001</v>
      </c>
      <c r="X139" s="13">
        <f t="shared" si="9"/>
        <v>0</v>
      </c>
      <c r="Y139" s="84"/>
      <c r="Z139" s="84"/>
      <c r="AA139" s="85">
        <f t="shared" si="18"/>
        <v>0</v>
      </c>
    </row>
    <row r="140" spans="1:31" s="4" customFormat="1" ht="129.75" customHeight="1" outlineLevel="1">
      <c r="A140" s="94" t="s">
        <v>322</v>
      </c>
      <c r="B140" s="69" t="s">
        <v>21</v>
      </c>
      <c r="C140" s="97" t="s">
        <v>5</v>
      </c>
      <c r="D140" s="97" t="s">
        <v>7</v>
      </c>
      <c r="E140" s="97" t="s">
        <v>9</v>
      </c>
      <c r="F140" s="97" t="s">
        <v>14</v>
      </c>
      <c r="G140" s="41">
        <v>4515.8</v>
      </c>
      <c r="H140" s="41"/>
      <c r="I140" s="7">
        <f t="shared" si="25"/>
        <v>4515.8</v>
      </c>
      <c r="J140" s="7">
        <v>1179.5</v>
      </c>
      <c r="K140" s="7">
        <v>1389</v>
      </c>
      <c r="L140" s="7">
        <v>198</v>
      </c>
      <c r="M140" s="7">
        <f t="shared" si="16"/>
        <v>4713.8</v>
      </c>
      <c r="N140" s="7">
        <f t="shared" si="23"/>
        <v>2568.5</v>
      </c>
      <c r="O140" s="41">
        <v>0</v>
      </c>
      <c r="P140" s="41"/>
      <c r="Q140" s="41">
        <v>198</v>
      </c>
      <c r="R140" s="7">
        <f t="shared" si="17"/>
        <v>2766.5</v>
      </c>
      <c r="S140" s="7">
        <f t="shared" si="24"/>
        <v>0</v>
      </c>
      <c r="T140" s="41">
        <v>0</v>
      </c>
      <c r="U140" s="11"/>
      <c r="V140" s="11"/>
      <c r="W140" s="7">
        <f t="shared" si="15"/>
        <v>0</v>
      </c>
      <c r="X140" s="13">
        <f t="shared" si="9"/>
        <v>0</v>
      </c>
      <c r="Y140" s="84"/>
      <c r="Z140" s="84"/>
      <c r="AA140" s="85">
        <f t="shared" si="18"/>
        <v>0</v>
      </c>
    </row>
    <row r="141" spans="1:31" s="4" customFormat="1" ht="171.75" customHeight="1" outlineLevel="1">
      <c r="A141" s="94" t="s">
        <v>336</v>
      </c>
      <c r="B141" s="69" t="s">
        <v>21</v>
      </c>
      <c r="C141" s="97" t="s">
        <v>231</v>
      </c>
      <c r="D141" s="97" t="s">
        <v>7</v>
      </c>
      <c r="E141" s="97" t="s">
        <v>9</v>
      </c>
      <c r="F141" s="97" t="s">
        <v>99</v>
      </c>
      <c r="G141" s="41"/>
      <c r="H141" s="41">
        <v>216.1</v>
      </c>
      <c r="I141" s="7">
        <f t="shared" si="25"/>
        <v>216.1</v>
      </c>
      <c r="J141" s="7">
        <v>0</v>
      </c>
      <c r="K141" s="7">
        <v>216.1</v>
      </c>
      <c r="L141" s="7">
        <v>80.900000000000006</v>
      </c>
      <c r="M141" s="7">
        <f t="shared" si="16"/>
        <v>297</v>
      </c>
      <c r="N141" s="7">
        <f t="shared" si="23"/>
        <v>216.1</v>
      </c>
      <c r="O141" s="41">
        <v>0</v>
      </c>
      <c r="P141" s="41"/>
      <c r="Q141" s="41">
        <v>80.900000000000006</v>
      </c>
      <c r="R141" s="7">
        <f t="shared" si="17"/>
        <v>297</v>
      </c>
      <c r="S141" s="7">
        <f t="shared" si="24"/>
        <v>0</v>
      </c>
      <c r="T141" s="41">
        <v>0</v>
      </c>
      <c r="U141" s="11"/>
      <c r="V141" s="11"/>
      <c r="W141" s="7">
        <f t="shared" si="15"/>
        <v>0</v>
      </c>
      <c r="X141" s="13">
        <v>0</v>
      </c>
      <c r="Y141" s="84"/>
      <c r="Z141" s="84"/>
      <c r="AA141" s="85">
        <f t="shared" si="18"/>
        <v>0</v>
      </c>
    </row>
    <row r="142" spans="1:31" s="4" customFormat="1" ht="56.25" customHeight="1">
      <c r="A142" s="112" t="s">
        <v>154</v>
      </c>
      <c r="B142" s="118"/>
      <c r="C142" s="118"/>
      <c r="D142" s="118"/>
      <c r="E142" s="68"/>
      <c r="F142" s="68"/>
      <c r="G142" s="71">
        <f>SUM(G143:G146)</f>
        <v>407182.51399999997</v>
      </c>
      <c r="H142" s="71">
        <f>SUM(H143:H146)</f>
        <v>0</v>
      </c>
      <c r="I142" s="7">
        <f t="shared" si="25"/>
        <v>407182.51399999997</v>
      </c>
      <c r="J142" s="71">
        <f>SUM(J143:J147)</f>
        <v>101999.20000000001</v>
      </c>
      <c r="K142" s="71">
        <f>SUM(K143:K147)</f>
        <v>32973.1</v>
      </c>
      <c r="L142" s="71">
        <f>L143+L144+L145+L146+L147+L148+L149</f>
        <v>84508</v>
      </c>
      <c r="M142" s="7">
        <f t="shared" si="16"/>
        <v>491690.51399999997</v>
      </c>
      <c r="N142" s="7">
        <f t="shared" si="23"/>
        <v>134972.30000000002</v>
      </c>
      <c r="O142" s="71">
        <f>SUM(O143:O146)</f>
        <v>76407.3</v>
      </c>
      <c r="P142" s="71">
        <f>SUM(P143:P147)</f>
        <v>0</v>
      </c>
      <c r="Q142" s="71">
        <f>Q143+Q144+Q145+Q146+Q147+Q148+Q149</f>
        <v>1186.1999999999989</v>
      </c>
      <c r="R142" s="7">
        <f t="shared" si="17"/>
        <v>136158.50000000003</v>
      </c>
      <c r="S142" s="7">
        <f t="shared" si="24"/>
        <v>76407.3</v>
      </c>
      <c r="T142" s="71">
        <f>SUM(T143:T146)</f>
        <v>0</v>
      </c>
      <c r="U142" s="71">
        <f>SUM(U143:U147)</f>
        <v>0</v>
      </c>
      <c r="V142" s="71">
        <f>V143+V144+V145+V146+V147+V148+V149</f>
        <v>5000</v>
      </c>
      <c r="W142" s="7">
        <f t="shared" si="15"/>
        <v>81407.3</v>
      </c>
      <c r="X142" s="13">
        <f t="shared" ref="X142:X163" si="27">T142+U142</f>
        <v>0</v>
      </c>
      <c r="Y142" s="71">
        <f>Y143+Y144+Y145+Y146+Y147+Y148+Y149</f>
        <v>5000</v>
      </c>
      <c r="Z142" s="84"/>
      <c r="AA142" s="85">
        <f t="shared" si="18"/>
        <v>5000</v>
      </c>
    </row>
    <row r="143" spans="1:31" s="4" customFormat="1" ht="108.75" customHeight="1" outlineLevel="1">
      <c r="A143" s="95" t="s">
        <v>58</v>
      </c>
      <c r="B143" s="97" t="s">
        <v>177</v>
      </c>
      <c r="C143" s="97" t="s">
        <v>18</v>
      </c>
      <c r="D143" s="97" t="s">
        <v>16</v>
      </c>
      <c r="E143" s="97" t="s">
        <v>29</v>
      </c>
      <c r="F143" s="97" t="s">
        <v>22</v>
      </c>
      <c r="G143" s="41">
        <v>59083.1</v>
      </c>
      <c r="H143" s="41"/>
      <c r="I143" s="7">
        <f t="shared" si="25"/>
        <v>59083.1</v>
      </c>
      <c r="J143" s="7">
        <v>5889.4</v>
      </c>
      <c r="K143" s="7">
        <v>4373.1000000000004</v>
      </c>
      <c r="L143" s="7"/>
      <c r="M143" s="7">
        <f t="shared" si="16"/>
        <v>59083.1</v>
      </c>
      <c r="N143" s="7">
        <f t="shared" si="23"/>
        <v>10262.5</v>
      </c>
      <c r="O143" s="7">
        <v>0</v>
      </c>
      <c r="P143" s="7"/>
      <c r="Q143" s="7"/>
      <c r="R143" s="7">
        <f t="shared" si="17"/>
        <v>10262.5</v>
      </c>
      <c r="S143" s="7">
        <f t="shared" si="24"/>
        <v>0</v>
      </c>
      <c r="T143" s="41">
        <v>0</v>
      </c>
      <c r="U143" s="11"/>
      <c r="V143" s="11"/>
      <c r="W143" s="7">
        <f t="shared" si="15"/>
        <v>0</v>
      </c>
      <c r="X143" s="13">
        <f t="shared" si="27"/>
        <v>0</v>
      </c>
      <c r="Y143" s="84"/>
      <c r="Z143" s="84"/>
      <c r="AA143" s="85">
        <f t="shared" si="18"/>
        <v>0</v>
      </c>
    </row>
    <row r="144" spans="1:31" s="4" customFormat="1" ht="102" customHeight="1" outlineLevel="1">
      <c r="A144" s="99" t="s">
        <v>134</v>
      </c>
      <c r="B144" s="33" t="s">
        <v>178</v>
      </c>
      <c r="C144" s="97" t="s">
        <v>18</v>
      </c>
      <c r="D144" s="97" t="s">
        <v>16</v>
      </c>
      <c r="E144" s="33" t="s">
        <v>31</v>
      </c>
      <c r="F144" s="97" t="s">
        <v>99</v>
      </c>
      <c r="G144" s="41">
        <v>34375.300000000003</v>
      </c>
      <c r="H144" s="41"/>
      <c r="I144" s="7">
        <f t="shared" si="25"/>
        <v>34375.300000000003</v>
      </c>
      <c r="J144" s="7">
        <v>14937.1</v>
      </c>
      <c r="K144" s="7"/>
      <c r="L144" s="7"/>
      <c r="M144" s="7">
        <f t="shared" si="16"/>
        <v>34375.300000000003</v>
      </c>
      <c r="N144" s="7">
        <f t="shared" si="23"/>
        <v>14937.1</v>
      </c>
      <c r="O144" s="7">
        <v>0</v>
      </c>
      <c r="P144" s="7"/>
      <c r="Q144" s="7">
        <v>-11813.7</v>
      </c>
      <c r="R144" s="7">
        <f t="shared" si="17"/>
        <v>3123.3999999999996</v>
      </c>
      <c r="S144" s="7">
        <f t="shared" si="24"/>
        <v>0</v>
      </c>
      <c r="T144" s="41">
        <v>0</v>
      </c>
      <c r="U144" s="11"/>
      <c r="V144" s="11"/>
      <c r="W144" s="7">
        <f t="shared" si="15"/>
        <v>0</v>
      </c>
      <c r="X144" s="13">
        <f t="shared" si="27"/>
        <v>0</v>
      </c>
      <c r="Y144" s="84"/>
      <c r="Z144" s="84"/>
      <c r="AA144" s="85">
        <f t="shared" si="18"/>
        <v>0</v>
      </c>
    </row>
    <row r="145" spans="1:27" s="4" customFormat="1" ht="117" customHeight="1" outlineLevel="1">
      <c r="A145" s="95" t="s">
        <v>133</v>
      </c>
      <c r="B145" s="33" t="s">
        <v>179</v>
      </c>
      <c r="C145" s="97" t="s">
        <v>18</v>
      </c>
      <c r="D145" s="97" t="s">
        <v>16</v>
      </c>
      <c r="E145" s="33" t="s">
        <v>26</v>
      </c>
      <c r="F145" s="97" t="s">
        <v>77</v>
      </c>
      <c r="G145" s="41">
        <v>184622.614</v>
      </c>
      <c r="H145" s="41"/>
      <c r="I145" s="7">
        <f t="shared" si="25"/>
        <v>184622.614</v>
      </c>
      <c r="J145" s="41">
        <f>8500+811.6</f>
        <v>9311.6</v>
      </c>
      <c r="K145" s="41"/>
      <c r="L145" s="41"/>
      <c r="M145" s="7">
        <f t="shared" si="16"/>
        <v>184622.614</v>
      </c>
      <c r="N145" s="7">
        <f t="shared" si="23"/>
        <v>9311.6</v>
      </c>
      <c r="O145" s="7">
        <v>76407.3</v>
      </c>
      <c r="P145" s="7"/>
      <c r="Q145" s="7">
        <v>-0.1</v>
      </c>
      <c r="R145" s="7">
        <f t="shared" si="17"/>
        <v>9311.5</v>
      </c>
      <c r="S145" s="7">
        <f t="shared" si="24"/>
        <v>76407.3</v>
      </c>
      <c r="T145" s="41">
        <v>0</v>
      </c>
      <c r="U145" s="11"/>
      <c r="V145" s="11"/>
      <c r="W145" s="7">
        <f t="shared" si="15"/>
        <v>76407.3</v>
      </c>
      <c r="X145" s="13">
        <f t="shared" si="27"/>
        <v>0</v>
      </c>
      <c r="Y145" s="84"/>
      <c r="Z145" s="84"/>
      <c r="AA145" s="85">
        <f t="shared" si="18"/>
        <v>0</v>
      </c>
    </row>
    <row r="146" spans="1:27" s="4" customFormat="1" ht="123" customHeight="1" outlineLevel="1">
      <c r="A146" s="95" t="s">
        <v>147</v>
      </c>
      <c r="B146" s="97" t="s">
        <v>190</v>
      </c>
      <c r="C146" s="97" t="s">
        <v>18</v>
      </c>
      <c r="D146" s="97" t="s">
        <v>16</v>
      </c>
      <c r="E146" s="33" t="s">
        <v>31</v>
      </c>
      <c r="F146" s="97" t="s">
        <v>22</v>
      </c>
      <c r="G146" s="41">
        <v>129101.5</v>
      </c>
      <c r="H146" s="41"/>
      <c r="I146" s="7">
        <f t="shared" si="25"/>
        <v>129101.5</v>
      </c>
      <c r="J146" s="41">
        <v>69361.100000000006</v>
      </c>
      <c r="K146" s="41">
        <v>28600</v>
      </c>
      <c r="L146" s="41"/>
      <c r="M146" s="7">
        <f t="shared" si="16"/>
        <v>129101.5</v>
      </c>
      <c r="N146" s="7">
        <f t="shared" si="23"/>
        <v>97961.1</v>
      </c>
      <c r="O146" s="41">
        <v>0</v>
      </c>
      <c r="P146" s="41"/>
      <c r="Q146" s="41"/>
      <c r="R146" s="7">
        <f t="shared" si="17"/>
        <v>97961.1</v>
      </c>
      <c r="S146" s="7">
        <f t="shared" si="24"/>
        <v>0</v>
      </c>
      <c r="T146" s="41">
        <v>0</v>
      </c>
      <c r="U146" s="11"/>
      <c r="V146" s="11"/>
      <c r="W146" s="7">
        <f t="shared" si="15"/>
        <v>0</v>
      </c>
      <c r="X146" s="13">
        <f t="shared" si="27"/>
        <v>0</v>
      </c>
      <c r="Y146" s="84"/>
      <c r="Z146" s="84"/>
      <c r="AA146" s="85">
        <f t="shared" si="18"/>
        <v>0</v>
      </c>
    </row>
    <row r="147" spans="1:27" s="4" customFormat="1" ht="116.25" customHeight="1" outlineLevel="1">
      <c r="A147" s="95" t="s">
        <v>181</v>
      </c>
      <c r="B147" s="97" t="s">
        <v>180</v>
      </c>
      <c r="C147" s="97" t="s">
        <v>43</v>
      </c>
      <c r="D147" s="97" t="s">
        <v>143</v>
      </c>
      <c r="E147" s="98" t="s">
        <v>175</v>
      </c>
      <c r="F147" s="97" t="s">
        <v>99</v>
      </c>
      <c r="G147" s="41">
        <v>2900</v>
      </c>
      <c r="H147" s="41"/>
      <c r="I147" s="7">
        <f t="shared" si="25"/>
        <v>2900</v>
      </c>
      <c r="J147" s="41">
        <v>2500</v>
      </c>
      <c r="K147" s="41"/>
      <c r="L147" s="41"/>
      <c r="M147" s="7">
        <f t="shared" si="16"/>
        <v>2900</v>
      </c>
      <c r="N147" s="7">
        <f t="shared" si="23"/>
        <v>2500</v>
      </c>
      <c r="O147" s="41">
        <v>0</v>
      </c>
      <c r="P147" s="41"/>
      <c r="Q147" s="41"/>
      <c r="R147" s="7">
        <f t="shared" si="17"/>
        <v>2500</v>
      </c>
      <c r="S147" s="7">
        <f t="shared" si="24"/>
        <v>0</v>
      </c>
      <c r="T147" s="41">
        <v>0</v>
      </c>
      <c r="U147" s="11"/>
      <c r="V147" s="11"/>
      <c r="W147" s="7">
        <f t="shared" si="15"/>
        <v>0</v>
      </c>
      <c r="X147" s="13">
        <f t="shared" si="27"/>
        <v>0</v>
      </c>
      <c r="Y147" s="84"/>
      <c r="Z147" s="84"/>
      <c r="AA147" s="85">
        <f t="shared" si="18"/>
        <v>0</v>
      </c>
    </row>
    <row r="148" spans="1:27" s="4" customFormat="1" ht="116.25" customHeight="1" outlineLevel="1">
      <c r="A148" s="95" t="s">
        <v>310</v>
      </c>
      <c r="B148" s="97" t="s">
        <v>180</v>
      </c>
      <c r="C148" s="97" t="s">
        <v>5</v>
      </c>
      <c r="D148" s="97" t="s">
        <v>16</v>
      </c>
      <c r="E148" s="97" t="s">
        <v>9</v>
      </c>
      <c r="F148" s="97" t="s">
        <v>77</v>
      </c>
      <c r="G148" s="41"/>
      <c r="H148" s="41"/>
      <c r="I148" s="7"/>
      <c r="J148" s="41"/>
      <c r="K148" s="41"/>
      <c r="L148" s="41">
        <v>76508</v>
      </c>
      <c r="M148" s="7">
        <f t="shared" si="16"/>
        <v>76508</v>
      </c>
      <c r="N148" s="7"/>
      <c r="O148" s="41"/>
      <c r="P148" s="41"/>
      <c r="Q148" s="41">
        <v>5000</v>
      </c>
      <c r="R148" s="7">
        <f t="shared" si="17"/>
        <v>5000</v>
      </c>
      <c r="S148" s="7"/>
      <c r="T148" s="41"/>
      <c r="U148" s="11"/>
      <c r="V148" s="59">
        <v>5000</v>
      </c>
      <c r="W148" s="7">
        <f t="shared" si="15"/>
        <v>5000</v>
      </c>
      <c r="X148" s="13"/>
      <c r="Y148" s="59">
        <v>5000</v>
      </c>
      <c r="Z148" s="84"/>
      <c r="AA148" s="85">
        <f t="shared" si="18"/>
        <v>5000</v>
      </c>
    </row>
    <row r="149" spans="1:27" s="4" customFormat="1" ht="116.25" customHeight="1" outlineLevel="1">
      <c r="A149" s="95" t="s">
        <v>311</v>
      </c>
      <c r="B149" s="97"/>
      <c r="C149" s="97" t="s">
        <v>5</v>
      </c>
      <c r="D149" s="97" t="s">
        <v>16</v>
      </c>
      <c r="E149" s="97" t="s">
        <v>9</v>
      </c>
      <c r="F149" s="97">
        <v>2019</v>
      </c>
      <c r="G149" s="41"/>
      <c r="H149" s="41"/>
      <c r="I149" s="7"/>
      <c r="J149" s="41"/>
      <c r="K149" s="41"/>
      <c r="L149" s="41">
        <v>8000</v>
      </c>
      <c r="M149" s="7">
        <f t="shared" si="16"/>
        <v>8000</v>
      </c>
      <c r="N149" s="7"/>
      <c r="O149" s="41"/>
      <c r="P149" s="41"/>
      <c r="Q149" s="41">
        <v>8000</v>
      </c>
      <c r="R149" s="7">
        <f t="shared" si="17"/>
        <v>8000</v>
      </c>
      <c r="S149" s="7"/>
      <c r="T149" s="41"/>
      <c r="U149" s="11"/>
      <c r="V149" s="11"/>
      <c r="W149" s="7"/>
      <c r="X149" s="13"/>
      <c r="Y149" s="84"/>
      <c r="Z149" s="84"/>
      <c r="AA149" s="85"/>
    </row>
    <row r="150" spans="1:27" s="4" customFormat="1" ht="39" customHeight="1">
      <c r="A150" s="112" t="s">
        <v>155</v>
      </c>
      <c r="B150" s="118"/>
      <c r="C150" s="118"/>
      <c r="D150" s="118"/>
      <c r="E150" s="68"/>
      <c r="F150" s="68"/>
      <c r="G150" s="71">
        <f>G151</f>
        <v>98595.09</v>
      </c>
      <c r="H150" s="71">
        <f>H151+H152</f>
        <v>39173.699999999997</v>
      </c>
      <c r="I150" s="7">
        <f t="shared" si="25"/>
        <v>137768.78999999998</v>
      </c>
      <c r="J150" s="71">
        <f>J151</f>
        <v>3840</v>
      </c>
      <c r="K150" s="71">
        <f>K151+K152</f>
        <v>37215</v>
      </c>
      <c r="L150" s="71"/>
      <c r="M150" s="7">
        <f t="shared" si="16"/>
        <v>137768.78999999998</v>
      </c>
      <c r="N150" s="7">
        <f t="shared" si="23"/>
        <v>41055</v>
      </c>
      <c r="O150" s="71">
        <f>O151</f>
        <v>0</v>
      </c>
      <c r="P150" s="71">
        <f>P151</f>
        <v>0</v>
      </c>
      <c r="Q150" s="71"/>
      <c r="R150" s="7">
        <f t="shared" si="17"/>
        <v>41055</v>
      </c>
      <c r="S150" s="7">
        <f t="shared" si="24"/>
        <v>0</v>
      </c>
      <c r="T150" s="71">
        <f>T151</f>
        <v>0</v>
      </c>
      <c r="U150" s="71">
        <f>U151</f>
        <v>0</v>
      </c>
      <c r="V150" s="71"/>
      <c r="W150" s="7">
        <f t="shared" si="15"/>
        <v>0</v>
      </c>
      <c r="X150" s="13">
        <f t="shared" si="27"/>
        <v>0</v>
      </c>
      <c r="Y150" s="84"/>
      <c r="Z150" s="84"/>
      <c r="AA150" s="85">
        <f t="shared" si="18"/>
        <v>0</v>
      </c>
    </row>
    <row r="151" spans="1:27" s="4" customFormat="1" ht="152.25" customHeight="1" outlineLevel="1">
      <c r="A151" s="94" t="s">
        <v>182</v>
      </c>
      <c r="B151" s="97" t="s">
        <v>39</v>
      </c>
      <c r="C151" s="97" t="s">
        <v>18</v>
      </c>
      <c r="D151" s="97" t="s">
        <v>10</v>
      </c>
      <c r="E151" s="97" t="s">
        <v>51</v>
      </c>
      <c r="F151" s="97" t="s">
        <v>54</v>
      </c>
      <c r="G151" s="41">
        <v>98595.09</v>
      </c>
      <c r="H151" s="41"/>
      <c r="I151" s="7">
        <f t="shared" si="25"/>
        <v>98595.09</v>
      </c>
      <c r="J151" s="7">
        <v>3840</v>
      </c>
      <c r="K151" s="7"/>
      <c r="L151" s="7"/>
      <c r="M151" s="7">
        <f t="shared" si="16"/>
        <v>98595.09</v>
      </c>
      <c r="N151" s="7">
        <f t="shared" si="23"/>
        <v>3840</v>
      </c>
      <c r="O151" s="7">
        <v>0</v>
      </c>
      <c r="P151" s="7"/>
      <c r="Q151" s="7"/>
      <c r="R151" s="7">
        <f t="shared" si="17"/>
        <v>3840</v>
      </c>
      <c r="S151" s="7">
        <f t="shared" si="24"/>
        <v>0</v>
      </c>
      <c r="T151" s="41">
        <v>0</v>
      </c>
      <c r="U151" s="11"/>
      <c r="V151" s="11"/>
      <c r="W151" s="7">
        <f t="shared" si="15"/>
        <v>0</v>
      </c>
      <c r="X151" s="13">
        <f t="shared" si="27"/>
        <v>0</v>
      </c>
      <c r="Y151" s="84"/>
      <c r="Z151" s="84"/>
      <c r="AA151" s="85">
        <f t="shared" si="18"/>
        <v>0</v>
      </c>
    </row>
    <row r="152" spans="1:27" s="4" customFormat="1" ht="144.75" customHeight="1" outlineLevel="1">
      <c r="A152" s="94" t="s">
        <v>285</v>
      </c>
      <c r="B152" s="33" t="s">
        <v>282</v>
      </c>
      <c r="C152" s="33" t="s">
        <v>43</v>
      </c>
      <c r="D152" s="97" t="s">
        <v>10</v>
      </c>
      <c r="E152" s="98" t="s">
        <v>212</v>
      </c>
      <c r="F152" s="11" t="s">
        <v>224</v>
      </c>
      <c r="G152" s="41"/>
      <c r="H152" s="41">
        <v>39173.699999999997</v>
      </c>
      <c r="I152" s="7">
        <f t="shared" si="25"/>
        <v>39173.699999999997</v>
      </c>
      <c r="J152" s="7"/>
      <c r="K152" s="7">
        <v>37215</v>
      </c>
      <c r="L152" s="7"/>
      <c r="M152" s="7">
        <f t="shared" si="16"/>
        <v>39173.699999999997</v>
      </c>
      <c r="N152" s="7">
        <f t="shared" si="23"/>
        <v>37215</v>
      </c>
      <c r="O152" s="7"/>
      <c r="P152" s="7"/>
      <c r="Q152" s="7"/>
      <c r="R152" s="7">
        <f t="shared" si="17"/>
        <v>37215</v>
      </c>
      <c r="S152" s="7">
        <v>0</v>
      </c>
      <c r="T152" s="41"/>
      <c r="U152" s="11"/>
      <c r="V152" s="11"/>
      <c r="W152" s="7">
        <f t="shared" si="15"/>
        <v>0</v>
      </c>
      <c r="X152" s="13">
        <v>0</v>
      </c>
      <c r="Y152" s="84"/>
      <c r="Z152" s="84"/>
      <c r="AA152" s="85">
        <f t="shared" si="18"/>
        <v>0</v>
      </c>
    </row>
    <row r="153" spans="1:27" s="4" customFormat="1" ht="144.75" hidden="1" customHeight="1" outlineLevel="1">
      <c r="A153" s="72"/>
      <c r="B153" s="73"/>
      <c r="C153" s="74"/>
      <c r="D153" s="74"/>
      <c r="E153" s="74"/>
      <c r="F153" s="75"/>
      <c r="G153" s="76"/>
      <c r="H153" s="76"/>
      <c r="I153" s="18"/>
      <c r="J153" s="35"/>
      <c r="K153" s="35"/>
      <c r="L153" s="35"/>
      <c r="M153" s="7">
        <f t="shared" si="16"/>
        <v>0</v>
      </c>
      <c r="N153" s="35"/>
      <c r="O153" s="35"/>
      <c r="P153" s="35"/>
      <c r="Q153" s="35"/>
      <c r="R153" s="7">
        <f t="shared" si="17"/>
        <v>0</v>
      </c>
      <c r="S153" s="18"/>
      <c r="T153" s="76"/>
      <c r="U153" s="19"/>
      <c r="V153" s="19"/>
      <c r="W153" s="7">
        <f t="shared" si="15"/>
        <v>0</v>
      </c>
      <c r="X153" s="18"/>
      <c r="Y153" s="84"/>
      <c r="Z153" s="84"/>
      <c r="AA153" s="85">
        <f t="shared" si="18"/>
        <v>0</v>
      </c>
    </row>
    <row r="154" spans="1:27" s="4" customFormat="1" ht="25.5" customHeight="1">
      <c r="A154" s="120" t="s">
        <v>291</v>
      </c>
      <c r="B154" s="120"/>
      <c r="C154" s="120"/>
      <c r="D154" s="120"/>
      <c r="E154" s="97"/>
      <c r="F154" s="97"/>
      <c r="G154" s="41">
        <f>G155</f>
        <v>21932016.199999999</v>
      </c>
      <c r="H154" s="41">
        <f>H155</f>
        <v>0</v>
      </c>
      <c r="I154" s="7">
        <f t="shared" si="25"/>
        <v>21932016.199999999</v>
      </c>
      <c r="J154" s="41">
        <f t="shared" ref="J154:T154" si="28">J155</f>
        <v>52900</v>
      </c>
      <c r="K154" s="41">
        <f>K155</f>
        <v>0</v>
      </c>
      <c r="L154" s="41">
        <f>L155+L156+L157</f>
        <v>1674157.2000000002</v>
      </c>
      <c r="M154" s="7">
        <f t="shared" si="16"/>
        <v>23606173.399999999</v>
      </c>
      <c r="N154" s="7">
        <f t="shared" si="23"/>
        <v>52900</v>
      </c>
      <c r="O154" s="41">
        <f t="shared" si="28"/>
        <v>52900</v>
      </c>
      <c r="P154" s="41">
        <f>P155</f>
        <v>0</v>
      </c>
      <c r="Q154" s="41">
        <f>Q155+Q156+Q157</f>
        <v>4229.2000000000007</v>
      </c>
      <c r="R154" s="7">
        <f t="shared" si="17"/>
        <v>57129.2</v>
      </c>
      <c r="S154" s="7">
        <f t="shared" si="24"/>
        <v>52900</v>
      </c>
      <c r="T154" s="41">
        <f t="shared" si="28"/>
        <v>52900</v>
      </c>
      <c r="U154" s="41">
        <f>U155</f>
        <v>0</v>
      </c>
      <c r="V154" s="41">
        <f>V155+V156+V157</f>
        <v>0</v>
      </c>
      <c r="W154" s="7">
        <f t="shared" ref="W154:W165" si="29">S154+V154</f>
        <v>52900</v>
      </c>
      <c r="X154" s="13">
        <f t="shared" si="27"/>
        <v>52900</v>
      </c>
      <c r="Y154" s="41">
        <f>Y155+Y156+Y157</f>
        <v>0</v>
      </c>
      <c r="Z154" s="84"/>
      <c r="AA154" s="85">
        <f t="shared" si="18"/>
        <v>52900</v>
      </c>
    </row>
    <row r="155" spans="1:27" s="4" customFormat="1" ht="147.75" customHeight="1" outlineLevel="1">
      <c r="A155" s="23" t="s">
        <v>103</v>
      </c>
      <c r="B155" s="22" t="s">
        <v>183</v>
      </c>
      <c r="C155" s="22" t="s">
        <v>43</v>
      </c>
      <c r="D155" s="22" t="s">
        <v>10</v>
      </c>
      <c r="E155" s="22" t="s">
        <v>69</v>
      </c>
      <c r="F155" s="22" t="s">
        <v>292</v>
      </c>
      <c r="G155" s="41">
        <v>21932016.199999999</v>
      </c>
      <c r="H155" s="41"/>
      <c r="I155" s="7">
        <f t="shared" si="25"/>
        <v>21932016.199999999</v>
      </c>
      <c r="J155" s="7">
        <v>52900</v>
      </c>
      <c r="K155" s="7"/>
      <c r="L155" s="7"/>
      <c r="M155" s="7">
        <f t="shared" ref="M155:M165" si="30">I155+L155</f>
        <v>21932016.199999999</v>
      </c>
      <c r="N155" s="7">
        <f t="shared" si="23"/>
        <v>52900</v>
      </c>
      <c r="O155" s="7">
        <v>52900</v>
      </c>
      <c r="P155" s="7"/>
      <c r="Q155" s="7">
        <v>-49561.2</v>
      </c>
      <c r="R155" s="7">
        <f t="shared" ref="R155:R165" si="31">N155+Q155</f>
        <v>3338.8000000000029</v>
      </c>
      <c r="S155" s="7">
        <f t="shared" si="24"/>
        <v>52900</v>
      </c>
      <c r="T155" s="41">
        <v>52900</v>
      </c>
      <c r="U155" s="11"/>
      <c r="V155" s="11"/>
      <c r="W155" s="7">
        <f t="shared" si="29"/>
        <v>52900</v>
      </c>
      <c r="X155" s="13">
        <f t="shared" si="27"/>
        <v>52900</v>
      </c>
      <c r="Y155" s="84"/>
      <c r="Z155" s="84"/>
      <c r="AA155" s="85">
        <f t="shared" ref="AA155:AA165" si="32">X155+Y155</f>
        <v>52900</v>
      </c>
    </row>
    <row r="156" spans="1:27" s="4" customFormat="1" ht="131.25" customHeight="1" outlineLevel="1">
      <c r="A156" s="23" t="s">
        <v>331</v>
      </c>
      <c r="B156" s="22" t="s">
        <v>316</v>
      </c>
      <c r="C156" s="97" t="s">
        <v>12</v>
      </c>
      <c r="D156" s="97" t="s">
        <v>7</v>
      </c>
      <c r="E156" s="97" t="s">
        <v>9</v>
      </c>
      <c r="F156" s="22" t="s">
        <v>77</v>
      </c>
      <c r="G156" s="77"/>
      <c r="H156" s="17"/>
      <c r="I156" s="17"/>
      <c r="J156" s="17"/>
      <c r="K156" s="17"/>
      <c r="L156" s="41">
        <v>863199.4</v>
      </c>
      <c r="M156" s="7">
        <f t="shared" ref="M156:M157" si="33">I156+L156</f>
        <v>863199.4</v>
      </c>
      <c r="N156" s="17"/>
      <c r="O156" s="7"/>
      <c r="P156" s="7"/>
      <c r="Q156" s="7">
        <v>37571.199999999997</v>
      </c>
      <c r="R156" s="7">
        <f t="shared" ref="R156:R157" si="34">N156+Q156</f>
        <v>37571.199999999997</v>
      </c>
      <c r="S156" s="7"/>
      <c r="T156" s="41"/>
      <c r="U156" s="11"/>
      <c r="V156" s="11"/>
      <c r="W156" s="7"/>
      <c r="X156" s="13"/>
      <c r="Y156" s="84"/>
      <c r="Z156" s="84"/>
      <c r="AA156" s="85"/>
    </row>
    <row r="157" spans="1:27" s="4" customFormat="1" ht="147.75" customHeight="1" outlineLevel="1">
      <c r="A157" s="23" t="s">
        <v>332</v>
      </c>
      <c r="B157" s="22" t="s">
        <v>317</v>
      </c>
      <c r="C157" s="97" t="s">
        <v>30</v>
      </c>
      <c r="D157" s="97" t="s">
        <v>7</v>
      </c>
      <c r="E157" s="22" t="s">
        <v>69</v>
      </c>
      <c r="F157" s="22" t="s">
        <v>77</v>
      </c>
      <c r="G157" s="77"/>
      <c r="H157" s="17"/>
      <c r="I157" s="17"/>
      <c r="J157" s="17"/>
      <c r="K157" s="17"/>
      <c r="L157" s="41">
        <v>810957.8</v>
      </c>
      <c r="M157" s="7">
        <f t="shared" si="33"/>
        <v>810957.8</v>
      </c>
      <c r="N157" s="17"/>
      <c r="O157" s="7"/>
      <c r="P157" s="7"/>
      <c r="Q157" s="7">
        <v>16219.2</v>
      </c>
      <c r="R157" s="7">
        <f t="shared" si="34"/>
        <v>16219.2</v>
      </c>
      <c r="S157" s="7"/>
      <c r="T157" s="41"/>
      <c r="U157" s="11"/>
      <c r="V157" s="11"/>
      <c r="W157" s="7"/>
      <c r="X157" s="13"/>
      <c r="Y157" s="84"/>
      <c r="Z157" s="84"/>
      <c r="AA157" s="85"/>
    </row>
    <row r="158" spans="1:27" s="4" customFormat="1" ht="34.5" customHeight="1" outlineLevel="1">
      <c r="A158" s="120" t="s">
        <v>247</v>
      </c>
      <c r="B158" s="120"/>
      <c r="C158" s="120"/>
      <c r="D158" s="120"/>
      <c r="E158" s="22"/>
      <c r="F158" s="22"/>
      <c r="G158" s="77"/>
      <c r="H158" s="77">
        <f>H159</f>
        <v>168497.1</v>
      </c>
      <c r="I158" s="17">
        <f t="shared" si="25"/>
        <v>168497.1</v>
      </c>
      <c r="J158" s="17"/>
      <c r="K158" s="17">
        <f>K159</f>
        <v>4951.5</v>
      </c>
      <c r="L158" s="17">
        <f>L159+L160+L161</f>
        <v>3318723</v>
      </c>
      <c r="M158" s="7">
        <f t="shared" si="30"/>
        <v>3487220.1</v>
      </c>
      <c r="N158" s="17">
        <f t="shared" si="23"/>
        <v>4951.5</v>
      </c>
      <c r="O158" s="7"/>
      <c r="P158" s="7"/>
      <c r="Q158" s="17">
        <f>Q159+Q160+Q161</f>
        <v>8153.3</v>
      </c>
      <c r="R158" s="7">
        <f t="shared" si="31"/>
        <v>13104.8</v>
      </c>
      <c r="S158" s="7"/>
      <c r="T158" s="41"/>
      <c r="U158" s="11"/>
      <c r="V158" s="17">
        <f>V159+V160+V161</f>
        <v>0</v>
      </c>
      <c r="W158" s="7">
        <f t="shared" si="29"/>
        <v>0</v>
      </c>
      <c r="X158" s="13"/>
      <c r="Y158" s="17">
        <f>Y159+Y160+Y161</f>
        <v>0</v>
      </c>
      <c r="Z158" s="84"/>
      <c r="AA158" s="85">
        <f t="shared" si="32"/>
        <v>0</v>
      </c>
    </row>
    <row r="159" spans="1:27" s="4" customFormat="1" ht="147.75" customHeight="1" outlineLevel="1">
      <c r="A159" s="23" t="s">
        <v>283</v>
      </c>
      <c r="B159" s="22" t="s">
        <v>258</v>
      </c>
      <c r="C159" s="22" t="s">
        <v>246</v>
      </c>
      <c r="D159" s="22" t="s">
        <v>10</v>
      </c>
      <c r="E159" s="22" t="s">
        <v>69</v>
      </c>
      <c r="F159" s="22" t="s">
        <v>22</v>
      </c>
      <c r="G159" s="77"/>
      <c r="H159" s="17">
        <v>168497.1</v>
      </c>
      <c r="I159" s="17">
        <f t="shared" si="25"/>
        <v>168497.1</v>
      </c>
      <c r="J159" s="17"/>
      <c r="K159" s="17">
        <v>4951.5</v>
      </c>
      <c r="L159" s="17"/>
      <c r="M159" s="7">
        <f t="shared" si="30"/>
        <v>168497.1</v>
      </c>
      <c r="N159" s="17">
        <f t="shared" si="23"/>
        <v>4951.5</v>
      </c>
      <c r="O159" s="7"/>
      <c r="P159" s="7"/>
      <c r="Q159" s="7"/>
      <c r="R159" s="7">
        <f t="shared" si="31"/>
        <v>4951.5</v>
      </c>
      <c r="S159" s="7">
        <v>0</v>
      </c>
      <c r="T159" s="41"/>
      <c r="U159" s="11"/>
      <c r="V159" s="11"/>
      <c r="W159" s="7">
        <f t="shared" si="29"/>
        <v>0</v>
      </c>
      <c r="X159" s="13">
        <v>0</v>
      </c>
      <c r="Y159" s="84"/>
      <c r="Z159" s="84"/>
      <c r="AA159" s="85">
        <f t="shared" si="32"/>
        <v>0</v>
      </c>
    </row>
    <row r="160" spans="1:27" s="4" customFormat="1" ht="129" customHeight="1" outlineLevel="1">
      <c r="A160" s="23" t="s">
        <v>298</v>
      </c>
      <c r="B160" s="97" t="s">
        <v>299</v>
      </c>
      <c r="C160" s="97" t="s">
        <v>300</v>
      </c>
      <c r="D160" s="97" t="s">
        <v>7</v>
      </c>
      <c r="E160" s="97" t="s">
        <v>9</v>
      </c>
      <c r="F160" s="97" t="s">
        <v>297</v>
      </c>
      <c r="G160" s="77"/>
      <c r="H160" s="17"/>
      <c r="I160" s="17"/>
      <c r="J160" s="17"/>
      <c r="K160" s="17"/>
      <c r="L160" s="17">
        <v>3126572.6</v>
      </c>
      <c r="M160" s="7">
        <f t="shared" si="30"/>
        <v>3126572.6</v>
      </c>
      <c r="N160" s="17"/>
      <c r="O160" s="7"/>
      <c r="P160" s="7"/>
      <c r="Q160" s="7">
        <f>419.8</f>
        <v>419.8</v>
      </c>
      <c r="R160" s="7">
        <f t="shared" si="31"/>
        <v>419.8</v>
      </c>
      <c r="S160" s="7"/>
      <c r="T160" s="41"/>
      <c r="U160" s="11"/>
      <c r="V160" s="11"/>
      <c r="W160" s="7"/>
      <c r="X160" s="13"/>
      <c r="Y160" s="84"/>
      <c r="Z160" s="84"/>
      <c r="AA160" s="85"/>
    </row>
    <row r="161" spans="1:27" s="4" customFormat="1" ht="147.75" customHeight="1" outlineLevel="1">
      <c r="A161" s="23" t="s">
        <v>301</v>
      </c>
      <c r="B161" s="22" t="s">
        <v>302</v>
      </c>
      <c r="C161" s="22" t="s">
        <v>303</v>
      </c>
      <c r="D161" s="22" t="s">
        <v>7</v>
      </c>
      <c r="E161" s="22" t="s">
        <v>9</v>
      </c>
      <c r="F161" s="22" t="s">
        <v>304</v>
      </c>
      <c r="G161" s="77"/>
      <c r="H161" s="17"/>
      <c r="I161" s="17"/>
      <c r="J161" s="17"/>
      <c r="K161" s="17"/>
      <c r="L161" s="17">
        <v>192150.39999999999</v>
      </c>
      <c r="M161" s="7">
        <f t="shared" si="30"/>
        <v>192150.39999999999</v>
      </c>
      <c r="N161" s="17"/>
      <c r="O161" s="7"/>
      <c r="P161" s="7"/>
      <c r="Q161" s="7">
        <v>7733.5</v>
      </c>
      <c r="R161" s="7">
        <f t="shared" si="31"/>
        <v>7733.5</v>
      </c>
      <c r="S161" s="7"/>
      <c r="T161" s="41"/>
      <c r="U161" s="11"/>
      <c r="V161" s="11"/>
      <c r="W161" s="7"/>
      <c r="X161" s="13"/>
      <c r="Y161" s="84"/>
      <c r="Z161" s="84"/>
      <c r="AA161" s="85"/>
    </row>
    <row r="162" spans="1:27" s="4" customFormat="1" ht="54" customHeight="1">
      <c r="A162" s="119" t="s">
        <v>248</v>
      </c>
      <c r="B162" s="110"/>
      <c r="C162" s="110"/>
      <c r="D162" s="111"/>
      <c r="E162" s="22"/>
      <c r="F162" s="22"/>
      <c r="G162" s="41">
        <f>G163</f>
        <v>374779</v>
      </c>
      <c r="H162" s="41">
        <f>H163</f>
        <v>0</v>
      </c>
      <c r="I162" s="7">
        <f t="shared" si="25"/>
        <v>374779</v>
      </c>
      <c r="J162" s="41">
        <f t="shared" ref="J162:U162" si="35">J163</f>
        <v>150000</v>
      </c>
      <c r="K162" s="41">
        <f t="shared" si="35"/>
        <v>-120000</v>
      </c>
      <c r="L162" s="41">
        <f>L163</f>
        <v>0</v>
      </c>
      <c r="M162" s="7">
        <f t="shared" si="30"/>
        <v>374779</v>
      </c>
      <c r="N162" s="7">
        <f t="shared" si="23"/>
        <v>30000</v>
      </c>
      <c r="O162" s="41">
        <f t="shared" si="35"/>
        <v>170782.3</v>
      </c>
      <c r="P162" s="41">
        <f t="shared" si="35"/>
        <v>-34252.100000000006</v>
      </c>
      <c r="Q162" s="41">
        <f>Q163</f>
        <v>48279.4</v>
      </c>
      <c r="R162" s="7">
        <f t="shared" si="31"/>
        <v>78279.399999999994</v>
      </c>
      <c r="S162" s="7">
        <f t="shared" si="24"/>
        <v>136530.19999999998</v>
      </c>
      <c r="T162" s="41">
        <f t="shared" si="35"/>
        <v>50000</v>
      </c>
      <c r="U162" s="41">
        <f t="shared" si="35"/>
        <v>154252.1</v>
      </c>
      <c r="V162" s="41">
        <f>V163</f>
        <v>11419.4</v>
      </c>
      <c r="W162" s="7">
        <f t="shared" si="29"/>
        <v>147949.59999999998</v>
      </c>
      <c r="X162" s="13">
        <f t="shared" si="27"/>
        <v>204252.1</v>
      </c>
      <c r="Y162" s="41">
        <f>Y163</f>
        <v>0</v>
      </c>
      <c r="Z162" s="84"/>
      <c r="AA162" s="85">
        <f t="shared" si="32"/>
        <v>204252.1</v>
      </c>
    </row>
    <row r="163" spans="1:27" s="4" customFormat="1" ht="129.75" customHeight="1">
      <c r="A163" s="23" t="s">
        <v>117</v>
      </c>
      <c r="B163" s="22" t="s">
        <v>118</v>
      </c>
      <c r="C163" s="97" t="s">
        <v>12</v>
      </c>
      <c r="D163" s="97" t="s">
        <v>7</v>
      </c>
      <c r="E163" s="97" t="s">
        <v>9</v>
      </c>
      <c r="F163" s="15" t="s">
        <v>73</v>
      </c>
      <c r="G163" s="41">
        <v>374779</v>
      </c>
      <c r="H163" s="41"/>
      <c r="I163" s="7">
        <f t="shared" si="25"/>
        <v>374779</v>
      </c>
      <c r="J163" s="7">
        <v>150000</v>
      </c>
      <c r="K163" s="7">
        <v>-120000</v>
      </c>
      <c r="L163" s="7"/>
      <c r="M163" s="7">
        <f t="shared" si="30"/>
        <v>374779</v>
      </c>
      <c r="N163" s="7">
        <f t="shared" si="23"/>
        <v>30000</v>
      </c>
      <c r="O163" s="7">
        <v>170782.3</v>
      </c>
      <c r="P163" s="7">
        <f>-62645.9+28393.8</f>
        <v>-34252.100000000006</v>
      </c>
      <c r="Q163" s="7">
        <v>48279.4</v>
      </c>
      <c r="R163" s="7">
        <f t="shared" si="31"/>
        <v>78279.399999999994</v>
      </c>
      <c r="S163" s="7">
        <f t="shared" si="24"/>
        <v>136530.19999999998</v>
      </c>
      <c r="T163" s="41">
        <v>50000</v>
      </c>
      <c r="U163" s="70">
        <f>62645.9+91606.2</f>
        <v>154252.1</v>
      </c>
      <c r="V163" s="86">
        <v>11419.4</v>
      </c>
      <c r="W163" s="7">
        <f t="shared" si="29"/>
        <v>147949.59999999998</v>
      </c>
      <c r="X163" s="13">
        <f t="shared" si="27"/>
        <v>204252.1</v>
      </c>
      <c r="Y163" s="84"/>
      <c r="Z163" s="84"/>
      <c r="AA163" s="85">
        <f t="shared" si="32"/>
        <v>204252.1</v>
      </c>
    </row>
    <row r="164" spans="1:27" s="4" customFormat="1" ht="30.75" customHeight="1">
      <c r="A164" s="120" t="s">
        <v>251</v>
      </c>
      <c r="B164" s="120"/>
      <c r="C164" s="120"/>
      <c r="D164" s="120"/>
      <c r="E164" s="97"/>
      <c r="F164" s="15"/>
      <c r="G164" s="41"/>
      <c r="H164" s="41">
        <f>H165</f>
        <v>25000</v>
      </c>
      <c r="I164" s="7">
        <f>G164+H164</f>
        <v>25000</v>
      </c>
      <c r="J164" s="7"/>
      <c r="K164" s="41">
        <f>K165</f>
        <v>25000</v>
      </c>
      <c r="L164" s="41"/>
      <c r="M164" s="7">
        <f t="shared" si="30"/>
        <v>25000</v>
      </c>
      <c r="N164" s="7">
        <f t="shared" si="23"/>
        <v>25000</v>
      </c>
      <c r="O164" s="7"/>
      <c r="P164" s="7"/>
      <c r="Q164" s="7"/>
      <c r="R164" s="7">
        <f t="shared" si="31"/>
        <v>25000</v>
      </c>
      <c r="S164" s="7">
        <v>0</v>
      </c>
      <c r="T164" s="41"/>
      <c r="U164" s="70"/>
      <c r="V164" s="70"/>
      <c r="W164" s="7">
        <f t="shared" si="29"/>
        <v>0</v>
      </c>
      <c r="X164" s="13">
        <v>0</v>
      </c>
      <c r="Y164" s="84"/>
      <c r="Z164" s="84"/>
      <c r="AA164" s="85">
        <f t="shared" si="32"/>
        <v>0</v>
      </c>
    </row>
    <row r="165" spans="1:27" s="4" customFormat="1" ht="129.75" customHeight="1">
      <c r="A165" s="23" t="s">
        <v>252</v>
      </c>
      <c r="B165" s="22" t="s">
        <v>253</v>
      </c>
      <c r="C165" s="33" t="s">
        <v>254</v>
      </c>
      <c r="D165" s="22" t="s">
        <v>255</v>
      </c>
      <c r="E165" s="22" t="s">
        <v>256</v>
      </c>
      <c r="F165" s="22" t="s">
        <v>224</v>
      </c>
      <c r="G165" s="41"/>
      <c r="H165" s="41">
        <v>25000</v>
      </c>
      <c r="I165" s="7">
        <f>G165+H165</f>
        <v>25000</v>
      </c>
      <c r="J165" s="7"/>
      <c r="K165" s="7">
        <v>25000</v>
      </c>
      <c r="L165" s="7"/>
      <c r="M165" s="7">
        <f t="shared" si="30"/>
        <v>25000</v>
      </c>
      <c r="N165" s="7">
        <f t="shared" si="23"/>
        <v>25000</v>
      </c>
      <c r="O165" s="7"/>
      <c r="P165" s="7"/>
      <c r="Q165" s="7"/>
      <c r="R165" s="7">
        <f t="shared" si="31"/>
        <v>25000</v>
      </c>
      <c r="S165" s="7">
        <v>0</v>
      </c>
      <c r="T165" s="41"/>
      <c r="U165" s="70"/>
      <c r="V165" s="70"/>
      <c r="W165" s="7">
        <f t="shared" si="29"/>
        <v>0</v>
      </c>
      <c r="X165" s="13">
        <v>0</v>
      </c>
      <c r="Y165" s="84"/>
      <c r="Z165" s="84"/>
      <c r="AA165" s="85">
        <f t="shared" si="32"/>
        <v>0</v>
      </c>
    </row>
    <row r="166" spans="1:27" s="4" customFormat="1" ht="60" customHeight="1">
      <c r="A166" s="120" t="s">
        <v>324</v>
      </c>
      <c r="B166" s="120"/>
      <c r="C166" s="120"/>
      <c r="D166" s="120"/>
      <c r="E166" s="22"/>
      <c r="F166" s="22"/>
      <c r="G166" s="41"/>
      <c r="H166" s="41"/>
      <c r="I166" s="7"/>
      <c r="J166" s="7"/>
      <c r="K166" s="7"/>
      <c r="L166" s="7"/>
      <c r="M166" s="17">
        <f>M167+M168+M169+M170</f>
        <v>1323771.94</v>
      </c>
      <c r="N166" s="17">
        <f t="shared" ref="N166:Q166" si="36">N167+N168+N169</f>
        <v>3742.74</v>
      </c>
      <c r="O166" s="17">
        <f t="shared" si="36"/>
        <v>3742.74</v>
      </c>
      <c r="P166" s="17">
        <f t="shared" si="36"/>
        <v>3742.74</v>
      </c>
      <c r="Q166" s="17">
        <f t="shared" si="36"/>
        <v>3742.74</v>
      </c>
      <c r="R166" s="17">
        <f>R167+R168+R169+R170</f>
        <v>117742.74</v>
      </c>
      <c r="S166" s="17">
        <f t="shared" ref="S166:AA166" si="37">S167+S168+S169+S170</f>
        <v>200000</v>
      </c>
      <c r="T166" s="17">
        <f t="shared" si="37"/>
        <v>200000</v>
      </c>
      <c r="U166" s="17">
        <f t="shared" si="37"/>
        <v>200000</v>
      </c>
      <c r="V166" s="17">
        <f t="shared" si="37"/>
        <v>200000</v>
      </c>
      <c r="W166" s="17">
        <f t="shared" si="37"/>
        <v>515500</v>
      </c>
      <c r="X166" s="17">
        <f t="shared" si="37"/>
        <v>0</v>
      </c>
      <c r="Y166" s="17">
        <f t="shared" si="37"/>
        <v>0</v>
      </c>
      <c r="Z166" s="17">
        <f t="shared" si="37"/>
        <v>0</v>
      </c>
      <c r="AA166" s="17">
        <f t="shared" si="37"/>
        <v>690529.2</v>
      </c>
    </row>
    <row r="167" spans="1:27" s="4" customFormat="1" ht="128.25" customHeight="1">
      <c r="A167" s="23" t="s">
        <v>325</v>
      </c>
      <c r="B167" s="22" t="s">
        <v>305</v>
      </c>
      <c r="C167" s="97" t="s">
        <v>12</v>
      </c>
      <c r="D167" s="97" t="s">
        <v>7</v>
      </c>
      <c r="E167" s="97" t="s">
        <v>9</v>
      </c>
      <c r="F167" s="22" t="s">
        <v>245</v>
      </c>
      <c r="G167" s="41"/>
      <c r="H167" s="41"/>
      <c r="I167" s="7"/>
      <c r="J167" s="7"/>
      <c r="K167" s="7"/>
      <c r="L167" s="7"/>
      <c r="M167" s="17">
        <f>R167+W167+AA167</f>
        <v>494113.44</v>
      </c>
      <c r="N167" s="17">
        <v>3742.74</v>
      </c>
      <c r="O167" s="17">
        <v>3742.74</v>
      </c>
      <c r="P167" s="17">
        <v>3742.74</v>
      </c>
      <c r="Q167" s="17">
        <v>3742.74</v>
      </c>
      <c r="R167" s="17">
        <v>3742.74</v>
      </c>
      <c r="S167" s="7">
        <v>200000</v>
      </c>
      <c r="T167" s="7">
        <v>200000</v>
      </c>
      <c r="U167" s="7">
        <v>200000</v>
      </c>
      <c r="V167" s="7">
        <v>200000</v>
      </c>
      <c r="W167" s="7">
        <v>200000</v>
      </c>
      <c r="X167" s="13"/>
      <c r="Y167" s="84"/>
      <c r="Z167" s="84"/>
      <c r="AA167" s="85">
        <v>290370.7</v>
      </c>
    </row>
    <row r="168" spans="1:27" s="4" customFormat="1" ht="134.25" customHeight="1">
      <c r="A168" s="23" t="s">
        <v>326</v>
      </c>
      <c r="B168" s="22"/>
      <c r="C168" s="97" t="s">
        <v>12</v>
      </c>
      <c r="D168" s="97" t="s">
        <v>7</v>
      </c>
      <c r="E168" s="97" t="s">
        <v>9</v>
      </c>
      <c r="F168" s="22" t="s">
        <v>245</v>
      </c>
      <c r="G168" s="41"/>
      <c r="H168" s="41"/>
      <c r="I168" s="7"/>
      <c r="J168" s="7"/>
      <c r="K168" s="7"/>
      <c r="L168" s="7"/>
      <c r="M168" s="17">
        <f>R168+W168+AA168</f>
        <v>233363.5</v>
      </c>
      <c r="N168" s="7"/>
      <c r="O168" s="7"/>
      <c r="P168" s="7"/>
      <c r="Q168" s="7"/>
      <c r="R168" s="7">
        <v>5000</v>
      </c>
      <c r="S168" s="7"/>
      <c r="T168" s="41"/>
      <c r="U168" s="70"/>
      <c r="V168" s="70"/>
      <c r="W168" s="7">
        <v>100000</v>
      </c>
      <c r="X168" s="13"/>
      <c r="Y168" s="84"/>
      <c r="Z168" s="84"/>
      <c r="AA168" s="85">
        <v>128363.5</v>
      </c>
    </row>
    <row r="169" spans="1:27" s="4" customFormat="1" ht="129.75" customHeight="1">
      <c r="A169" s="23" t="s">
        <v>327</v>
      </c>
      <c r="B169" s="22" t="s">
        <v>328</v>
      </c>
      <c r="C169" s="97" t="s">
        <v>12</v>
      </c>
      <c r="D169" s="97" t="s">
        <v>7</v>
      </c>
      <c r="E169" s="97" t="s">
        <v>9</v>
      </c>
      <c r="F169" s="22" t="s">
        <v>223</v>
      </c>
      <c r="G169" s="41"/>
      <c r="H169" s="41"/>
      <c r="I169" s="7"/>
      <c r="J169" s="7"/>
      <c r="K169" s="7"/>
      <c r="L169" s="7"/>
      <c r="M169" s="7">
        <v>181000</v>
      </c>
      <c r="N169" s="7"/>
      <c r="O169" s="7"/>
      <c r="P169" s="7"/>
      <c r="Q169" s="7"/>
      <c r="R169" s="7">
        <v>100000</v>
      </c>
      <c r="S169" s="7"/>
      <c r="T169" s="41"/>
      <c r="U169" s="70"/>
      <c r="V169" s="70"/>
      <c r="W169" s="7">
        <v>81000</v>
      </c>
      <c r="X169" s="13"/>
      <c r="Y169" s="84"/>
      <c r="Z169" s="84"/>
      <c r="AA169" s="85">
        <v>0</v>
      </c>
    </row>
    <row r="170" spans="1:27" s="4" customFormat="1" ht="128.25" customHeight="1">
      <c r="A170" s="23" t="s">
        <v>329</v>
      </c>
      <c r="B170" s="22" t="s">
        <v>330</v>
      </c>
      <c r="C170" s="97" t="s">
        <v>115</v>
      </c>
      <c r="D170" s="57" t="s">
        <v>6</v>
      </c>
      <c r="E170" s="97" t="s">
        <v>42</v>
      </c>
      <c r="F170" s="22" t="s">
        <v>245</v>
      </c>
      <c r="G170" s="41"/>
      <c r="H170" s="41"/>
      <c r="I170" s="7"/>
      <c r="J170" s="7"/>
      <c r="K170" s="7"/>
      <c r="L170" s="7"/>
      <c r="M170" s="7">
        <f>R170+W170+AA170</f>
        <v>415295</v>
      </c>
      <c r="N170" s="7"/>
      <c r="O170" s="7"/>
      <c r="P170" s="7"/>
      <c r="Q170" s="7"/>
      <c r="R170" s="7">
        <v>9000</v>
      </c>
      <c r="S170" s="7"/>
      <c r="T170" s="41"/>
      <c r="U170" s="70"/>
      <c r="V170" s="70"/>
      <c r="W170" s="7">
        <v>134500</v>
      </c>
      <c r="X170" s="13"/>
      <c r="Y170" s="84"/>
      <c r="Z170" s="84"/>
      <c r="AA170" s="85">
        <v>271795</v>
      </c>
    </row>
    <row r="171" spans="1:27" s="4" customFormat="1" ht="9" customHeight="1">
      <c r="A171" s="78"/>
      <c r="B171" s="79"/>
      <c r="C171" s="80"/>
      <c r="D171" s="80"/>
      <c r="E171" s="80"/>
      <c r="F171" s="81"/>
      <c r="G171" s="82"/>
      <c r="H171" s="82"/>
      <c r="I171" s="82"/>
      <c r="J171" s="83"/>
      <c r="K171" s="83"/>
      <c r="L171" s="83"/>
      <c r="M171" s="83"/>
      <c r="N171" s="83"/>
      <c r="O171" s="83"/>
      <c r="P171" s="83"/>
      <c r="Q171" s="83"/>
      <c r="R171" s="83"/>
      <c r="S171" s="83"/>
      <c r="T171" s="82"/>
      <c r="U171" s="3"/>
      <c r="V171" s="3"/>
      <c r="W171" s="3"/>
      <c r="X171" s="3"/>
      <c r="Y171" s="3"/>
      <c r="Z171" s="3"/>
    </row>
    <row r="172" spans="1:27" s="4" customFormat="1" ht="11.25" customHeight="1">
      <c r="A172" s="121" t="s">
        <v>184</v>
      </c>
      <c r="B172" s="122"/>
      <c r="C172" s="122"/>
      <c r="D172" s="122"/>
      <c r="E172" s="122"/>
      <c r="F172" s="122"/>
      <c r="G172" s="122"/>
      <c r="H172" s="122"/>
      <c r="I172" s="122"/>
      <c r="J172" s="122"/>
      <c r="K172" s="122"/>
      <c r="L172" s="122"/>
      <c r="M172" s="122"/>
      <c r="N172" s="122"/>
      <c r="O172" s="122"/>
      <c r="P172" s="122"/>
      <c r="Q172" s="122"/>
      <c r="R172" s="122"/>
      <c r="S172" s="122"/>
      <c r="T172" s="122"/>
      <c r="U172" s="3"/>
      <c r="V172" s="3"/>
      <c r="W172" s="3"/>
      <c r="X172" s="3"/>
      <c r="Y172" s="3"/>
      <c r="Z172" s="3"/>
    </row>
    <row r="173" spans="1:27" s="4" customFormat="1" ht="54" customHeight="1">
      <c r="A173" s="121" t="s">
        <v>321</v>
      </c>
      <c r="B173" s="121"/>
      <c r="C173" s="121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35"/>
      <c r="V173" s="135"/>
      <c r="W173" s="135"/>
      <c r="X173" s="135"/>
      <c r="Y173" s="135"/>
      <c r="Z173" s="135"/>
      <c r="AA173" s="135"/>
    </row>
    <row r="174" spans="1:27" s="4" customFormat="1" ht="17.25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3"/>
      <c r="V174" s="3"/>
      <c r="W174" s="3"/>
      <c r="X174" s="3"/>
      <c r="Y174" s="3"/>
      <c r="Z174" s="3"/>
    </row>
    <row r="175" spans="1:27" s="4" customFormat="1" ht="15.7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3"/>
      <c r="V175" s="3"/>
      <c r="W175" s="3"/>
      <c r="X175" s="3"/>
      <c r="Y175" s="3"/>
      <c r="Z175" s="3"/>
    </row>
    <row r="176" spans="1:27" s="4" customFormat="1" ht="15.7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3"/>
      <c r="V176" s="3"/>
      <c r="W176" s="3"/>
      <c r="X176" s="3"/>
      <c r="Y176" s="3"/>
      <c r="Z176" s="3"/>
    </row>
    <row r="177" spans="1:26" s="4" customFormat="1" ht="15.7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3"/>
      <c r="V177" s="3"/>
      <c r="W177" s="3"/>
      <c r="X177" s="3"/>
      <c r="Y177" s="3"/>
      <c r="Z177" s="3"/>
    </row>
    <row r="178" spans="1:26" s="4" customFormat="1" ht="36.75" customHeight="1">
      <c r="A178" s="117"/>
      <c r="B178" s="117"/>
      <c r="C178" s="117"/>
      <c r="D178" s="117"/>
      <c r="E178" s="117"/>
      <c r="F178" s="117"/>
      <c r="G178" s="117"/>
      <c r="H178" s="117"/>
      <c r="I178" s="117"/>
      <c r="J178" s="117"/>
      <c r="K178" s="117"/>
      <c r="L178" s="117"/>
      <c r="M178" s="117"/>
      <c r="N178" s="117"/>
      <c r="O178" s="117"/>
      <c r="P178" s="117"/>
      <c r="Q178" s="117"/>
      <c r="R178" s="117"/>
      <c r="S178" s="117"/>
      <c r="T178" s="117"/>
      <c r="U178" s="3"/>
      <c r="V178" s="3"/>
      <c r="W178" s="3"/>
      <c r="X178" s="3"/>
      <c r="Y178" s="3"/>
      <c r="Z178" s="3"/>
    </row>
    <row r="179" spans="1:26" s="4" customFormat="1" ht="30" customHeight="1">
      <c r="A179" s="117"/>
      <c r="B179" s="117"/>
      <c r="C179" s="117"/>
      <c r="D179" s="117"/>
      <c r="E179" s="117"/>
      <c r="F179" s="117"/>
      <c r="G179" s="117"/>
      <c r="H179" s="117"/>
      <c r="I179" s="117"/>
      <c r="J179" s="117"/>
      <c r="K179" s="117"/>
      <c r="L179" s="117"/>
      <c r="M179" s="117"/>
      <c r="N179" s="117"/>
      <c r="O179" s="117"/>
      <c r="P179" s="117"/>
      <c r="Q179" s="117"/>
      <c r="R179" s="117"/>
      <c r="S179" s="117"/>
      <c r="T179" s="117"/>
      <c r="U179" s="3"/>
      <c r="V179" s="3"/>
      <c r="W179" s="3"/>
      <c r="X179" s="3"/>
      <c r="Y179" s="3"/>
      <c r="Z179" s="3"/>
    </row>
    <row r="180" spans="1:26" s="4" customFormat="1" ht="15.7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3"/>
      <c r="V180" s="3"/>
      <c r="W180" s="3"/>
      <c r="X180" s="3"/>
      <c r="Y180" s="3"/>
      <c r="Z180" s="3"/>
    </row>
    <row r="181" spans="1:26" s="4" customFormat="1" ht="16.5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3"/>
      <c r="V181" s="3"/>
      <c r="W181" s="3"/>
      <c r="X181" s="3"/>
      <c r="Y181" s="3"/>
      <c r="Z181" s="3"/>
    </row>
    <row r="182" spans="1:26" s="4" customFormat="1" ht="15.7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3"/>
      <c r="V182" s="3"/>
      <c r="W182" s="3"/>
      <c r="X182" s="3"/>
      <c r="Y182" s="3"/>
      <c r="Z182" s="3"/>
    </row>
    <row r="183" spans="1:26" s="4" customFormat="1" ht="15.7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3"/>
      <c r="V183" s="3"/>
      <c r="W183" s="3"/>
      <c r="X183" s="3"/>
      <c r="Y183" s="3"/>
      <c r="Z183" s="3"/>
    </row>
    <row r="184" spans="1:26" s="4" customFormat="1" ht="15.7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3"/>
      <c r="V184" s="3"/>
      <c r="W184" s="3"/>
      <c r="X184" s="3"/>
      <c r="Y184" s="3"/>
      <c r="Z184" s="3"/>
    </row>
    <row r="185" spans="1:26" ht="15.7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10"/>
      <c r="P185" s="10"/>
      <c r="Q185" s="10"/>
      <c r="R185" s="10"/>
      <c r="S185" s="10"/>
      <c r="T185" s="9"/>
    </row>
    <row r="186" spans="1:26" ht="15.7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2"/>
      <c r="V186" s="2"/>
      <c r="W186" s="2"/>
      <c r="X186" s="2"/>
      <c r="Y186" s="2"/>
      <c r="Z186" s="2"/>
    </row>
    <row r="187" spans="1:26" ht="15.7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2"/>
      <c r="V187" s="2"/>
      <c r="W187" s="2"/>
      <c r="X187" s="2"/>
      <c r="Y187" s="2"/>
      <c r="Z187" s="2"/>
    </row>
  </sheetData>
  <mergeCells count="63">
    <mergeCell ref="A101:D101"/>
    <mergeCell ref="A58:D58"/>
    <mergeCell ref="T14:T15"/>
    <mergeCell ref="A35:D35"/>
    <mergeCell ref="A34:D34"/>
    <mergeCell ref="A76:D76"/>
    <mergeCell ref="J14:J15"/>
    <mergeCell ref="A82:D82"/>
    <mergeCell ref="A29:D29"/>
    <mergeCell ref="P14:P15"/>
    <mergeCell ref="G14:G15"/>
    <mergeCell ref="E14:E15"/>
    <mergeCell ref="B14:B15"/>
    <mergeCell ref="C14:C15"/>
    <mergeCell ref="D14:D15"/>
    <mergeCell ref="S14:S15"/>
    <mergeCell ref="A120:D120"/>
    <mergeCell ref="A110:D110"/>
    <mergeCell ref="A131:E131"/>
    <mergeCell ref="A127:D127"/>
    <mergeCell ref="A133:E133"/>
    <mergeCell ref="A179:T179"/>
    <mergeCell ref="A142:D142"/>
    <mergeCell ref="A150:D150"/>
    <mergeCell ref="A178:T178"/>
    <mergeCell ref="A121:D121"/>
    <mergeCell ref="A137:D137"/>
    <mergeCell ref="A162:D162"/>
    <mergeCell ref="A158:D158"/>
    <mergeCell ref="A164:D164"/>
    <mergeCell ref="A172:T172"/>
    <mergeCell ref="A154:D154"/>
    <mergeCell ref="A123:D123"/>
    <mergeCell ref="A166:D166"/>
    <mergeCell ref="A173:AA173"/>
    <mergeCell ref="A12:AA12"/>
    <mergeCell ref="L14:L15"/>
    <mergeCell ref="M14:M15"/>
    <mergeCell ref="Q14:Q15"/>
    <mergeCell ref="R14:R15"/>
    <mergeCell ref="V14:V15"/>
    <mergeCell ref="W14:W15"/>
    <mergeCell ref="Y14:Y15"/>
    <mergeCell ref="Z14:Z15"/>
    <mergeCell ref="AA14:AA15"/>
    <mergeCell ref="O14:O15"/>
    <mergeCell ref="H14:H15"/>
    <mergeCell ref="X14:X15"/>
    <mergeCell ref="U14:U15"/>
    <mergeCell ref="F14:F15"/>
    <mergeCell ref="A14:A15"/>
    <mergeCell ref="I14:I15"/>
    <mergeCell ref="K14:K15"/>
    <mergeCell ref="N14:N15"/>
    <mergeCell ref="A13:T13"/>
    <mergeCell ref="A70:B70"/>
    <mergeCell ref="A18:D18"/>
    <mergeCell ref="A19:D19"/>
    <mergeCell ref="A31:D31"/>
    <mergeCell ref="A27:D27"/>
    <mergeCell ref="A67:D67"/>
    <mergeCell ref="A68:B68"/>
    <mergeCell ref="A17:D17"/>
  </mergeCells>
  <phoneticPr fontId="5" type="noConversion"/>
  <pageMargins left="0.55118110236220474" right="0.39370078740157483" top="0.86614173228346458" bottom="0.59055118110236227" header="0.31496062992125984" footer="0.31496062992125984"/>
  <pageSetup paperSize="9" scale="61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Долгопольский Александр Олегович</dc:creator>
  <cp:lastModifiedBy>minfin user</cp:lastModifiedBy>
  <cp:lastPrinted>2019-06-05T06:26:54Z</cp:lastPrinted>
  <dcterms:created xsi:type="dcterms:W3CDTF">2014-05-08T06:25:05Z</dcterms:created>
  <dcterms:modified xsi:type="dcterms:W3CDTF">2019-06-06T14:14:18Z</dcterms:modified>
</cp:coreProperties>
</file>