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200" windowHeight="11595" tabRatio="535"/>
  </bookViews>
  <sheets>
    <sheet name="Лист1" sheetId="2" r:id="rId1"/>
  </sheets>
  <definedNames>
    <definedName name="_xlnm.Print_Titles" localSheetId="0">Лист1!$5:$7</definedName>
    <definedName name="_xlnm.Print_Area" localSheetId="0">Лист1!$A$1:$BE$129</definedName>
  </definedNames>
  <calcPr calcId="125725"/>
</workbook>
</file>

<file path=xl/calcChain.xml><?xml version="1.0" encoding="utf-8"?>
<calcChain xmlns="http://schemas.openxmlformats.org/spreadsheetml/2006/main">
  <c r="BB11" i="2"/>
  <c r="BC122" l="1"/>
  <c r="BB122"/>
  <c r="BC105"/>
  <c r="BB105"/>
  <c r="BB104"/>
  <c r="BC103"/>
  <c r="BC101"/>
  <c r="BC97"/>
  <c r="BC95"/>
  <c r="BC87"/>
  <c r="BB87"/>
  <c r="BC57"/>
  <c r="BB57"/>
  <c r="BC42"/>
  <c r="BB42"/>
  <c r="BC41"/>
  <c r="BB41"/>
  <c r="BB37"/>
  <c r="BC35"/>
  <c r="BB35"/>
  <c r="BC34"/>
  <c r="BB34"/>
  <c r="BC32"/>
  <c r="BB32"/>
  <c r="BB31"/>
  <c r="BC30"/>
  <c r="BB30"/>
  <c r="BC27"/>
  <c r="BB27"/>
  <c r="BB23"/>
  <c r="BC20"/>
  <c r="BB20"/>
  <c r="BC14"/>
  <c r="BB14"/>
  <c r="BC125" l="1"/>
  <c r="BB125"/>
  <c r="BC123"/>
  <c r="BB123"/>
  <c r="BC119"/>
  <c r="BE119" s="1"/>
  <c r="BB119"/>
  <c r="BC116"/>
  <c r="BB116"/>
  <c r="BC112"/>
  <c r="BE112" s="1"/>
  <c r="BB112"/>
  <c r="BC107"/>
  <c r="BB107"/>
  <c r="BC94"/>
  <c r="BE94" s="1"/>
  <c r="BB103"/>
  <c r="BB101"/>
  <c r="BB97"/>
  <c r="BB95"/>
  <c r="BB94" s="1"/>
  <c r="BC86"/>
  <c r="BB86"/>
  <c r="BC78"/>
  <c r="BB78"/>
  <c r="BC83"/>
  <c r="BB83"/>
  <c r="BC55"/>
  <c r="BE55" s="1"/>
  <c r="BB55"/>
  <c r="BC58"/>
  <c r="BB58"/>
  <c r="BC48"/>
  <c r="BB48"/>
  <c r="BC39"/>
  <c r="BC29"/>
  <c r="BE29" s="1"/>
  <c r="BB39"/>
  <c r="BB29"/>
  <c r="BC24"/>
  <c r="BB24"/>
  <c r="BC22"/>
  <c r="BB22"/>
  <c r="BC12"/>
  <c r="BB12"/>
  <c r="BE126"/>
  <c r="BE125"/>
  <c r="BE124"/>
  <c r="BE123"/>
  <c r="BE122"/>
  <c r="BE121"/>
  <c r="BE120"/>
  <c r="BE118"/>
  <c r="BE117"/>
  <c r="BE116"/>
  <c r="BE114"/>
  <c r="BE113"/>
  <c r="BE111"/>
  <c r="BE110"/>
  <c r="BE108"/>
  <c r="BE107"/>
  <c r="BE106"/>
  <c r="BE105"/>
  <c r="BE104"/>
  <c r="BE103"/>
  <c r="BE102"/>
  <c r="BE101"/>
  <c r="BE100"/>
  <c r="BE97"/>
  <c r="BE96"/>
  <c r="BE95"/>
  <c r="BE93"/>
  <c r="BE92"/>
  <c r="BE91"/>
  <c r="BE90"/>
  <c r="BE89"/>
  <c r="BE88"/>
  <c r="BE87"/>
  <c r="BE86"/>
  <c r="BE85"/>
  <c r="BE82"/>
  <c r="BE81"/>
  <c r="BE80"/>
  <c r="BE79"/>
  <c r="BE78"/>
  <c r="BE77"/>
  <c r="BE76"/>
  <c r="BE75"/>
  <c r="BE59"/>
  <c r="BE58"/>
  <c r="BE57"/>
  <c r="BE56"/>
  <c r="BE54"/>
  <c r="BE53"/>
  <c r="BE52"/>
  <c r="BE51"/>
  <c r="BE50"/>
  <c r="BE49"/>
  <c r="BE48"/>
  <c r="BE47"/>
  <c r="BE46"/>
  <c r="BE45"/>
  <c r="BE42"/>
  <c r="BE41"/>
  <c r="BE40"/>
  <c r="BE39"/>
  <c r="BE38"/>
  <c r="BE37"/>
  <c r="BE36"/>
  <c r="BE35"/>
  <c r="BE34"/>
  <c r="BE33"/>
  <c r="BE32"/>
  <c r="BE31"/>
  <c r="BE30"/>
  <c r="BE27"/>
  <c r="BE26"/>
  <c r="BE25"/>
  <c r="BE24"/>
  <c r="BE23"/>
  <c r="BE22"/>
  <c r="BE21"/>
  <c r="BE20"/>
  <c r="BE19"/>
  <c r="BE17"/>
  <c r="BE16"/>
  <c r="BE15"/>
  <c r="BE14"/>
  <c r="BE13"/>
  <c r="BE12"/>
  <c r="AZ44"/>
  <c r="AZ87"/>
  <c r="BD87" s="1"/>
  <c r="AZ91"/>
  <c r="BD91" s="1"/>
  <c r="AZ92"/>
  <c r="BD92" s="1"/>
  <c r="AZ93"/>
  <c r="BD93" s="1"/>
  <c r="BB28" l="1"/>
  <c r="BB8" s="1"/>
  <c r="BC28"/>
  <c r="BE28" s="1"/>
  <c r="BC11"/>
  <c r="BE11"/>
  <c r="AR58"/>
  <c r="AR55" s="1"/>
  <c r="AY112"/>
  <c r="AY58"/>
  <c r="AY55" s="1"/>
  <c r="AY48"/>
  <c r="AY24"/>
  <c r="AY11" s="1"/>
  <c r="AR24"/>
  <c r="AR11" s="1"/>
  <c r="AY83"/>
  <c r="AY78" s="1"/>
  <c r="AY42"/>
  <c r="AY45"/>
  <c r="AS93"/>
  <c r="AS92"/>
  <c r="AS87"/>
  <c r="AQ86"/>
  <c r="AQ78"/>
  <c r="BC8" l="1"/>
  <c r="BE8" s="1"/>
  <c r="AR8"/>
  <c r="AS8" s="1"/>
  <c r="AY8"/>
  <c r="AZ8" s="1"/>
  <c r="AK122"/>
  <c r="AS122" s="1"/>
  <c r="AT122"/>
  <c r="AZ122" s="1"/>
  <c r="BD122" s="1"/>
  <c r="AQ55"/>
  <c r="AQ48"/>
  <c r="AQ39"/>
  <c r="AQ28" s="1"/>
  <c r="AK44"/>
  <c r="AS44" s="1"/>
  <c r="AX39"/>
  <c r="AX28" s="1"/>
  <c r="AJ39"/>
  <c r="AJ29"/>
  <c r="AJ24"/>
  <c r="AJ22"/>
  <c r="AQ12"/>
  <c r="AQ11" s="1"/>
  <c r="AJ12"/>
  <c r="AT85"/>
  <c r="AZ85" s="1"/>
  <c r="BD85" s="1"/>
  <c r="AT79"/>
  <c r="AZ79" s="1"/>
  <c r="BD79" s="1"/>
  <c r="AK85"/>
  <c r="AS85" s="1"/>
  <c r="AK10"/>
  <c r="AK9"/>
  <c r="AC126"/>
  <c r="AW125"/>
  <c r="AV125"/>
  <c r="AU125"/>
  <c r="AP125"/>
  <c r="AO125"/>
  <c r="AN125"/>
  <c r="AM125"/>
  <c r="AH125"/>
  <c r="AG125"/>
  <c r="AF125"/>
  <c r="AE125"/>
  <c r="AD125"/>
  <c r="AB125"/>
  <c r="AC125" s="1"/>
  <c r="AK125" s="1"/>
  <c r="AS125" s="1"/>
  <c r="AL47"/>
  <c r="AT47" s="1"/>
  <c r="AZ47" s="1"/>
  <c r="BD47" s="1"/>
  <c r="AL46"/>
  <c r="AT46" s="1"/>
  <c r="AZ46" s="1"/>
  <c r="BD46" s="1"/>
  <c r="AC47"/>
  <c r="AK47" s="1"/>
  <c r="AS47" s="1"/>
  <c r="AC46"/>
  <c r="AK46" s="1"/>
  <c r="AS46" s="1"/>
  <c r="AL118"/>
  <c r="AT118" s="1"/>
  <c r="AZ118" s="1"/>
  <c r="BD118" s="1"/>
  <c r="AI116"/>
  <c r="AB116"/>
  <c r="AC118"/>
  <c r="AK118" s="1"/>
  <c r="AS118" s="1"/>
  <c r="BD8" l="1"/>
  <c r="AJ11"/>
  <c r="AJ28"/>
  <c r="AI126"/>
  <c r="AI125" s="1"/>
  <c r="AL125" s="1"/>
  <c r="AT125" s="1"/>
  <c r="AZ125" s="1"/>
  <c r="BD125" s="1"/>
  <c r="AK126"/>
  <c r="AS126" s="1"/>
  <c r="AQ8"/>
  <c r="AJ8" l="1"/>
  <c r="AL126"/>
  <c r="AT126" s="1"/>
  <c r="AZ126" s="1"/>
  <c r="BD126" s="1"/>
  <c r="AP123"/>
  <c r="AI48"/>
  <c r="AB48"/>
  <c r="AL124" l="1"/>
  <c r="AC124"/>
  <c r="AW123"/>
  <c r="AV123"/>
  <c r="AU123"/>
  <c r="AO123"/>
  <c r="AN123"/>
  <c r="AM123"/>
  <c r="AI123"/>
  <c r="AH123"/>
  <c r="AG123"/>
  <c r="AF123"/>
  <c r="AE123"/>
  <c r="AD123"/>
  <c r="AB123"/>
  <c r="W123"/>
  <c r="AP112"/>
  <c r="AI112"/>
  <c r="AB112"/>
  <c r="AU115"/>
  <c r="AU114"/>
  <c r="AL115"/>
  <c r="AT115" s="1"/>
  <c r="AZ115" s="1"/>
  <c r="AC115"/>
  <c r="AK115" s="1"/>
  <c r="AS115" s="1"/>
  <c r="AP86"/>
  <c r="AW86"/>
  <c r="AM86"/>
  <c r="AB86"/>
  <c r="AI92"/>
  <c r="AI86" s="1"/>
  <c r="AI55"/>
  <c r="AB55"/>
  <c r="AL77"/>
  <c r="AT77" s="1"/>
  <c r="AZ77" s="1"/>
  <c r="BD77" s="1"/>
  <c r="AC77"/>
  <c r="AK77" s="1"/>
  <c r="AS77" s="1"/>
  <c r="AI12"/>
  <c r="AI24"/>
  <c r="AB24"/>
  <c r="AL27"/>
  <c r="AT27" s="1"/>
  <c r="AZ27" s="1"/>
  <c r="BD27" s="1"/>
  <c r="AC27"/>
  <c r="AK27" s="1"/>
  <c r="AS27" s="1"/>
  <c r="AB12"/>
  <c r="AL21"/>
  <c r="AT21" s="1"/>
  <c r="AZ21" s="1"/>
  <c r="BD21" s="1"/>
  <c r="AL20"/>
  <c r="AT20" s="1"/>
  <c r="AZ20" s="1"/>
  <c r="BD20" s="1"/>
  <c r="AC21"/>
  <c r="AK21" s="1"/>
  <c r="AS21" s="1"/>
  <c r="AC20"/>
  <c r="AK20" s="1"/>
  <c r="AS20" s="1"/>
  <c r="AB11" l="1"/>
  <c r="AC123"/>
  <c r="AK123" s="1"/>
  <c r="AS123" s="1"/>
  <c r="AK124"/>
  <c r="AS124" s="1"/>
  <c r="AL123"/>
  <c r="AT123" s="1"/>
  <c r="AZ123" s="1"/>
  <c r="BD123" s="1"/>
  <c r="AT124"/>
  <c r="AZ124" s="1"/>
  <c r="BD124" s="1"/>
  <c r="AI11"/>
  <c r="AP55"/>
  <c r="AL76" l="1"/>
  <c r="AT76" s="1"/>
  <c r="AZ76" s="1"/>
  <c r="BD76" s="1"/>
  <c r="AC76"/>
  <c r="AK76" s="1"/>
  <c r="AS76" s="1"/>
  <c r="AD29"/>
  <c r="W29"/>
  <c r="AW29"/>
  <c r="AP29"/>
  <c r="AP28" s="1"/>
  <c r="AI29"/>
  <c r="AI28" s="1"/>
  <c r="AI8" s="1"/>
  <c r="AB29"/>
  <c r="AB28" s="1"/>
  <c r="AB8" s="1"/>
  <c r="AU38"/>
  <c r="AL38"/>
  <c r="AT38" s="1"/>
  <c r="AZ38" s="1"/>
  <c r="BD38" s="1"/>
  <c r="AC38"/>
  <c r="AP22"/>
  <c r="AP11" s="1"/>
  <c r="AH38"/>
  <c r="Y38"/>
  <c r="AE38" l="1"/>
  <c r="AK38"/>
  <c r="AS38" s="1"/>
  <c r="AP83"/>
  <c r="AP78" s="1"/>
  <c r="AU78" s="1"/>
  <c r="AW83"/>
  <c r="AW78" s="1"/>
  <c r="AW8" s="1"/>
  <c r="AC92"/>
  <c r="AL92"/>
  <c r="AU121"/>
  <c r="AU120"/>
  <c r="AU119"/>
  <c r="AU117"/>
  <c r="AU116"/>
  <c r="AU113"/>
  <c r="AU112"/>
  <c r="AU111"/>
  <c r="AU110"/>
  <c r="AU109"/>
  <c r="AU108"/>
  <c r="AU107"/>
  <c r="AU106"/>
  <c r="AU105"/>
  <c r="AU104"/>
  <c r="AU103"/>
  <c r="AU102"/>
  <c r="AU101"/>
  <c r="AU100"/>
  <c r="AU99"/>
  <c r="AU98"/>
  <c r="AU97"/>
  <c r="AU96"/>
  <c r="AU95"/>
  <c r="AU94"/>
  <c r="AU91"/>
  <c r="AU90"/>
  <c r="AU89"/>
  <c r="AU88"/>
  <c r="AU87"/>
  <c r="AU86"/>
  <c r="AU84"/>
  <c r="AU82"/>
  <c r="AU81"/>
  <c r="AU80"/>
  <c r="AU79"/>
  <c r="AU67"/>
  <c r="AU64"/>
  <c r="AU63"/>
  <c r="AU62"/>
  <c r="AU54"/>
  <c r="AU53"/>
  <c r="AU52"/>
  <c r="AU51"/>
  <c r="AU50"/>
  <c r="AU49"/>
  <c r="AU48"/>
  <c r="AU45"/>
  <c r="AU43"/>
  <c r="AU41"/>
  <c r="AU40"/>
  <c r="AU37"/>
  <c r="AU36"/>
  <c r="AU35"/>
  <c r="AU34"/>
  <c r="AU33"/>
  <c r="AU31"/>
  <c r="AU28"/>
  <c r="AU26"/>
  <c r="AU25"/>
  <c r="AU24"/>
  <c r="AU23"/>
  <c r="AU22"/>
  <c r="AU19"/>
  <c r="AU17"/>
  <c r="AU16"/>
  <c r="AU15"/>
  <c r="AU14"/>
  <c r="AU13"/>
  <c r="AL91"/>
  <c r="AL74"/>
  <c r="AT74" s="1"/>
  <c r="AZ74" s="1"/>
  <c r="AL73"/>
  <c r="AT73" s="1"/>
  <c r="AZ73" s="1"/>
  <c r="AL72"/>
  <c r="AT72" s="1"/>
  <c r="AZ72" s="1"/>
  <c r="AL71"/>
  <c r="AT71" s="1"/>
  <c r="AZ71" s="1"/>
  <c r="AL70"/>
  <c r="AT70" s="1"/>
  <c r="AZ70" s="1"/>
  <c r="AL69"/>
  <c r="AT69" s="1"/>
  <c r="AZ69" s="1"/>
  <c r="AL68"/>
  <c r="AT68" s="1"/>
  <c r="AZ68" s="1"/>
  <c r="AL67"/>
  <c r="AT67" s="1"/>
  <c r="AZ67" s="1"/>
  <c r="AL66"/>
  <c r="AT66" s="1"/>
  <c r="AZ66" s="1"/>
  <c r="AL65"/>
  <c r="AT65" s="1"/>
  <c r="AZ65" s="1"/>
  <c r="AL64"/>
  <c r="AT64" s="1"/>
  <c r="AZ64" s="1"/>
  <c r="AL63"/>
  <c r="AT63" s="1"/>
  <c r="AZ63" s="1"/>
  <c r="AL62"/>
  <c r="AT62" s="1"/>
  <c r="AZ62" s="1"/>
  <c r="AL61"/>
  <c r="AT61" s="1"/>
  <c r="AZ61" s="1"/>
  <c r="AL37"/>
  <c r="AT37" s="1"/>
  <c r="AZ37" s="1"/>
  <c r="BD37" s="1"/>
  <c r="AL36"/>
  <c r="AT36" s="1"/>
  <c r="AZ36" s="1"/>
  <c r="BD36" s="1"/>
  <c r="AL35"/>
  <c r="AT35" s="1"/>
  <c r="AZ35" s="1"/>
  <c r="BD35" s="1"/>
  <c r="AL34"/>
  <c r="AT34" s="1"/>
  <c r="AZ34" s="1"/>
  <c r="BD34" s="1"/>
  <c r="AL33"/>
  <c r="AT33" s="1"/>
  <c r="AZ33" s="1"/>
  <c r="BD33" s="1"/>
  <c r="AL32"/>
  <c r="AT32" s="1"/>
  <c r="AZ32" s="1"/>
  <c r="BD32" s="1"/>
  <c r="AL31"/>
  <c r="AT31" s="1"/>
  <c r="AZ31" s="1"/>
  <c r="BD31" s="1"/>
  <c r="AL30"/>
  <c r="AT30" s="1"/>
  <c r="AZ30" s="1"/>
  <c r="BD30" s="1"/>
  <c r="AL29"/>
  <c r="AT29" s="1"/>
  <c r="AZ29" s="1"/>
  <c r="BD29" s="1"/>
  <c r="AC121"/>
  <c r="AK121" s="1"/>
  <c r="AS121" s="1"/>
  <c r="AC120"/>
  <c r="AK120" s="1"/>
  <c r="AS120" s="1"/>
  <c r="AC119"/>
  <c r="AK119" s="1"/>
  <c r="AS119" s="1"/>
  <c r="AC117"/>
  <c r="AK117" s="1"/>
  <c r="AS117" s="1"/>
  <c r="AC116"/>
  <c r="AK116" s="1"/>
  <c r="AS116" s="1"/>
  <c r="AC114"/>
  <c r="AK114" s="1"/>
  <c r="AS114" s="1"/>
  <c r="AC113"/>
  <c r="AK113" s="1"/>
  <c r="AS113" s="1"/>
  <c r="AC112"/>
  <c r="AK112" s="1"/>
  <c r="AS112" s="1"/>
  <c r="AC111"/>
  <c r="AK111" s="1"/>
  <c r="AS111" s="1"/>
  <c r="AC110"/>
  <c r="AK110" s="1"/>
  <c r="AS110" s="1"/>
  <c r="AC109"/>
  <c r="AK109" s="1"/>
  <c r="AS109" s="1"/>
  <c r="AC108"/>
  <c r="AK108" s="1"/>
  <c r="AS108" s="1"/>
  <c r="AC107"/>
  <c r="AK107" s="1"/>
  <c r="AS107" s="1"/>
  <c r="AC106"/>
  <c r="AK106" s="1"/>
  <c r="AS106" s="1"/>
  <c r="AC105"/>
  <c r="AK105" s="1"/>
  <c r="AS105" s="1"/>
  <c r="AC104"/>
  <c r="AK104" s="1"/>
  <c r="AS104" s="1"/>
  <c r="AC103"/>
  <c r="AK103" s="1"/>
  <c r="AS103" s="1"/>
  <c r="AC102"/>
  <c r="AK102" s="1"/>
  <c r="AS102" s="1"/>
  <c r="AC101"/>
  <c r="AK101" s="1"/>
  <c r="AS101" s="1"/>
  <c r="AC100"/>
  <c r="AK100" s="1"/>
  <c r="AS100" s="1"/>
  <c r="AC99"/>
  <c r="AK99" s="1"/>
  <c r="AS99" s="1"/>
  <c r="AC98"/>
  <c r="AK98" s="1"/>
  <c r="AS98" s="1"/>
  <c r="AC97"/>
  <c r="AK97" s="1"/>
  <c r="AS97" s="1"/>
  <c r="AC96"/>
  <c r="AK96" s="1"/>
  <c r="AS96" s="1"/>
  <c r="AC95"/>
  <c r="AK95" s="1"/>
  <c r="AS95" s="1"/>
  <c r="AC94"/>
  <c r="AK94" s="1"/>
  <c r="AS94" s="1"/>
  <c r="AC89"/>
  <c r="AK89" s="1"/>
  <c r="AS89" s="1"/>
  <c r="AC88"/>
  <c r="AK88" s="1"/>
  <c r="AS88" s="1"/>
  <c r="AC87"/>
  <c r="AC84"/>
  <c r="AK84" s="1"/>
  <c r="AS84" s="1"/>
  <c r="AC83"/>
  <c r="AK83" s="1"/>
  <c r="AS83" s="1"/>
  <c r="AC82"/>
  <c r="AK82" s="1"/>
  <c r="AS82" s="1"/>
  <c r="AC81"/>
  <c r="AK81" s="1"/>
  <c r="AS81" s="1"/>
  <c r="AC80"/>
  <c r="AK80" s="1"/>
  <c r="AS80" s="1"/>
  <c r="AC79"/>
  <c r="AK79" s="1"/>
  <c r="AS79" s="1"/>
  <c r="AC67"/>
  <c r="AK67" s="1"/>
  <c r="AS67" s="1"/>
  <c r="AC64"/>
  <c r="AK64" s="1"/>
  <c r="AS64" s="1"/>
  <c r="AC63"/>
  <c r="AK63" s="1"/>
  <c r="AS63" s="1"/>
  <c r="AC62"/>
  <c r="AK62" s="1"/>
  <c r="AS62" s="1"/>
  <c r="AC57"/>
  <c r="AK57" s="1"/>
  <c r="AS57" s="1"/>
  <c r="AC56"/>
  <c r="AK56" s="1"/>
  <c r="AS56" s="1"/>
  <c r="AC54"/>
  <c r="AK54" s="1"/>
  <c r="AS54" s="1"/>
  <c r="AC53"/>
  <c r="AK53" s="1"/>
  <c r="AS53" s="1"/>
  <c r="AC52"/>
  <c r="AK52" s="1"/>
  <c r="AS52" s="1"/>
  <c r="AC51"/>
  <c r="AK51" s="1"/>
  <c r="AS51" s="1"/>
  <c r="AC50"/>
  <c r="AK50" s="1"/>
  <c r="AS50" s="1"/>
  <c r="AC48"/>
  <c r="AK48" s="1"/>
  <c r="AS48" s="1"/>
  <c r="AC45"/>
  <c r="AK45" s="1"/>
  <c r="AS45" s="1"/>
  <c r="AC43"/>
  <c r="AK43" s="1"/>
  <c r="AS43" s="1"/>
  <c r="AC42"/>
  <c r="AK42" s="1"/>
  <c r="AS42" s="1"/>
  <c r="AC41"/>
  <c r="AK41" s="1"/>
  <c r="AS41" s="1"/>
  <c r="AC40"/>
  <c r="AK40" s="1"/>
  <c r="AS40" s="1"/>
  <c r="AC39"/>
  <c r="AK39" s="1"/>
  <c r="AS39" s="1"/>
  <c r="AC37"/>
  <c r="AK37" s="1"/>
  <c r="AS37" s="1"/>
  <c r="AC36"/>
  <c r="AK36" s="1"/>
  <c r="AS36" s="1"/>
  <c r="AC35"/>
  <c r="AK35" s="1"/>
  <c r="AS35" s="1"/>
  <c r="AC34"/>
  <c r="AK34" s="1"/>
  <c r="AS34" s="1"/>
  <c r="AC33"/>
  <c r="AK33" s="1"/>
  <c r="AS33" s="1"/>
  <c r="AC32"/>
  <c r="AK32" s="1"/>
  <c r="AS32" s="1"/>
  <c r="AC31"/>
  <c r="AK31" s="1"/>
  <c r="AS31" s="1"/>
  <c r="AC30"/>
  <c r="AK30" s="1"/>
  <c r="AS30" s="1"/>
  <c r="AC29"/>
  <c r="AK29" s="1"/>
  <c r="AS29" s="1"/>
  <c r="AC28"/>
  <c r="AK28" s="1"/>
  <c r="AS28" s="1"/>
  <c r="AC26"/>
  <c r="AK26" s="1"/>
  <c r="AS26" s="1"/>
  <c r="AC25"/>
  <c r="AK25" s="1"/>
  <c r="AS25" s="1"/>
  <c r="AC24"/>
  <c r="AK24" s="1"/>
  <c r="AS24" s="1"/>
  <c r="AC23"/>
  <c r="AK23" s="1"/>
  <c r="AS23" s="1"/>
  <c r="AC22"/>
  <c r="AK22" s="1"/>
  <c r="AS22" s="1"/>
  <c r="AC19"/>
  <c r="AK19" s="1"/>
  <c r="AS19" s="1"/>
  <c r="AC18"/>
  <c r="AK18" s="1"/>
  <c r="AS18" s="1"/>
  <c r="AC17"/>
  <c r="AK17" s="1"/>
  <c r="AS17" s="1"/>
  <c r="AC16"/>
  <c r="AK16" s="1"/>
  <c r="AS16" s="1"/>
  <c r="AC15"/>
  <c r="AK15" s="1"/>
  <c r="AS15" s="1"/>
  <c r="AC14"/>
  <c r="AK14" s="1"/>
  <c r="AS14" s="1"/>
  <c r="AC13"/>
  <c r="AK13" s="1"/>
  <c r="AS13" s="1"/>
  <c r="AH58"/>
  <c r="AH55" s="1"/>
  <c r="AG58"/>
  <c r="AG55" s="1"/>
  <c r="AF58"/>
  <c r="AF55" s="1"/>
  <c r="AE58"/>
  <c r="AE55" s="1"/>
  <c r="AU83" l="1"/>
  <c r="AC78"/>
  <c r="AK78" s="1"/>
  <c r="AS78" s="1"/>
  <c r="AM66"/>
  <c r="AU66" s="1"/>
  <c r="AM65"/>
  <c r="AU65" s="1"/>
  <c r="AM61"/>
  <c r="AU61" s="1"/>
  <c r="AM60"/>
  <c r="AU60" s="1"/>
  <c r="AE37" l="1"/>
  <c r="AE36"/>
  <c r="AE35"/>
  <c r="AE32"/>
  <c r="AM32" s="1"/>
  <c r="AU32" s="1"/>
  <c r="AE31"/>
  <c r="AM30"/>
  <c r="AM29" l="1"/>
  <c r="AU29" s="1"/>
  <c r="AU30"/>
  <c r="AV74"/>
  <c r="AV73"/>
  <c r="AV72"/>
  <c r="AV71"/>
  <c r="AV70"/>
  <c r="AV69"/>
  <c r="AV68"/>
  <c r="AV67"/>
  <c r="AV66"/>
  <c r="AV65"/>
  <c r="AV64"/>
  <c r="AV63"/>
  <c r="AV62"/>
  <c r="AV61"/>
  <c r="AO58"/>
  <c r="AO55" s="1"/>
  <c r="AM74"/>
  <c r="AU74" s="1"/>
  <c r="AM73"/>
  <c r="AU73" s="1"/>
  <c r="AM72"/>
  <c r="AU72" s="1"/>
  <c r="AM71"/>
  <c r="AU71" s="1"/>
  <c r="AM70"/>
  <c r="AU70" s="1"/>
  <c r="AM69"/>
  <c r="AU69" s="1"/>
  <c r="AM68"/>
  <c r="AU68" s="1"/>
  <c r="V58"/>
  <c r="V55" s="1"/>
  <c r="W74"/>
  <c r="AC74" s="1"/>
  <c r="AK74" s="1"/>
  <c r="AS74" s="1"/>
  <c r="W73"/>
  <c r="AC73" s="1"/>
  <c r="AK73" s="1"/>
  <c r="AS73" s="1"/>
  <c r="W72"/>
  <c r="AC72" s="1"/>
  <c r="AK72" s="1"/>
  <c r="AS72" s="1"/>
  <c r="W71"/>
  <c r="AC71" s="1"/>
  <c r="AK71" s="1"/>
  <c r="AS71" s="1"/>
  <c r="W70"/>
  <c r="AC70" s="1"/>
  <c r="AK70" s="1"/>
  <c r="AS70" s="1"/>
  <c r="W69"/>
  <c r="AC69" s="1"/>
  <c r="AK69" s="1"/>
  <c r="AS69" s="1"/>
  <c r="W68"/>
  <c r="AC68" s="1"/>
  <c r="AK68" s="1"/>
  <c r="AS68" s="1"/>
  <c r="W66"/>
  <c r="AC66" s="1"/>
  <c r="AK66" s="1"/>
  <c r="AS66" s="1"/>
  <c r="W65"/>
  <c r="AC65" s="1"/>
  <c r="AK65" s="1"/>
  <c r="AS65" s="1"/>
  <c r="W61"/>
  <c r="AC61" s="1"/>
  <c r="AK61" s="1"/>
  <c r="AS61" s="1"/>
  <c r="AM75"/>
  <c r="AU75" s="1"/>
  <c r="AM59"/>
  <c r="AU59" s="1"/>
  <c r="AM57"/>
  <c r="AU57" s="1"/>
  <c r="AM56"/>
  <c r="AU56" s="1"/>
  <c r="AM58" l="1"/>
  <c r="AO12"/>
  <c r="AO11" s="1"/>
  <c r="AO29"/>
  <c r="AO28" s="1"/>
  <c r="AV111"/>
  <c r="AV91"/>
  <c r="AV90"/>
  <c r="AV75"/>
  <c r="AH12"/>
  <c r="AH11" s="1"/>
  <c r="AA86"/>
  <c r="AA48"/>
  <c r="AA58"/>
  <c r="AA55" s="1"/>
  <c r="W75"/>
  <c r="AC75" s="1"/>
  <c r="AK75" s="1"/>
  <c r="AS75" s="1"/>
  <c r="AD75"/>
  <c r="AL75" s="1"/>
  <c r="AT75" s="1"/>
  <c r="AZ75" s="1"/>
  <c r="BD75" s="1"/>
  <c r="AA39"/>
  <c r="AA29"/>
  <c r="AH29"/>
  <c r="AM55" l="1"/>
  <c r="AU55" s="1"/>
  <c r="AU58"/>
  <c r="AA28"/>
  <c r="AO8"/>
  <c r="AA97"/>
  <c r="AA94" s="1"/>
  <c r="AD90"/>
  <c r="AL90" s="1"/>
  <c r="AT90" s="1"/>
  <c r="AZ90" s="1"/>
  <c r="BD90" s="1"/>
  <c r="W91"/>
  <c r="AC91" s="1"/>
  <c r="AK91" s="1"/>
  <c r="AS91" s="1"/>
  <c r="V90" l="1"/>
  <c r="AA78"/>
  <c r="AA8" s="1"/>
  <c r="V86" l="1"/>
  <c r="W90"/>
  <c r="AC90" s="1"/>
  <c r="AK90" s="1"/>
  <c r="V48"/>
  <c r="W49"/>
  <c r="AC49" s="1"/>
  <c r="AK49" s="1"/>
  <c r="AS49" s="1"/>
  <c r="AE29"/>
  <c r="AH39"/>
  <c r="AH28" s="1"/>
  <c r="AH8" s="1"/>
  <c r="AM42"/>
  <c r="AU42" s="1"/>
  <c r="AN106"/>
  <c r="AV106" s="1"/>
  <c r="AN105"/>
  <c r="AV105" s="1"/>
  <c r="AN104"/>
  <c r="AV104" s="1"/>
  <c r="AN103"/>
  <c r="AV103" s="1"/>
  <c r="AN102"/>
  <c r="AV102" s="1"/>
  <c r="AN82"/>
  <c r="AV82" s="1"/>
  <c r="AG119"/>
  <c r="AN120"/>
  <c r="AV120" s="1"/>
  <c r="AN121"/>
  <c r="AV121" s="1"/>
  <c r="AK86" l="1"/>
  <c r="AS86" s="1"/>
  <c r="AS90"/>
  <c r="V8"/>
  <c r="Q89"/>
  <c r="N86"/>
  <c r="O86"/>
  <c r="P86"/>
  <c r="Q51" l="1"/>
  <c r="AG86" l="1"/>
  <c r="AF86"/>
  <c r="AN88"/>
  <c r="AV88" s="1"/>
  <c r="AN89"/>
  <c r="AV89" s="1"/>
  <c r="Z86"/>
  <c r="S86"/>
  <c r="T86"/>
  <c r="U86"/>
  <c r="X89"/>
  <c r="AD89" s="1"/>
  <c r="AL89" s="1"/>
  <c r="AT89" s="1"/>
  <c r="AZ89" s="1"/>
  <c r="BD89" s="1"/>
  <c r="AN34"/>
  <c r="AV34" s="1"/>
  <c r="AN35"/>
  <c r="AV35" s="1"/>
  <c r="AN36"/>
  <c r="AV36" s="1"/>
  <c r="AN37"/>
  <c r="AV37" s="1"/>
  <c r="AN33"/>
  <c r="AV33" s="1"/>
  <c r="AN23"/>
  <c r="AV23" s="1"/>
  <c r="AN53"/>
  <c r="AV53" s="1"/>
  <c r="AN54"/>
  <c r="AV54" s="1"/>
  <c r="R40"/>
  <c r="X41" l="1"/>
  <c r="AD41" s="1"/>
  <c r="AL41" s="1"/>
  <c r="AT41" s="1"/>
  <c r="AZ41" s="1"/>
  <c r="BD41" s="1"/>
  <c r="AG39"/>
  <c r="Z39"/>
  <c r="U39"/>
  <c r="AN45"/>
  <c r="AV45" s="1"/>
  <c r="AN43"/>
  <c r="AV43" s="1"/>
  <c r="Q56"/>
  <c r="N107"/>
  <c r="O107"/>
  <c r="S107"/>
  <c r="T107"/>
  <c r="U107"/>
  <c r="X111"/>
  <c r="AD111" s="1"/>
  <c r="AL111" s="1"/>
  <c r="AT111" s="1"/>
  <c r="AZ111" s="1"/>
  <c r="BD111" s="1"/>
  <c r="Q111"/>
  <c r="AF107"/>
  <c r="S12" l="1"/>
  <c r="T12"/>
  <c r="U12"/>
  <c r="AN19"/>
  <c r="AV19" s="1"/>
  <c r="X19"/>
  <c r="AD19" s="1"/>
  <c r="AL19" s="1"/>
  <c r="AT19" s="1"/>
  <c r="AZ19" s="1"/>
  <c r="BD19" s="1"/>
  <c r="N12"/>
  <c r="O12"/>
  <c r="P12"/>
  <c r="Q19"/>
  <c r="AF22" l="1"/>
  <c r="AN22" s="1"/>
  <c r="AV22" s="1"/>
  <c r="Y22"/>
  <c r="N39"/>
  <c r="O39"/>
  <c r="U29" l="1"/>
  <c r="AE45"/>
  <c r="AE43"/>
  <c r="R45"/>
  <c r="X45" s="1"/>
  <c r="AD45" s="1"/>
  <c r="AL45" s="1"/>
  <c r="AT45" s="1"/>
  <c r="AZ45" s="1"/>
  <c r="BD45" s="1"/>
  <c r="Q45"/>
  <c r="AE39" l="1"/>
  <c r="AM39" s="1"/>
  <c r="AU39" s="1"/>
  <c r="U28"/>
  <c r="N97"/>
  <c r="O97"/>
  <c r="M58"/>
  <c r="N58"/>
  <c r="O58"/>
  <c r="AE23" l="1"/>
  <c r="Y103"/>
  <c r="Q33"/>
  <c r="Q34"/>
  <c r="Q35"/>
  <c r="Q36"/>
  <c r="Q37"/>
  <c r="X33"/>
  <c r="X34"/>
  <c r="X35"/>
  <c r="X36"/>
  <c r="X37"/>
  <c r="Z29"/>
  <c r="S29"/>
  <c r="T29"/>
  <c r="R29"/>
  <c r="X29" s="1"/>
  <c r="N29"/>
  <c r="O29"/>
  <c r="P29"/>
  <c r="M103"/>
  <c r="N103"/>
  <c r="O103"/>
  <c r="R103"/>
  <c r="S103"/>
  <c r="T103"/>
  <c r="AE106"/>
  <c r="AE105"/>
  <c r="AE104"/>
  <c r="Z119"/>
  <c r="Z116"/>
  <c r="Z112"/>
  <c r="Z107"/>
  <c r="Z103"/>
  <c r="Z101"/>
  <c r="Z97"/>
  <c r="Z95"/>
  <c r="Z83"/>
  <c r="Z78" s="1"/>
  <c r="Z58"/>
  <c r="Z55"/>
  <c r="Z48"/>
  <c r="Z24"/>
  <c r="Z22"/>
  <c r="Z12"/>
  <c r="X106"/>
  <c r="AD106" s="1"/>
  <c r="AL106" s="1"/>
  <c r="AT106" s="1"/>
  <c r="AZ106" s="1"/>
  <c r="BD106" s="1"/>
  <c r="X105"/>
  <c r="AD105" s="1"/>
  <c r="AL105" s="1"/>
  <c r="AT105" s="1"/>
  <c r="AZ105" s="1"/>
  <c r="BD105" s="1"/>
  <c r="X104"/>
  <c r="AD104" s="1"/>
  <c r="AL104" s="1"/>
  <c r="AT104" s="1"/>
  <c r="AZ104" s="1"/>
  <c r="BD104" s="1"/>
  <c r="X103"/>
  <c r="AD103" s="1"/>
  <c r="AL103" s="1"/>
  <c r="AT103" s="1"/>
  <c r="AZ103" s="1"/>
  <c r="BD103" s="1"/>
  <c r="Q106"/>
  <c r="Q105"/>
  <c r="Q104"/>
  <c r="P103"/>
  <c r="G107"/>
  <c r="H107"/>
  <c r="I107"/>
  <c r="J107"/>
  <c r="L107"/>
  <c r="AG107"/>
  <c r="Z94" l="1"/>
  <c r="Q103"/>
  <c r="AE103"/>
  <c r="AN107"/>
  <c r="AV107" s="1"/>
  <c r="Z11"/>
  <c r="Z28"/>
  <c r="P22"/>
  <c r="P58"/>
  <c r="P55" s="1"/>
  <c r="P83"/>
  <c r="P78" s="1"/>
  <c r="P95"/>
  <c r="P97"/>
  <c r="P112"/>
  <c r="P116"/>
  <c r="P119"/>
  <c r="P109"/>
  <c r="P107" s="1"/>
  <c r="P101"/>
  <c r="P48"/>
  <c r="P24"/>
  <c r="X121"/>
  <c r="AD121" s="1"/>
  <c r="AL121" s="1"/>
  <c r="AT121" s="1"/>
  <c r="AZ121" s="1"/>
  <c r="BD121" s="1"/>
  <c r="X120"/>
  <c r="AD120" s="1"/>
  <c r="AL120" s="1"/>
  <c r="AT120" s="1"/>
  <c r="AZ120" s="1"/>
  <c r="BD120" s="1"/>
  <c r="X56"/>
  <c r="X54"/>
  <c r="AD54" s="1"/>
  <c r="AL54" s="1"/>
  <c r="AT54" s="1"/>
  <c r="AZ54" s="1"/>
  <c r="BD54" s="1"/>
  <c r="X26"/>
  <c r="AD26" s="1"/>
  <c r="AL26" s="1"/>
  <c r="AT26" s="1"/>
  <c r="AZ26" s="1"/>
  <c r="BD26" s="1"/>
  <c r="X25"/>
  <c r="AD25" s="1"/>
  <c r="AL25" s="1"/>
  <c r="AT25" s="1"/>
  <c r="AZ25" s="1"/>
  <c r="BD25" s="1"/>
  <c r="U22"/>
  <c r="U58"/>
  <c r="U55" s="1"/>
  <c r="U116"/>
  <c r="U112"/>
  <c r="U97"/>
  <c r="U95"/>
  <c r="U83"/>
  <c r="U78" s="1"/>
  <c r="U119"/>
  <c r="U101"/>
  <c r="U48"/>
  <c r="U24"/>
  <c r="N24"/>
  <c r="O24"/>
  <c r="R24"/>
  <c r="S24"/>
  <c r="T24"/>
  <c r="Y24"/>
  <c r="AF24"/>
  <c r="M24"/>
  <c r="AZ119" l="1"/>
  <c r="BD119" s="1"/>
  <c r="AD56"/>
  <c r="AL56" s="1"/>
  <c r="AT56" s="1"/>
  <c r="AZ56" s="1"/>
  <c r="BD56" s="1"/>
  <c r="Z8"/>
  <c r="P39"/>
  <c r="P28" s="1"/>
  <c r="P94"/>
  <c r="U94"/>
  <c r="X24"/>
  <c r="AD24" s="1"/>
  <c r="AL24" s="1"/>
  <c r="AT24" s="1"/>
  <c r="AZ24" s="1"/>
  <c r="BD24" s="1"/>
  <c r="P11"/>
  <c r="U11"/>
  <c r="AF12"/>
  <c r="U8" l="1"/>
  <c r="P8"/>
  <c r="S119"/>
  <c r="T119"/>
  <c r="Y119"/>
  <c r="AF119"/>
  <c r="AN119" s="1"/>
  <c r="AV119" s="1"/>
  <c r="R119"/>
  <c r="X119" s="1"/>
  <c r="AD119" s="1"/>
  <c r="AL119" s="1"/>
  <c r="AT119" s="1"/>
  <c r="AF48" l="1"/>
  <c r="T48"/>
  <c r="S48"/>
  <c r="L120"/>
  <c r="N119" l="1"/>
  <c r="L119"/>
  <c r="K119"/>
  <c r="M120"/>
  <c r="M119" s="1"/>
  <c r="O120"/>
  <c r="O119" s="1"/>
  <c r="M82" l="1"/>
  <c r="Y82"/>
  <c r="R82"/>
  <c r="X82" s="1"/>
  <c r="AD82" s="1"/>
  <c r="AL82" s="1"/>
  <c r="AT82" s="1"/>
  <c r="AZ82" s="1"/>
  <c r="BD82" s="1"/>
  <c r="R102" l="1"/>
  <c r="X102" s="1"/>
  <c r="AD102" s="1"/>
  <c r="AL102" s="1"/>
  <c r="AT102" s="1"/>
  <c r="AZ102" s="1"/>
  <c r="BD102" s="1"/>
  <c r="M102"/>
  <c r="M101" s="1"/>
  <c r="AN101"/>
  <c r="AV101" s="1"/>
  <c r="AG101"/>
  <c r="AF101"/>
  <c r="Y101"/>
  <c r="T101"/>
  <c r="S101"/>
  <c r="O101"/>
  <c r="N101"/>
  <c r="L101"/>
  <c r="L86"/>
  <c r="M88"/>
  <c r="Q88" s="1"/>
  <c r="R88"/>
  <c r="X88" s="1"/>
  <c r="AD88" s="1"/>
  <c r="AL88" s="1"/>
  <c r="AT88" s="1"/>
  <c r="AZ88" s="1"/>
  <c r="BD88" s="1"/>
  <c r="O48"/>
  <c r="L48"/>
  <c r="M53"/>
  <c r="R53"/>
  <c r="X53" s="1"/>
  <c r="AD53" s="1"/>
  <c r="AL53" s="1"/>
  <c r="AT53" s="1"/>
  <c r="AZ53" s="1"/>
  <c r="BD53" s="1"/>
  <c r="I53"/>
  <c r="T22"/>
  <c r="T11" s="1"/>
  <c r="S22"/>
  <c r="O22"/>
  <c r="O11" s="1"/>
  <c r="N22"/>
  <c r="K22"/>
  <c r="L22"/>
  <c r="R23"/>
  <c r="M23"/>
  <c r="M22" s="1"/>
  <c r="Q22" s="1"/>
  <c r="G24"/>
  <c r="H24"/>
  <c r="J24"/>
  <c r="K24"/>
  <c r="AG24"/>
  <c r="L24"/>
  <c r="R101" l="1"/>
  <c r="X101" s="1"/>
  <c r="AD101" s="1"/>
  <c r="AL101" s="1"/>
  <c r="AT101" s="1"/>
  <c r="AZ101" s="1"/>
  <c r="BD101" s="1"/>
  <c r="AT86"/>
  <c r="AZ86" s="1"/>
  <c r="BD86" s="1"/>
  <c r="X23"/>
  <c r="AD23" s="1"/>
  <c r="AL23" s="1"/>
  <c r="AT23" s="1"/>
  <c r="AZ23" s="1"/>
  <c r="BD23" s="1"/>
  <c r="R22"/>
  <c r="N11"/>
  <c r="AN24"/>
  <c r="AV24" s="1"/>
  <c r="AF11"/>
  <c r="S11"/>
  <c r="I24"/>
  <c r="M117"/>
  <c r="M113"/>
  <c r="M110"/>
  <c r="Q110" s="1"/>
  <c r="Q100"/>
  <c r="M99"/>
  <c r="M96"/>
  <c r="M87"/>
  <c r="M84"/>
  <c r="M81"/>
  <c r="M80"/>
  <c r="M79"/>
  <c r="Q60"/>
  <c r="W60" s="1"/>
  <c r="AC60" s="1"/>
  <c r="AK60" s="1"/>
  <c r="AS60" s="1"/>
  <c r="Q59"/>
  <c r="W59" s="1"/>
  <c r="AC59" s="1"/>
  <c r="AK59" s="1"/>
  <c r="AS59" s="1"/>
  <c r="M57"/>
  <c r="Q57" s="1"/>
  <c r="M52"/>
  <c r="M50"/>
  <c r="M49"/>
  <c r="M43"/>
  <c r="Q43" s="1"/>
  <c r="M42"/>
  <c r="Q42" s="1"/>
  <c r="M41"/>
  <c r="Q41" s="1"/>
  <c r="M40"/>
  <c r="M32"/>
  <c r="Q32" s="1"/>
  <c r="M31"/>
  <c r="M30"/>
  <c r="M18"/>
  <c r="Q18" s="1"/>
  <c r="M17"/>
  <c r="M16"/>
  <c r="M15"/>
  <c r="M14"/>
  <c r="L116"/>
  <c r="L112"/>
  <c r="L97"/>
  <c r="L95"/>
  <c r="L83"/>
  <c r="L78" s="1"/>
  <c r="L58"/>
  <c r="L55" s="1"/>
  <c r="L39"/>
  <c r="L29"/>
  <c r="L12"/>
  <c r="AN117"/>
  <c r="AV117" s="1"/>
  <c r="AN114"/>
  <c r="AV114" s="1"/>
  <c r="AN113"/>
  <c r="AV113" s="1"/>
  <c r="AN110"/>
  <c r="AV110" s="1"/>
  <c r="AN109"/>
  <c r="AV109" s="1"/>
  <c r="AN108"/>
  <c r="AV108" s="1"/>
  <c r="AN100"/>
  <c r="AV100" s="1"/>
  <c r="AN99"/>
  <c r="AV99" s="1"/>
  <c r="AN98"/>
  <c r="AV98" s="1"/>
  <c r="AN96"/>
  <c r="AV96" s="1"/>
  <c r="AN87"/>
  <c r="AV87" s="1"/>
  <c r="AN84"/>
  <c r="AV84" s="1"/>
  <c r="AN81"/>
  <c r="AV81" s="1"/>
  <c r="AN80"/>
  <c r="AV80" s="1"/>
  <c r="AN79"/>
  <c r="AV79" s="1"/>
  <c r="AN60"/>
  <c r="AV60" s="1"/>
  <c r="AN59"/>
  <c r="AV59" s="1"/>
  <c r="AN57"/>
  <c r="AV57" s="1"/>
  <c r="AN56"/>
  <c r="AN52"/>
  <c r="AV52" s="1"/>
  <c r="AN51"/>
  <c r="AV51" s="1"/>
  <c r="AN50"/>
  <c r="AV50" s="1"/>
  <c r="AN49"/>
  <c r="AV49" s="1"/>
  <c r="AN42"/>
  <c r="AV42" s="1"/>
  <c r="AN41"/>
  <c r="AV41" s="1"/>
  <c r="AN40"/>
  <c r="AV40" s="1"/>
  <c r="AN32"/>
  <c r="AV32" s="1"/>
  <c r="AN31"/>
  <c r="AV31" s="1"/>
  <c r="AN30"/>
  <c r="AV30" s="1"/>
  <c r="AN26"/>
  <c r="AV26" s="1"/>
  <c r="AN25"/>
  <c r="AV25" s="1"/>
  <c r="AN18"/>
  <c r="AV18" s="1"/>
  <c r="AN17"/>
  <c r="AV17" s="1"/>
  <c r="AN16"/>
  <c r="AV16" s="1"/>
  <c r="AN15"/>
  <c r="AV15" s="1"/>
  <c r="AN14"/>
  <c r="AV14" s="1"/>
  <c r="AN13"/>
  <c r="AV13" s="1"/>
  <c r="AG116"/>
  <c r="AG112"/>
  <c r="AG97"/>
  <c r="AG95"/>
  <c r="AG83"/>
  <c r="AG78" s="1"/>
  <c r="AG48"/>
  <c r="AG29"/>
  <c r="AG12"/>
  <c r="AG11" s="1"/>
  <c r="Y117"/>
  <c r="Y114"/>
  <c r="Y113"/>
  <c r="Y110"/>
  <c r="Y109"/>
  <c r="Y108"/>
  <c r="Y100"/>
  <c r="Y99"/>
  <c r="Y98"/>
  <c r="Y96"/>
  <c r="Y87"/>
  <c r="Y86" s="1"/>
  <c r="Y84"/>
  <c r="Y81"/>
  <c r="Y80"/>
  <c r="Y79"/>
  <c r="Y60"/>
  <c r="Y59"/>
  <c r="Y57"/>
  <c r="Y56"/>
  <c r="Y52"/>
  <c r="Y51"/>
  <c r="Y50"/>
  <c r="Y49"/>
  <c r="Y42"/>
  <c r="Y41"/>
  <c r="Y40"/>
  <c r="Y30"/>
  <c r="Y29" s="1"/>
  <c r="Y18"/>
  <c r="AE18" s="1"/>
  <c r="AM18" s="1"/>
  <c r="AU18" s="1"/>
  <c r="Y17"/>
  <c r="AE17" s="1"/>
  <c r="Y16"/>
  <c r="AE16" s="1"/>
  <c r="Y15"/>
  <c r="AE15" s="1"/>
  <c r="Y14"/>
  <c r="AE14" s="1"/>
  <c r="Y13"/>
  <c r="AE13" s="1"/>
  <c r="T116"/>
  <c r="T112"/>
  <c r="T97"/>
  <c r="T95"/>
  <c r="T83"/>
  <c r="T78" s="1"/>
  <c r="T58"/>
  <c r="T55" s="1"/>
  <c r="T39"/>
  <c r="O116"/>
  <c r="AV86" l="1"/>
  <c r="AV58"/>
  <c r="AV56"/>
  <c r="W58"/>
  <c r="Q87"/>
  <c r="M86"/>
  <c r="Q86" s="1"/>
  <c r="W86" s="1"/>
  <c r="AC86" s="1"/>
  <c r="T94"/>
  <c r="M29"/>
  <c r="Q29" s="1"/>
  <c r="Y107"/>
  <c r="M12"/>
  <c r="Q12" s="1"/>
  <c r="W12" s="1"/>
  <c r="AC12" s="1"/>
  <c r="AK12" s="1"/>
  <c r="AS12" s="1"/>
  <c r="Q40"/>
  <c r="M39"/>
  <c r="Q39" s="1"/>
  <c r="AE22"/>
  <c r="AG94"/>
  <c r="M48"/>
  <c r="Q48" s="1"/>
  <c r="Y12"/>
  <c r="L28"/>
  <c r="Y48"/>
  <c r="L94"/>
  <c r="L11"/>
  <c r="AG28"/>
  <c r="T28"/>
  <c r="R117"/>
  <c r="X117" s="1"/>
  <c r="AD117" s="1"/>
  <c r="AL117" s="1"/>
  <c r="AT117" s="1"/>
  <c r="AZ117" s="1"/>
  <c r="BD117" s="1"/>
  <c r="R114"/>
  <c r="X114" s="1"/>
  <c r="AD114" s="1"/>
  <c r="AL114" s="1"/>
  <c r="AT114" s="1"/>
  <c r="AZ114" s="1"/>
  <c r="BD114" s="1"/>
  <c r="R113"/>
  <c r="X113" s="1"/>
  <c r="AD113" s="1"/>
  <c r="AL113" s="1"/>
  <c r="AT113" s="1"/>
  <c r="AZ113" s="1"/>
  <c r="BD113" s="1"/>
  <c r="R110"/>
  <c r="X110" s="1"/>
  <c r="AD110" s="1"/>
  <c r="AL110" s="1"/>
  <c r="AT110" s="1"/>
  <c r="AZ110" s="1"/>
  <c r="BD110" s="1"/>
  <c r="R109"/>
  <c r="X109" s="1"/>
  <c r="AD109" s="1"/>
  <c r="AL109" s="1"/>
  <c r="AT109" s="1"/>
  <c r="AZ109" s="1"/>
  <c r="R108"/>
  <c r="X100"/>
  <c r="AD100" s="1"/>
  <c r="AL100" s="1"/>
  <c r="AT100" s="1"/>
  <c r="AZ100" s="1"/>
  <c r="BD100" s="1"/>
  <c r="X99"/>
  <c r="AD99" s="1"/>
  <c r="AL99" s="1"/>
  <c r="AT99" s="1"/>
  <c r="AZ99" s="1"/>
  <c r="X98"/>
  <c r="AD98" s="1"/>
  <c r="AL98" s="1"/>
  <c r="AT98" s="1"/>
  <c r="AZ98" s="1"/>
  <c r="R96"/>
  <c r="X96" s="1"/>
  <c r="AD96" s="1"/>
  <c r="AL96" s="1"/>
  <c r="AT96" s="1"/>
  <c r="AZ96" s="1"/>
  <c r="BD96" s="1"/>
  <c r="R87"/>
  <c r="R84"/>
  <c r="X84" s="1"/>
  <c r="AD84" s="1"/>
  <c r="AL84" s="1"/>
  <c r="AT84" s="1"/>
  <c r="AZ84" s="1"/>
  <c r="R81"/>
  <c r="X81" s="1"/>
  <c r="AD81" s="1"/>
  <c r="AL81" s="1"/>
  <c r="AT81" s="1"/>
  <c r="AZ81" s="1"/>
  <c r="BD81" s="1"/>
  <c r="R80"/>
  <c r="X79"/>
  <c r="AD79" s="1"/>
  <c r="R60"/>
  <c r="X60" s="1"/>
  <c r="AD60" s="1"/>
  <c r="AL60" s="1"/>
  <c r="AT60" s="1"/>
  <c r="AZ60" s="1"/>
  <c r="R59"/>
  <c r="X59" s="1"/>
  <c r="AD59" s="1"/>
  <c r="R57"/>
  <c r="X57" s="1"/>
  <c r="R50"/>
  <c r="X50" s="1"/>
  <c r="AD50" s="1"/>
  <c r="AL50" s="1"/>
  <c r="AT50" s="1"/>
  <c r="AZ50" s="1"/>
  <c r="BD50" s="1"/>
  <c r="R49"/>
  <c r="X49" s="1"/>
  <c r="AD49" s="1"/>
  <c r="AL49" s="1"/>
  <c r="AT49" s="1"/>
  <c r="AZ49" s="1"/>
  <c r="BD49" s="1"/>
  <c r="R43"/>
  <c r="X43" s="1"/>
  <c r="AD43" s="1"/>
  <c r="AL43" s="1"/>
  <c r="AT43" s="1"/>
  <c r="AZ43" s="1"/>
  <c r="X42"/>
  <c r="AD42" s="1"/>
  <c r="AL42" s="1"/>
  <c r="AT42" s="1"/>
  <c r="AZ42" s="1"/>
  <c r="BD42" s="1"/>
  <c r="X32"/>
  <c r="X31"/>
  <c r="X30"/>
  <c r="R18"/>
  <c r="X18" s="1"/>
  <c r="AD18" s="1"/>
  <c r="AL18" s="1"/>
  <c r="AT18" s="1"/>
  <c r="AZ18" s="1"/>
  <c r="R17"/>
  <c r="X17" s="1"/>
  <c r="AD17" s="1"/>
  <c r="AL17" s="1"/>
  <c r="AT17" s="1"/>
  <c r="AZ17" s="1"/>
  <c r="BD17" s="1"/>
  <c r="R16"/>
  <c r="X16" s="1"/>
  <c r="AD16" s="1"/>
  <c r="AL16" s="1"/>
  <c r="AT16" s="1"/>
  <c r="AZ16" s="1"/>
  <c r="BD16" s="1"/>
  <c r="R15"/>
  <c r="X15" s="1"/>
  <c r="AD15" s="1"/>
  <c r="AL15" s="1"/>
  <c r="AT15" s="1"/>
  <c r="AZ15" s="1"/>
  <c r="BD15" s="1"/>
  <c r="R14"/>
  <c r="X14" s="1"/>
  <c r="AD14" s="1"/>
  <c r="AL14" s="1"/>
  <c r="AT14" s="1"/>
  <c r="AZ14" s="1"/>
  <c r="BD14" s="1"/>
  <c r="R13"/>
  <c r="O112"/>
  <c r="O95"/>
  <c r="O94" s="1"/>
  <c r="O83"/>
  <c r="O78" s="1"/>
  <c r="AN58"/>
  <c r="AN55" s="1"/>
  <c r="S58"/>
  <c r="Y58" s="1"/>
  <c r="N55"/>
  <c r="K58"/>
  <c r="M28" l="1"/>
  <c r="Q28" s="1"/>
  <c r="AV55"/>
  <c r="W55"/>
  <c r="AC55" s="1"/>
  <c r="AK55" s="1"/>
  <c r="AS55" s="1"/>
  <c r="AC58"/>
  <c r="AK58" s="1"/>
  <c r="AS58" s="1"/>
  <c r="AD58"/>
  <c r="AL58" s="1"/>
  <c r="AT58" s="1"/>
  <c r="AZ58" s="1"/>
  <c r="BD58" s="1"/>
  <c r="AL59"/>
  <c r="AT59" s="1"/>
  <c r="AZ59" s="1"/>
  <c r="BD59" s="1"/>
  <c r="AD57"/>
  <c r="X87"/>
  <c r="AD87" s="1"/>
  <c r="R86"/>
  <c r="X86" s="1"/>
  <c r="X108"/>
  <c r="AD108" s="1"/>
  <c r="AL108" s="1"/>
  <c r="AT108" s="1"/>
  <c r="AZ108" s="1"/>
  <c r="BD108" s="1"/>
  <c r="R107"/>
  <c r="X107" s="1"/>
  <c r="AD107" s="1"/>
  <c r="AL107" s="1"/>
  <c r="AT107" s="1"/>
  <c r="AZ107" s="1"/>
  <c r="BD107" s="1"/>
  <c r="M11"/>
  <c r="Q11" s="1"/>
  <c r="W11" s="1"/>
  <c r="X13"/>
  <c r="AD13" s="1"/>
  <c r="AL13" s="1"/>
  <c r="AT13" s="1"/>
  <c r="AZ13" s="1"/>
  <c r="BD13" s="1"/>
  <c r="R12"/>
  <c r="R11" s="1"/>
  <c r="X80"/>
  <c r="AD80" s="1"/>
  <c r="AL80" s="1"/>
  <c r="AT80" s="1"/>
  <c r="AZ80" s="1"/>
  <c r="BD80" s="1"/>
  <c r="X40"/>
  <c r="AD40" s="1"/>
  <c r="AL40" s="1"/>
  <c r="AT40" s="1"/>
  <c r="AZ40" s="1"/>
  <c r="BD40" s="1"/>
  <c r="R39"/>
  <c r="Y11"/>
  <c r="AE11" s="1"/>
  <c r="AM11" s="1"/>
  <c r="AM8" s="1"/>
  <c r="AE12"/>
  <c r="AM12" s="1"/>
  <c r="AU12" s="1"/>
  <c r="X22"/>
  <c r="AD22" s="1"/>
  <c r="AL22" s="1"/>
  <c r="AT22" s="1"/>
  <c r="AZ22" s="1"/>
  <c r="BD22" s="1"/>
  <c r="K55"/>
  <c r="L8"/>
  <c r="T8"/>
  <c r="T9" s="1"/>
  <c r="T10" s="1"/>
  <c r="AG8"/>
  <c r="S55"/>
  <c r="Y55" s="1"/>
  <c r="R58"/>
  <c r="O55"/>
  <c r="O28"/>
  <c r="W8" l="1"/>
  <c r="AC11"/>
  <c r="AU11"/>
  <c r="AU8"/>
  <c r="AD55"/>
  <c r="AL55" s="1"/>
  <c r="AT55" s="1"/>
  <c r="AZ55" s="1"/>
  <c r="BD55" s="1"/>
  <c r="AL57"/>
  <c r="AT57" s="1"/>
  <c r="AZ57" s="1"/>
  <c r="BD57" s="1"/>
  <c r="AD86"/>
  <c r="AL86" s="1"/>
  <c r="AL87"/>
  <c r="R55"/>
  <c r="X58"/>
  <c r="X55" s="1"/>
  <c r="X11"/>
  <c r="AD11" s="1"/>
  <c r="X12"/>
  <c r="AD12" s="1"/>
  <c r="AL12" s="1"/>
  <c r="AT12" s="1"/>
  <c r="AZ12" s="1"/>
  <c r="BD12" s="1"/>
  <c r="M55"/>
  <c r="Q58"/>
  <c r="Q55" s="1"/>
  <c r="O8"/>
  <c r="O9" s="1"/>
  <c r="O10" s="1"/>
  <c r="AG9"/>
  <c r="AG10" s="1"/>
  <c r="AF29"/>
  <c r="AN29" s="1"/>
  <c r="AV29" s="1"/>
  <c r="K29"/>
  <c r="X39"/>
  <c r="AD39" s="1"/>
  <c r="AL39" s="1"/>
  <c r="AT39" s="1"/>
  <c r="AZ39" s="1"/>
  <c r="BD39" s="1"/>
  <c r="S39"/>
  <c r="Y39" s="1"/>
  <c r="AF39"/>
  <c r="AN39" s="1"/>
  <c r="AV39" s="1"/>
  <c r="K39"/>
  <c r="AC8" l="1"/>
  <c r="AK11"/>
  <c r="AS11" s="1"/>
  <c r="AL11"/>
  <c r="AT11" s="1"/>
  <c r="AZ11" s="1"/>
  <c r="BD11" s="1"/>
  <c r="Y28"/>
  <c r="R28"/>
  <c r="N51"/>
  <c r="R51" s="1"/>
  <c r="N52"/>
  <c r="R52" s="1"/>
  <c r="X52" s="1"/>
  <c r="AD52" s="1"/>
  <c r="AL52" s="1"/>
  <c r="AT52" s="1"/>
  <c r="AZ52" s="1"/>
  <c r="BD52" s="1"/>
  <c r="R48" l="1"/>
  <c r="X48" s="1"/>
  <c r="AD48" s="1"/>
  <c r="AL48" s="1"/>
  <c r="AT48" s="1"/>
  <c r="AZ48" s="1"/>
  <c r="BD48" s="1"/>
  <c r="X51"/>
  <c r="AD51" s="1"/>
  <c r="AL51" s="1"/>
  <c r="AT51" s="1"/>
  <c r="AZ51" s="1"/>
  <c r="BD51" s="1"/>
  <c r="K48"/>
  <c r="K28"/>
  <c r="K12"/>
  <c r="K11" s="1"/>
  <c r="AN48" l="1"/>
  <c r="AV48" s="1"/>
  <c r="N48"/>
  <c r="AN12" l="1"/>
  <c r="AV12" s="1"/>
  <c r="H18"/>
  <c r="I18" s="1"/>
  <c r="AN11" l="1"/>
  <c r="AV11" s="1"/>
  <c r="AN86"/>
  <c r="K86"/>
  <c r="N83" l="1"/>
  <c r="S83"/>
  <c r="AF83"/>
  <c r="K83"/>
  <c r="K78" l="1"/>
  <c r="M83"/>
  <c r="AF78"/>
  <c r="AN83"/>
  <c r="AV83" s="1"/>
  <c r="S78"/>
  <c r="Y78" s="1"/>
  <c r="Y83"/>
  <c r="N78"/>
  <c r="R83"/>
  <c r="K114"/>
  <c r="X83" l="1"/>
  <c r="AD83" s="1"/>
  <c r="AL83" s="1"/>
  <c r="AT83" s="1"/>
  <c r="AZ83" s="1"/>
  <c r="R78"/>
  <c r="X78" s="1"/>
  <c r="AD78" s="1"/>
  <c r="AL78" s="1"/>
  <c r="AT78" s="1"/>
  <c r="AZ78" s="1"/>
  <c r="BD78" s="1"/>
  <c r="M78"/>
  <c r="K112"/>
  <c r="M112" s="1"/>
  <c r="M114"/>
  <c r="AN78"/>
  <c r="AV78" s="1"/>
  <c r="R97"/>
  <c r="X97" s="1"/>
  <c r="AD97" s="1"/>
  <c r="AL97" s="1"/>
  <c r="AT97" s="1"/>
  <c r="AZ97" s="1"/>
  <c r="BD97" s="1"/>
  <c r="S97"/>
  <c r="Y97" s="1"/>
  <c r="AF97"/>
  <c r="AN97" s="1"/>
  <c r="AV97" s="1"/>
  <c r="N95"/>
  <c r="S95"/>
  <c r="AF95"/>
  <c r="AN95" s="1"/>
  <c r="AV95" s="1"/>
  <c r="K95"/>
  <c r="M95" s="1"/>
  <c r="N116"/>
  <c r="R116" s="1"/>
  <c r="X116" s="1"/>
  <c r="AD116" s="1"/>
  <c r="AL116" s="1"/>
  <c r="AT116" s="1"/>
  <c r="AZ116" s="1"/>
  <c r="BD116" s="1"/>
  <c r="S116"/>
  <c r="Y116" s="1"/>
  <c r="AF116"/>
  <c r="AN116" s="1"/>
  <c r="AV116" s="1"/>
  <c r="K116"/>
  <c r="M116" s="1"/>
  <c r="N112"/>
  <c r="R112" s="1"/>
  <c r="X112" s="1"/>
  <c r="AD112" s="1"/>
  <c r="AL112" s="1"/>
  <c r="AT112" s="1"/>
  <c r="AZ112" s="1"/>
  <c r="BD112" s="1"/>
  <c r="S112"/>
  <c r="Y112" s="1"/>
  <c r="AF112"/>
  <c r="AN112" s="1"/>
  <c r="AV112" s="1"/>
  <c r="K108"/>
  <c r="K109"/>
  <c r="M109" s="1"/>
  <c r="Q109" s="1"/>
  <c r="H14"/>
  <c r="H12" s="1"/>
  <c r="H29"/>
  <c r="H39"/>
  <c r="H48"/>
  <c r="H55"/>
  <c r="H78"/>
  <c r="H97"/>
  <c r="H94" s="1"/>
  <c r="H112"/>
  <c r="H116"/>
  <c r="G12"/>
  <c r="G29"/>
  <c r="G39"/>
  <c r="G48"/>
  <c r="G55"/>
  <c r="G78"/>
  <c r="G97"/>
  <c r="G94" s="1"/>
  <c r="G112"/>
  <c r="G116"/>
  <c r="I29"/>
  <c r="I41"/>
  <c r="I39" s="1"/>
  <c r="I48"/>
  <c r="I55"/>
  <c r="I79"/>
  <c r="I78" s="1"/>
  <c r="I95"/>
  <c r="I98"/>
  <c r="K98" s="1"/>
  <c r="I100"/>
  <c r="I112"/>
  <c r="J12"/>
  <c r="J29"/>
  <c r="J39"/>
  <c r="J48"/>
  <c r="J55"/>
  <c r="J78"/>
  <c r="J97"/>
  <c r="J94" s="1"/>
  <c r="J112"/>
  <c r="J116"/>
  <c r="G95"/>
  <c r="R95" l="1"/>
  <c r="R94" s="1"/>
  <c r="X94" s="1"/>
  <c r="AD94" s="1"/>
  <c r="AL94" s="1"/>
  <c r="AT94" s="1"/>
  <c r="AZ94" s="1"/>
  <c r="BD94" s="1"/>
  <c r="N94"/>
  <c r="Y95"/>
  <c r="Y94" s="1"/>
  <c r="Y8" s="1"/>
  <c r="S94"/>
  <c r="M108"/>
  <c r="K107"/>
  <c r="K97"/>
  <c r="M98"/>
  <c r="M97" s="1"/>
  <c r="M94" s="1"/>
  <c r="Q94" s="1"/>
  <c r="I116"/>
  <c r="AF94"/>
  <c r="AN94" s="1"/>
  <c r="AV94" s="1"/>
  <c r="I14"/>
  <c r="I12" s="1"/>
  <c r="I97"/>
  <c r="I94" s="1"/>
  <c r="G28"/>
  <c r="G11"/>
  <c r="H11"/>
  <c r="H28"/>
  <c r="S28"/>
  <c r="N28"/>
  <c r="J11"/>
  <c r="AF28"/>
  <c r="J28"/>
  <c r="I28"/>
  <c r="AE94" l="1"/>
  <c r="X95"/>
  <c r="AD95" s="1"/>
  <c r="AL95" s="1"/>
  <c r="AT95" s="1"/>
  <c r="AZ95" s="1"/>
  <c r="BD95" s="1"/>
  <c r="Q108"/>
  <c r="M107"/>
  <c r="Q107" s="1"/>
  <c r="Q97"/>
  <c r="K94"/>
  <c r="N8"/>
  <c r="AN28"/>
  <c r="AV28" s="1"/>
  <c r="AF8"/>
  <c r="S8"/>
  <c r="H8"/>
  <c r="I11"/>
  <c r="I8" s="1"/>
  <c r="G8"/>
  <c r="J8"/>
  <c r="AV8" l="1"/>
  <c r="M8"/>
  <c r="R8"/>
  <c r="X8" s="1"/>
  <c r="X28"/>
  <c r="AD28" s="1"/>
  <c r="AD8" s="1"/>
  <c r="K8"/>
  <c r="AF9"/>
  <c r="AF10" s="1"/>
  <c r="AN8"/>
  <c r="S9"/>
  <c r="S10" s="1"/>
  <c r="AE8"/>
  <c r="N9"/>
  <c r="N10" s="1"/>
  <c r="AL8" l="1"/>
  <c r="AL28"/>
  <c r="AT28" s="1"/>
  <c r="AZ28" s="1"/>
  <c r="BD28" s="1"/>
  <c r="Q8"/>
</calcChain>
</file>

<file path=xl/sharedStrings.xml><?xml version="1.0" encoding="utf-8"?>
<sst xmlns="http://schemas.openxmlformats.org/spreadsheetml/2006/main" count="635" uniqueCount="295">
  <si>
    <t>Прогнозная мощность                                                              (прогнозный прирост мощности)</t>
  </si>
  <si>
    <t>Наименование заказчика по объектам государственной (муниципальной) собственности</t>
  </si>
  <si>
    <t>Наименование главного распорядителя бюджетных средств</t>
  </si>
  <si>
    <t xml:space="preserve">Наименование объекта                                                                    </t>
  </si>
  <si>
    <t>Форма расходования бюджетных средств, направление                  инвестирования</t>
  </si>
  <si>
    <t xml:space="preserve">бюджетные инвестиции в объекты государственной собственности Архангельской области, строительство </t>
  </si>
  <si>
    <t>министерство транспорта Архангельской области</t>
  </si>
  <si>
    <t xml:space="preserve">министерство строительства и архитектуры Архангельской области </t>
  </si>
  <si>
    <t xml:space="preserve">ВСЕГО по областной адресной инвестиционной программе, в том числе:                                                                                                                                                                                </t>
  </si>
  <si>
    <t>330 мест</t>
  </si>
  <si>
    <t xml:space="preserve"> ГКУ Архангельской области "ГУКС"</t>
  </si>
  <si>
    <t>министерство топливно-энергетического комплекса и жилищно-коммунального хозяйства Архангельской области</t>
  </si>
  <si>
    <t>Прогнозный срок                                                            (начало / окончание)</t>
  </si>
  <si>
    <t xml:space="preserve">бюджетные инвестиции в объекты государственной собственности Архангельской области, проектирование и строительство </t>
  </si>
  <si>
    <t>ГКУ Архангельской области "ГУКС"</t>
  </si>
  <si>
    <t>2017 / 2019</t>
  </si>
  <si>
    <t>2017 / 2018</t>
  </si>
  <si>
    <t>120 мест</t>
  </si>
  <si>
    <t>министерство строительства и архитектуры Архангельской области</t>
  </si>
  <si>
    <t>1. Муниципальные дошкольные образовательные организации муниципальных образований Архангельской области, в том числе:</t>
  </si>
  <si>
    <t>субсидии на софинансирование капитальных вложений в объекты муниципальной собственности, строительство</t>
  </si>
  <si>
    <t>2. Общеобразовательные организации и профессиональные образовательные организации в Архангельской области, в том числе:</t>
  </si>
  <si>
    <t>320 мест</t>
  </si>
  <si>
    <t>240 мест</t>
  </si>
  <si>
    <t>60 мест</t>
  </si>
  <si>
    <t>-</t>
  </si>
  <si>
    <t>2018 / 2019</t>
  </si>
  <si>
    <t>853,63 м</t>
  </si>
  <si>
    <t>2016 / 2018</t>
  </si>
  <si>
    <t>1. Развитие сети учреждений культурно-досугового типа в сельской местности</t>
  </si>
  <si>
    <t>Общий объем капитальных вложений за счет всех источников, тыс. рублей</t>
  </si>
  <si>
    <t>1. Предоставление доступного и комфортного жилья 60 процентам семей, проживающих в Архангельской области и желающих улучшить свои жилищные условия, включая граждан – членов жилищно-строительных кооперативов, и ветеранам Великой Отечественной войны (строительство и приобретение жилья,  в том числе для использования в качестве маневренного жилищного фонда, и объектов инженерной инфраструктуры), из них:</t>
  </si>
  <si>
    <t>государственное казенное учреждение Архангельской области "Главное управление капитального строительства"                                                                                                (далее – ГКУ Архангельской области "ГУКС")</t>
  </si>
  <si>
    <t>администрация муниципального образования "Каргопольский муниципальный район"</t>
  </si>
  <si>
    <t>администрация муниципального образования "Город Архангельск"</t>
  </si>
  <si>
    <t>администрация муниципального образования "Красноборский муниципальный район"</t>
  </si>
  <si>
    <t>администрация муниципального образования "Вельский муниципальный район"</t>
  </si>
  <si>
    <t>администрация муниципального образования "Вилегодский муниципальный район"</t>
  </si>
  <si>
    <t>администрация муниципального образования "Котлас"</t>
  </si>
  <si>
    <t>2018 / -</t>
  </si>
  <si>
    <t>2017 / -</t>
  </si>
  <si>
    <t>администрация муниципального образования "Котласский муниципальный район"</t>
  </si>
  <si>
    <t>субсидии на софинансирование капитальных вложений в объекты муниципальной собственности, проектирование и строительство</t>
  </si>
  <si>
    <t>1) строительство газораспределительной сети в дер. Куимиха Котласского района Архангельской области</t>
  </si>
  <si>
    <t>Предлагаемые  изменения</t>
  </si>
  <si>
    <t>2) средняя общеобразовательная школа с эстетическим уклоном на 240 мест в пос. Ерцево Коношского района</t>
  </si>
  <si>
    <t>администрация муниципального образования "Северодвинск"</t>
  </si>
  <si>
    <t>Общий объем капитальных вложений за счет всех источников,              тыс. рублей</t>
  </si>
  <si>
    <t>2009 / 2018</t>
  </si>
  <si>
    <t>62 жилых дома                                                                                                                      (166 663,6 кв. м)</t>
  </si>
  <si>
    <t>2018 / 2018</t>
  </si>
  <si>
    <t>2018 / 2021</t>
  </si>
  <si>
    <t>2016 / 2019</t>
  </si>
  <si>
    <t>Общий (предельный) объем бюджетных ассигнований областного бюджета на 2019 год,                тыс. рублей</t>
  </si>
  <si>
    <t>2015 / 2018</t>
  </si>
  <si>
    <t xml:space="preserve">бюджетные инвестиции в объекты государственной собственности Архангельской области, реконструкция </t>
  </si>
  <si>
    <t>2018 / 2020</t>
  </si>
  <si>
    <t>2. Развитие газификации в сельской местности</t>
  </si>
  <si>
    <t>2013 / 2018</t>
  </si>
  <si>
    <t>1863 квартиры</t>
  </si>
  <si>
    <t>протяженность сетей газоснабжения –                                                                   11 км</t>
  </si>
  <si>
    <t>протяженность сетей газоснабжения –                                                                   3,6 км</t>
  </si>
  <si>
    <t>протяженность сетей газоснабжения –                                                                   5 км</t>
  </si>
  <si>
    <t>2,6 км</t>
  </si>
  <si>
    <t>субсидии на софинансирование капитальных вложений в объекты муниципальной собственности, приобретение</t>
  </si>
  <si>
    <t>2 судна</t>
  </si>
  <si>
    <t>2017 / 2020</t>
  </si>
  <si>
    <t>14,4 км</t>
  </si>
  <si>
    <t>агентство по развитию Соловецкого архипелага Архангельской области</t>
  </si>
  <si>
    <t xml:space="preserve">министерство культуры Архангельской области </t>
  </si>
  <si>
    <t>1. Пристройка сценическо-зрительного комплекса к основному зданию и реконструкция существующего здания Архангельского областного  театра кукол по адресу: г. Архангельск, просп. Троицкий, д. 5</t>
  </si>
  <si>
    <t>280 мест</t>
  </si>
  <si>
    <t>администрация муниципального образования                                                       "Город Архангельск"</t>
  </si>
  <si>
    <t>без ДФ</t>
  </si>
  <si>
    <t>мы</t>
  </si>
  <si>
    <t>администрация муниципального образования "Приморский муниципальный район"</t>
  </si>
  <si>
    <t>2015 / -</t>
  </si>
  <si>
    <t>протяженность сетей: ливневой канализации –                                                         494 м;
водоснабжения –                                                                                4 км</t>
  </si>
  <si>
    <t>администрация муниципального образования                                              "Мирный"</t>
  </si>
  <si>
    <t xml:space="preserve">субсидии на осуществление капитальных вложений в объекты капитального строительства государственной собственности Архангельской области, проектирование и строительство </t>
  </si>
  <si>
    <t>2016 / -</t>
  </si>
  <si>
    <t>1) приобретение речных судов по договорам лизинга</t>
  </si>
  <si>
    <t>15 коек</t>
  </si>
  <si>
    <t>2014 / 2021</t>
  </si>
  <si>
    <t>2014 / 2019</t>
  </si>
  <si>
    <t>1. Строительство больницы на 15 коек с поликлиникой на 100 посещений, Обозерский филиал ГБУЗ АО "Плесецкая ЦРБ"</t>
  </si>
  <si>
    <t>Общий (предельный) объем бюджетных ассигнований областного бюджета на 2018 год,                                                 тыс. рублей</t>
  </si>
  <si>
    <t>Общий (предельный) объем бюджетных ассигнований областного бюджета на 2020 год,                                                         тыс. рублей</t>
  </si>
  <si>
    <t>протяженность дороги – 21,725 км (2019 год – 6,3 км, 2021 год – 15,425 км)</t>
  </si>
  <si>
    <t>1. Футбольное поле и беговые дорожки на стадионе "Салют", расположенном по адресу: г. Котлас, пр. Мира, 45*</t>
  </si>
  <si>
    <t>1) начальная общеобразовательная школа на 320 учащихся в с. Красноборск Архангельской области</t>
  </si>
  <si>
    <t>3) строительство средней общеобразовательной школы на 250 мест с блоком временного проживания на 50 человек в с. Ровдино Шенкурского района</t>
  </si>
  <si>
    <t>250 мест</t>
  </si>
  <si>
    <t>860 мест</t>
  </si>
  <si>
    <t>администрация муниципального образования "Шенкурский муниципальный район"</t>
  </si>
  <si>
    <t>3. Обеспечение земельных участков, предоставляемых многодетным семьям и жилищно-строительным кооперативам, созданным многодетными семьями, для индивидуального жилищного строительства и ведения личного подсобного хозяйства, объектами инженерной инфраструктуры</t>
  </si>
  <si>
    <t>2. Строительство больницы в пос. Березник Виноградовского района Архангельской области</t>
  </si>
  <si>
    <t>45 коек</t>
  </si>
  <si>
    <t xml:space="preserve">20 посещений в смену </t>
  </si>
  <si>
    <t xml:space="preserve">бюджетные инвестиции в объекты государственной собственности Архангельской области, приобретение </t>
  </si>
  <si>
    <t>Предлагаемые изменения</t>
  </si>
  <si>
    <t>64 земельных                 участка</t>
  </si>
  <si>
    <t>администрация муниципального образования                                                       "Город Новодвинск"</t>
  </si>
  <si>
    <t>2018/2018</t>
  </si>
  <si>
    <t>0,72 км</t>
  </si>
  <si>
    <t>2015 / 2017</t>
  </si>
  <si>
    <t>68 675,0 кв. м</t>
  </si>
  <si>
    <t>3. Развитие сети образовательных организаций в сельской местности</t>
  </si>
  <si>
    <t>1) строительство школы на 90 мест в дер. Погост Вельского района</t>
  </si>
  <si>
    <t>90 мест</t>
  </si>
  <si>
    <t>2013 / 2016</t>
  </si>
  <si>
    <t>1,622 км</t>
  </si>
  <si>
    <t>субсидии на софинансирование капитальных вложений в объекты муниципальной собственности</t>
  </si>
  <si>
    <t>администрации муниципальных образований Архангельской области</t>
  </si>
  <si>
    <t>1. Строительство  многоквартирных домов, приобретение жилых помещений в многоквартирных домах и выплата выкупной цены собственникам жилых помещений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</si>
  <si>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 xml:space="preserve">5 240 кв. м жилых площадей
</t>
  </si>
  <si>
    <t>администрация муниципального образования "Лешуконский муниципальный район"</t>
  </si>
  <si>
    <t>15,7 тыс. экземпляров библиотечного фонда</t>
  </si>
  <si>
    <t>администрация муниципального образования "Пинежский муниципальный район"</t>
  </si>
  <si>
    <t>администрация муниципального образования "Мирный"</t>
  </si>
  <si>
    <t xml:space="preserve">бюджетные инвестиции в объекты государственной собственности Архангельской области,  проектирование и строительство </t>
  </si>
  <si>
    <t>3. Корректировка проектной документации для строительства здания фондохранилища государственного бюджетного учреждения культуры Архангельской области "Государственное музейное объединение "Художественная культура Русского Севера" в г. Архангельске для сохранения музейного фонда Российской Федерации</t>
  </si>
  <si>
    <t>2. Реконструкция аэропортового комплекса "Соловки", о. Соловецкий, Архангельская область</t>
  </si>
  <si>
    <t xml:space="preserve">2) газопровод высокого, среднего и низкого давления в МО "Аргуновское" Вельского района Архангельской области
</t>
  </si>
  <si>
    <t>1. Перевод жилищного фонда города Мирный Архангельской области на природный газ (перевод на природный газ жилых домов по ул. Ленина, 21, 23, 25, 26, 27, 28, 29, 30, 37, 41; ул. Пушкина, 5, 7, 9, 11, 15, 4, 6; ул. Овчинникова, 3, 4, 5, 6, 7, 8, 10, 15, 19, 22, 26; ул. Мира, 4, 6, 8, 10, 12, 16; ул. Неделина, 4, 6, 8, 16, 14, 22, 24, 26, 30; ул. Гагарина, 1, 3, 5, 7, 9, 11, 12, 13, 14, 14а, 16; ул. Чайковского, 2, 4, 5, 6, 8, 10, 12, 14; ул. Ломоносова, 9, 9а, 11, 13)*</t>
  </si>
  <si>
    <t>2. Строительство многоквартирных домов, приобретение жилых помещений в многоквартирных домах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</si>
  <si>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 xml:space="preserve">4 724,2 кв. м жилых площадей
</t>
  </si>
  <si>
    <t xml:space="preserve">бюджетные инвестиции в объекты государственной собственности Архангельской области, строительство / приобретение </t>
  </si>
  <si>
    <t xml:space="preserve">300 квартир                                                     </t>
  </si>
  <si>
    <t>2016 / 2021</t>
  </si>
  <si>
    <t>196 земельных участков</t>
  </si>
  <si>
    <t>1) детский сад на 280 мест в 7 микрорайоне территориального округа Майская горка города Архангельска*</t>
  </si>
  <si>
    <t>4) строительство средней общеобразовательной школы на 860 учащихся по ул. Дзержинского г. Вельска Архангельской области*</t>
  </si>
  <si>
    <t xml:space="preserve">1) фельдшерско-акушерский пункт
в дер. Окулово Приморского района Архангельской области
</t>
  </si>
  <si>
    <t>4. Развитие сети автомобильных дорог, ведущих к общественно значимым объектам сельских населенных пунктов, объектам производства и переработки сельскохозяйственной продукции</t>
  </si>
  <si>
    <t>2) строительство автомобильной дороги Подъезд к дер. Петариха от автомобильной дороги "Подъезд к дер. Макаровская" в Няндомском районе Архангельской области</t>
  </si>
  <si>
    <t>3) разработка проектной документации на реконструкцию автомобильной дороги Усть-Ваеньга – Осиново – Фалюки на участке км 85 – км 97 в Виноградовском районе Архангельской области</t>
  </si>
  <si>
    <t>220 мест</t>
  </si>
  <si>
    <t>2013 / 2019</t>
  </si>
  <si>
    <t>5) реконструкция городских автомобильных дорог                                                (ул. Неделина, ул. Гагарина, ул. Ломоносова, ул. Овчинникова, ул. Мира, ул. Степанченко) в г. Мирный Архангельской области</t>
  </si>
  <si>
    <t>4) реконструкция зданий жилищного фонда (устройство вентилируемых фасадов многоквартирных домов) в г. Мирный Архангельской области</t>
  </si>
  <si>
    <t>1650 м</t>
  </si>
  <si>
    <t>4. Укрепление правого берега реки Северная Двина в Соломбальском территориальном округе г. Архангельска на участке от ул. Маяковского 
до ул. Кедрова» (строительно – монтажные работы, вызванные корректировкой проектной документации по результатам инженерных изысканий)</t>
  </si>
  <si>
    <t>2019 / 2020</t>
  </si>
  <si>
    <t xml:space="preserve">бюджетные инвестиции в объекты государственной собственности Архангельской области, проектирование и реконструкция </t>
  </si>
  <si>
    <t>140,69 м</t>
  </si>
  <si>
    <t>1) строительство 300-квартирного дома по пр. Московскому                                                                                                                                                           в г. Архангельске</t>
  </si>
  <si>
    <t>8) детский сад на 220 мест в с. Карпогоры Пинежского района*</t>
  </si>
  <si>
    <t xml:space="preserve">7) обеспечение земельных участков дорожной инфраструктурой для строительства многоквартирных домов в VII жилом районе                                                                                                                 (ул. Стрелковая – ул. Карпогорская, длиной 1650 м)                                                                                                                                               </t>
  </si>
  <si>
    <t>3) детский сад на 120 мест в п. Каменка МО "Мезенский муниципальный район"</t>
  </si>
  <si>
    <t>1) разработка проектной документации на строительство автомобильной дороги Подъезд к дер. Шипицыно от автомобильной дороги М-8 "Холмогоры" в Шенкурском районе Архангельской области</t>
  </si>
  <si>
    <t>иные межбюджетные трансферты на софинансирование капитальных вложений в объекты муниципальной собственности, строительство</t>
  </si>
  <si>
    <t>администрация муниципального образования                                                                                                                                   "Мезенский муниципальный район"</t>
  </si>
  <si>
    <t>125 мест</t>
  </si>
  <si>
    <t>5) детский сад на 280 мест в 6 микрорайоне территориального округа Майская горка города Архангельска*</t>
  </si>
  <si>
    <t>1 проект</t>
  </si>
  <si>
    <t>3. Приобретение фельдшерско-акушерских пунктов в отдаленных населенных пунктах Архангельской области, в том числе:</t>
  </si>
  <si>
    <t>бюджетные инвестиции в объекты государственной собственности Архангельской области,                          строительство</t>
  </si>
  <si>
    <t>4. Участковая больница на 40 посещений и 10 коек в п. Соловецкий МО "Соловецкое"</t>
  </si>
  <si>
    <t>10 коек</t>
  </si>
  <si>
    <t>бюджетные инвестиции в объекты государственной собственности Архангельской области,         строительство</t>
  </si>
  <si>
    <t xml:space="preserve">ГКУ АО "Дирекция по развитию Соловецкого архипелага" </t>
  </si>
  <si>
    <t>2019 / 2019</t>
  </si>
  <si>
    <t>2020 / 2020</t>
  </si>
  <si>
    <t>4 306,5 кв. м</t>
  </si>
  <si>
    <t>2013 / -</t>
  </si>
  <si>
    <t>5. Строительство объекта незавершенного строительства – здания представительства администрации Архангельской области в поселке Соловецкий, проведение оценки воздействия на объект всемирного наследия ЮНЕСКО, технологическое присоединение к сетям электроснабжения</t>
  </si>
  <si>
    <t>2009 / -</t>
  </si>
  <si>
    <t>2) детский сад на 120 мест в пос. Катунино Приморского района Архангельской области*</t>
  </si>
  <si>
    <t>2)  фельдшерско-акушерский пункт в дер. Шиловская Вельского района Архангельской области</t>
  </si>
  <si>
    <t>3) фельдшерско-акушерский пункт в пос. Квазеньга Устьянского района Архангельской области</t>
  </si>
  <si>
    <t>4) фельдшерско-акушерский пункт в пос. Лайский Док Приморского района Архангельской области</t>
  </si>
  <si>
    <t>5) фельдшерско-акушерский пункт в дер. Никифоровская Шенкурского района Архангельской области</t>
  </si>
  <si>
    <t>6) фельдшерско-акушерский пункт в пос. Гринево Коношского района Архангельской области</t>
  </si>
  <si>
    <t>7) фельдшерско-акушерский пункт в дер. Нагорская Устьянского района Архангельской области</t>
  </si>
  <si>
    <t>8) фельдшерско-акушерский пункт в пос. Советский Устьянского района Архангельской области</t>
  </si>
  <si>
    <t>9) фельдшерско-акушерский пункт в дер. Гридино Няндомского района Архангельской области</t>
  </si>
  <si>
    <t>10) фельдшерско-акушерский пункт на ж/д ст. Бурачиха Няндомского района Архангельской области</t>
  </si>
  <si>
    <t>11) фельдшерско-акушерский пункт в дер. Уна Приморского района Архангельской области</t>
  </si>
  <si>
    <t>12) фельдшерско-акушерский пункт в дер. Верхняя Золотица Приморского района Архангельской области</t>
  </si>
  <si>
    <t>13) фельдшерско-акушерский пункт в дер. Усачевская Каргопольского района Архангельской области</t>
  </si>
  <si>
    <t>14) фельдшерско-акушерский пункт в с. Павловск Вилегодского района Архангельской области</t>
  </si>
  <si>
    <t>15) фельдшерско-акушерский пункт в дер. Летняя Золотица Приморского района Архангельской области</t>
  </si>
  <si>
    <t>16) фельдшерско-акушерский пункт в пос. Летнеозерский Плесецкого района Архангельской области</t>
  </si>
  <si>
    <t>4. Проектирование и строительство здания офиса врача общей практики на территории 29-го лесозавода города Архангельска</t>
  </si>
  <si>
    <t>2015 / 2019</t>
  </si>
  <si>
    <t>Предлагаемые изменений</t>
  </si>
  <si>
    <t>10,97 км</t>
  </si>
  <si>
    <t>2015/2020</t>
  </si>
  <si>
    <t>9) детский сад на 220 мест в округе Варавино-Фактория города Архангельска*</t>
  </si>
  <si>
    <t>2018/2019</t>
  </si>
  <si>
    <t>375 посещений в смену</t>
  </si>
  <si>
    <t>бюджетные инвестиции в объекты государственной собственности Архангельской области,  приобретение</t>
  </si>
  <si>
    <t>10 жилых помещений</t>
  </si>
  <si>
    <t>администрация муниципального образования "Холмогорский муниципальный район"</t>
  </si>
  <si>
    <t>4.  Выплата выкупной цены собственникам жилых помещений для расселения многоквартирного дома № 5 по ул. Северодвинской в г. Архангельске, признанного аварийным и подлежащим сносу</t>
  </si>
  <si>
    <t>180 коек</t>
  </si>
  <si>
    <t>3. Строительство тренажера для спортивного скалолазания (скалодрома) в г. Северодвинске</t>
  </si>
  <si>
    <t>40 мест</t>
  </si>
  <si>
    <t>2016/2020</t>
  </si>
  <si>
    <t>2. Строительство блочно-модульной котельной для муниципального бюджетного общеобразовательного учреждения "Емцовская средняя школа" Плесецкого района</t>
  </si>
  <si>
    <t>0,6 МВт</t>
  </si>
  <si>
    <t>министерство образования и науки Архангельской области</t>
  </si>
  <si>
    <t>администрация муниципального образования "Плесецкий муниципальный район"</t>
  </si>
  <si>
    <t xml:space="preserve">Субсидии на софинансирование капитальных вложений
в объекты муниципальной собственности
</t>
  </si>
  <si>
    <t>1 412,8 кв. м</t>
  </si>
  <si>
    <t>субсидии на осуществление капитальных вложений в приобретение объектов недвижимого имущества в государственную собственность</t>
  </si>
  <si>
    <t>ГАПОУ Архангельской области "Устьянский индустриальный техникум"</t>
  </si>
  <si>
    <t>ГБОУ Архангельской области "Киземская специальная (коррекционная) общеобразовательная школа-интернат"</t>
  </si>
  <si>
    <t>3. Приобретение учебной базы в пос. Октябрьский Устьянского района для нужд государственного автономного профессионального образовательного учреждения Архангельской области "Устьянский индустриальный техникум"</t>
  </si>
  <si>
    <t xml:space="preserve">4. Приобретение учебных мастерских в пос. Кизема Устьянского района для нужд государственного бюджетного общеобразовательного учреждения Архангельской области "Киземская специальная (коррекционная) общеобразовательная школа-интернат" </t>
  </si>
  <si>
    <t>571,4 кв. м</t>
  </si>
  <si>
    <t>251,8 кв. м</t>
  </si>
  <si>
    <t>292,4 кв. м</t>
  </si>
  <si>
    <t>258,6 кв. м</t>
  </si>
  <si>
    <t>2012 / 2015</t>
  </si>
  <si>
    <t>2011 / 2021</t>
  </si>
  <si>
    <t>государственное казенное учреждение Архангельской области "Дирекция по развитию Соловецкого архипелага"  (далее – ГКУ АО "Дирекция по развитию Соловецкого архипелага")</t>
  </si>
  <si>
    <t>45 чел. / смену</t>
  </si>
  <si>
    <t>64 чел. / смену</t>
  </si>
  <si>
    <t>6 чел. / час</t>
  </si>
  <si>
    <t>1. Здание специального учреждения УФМС в г. Архангельске</t>
  </si>
  <si>
    <t>1. Приобретение здания для ГБУ АО "Центр социальной адаптации для лиц без определенного места жительства и занятий"</t>
  </si>
  <si>
    <t>министерство труда, занятости и социального развития Архангельской области</t>
  </si>
  <si>
    <t>3. Выплата выкупной цены собственникам жилых помещений для расселения многоквартирных домов, признанных аварийными до 1 января 2012 года в связи с физическим износом и подлежащих сносу или реконструкции</t>
  </si>
  <si>
    <t>I.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"Обеспечение качественным, доступным жильем и объектами инженерной инфраструктуры населения Архангельской области (2014 – 2024 годы)"</t>
  </si>
  <si>
    <t>IX. Государственная программа Архангельской области                                                                                                                                                                                                            "Патриотическое воспитание, развитие физической культуры, спорта, туризма и повышение эффективности реализации молодежной политики в Архангельской области (2014 – 2024 годы)"</t>
  </si>
  <si>
    <t>2015/2021</t>
  </si>
  <si>
    <t>XII. Государственная программа Архангельской области "Обеспечение общественного порядка, профилактика преступности, коррупции, терроризма, экстремизма и незаконного потребления наркотических средств и психотропных веществ в Архангельской области (2014 – 2021 годы)"</t>
  </si>
  <si>
    <t>1. Строительство и реконструкция системы водоснабжения поселка Соловецкий, корректировка проектно-сметной документации, экспертиза проекта*</t>
  </si>
  <si>
    <t>6. Строительство канализационных сетей и коллекторов, канализационных очистных сооружений поселка Соловецкий, корректировка проектно-сметной документации, экспертиза проекта*</t>
  </si>
  <si>
    <t>7. Строительство комплекса по переработке и размещению отходов производства и потребления в поселке Соловецкий, корректировка проектно-сметной документации, экспертиза проекта*</t>
  </si>
  <si>
    <t>9) приобретение жилых помещений 
в МО "Емецкое", МО «Холмогорское"</t>
  </si>
  <si>
    <t xml:space="preserve">             ___________________________</t>
  </si>
  <si>
    <t>6) обеспечение земельных участков инженерной инфраструктурой для строительства многоквартирных домов в VI – VII жилых районах 
г. Архангельска (магистральные сети) (проектирование, строительство, выполнение кадастровых работ)</t>
  </si>
  <si>
    <t xml:space="preserve">8)  приобретение 4 жилых помещений 
в муниципальном образовании "Город Архангельск" </t>
  </si>
  <si>
    <t>5) строительство школы на 860 мест в территориальном округе Варавино-Фактория г. Архангельска*</t>
  </si>
  <si>
    <t>6) строительство школы на 90 учащихся в с. Долгощелье Мезенского района Архангельской области*</t>
  </si>
  <si>
    <t>ГБУК Архангельской области "Государственное музейное объединение "Художественная культура Русского Севера"</t>
  </si>
  <si>
    <t>5. Проектирование, корректировка проектной документации, проведение государственной экспертизы и завершение строительства объекта "Поликлиника на 375 посещений в смену в п. Плесецк Архангельской области"</t>
  </si>
  <si>
    <t>6. Лечебно-диагностический корпус ГБУЗ "Архангельская областная детская клиническая больница им. П.Г. Выжлецова"</t>
  </si>
  <si>
    <t xml:space="preserve">1. Реконструкция автомобильной дороги Усть-Ваеньга – Осиново – Фалюки (до дер. Задориха) на участке км 43 + 500 – км 63 + 000 </t>
  </si>
  <si>
    <t>6. Реконструкция мостового перехода через реку Вага на км 2 + 067 автомобильной дороги Вельск – Шангалы (повторная проверка достоверности сметной стоимости)</t>
  </si>
  <si>
    <t>государственное казенное учреждение Архангельской области "Дорожное агентство "Архангельскавтодор" (далее – ГКУ Архангельской области "Дорожное агентство "Архангельскавтодор")</t>
  </si>
  <si>
    <t>ГКУ Архангельской области "Дорожное агентство "Архангельскавтодор"</t>
  </si>
  <si>
    <t>3. Разработка (приобретение) проектной документации по объекту "Реконструкция аэропортового комплекса «Соловки", о. Соловецкий, Архангельская область"</t>
  </si>
  <si>
    <t>общая площадь – 987,08 кв. м</t>
  </si>
  <si>
    <t xml:space="preserve">Отчет об исполнении областной адресной инвестиционной программы за 2018 год </t>
  </si>
  <si>
    <t>Доведено предельных объемов финансирования министерством финансов Архангельской области до главных распорядителей средств областного бюджета</t>
  </si>
  <si>
    <t>к уточненной сводной бюджетной росписи на год</t>
  </si>
  <si>
    <t>Утверждено на год (в  ред. 14.12.2018                          № 34-4-ОЗ)</t>
  </si>
  <si>
    <t xml:space="preserve">Уточненная сводная бюджетная роспись на 2018 год </t>
  </si>
  <si>
    <t xml:space="preserve">Исполнено 
</t>
  </si>
  <si>
    <t>Исполнение 2018 года,                           в процентах</t>
  </si>
  <si>
    <t>к утвержденным показателям на год</t>
  </si>
  <si>
    <t>тыс. рублей</t>
  </si>
  <si>
    <r>
      <t>сети: водоснабжения – 113 м</t>
    </r>
    <r>
      <rPr>
        <vertAlign val="superscript"/>
        <sz val="12"/>
        <color indexed="8"/>
        <rFont val="Times New Roman"/>
        <family val="1"/>
        <charset val="204"/>
      </rPr>
      <t>3</t>
    </r>
    <r>
      <rPr>
        <sz val="12"/>
        <color indexed="8"/>
        <rFont val="Times New Roman"/>
        <family val="1"/>
        <charset val="204"/>
      </rPr>
      <t>/час; теплоснабжения – 7,1 Гкал/час; электроснабжения – 3562 кВт</t>
    </r>
  </si>
  <si>
    <r>
      <t>535 м</t>
    </r>
    <r>
      <rPr>
        <vertAlign val="superscript"/>
        <sz val="12"/>
        <color indexed="8"/>
        <rFont val="Times New Roman"/>
        <family val="1"/>
        <charset val="204"/>
      </rPr>
      <t>3</t>
    </r>
    <r>
      <rPr>
        <sz val="12"/>
        <color indexed="8"/>
        <rFont val="Times New Roman"/>
        <family val="1"/>
        <charset val="204"/>
      </rPr>
      <t xml:space="preserve"> / сутки</t>
    </r>
  </si>
  <si>
    <r>
      <t>46,66 тыс. м</t>
    </r>
    <r>
      <rPr>
        <vertAlign val="superscript"/>
        <sz val="12"/>
        <rFont val="Times New Roman"/>
        <family val="1"/>
        <charset val="204"/>
      </rPr>
      <t>3</t>
    </r>
  </si>
  <si>
    <r>
      <t xml:space="preserve"> </t>
    </r>
    <r>
      <rPr>
        <sz val="12"/>
        <rFont val="Times New Roman"/>
        <family val="1"/>
        <charset val="204"/>
      </rPr>
      <t>ГБУ АО "Центр социальной адаптации для лиц без определенного места жительства и занятий"</t>
    </r>
  </si>
  <si>
    <t>Приложение № 6 к пояснительной записке к отчету об исполнении областного бюджета за 2018 год  по форме приложения № 16 к областному закону "Об областном бюджете на 2018 год и на плановый период 2019 и 2020 годов"</t>
  </si>
  <si>
    <t>4) детский сад на 125 мест в Соломбальском территориальном округе города Архангельска*</t>
  </si>
  <si>
    <t xml:space="preserve">            * Условием предоставления субсидий бюджетам муниципальных образований Архангельской области на софинансирование объектов программы, по которым они являются заказчиками, является централизация закупок в соответствии с частью 7 статьи 26 Федерального закона от 5 апреля 2013 года № 44-ФЗ "О контрактной системе в сфере закупок товаров, работ, услуг для обеспечения государственных и муниципальных нужд"</t>
  </si>
  <si>
    <t>2) обеспечение объектами инженерной инфраструктуры                        300-квартирного дома по пр. Московскому в г. Архангельске</t>
  </si>
  <si>
    <t>3) реконструкция водопроводных очистных сооружений                       в пос. Сия Пинежского района*</t>
  </si>
  <si>
    <t>II. Государственная программа Архангельской области "Развитие образования и науки Архангельской области (2013 – 2025 годы)"</t>
  </si>
  <si>
    <t>III. Государственная программа Архангельской области "Культура Русского Севера (2013 – 2024 годы)"</t>
  </si>
  <si>
    <t>5. Строительство (приобретение) речных судов для осуществления грузопассажирских перевозок  на территории Архангельской области, в том числе:</t>
  </si>
  <si>
    <t>VII. Государственная программа Архангельской области "Устойчивое развитие сельских территорий Архангельской области (2014 – 2021 годы)"</t>
  </si>
  <si>
    <t>VIII. Государственная программа Архангельской области "Охрана окружающей среды, воспроизводство и использование природных ресурсов Архангельской области (2014 – 2024 годы)"</t>
  </si>
  <si>
    <t>X. Государственная программа Архангельской области "Развитие энергетики и жилищно-коммунального хозяйства Архангельской области (2014 – 2024 годы)"</t>
  </si>
  <si>
    <t>XI. Адресная программа Архангельской области "Переселение граждан из аварийного жилищного фонда"                                     на 2013 – 2018 годы</t>
  </si>
  <si>
    <t>2. Комплексное освоение территории 6 – 7 микрорайонов с целью развития жилищного строительства                       в г. Архангельске</t>
  </si>
  <si>
    <t>2) строительство инженерной инфраструктуры (водоснабжение) к земельным участкам для строительства индивидуальных жилых домов многодетным семьям в районе ул. Южная, д. 19,                                     г. Новодвинск. Строительство водопровода*</t>
  </si>
  <si>
    <t>1) обеспечение земельных участков, предоставляемых многодетным семьям для индивидуального жилищного строительства, объектами инженерной инфраструктуры (подъездные дороги в дер. Боброво, с. Емецке                                   и с. Матигоры)</t>
  </si>
  <si>
    <t>1) детский сад на 60 мест в пос. Турдеевск                                                        г. Архангельска*</t>
  </si>
  <si>
    <t>6) детский сад на 280 мест в г. Котласе Архангельской области по пр. Мира, д. 24а*</t>
  </si>
  <si>
    <t>7) детский сад на 280 мест в квартале 162                                                 г. Северодвинска*</t>
  </si>
  <si>
    <t>2. Строительство центра культурного развития                                      в г. Каргополе по адресу: Архангельская область,                                       г. Каргополь, ул. Гагарина</t>
  </si>
  <si>
    <t>4. Проектно-изыскательские работы для строительства здания фондохранилища государственного бюджетного учреждения культуры Архангельской области "Государственное музейное объединение "Художественная культура Русского Севера"                                      в г. Архангельске для сохранения музейного фонда Российской Федерации</t>
  </si>
  <si>
    <t>6. Приобретение здания библиотеки,  расположенного по адресу: Архангельская область, Лешуконский район, с. Лешуконское, ул. Октябрьская, д. 26</t>
  </si>
  <si>
    <t>5. Строительство автомобильной дороги по проезду Сибиряковцев в обход областной больницы                                               г. Архангельска</t>
  </si>
  <si>
    <t>IV. Государственная программа Архангельской области "Развитие здравоохранения Архангельской  области (2013 – 2024 годы)"</t>
  </si>
  <si>
    <t>V. Государственная программа Архангельской области "Развитие транспортной системы Архангельской области (2014 – 2024 годы)"</t>
  </si>
  <si>
    <t>3. Проектирование и строительство транспортных развязок в муниципальном образовании "Город Архангельск" (Этап 2. Реконструкция пересечения                             ул. Урицкого и пр. Обводного канала в муниципальном образовании "Город Архангельск")</t>
  </si>
  <si>
    <t>2. Проектирование и строительство транспортных развязок в муниципальном образовании "Город Архангельск" (Этап 1. Строительство транспортной развязки в разных уровнях на пересечении                                ул. Смольный Буян и пр. Обводного канала в муниципальном образовании "Город Архангельск")</t>
  </si>
  <si>
    <t>4. Реконструкция пр. Ленинградского                                                 от ул. Первомайской до ул. Смольный Буян в городе Архангельске</t>
  </si>
  <si>
    <t>VI. Государственная программа Архангельской области "Развитие инфраструктуры Соловецкого архипелага (2014 – 2021 годы)"</t>
  </si>
  <si>
    <t>1) строительство центра культурного развития на 120 мест в с. Ильинско-Подомское Вилегодского района Архангельской области*</t>
  </si>
  <si>
    <t>3) газопровод высокого, среднего и низкого давления в МО "Аргуновское" Вельского района Архангельской области (2 очередь)*</t>
  </si>
  <si>
    <t>1. Укрепление правого берега реки Северная Двина в Соломбальском территориальном округе                                                        г. Архангельска на участке от улицы Маяковского до улицы Кедрова (I этап, 1 подэтап)</t>
  </si>
  <si>
    <t>2. Укрепление правого берега реки Северная Двина в Соломбальском территориальном округе                                                    г. Архангельска на участке от ул. Маяковского                               до ул. Кедрова (I этап, 2 подэтап, и II этап)</t>
  </si>
  <si>
    <t>3. Осуществление функций авторского и археологического надзора, возмещение затрат, понесенных в ходе проведения надзоров, корректировка проектно-сметной документации и проведение проверки достоверности определения сметной стоимости по объекту "Укрепление правого берега реки Северная Двина в Соломбальском территориальном округе  г. Архангельска на участке от ул. Маяковского  до ул. Кедрова (I этап, 1 подэтап, I этап, 2 подэтап, и II этап)</t>
  </si>
  <si>
    <t>2. Физкультурно-оздоровительный комплекс с универсальным игровым залом  42 х 24 м по адресу: Архангельская обл., г. Северодвинск, о. Ягры,                               пр. Машиностроителей</t>
  </si>
  <si>
    <t>XIII. Государственная программа Архангельской области "Социальная поддержка граждан в Архангельской области (2013 – 2024 годы)"</t>
  </si>
</sst>
</file>

<file path=xl/styles.xml><?xml version="1.0" encoding="utf-8"?>
<styleSheet xmlns="http://schemas.openxmlformats.org/spreadsheetml/2006/main">
  <numFmts count="7">
    <numFmt numFmtId="43" formatCode="_-* #,##0.00_р_._-;\-* #,##0.00_р_._-;_-* &quot;-&quot;??_р_._-;_-@_-"/>
    <numFmt numFmtId="164" formatCode="_-* #,##0.00\ _₽_-;\-* #,##0.00\ _₽_-;_-* &quot;-&quot;??\ _₽_-;_-@_-"/>
    <numFmt numFmtId="165" formatCode="_-* #,##0.0_р_._-;\-* #,##0.0_р_._-;_-* &quot;-&quot;??_р_._-;_-@_-"/>
    <numFmt numFmtId="166" formatCode="_-* #,##0.0\ _₽_-;\-* #,##0.0\ _₽_-;_-* &quot;-&quot;?\ _₽_-;_-@_-"/>
    <numFmt numFmtId="167" formatCode="_-* #,##0.0_р_._-;\-* #,##0.0_р_._-;_-* &quot;-&quot;?_р_._-;_-@_-"/>
    <numFmt numFmtId="168" formatCode="#,##0.0"/>
    <numFmt numFmtId="169" formatCode="_-* #,##0.0000000000000_р_._-;\-* #,##0.0000000000000_р_._-;_-* &quot;-&quot;??_р_._-;_-@_-"/>
  </numFmts>
  <fonts count="28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  <charset val="204"/>
    </font>
    <font>
      <sz val="11"/>
      <color indexed="8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Arial Cyr"/>
    </font>
    <font>
      <sz val="12"/>
      <name val="Times New Roman"/>
      <family val="1"/>
      <charset val="204"/>
    </font>
    <font>
      <vertAlign val="superscript"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3"/>
      <color indexed="8"/>
      <name val="Times New Roman"/>
      <family val="1"/>
      <charset val="204"/>
    </font>
    <font>
      <sz val="13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5"/>
      <color indexed="8"/>
      <name val="Times New Roman"/>
      <family val="1"/>
      <charset val="204"/>
    </font>
    <font>
      <sz val="15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12">
    <xf numFmtId="0" fontId="0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8" fillId="0" borderId="5">
      <alignment horizontal="center" vertical="center" wrapText="1"/>
    </xf>
    <xf numFmtId="0" fontId="8" fillId="0" borderId="5">
      <alignment horizontal="center" vertical="center" wrapText="1"/>
    </xf>
    <xf numFmtId="0" fontId="8" fillId="0" borderId="7">
      <alignment horizontal="center" vertical="center" wrapText="1"/>
    </xf>
    <xf numFmtId="0" fontId="8" fillId="0" borderId="8">
      <alignment horizontal="center" vertical="center" wrapText="1"/>
    </xf>
    <xf numFmtId="49" fontId="8" fillId="0" borderId="8">
      <alignment horizontal="center" vertical="center" wrapText="1"/>
    </xf>
    <xf numFmtId="0" fontId="10" fillId="0" borderId="9">
      <alignment horizontal="left" vertical="center" wrapText="1"/>
    </xf>
    <xf numFmtId="0" fontId="7" fillId="0" borderId="0"/>
  </cellStyleXfs>
  <cellXfs count="107">
    <xf numFmtId="0" fontId="0" fillId="0" borderId="0" xfId="0"/>
    <xf numFmtId="0" fontId="0" fillId="0" borderId="0" xfId="0" applyFont="1" applyFill="1" applyBorder="1"/>
    <xf numFmtId="0" fontId="0" fillId="0" borderId="0" xfId="0" applyFont="1" applyFill="1"/>
    <xf numFmtId="0" fontId="2" fillId="0" borderId="0" xfId="0" applyFont="1" applyFill="1" applyAlignment="1"/>
    <xf numFmtId="0" fontId="3" fillId="0" borderId="0" xfId="0" applyFont="1" applyFill="1" applyAlignment="1"/>
    <xf numFmtId="0" fontId="6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vertical="center" wrapText="1"/>
    </xf>
    <xf numFmtId="165" fontId="3" fillId="0" borderId="1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/>
    <xf numFmtId="0" fontId="3" fillId="0" borderId="0" xfId="0" applyFont="1" applyFill="1" applyBorder="1"/>
    <xf numFmtId="0" fontId="9" fillId="0" borderId="0" xfId="0" applyFont="1" applyFill="1"/>
    <xf numFmtId="0" fontId="9" fillId="0" borderId="0" xfId="0" applyFont="1" applyFill="1" applyBorder="1"/>
    <xf numFmtId="0" fontId="3" fillId="0" borderId="0" xfId="0" applyFont="1" applyFill="1" applyBorder="1" applyAlignment="1"/>
    <xf numFmtId="0" fontId="11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/>
    </xf>
    <xf numFmtId="49" fontId="11" fillId="2" borderId="2" xfId="11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8" fontId="3" fillId="0" borderId="1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166" fontId="3" fillId="0" borderId="1" xfId="0" applyNumberFormat="1" applyFont="1" applyFill="1" applyBorder="1" applyAlignment="1">
      <alignment horizontal="center" vertical="center" wrapText="1"/>
    </xf>
    <xf numFmtId="167" fontId="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66" fontId="11" fillId="0" borderId="1" xfId="0" applyNumberFormat="1" applyFont="1" applyFill="1" applyBorder="1" applyAlignment="1">
      <alignment vertical="center" wrapText="1"/>
    </xf>
    <xf numFmtId="165" fontId="11" fillId="0" borderId="1" xfId="0" applyNumberFormat="1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/>
    </xf>
    <xf numFmtId="165" fontId="3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164" fontId="11" fillId="0" borderId="1" xfId="0" applyNumberFormat="1" applyFont="1" applyFill="1" applyBorder="1" applyAlignment="1">
      <alignment vertical="center" wrapText="1"/>
    </xf>
    <xf numFmtId="165" fontId="3" fillId="0" borderId="1" xfId="2" applyNumberFormat="1" applyFont="1" applyFill="1" applyBorder="1" applyAlignment="1">
      <alignment vertical="center"/>
    </xf>
    <xf numFmtId="169" fontId="3" fillId="0" borderId="1" xfId="0" applyNumberFormat="1" applyFont="1" applyFill="1" applyBorder="1" applyAlignment="1">
      <alignment vertical="center" wrapText="1"/>
    </xf>
    <xf numFmtId="165" fontId="3" fillId="0" borderId="1" xfId="1" applyNumberFormat="1" applyFont="1" applyFill="1" applyBorder="1" applyAlignment="1">
      <alignment vertical="center" wrapText="1"/>
    </xf>
    <xf numFmtId="165" fontId="3" fillId="0" borderId="1" xfId="1" applyNumberFormat="1" applyFont="1" applyFill="1" applyBorder="1" applyAlignment="1">
      <alignment horizontal="right" vertical="center"/>
    </xf>
    <xf numFmtId="165" fontId="3" fillId="0" borderId="1" xfId="2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/>
    </xf>
    <xf numFmtId="165" fontId="3" fillId="0" borderId="1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165" fontId="3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15" fillId="0" borderId="4" xfId="0" applyNumberFormat="1" applyFont="1" applyFill="1" applyBorder="1" applyAlignment="1">
      <alignment horizontal="center" vertical="center" wrapText="1"/>
    </xf>
    <xf numFmtId="165" fontId="3" fillId="0" borderId="4" xfId="2" applyNumberFormat="1" applyFont="1" applyFill="1" applyBorder="1" applyAlignment="1">
      <alignment vertical="center"/>
    </xf>
    <xf numFmtId="165" fontId="3" fillId="0" borderId="4" xfId="0" applyNumberFormat="1" applyFont="1" applyFill="1" applyBorder="1" applyAlignment="1">
      <alignment vertical="center" wrapText="1"/>
    </xf>
    <xf numFmtId="0" fontId="11" fillId="0" borderId="0" xfId="0" applyNumberFormat="1" applyFont="1" applyFill="1" applyBorder="1" applyAlignment="1">
      <alignment horizontal="left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15" fillId="0" borderId="0" xfId="0" applyNumberFormat="1" applyFont="1" applyFill="1" applyBorder="1" applyAlignment="1">
      <alignment horizontal="center" vertical="center" wrapText="1"/>
    </xf>
    <xf numFmtId="165" fontId="3" fillId="0" borderId="0" xfId="2" applyNumberFormat="1" applyFont="1" applyFill="1" applyBorder="1" applyAlignment="1">
      <alignment vertical="center"/>
    </xf>
    <xf numFmtId="165" fontId="3" fillId="0" borderId="0" xfId="0" applyNumberFormat="1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vertical="center" wrapText="1"/>
    </xf>
    <xf numFmtId="168" fontId="6" fillId="2" borderId="11" xfId="10" applyNumberFormat="1" applyFont="1" applyFill="1" applyBorder="1" applyAlignment="1" applyProtection="1">
      <alignment horizontal="center" vertical="center" wrapText="1"/>
    </xf>
    <xf numFmtId="168" fontId="11" fillId="0" borderId="15" xfId="0" applyNumberFormat="1" applyFont="1" applyBorder="1" applyAlignment="1">
      <alignment horizontal="center" vertical="center" wrapText="1"/>
    </xf>
    <xf numFmtId="0" fontId="11" fillId="2" borderId="12" xfId="11" applyFont="1" applyFill="1" applyBorder="1" applyAlignment="1">
      <alignment horizontal="center" vertical="center" wrapText="1"/>
    </xf>
    <xf numFmtId="0" fontId="11" fillId="2" borderId="13" xfId="1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68" fontId="11" fillId="2" borderId="10" xfId="11" applyNumberFormat="1" applyFont="1" applyFill="1" applyBorder="1" applyAlignment="1">
      <alignment horizontal="center" vertical="center" wrapText="1"/>
    </xf>
    <xf numFmtId="168" fontId="11" fillId="0" borderId="14" xfId="0" applyNumberFormat="1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8" fontId="11" fillId="2" borderId="2" xfId="11" applyNumberFormat="1" applyFont="1" applyFill="1" applyBorder="1" applyAlignment="1">
      <alignment horizontal="center" vertical="center" wrapText="1"/>
    </xf>
    <xf numFmtId="168" fontId="9" fillId="2" borderId="14" xfId="11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right" wrapText="1"/>
    </xf>
    <xf numFmtId="0" fontId="9" fillId="0" borderId="0" xfId="0" applyFont="1" applyAlignment="1">
      <alignment horizontal="right" wrapText="1"/>
    </xf>
    <xf numFmtId="168" fontId="6" fillId="2" borderId="6" xfId="10" applyNumberFormat="1" applyFont="1" applyFill="1" applyBorder="1" applyAlignment="1" applyProtection="1">
      <alignment horizontal="center" vertical="center" wrapText="1"/>
    </xf>
    <xf numFmtId="168" fontId="6" fillId="2" borderId="7" xfId="1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NumberFormat="1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0" fontId="17" fillId="0" borderId="1" xfId="0" applyNumberFormat="1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0" fontId="22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3" fillId="0" borderId="0" xfId="0" applyFont="1" applyAlignment="1">
      <alignment vertical="center" wrapText="1"/>
    </xf>
    <xf numFmtId="165" fontId="24" fillId="0" borderId="1" xfId="0" applyNumberFormat="1" applyFont="1" applyFill="1" applyBorder="1" applyAlignment="1">
      <alignment horizontal="right" vertical="center" wrapText="1"/>
    </xf>
    <xf numFmtId="165" fontId="25" fillId="2" borderId="1" xfId="0" applyNumberFormat="1" applyFont="1" applyFill="1" applyBorder="1" applyAlignment="1">
      <alignment horizontal="right" vertical="center" wrapText="1"/>
    </xf>
    <xf numFmtId="0" fontId="21" fillId="0" borderId="0" xfId="0" applyFont="1" applyFill="1" applyBorder="1" applyAlignment="1">
      <alignment horizontal="justify" vertical="center" wrapText="1"/>
    </xf>
    <xf numFmtId="0" fontId="23" fillId="0" borderId="0" xfId="0" applyFont="1" applyAlignment="1">
      <alignment horizontal="justify" vertical="center" wrapText="1"/>
    </xf>
    <xf numFmtId="43" fontId="26" fillId="0" borderId="0" xfId="1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</cellXfs>
  <cellStyles count="12">
    <cellStyle name="st66" xfId="8"/>
    <cellStyle name="st67" xfId="7"/>
    <cellStyle name="xl28" xfId="10"/>
    <cellStyle name="xl56" xfId="5"/>
    <cellStyle name="xl62" xfId="6"/>
    <cellStyle name="xl68" xfId="9"/>
    <cellStyle name="Обычный" xfId="0" builtinId="0"/>
    <cellStyle name="Обычный 3" xfId="11"/>
    <cellStyle name="Финансовый" xfId="1" builtinId="3"/>
    <cellStyle name="Финансовый 2" xfId="2"/>
    <cellStyle name="Финансовый 2 2" xfId="3"/>
    <cellStyle name="Финансов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/>
    <pageSetUpPr fitToPage="1"/>
  </sheetPr>
  <dimension ref="A1:BI143"/>
  <sheetViews>
    <sheetView showGridLines="0" tabSelected="1" view="pageBreakPreview" zoomScaleNormal="100" zoomScaleSheetLayoutView="100" workbookViewId="0"/>
  </sheetViews>
  <sheetFormatPr defaultRowHeight="15.75" outlineLevelRow="1"/>
  <cols>
    <col min="1" max="1" width="67.42578125" style="11" customWidth="1"/>
    <col min="2" max="2" width="19.85546875" style="11" customWidth="1"/>
    <col min="3" max="3" width="21.28515625" style="11" customWidth="1"/>
    <col min="4" max="4" width="16.5703125" style="11" customWidth="1"/>
    <col min="5" max="5" width="23.85546875" style="11" customWidth="1"/>
    <col min="6" max="6" width="12.28515625" style="11" customWidth="1"/>
    <col min="7" max="7" width="17.85546875" style="11" hidden="1" customWidth="1"/>
    <col min="8" max="8" width="18.42578125" style="11" hidden="1" customWidth="1"/>
    <col min="9" max="9" width="17.140625" style="11" hidden="1" customWidth="1"/>
    <col min="10" max="10" width="15.42578125" style="11" hidden="1" customWidth="1"/>
    <col min="11" max="18" width="15.85546875" style="11" hidden="1" customWidth="1"/>
    <col min="19" max="22" width="15" style="11" hidden="1" customWidth="1"/>
    <col min="23" max="23" width="15.85546875" style="11" hidden="1" customWidth="1"/>
    <col min="24" max="27" width="15" style="11" hidden="1" customWidth="1"/>
    <col min="28" max="28" width="15.28515625" style="11" hidden="1" customWidth="1"/>
    <col min="29" max="29" width="15.7109375" style="11" hidden="1" customWidth="1"/>
    <col min="30" max="35" width="15" style="11" hidden="1" customWidth="1"/>
    <col min="36" max="36" width="14.28515625" style="11" hidden="1" customWidth="1"/>
    <col min="37" max="37" width="16.42578125" style="11" hidden="1" customWidth="1"/>
    <col min="38" max="41" width="15" style="11" hidden="1" customWidth="1"/>
    <col min="42" max="44" width="16.28515625" style="11" hidden="1" customWidth="1"/>
    <col min="45" max="45" width="20.7109375" style="11" customWidth="1"/>
    <col min="46" max="46" width="16.28515625" style="11" hidden="1" customWidth="1"/>
    <col min="47" max="51" width="15" style="11" hidden="1" customWidth="1"/>
    <col min="52" max="52" width="19" style="11" customWidth="1"/>
    <col min="53" max="53" width="19.28515625" style="12" customWidth="1"/>
    <col min="54" max="54" width="22.28515625" style="12" customWidth="1"/>
    <col min="55" max="55" width="18.7109375" style="12" customWidth="1"/>
    <col min="56" max="56" width="16.85546875" style="12" customWidth="1"/>
    <col min="57" max="57" width="17.140625" style="11" customWidth="1"/>
    <col min="58" max="16384" width="9.140625" style="2"/>
  </cols>
  <sheetData>
    <row r="1" spans="1:57" ht="55.5" customHeight="1">
      <c r="BA1" s="103" t="s">
        <v>260</v>
      </c>
      <c r="BB1" s="104"/>
      <c r="BC1" s="104"/>
      <c r="BD1" s="104"/>
      <c r="BE1" s="104"/>
    </row>
    <row r="2" spans="1:57" ht="17.25" customHeight="1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3"/>
      <c r="T2" s="13"/>
      <c r="U2" s="13"/>
      <c r="V2" s="13"/>
      <c r="W2" s="13"/>
      <c r="X2" s="13"/>
      <c r="Y2" s="14"/>
      <c r="Z2" s="14"/>
      <c r="AA2" s="14"/>
      <c r="AB2" s="14"/>
      <c r="AC2" s="14"/>
      <c r="AD2" s="14"/>
      <c r="AE2" s="14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4"/>
      <c r="AV2" s="15"/>
      <c r="AW2" s="15"/>
      <c r="AX2" s="15"/>
      <c r="AY2" s="15"/>
      <c r="AZ2" s="15"/>
      <c r="BC2" s="11"/>
    </row>
    <row r="3" spans="1:57" ht="30.75" customHeight="1">
      <c r="A3" s="105" t="s">
        <v>247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  <c r="Y3" s="105"/>
      <c r="Z3" s="105"/>
      <c r="AA3" s="105"/>
      <c r="AB3" s="105"/>
      <c r="AC3" s="105"/>
      <c r="AD3" s="105"/>
      <c r="AE3" s="105"/>
      <c r="AF3" s="105"/>
      <c r="AG3" s="105"/>
      <c r="AH3" s="105"/>
      <c r="AI3" s="105"/>
      <c r="AJ3" s="105"/>
      <c r="AK3" s="105"/>
      <c r="AL3" s="105"/>
      <c r="AM3" s="105"/>
      <c r="AN3" s="105"/>
      <c r="AO3" s="105"/>
      <c r="AP3" s="105"/>
      <c r="AQ3" s="105"/>
      <c r="AR3" s="105"/>
      <c r="AS3" s="105"/>
      <c r="AT3" s="105"/>
      <c r="AU3" s="105"/>
      <c r="AV3" s="105"/>
      <c r="AW3" s="105"/>
      <c r="AX3" s="105"/>
      <c r="AY3" s="105"/>
      <c r="AZ3" s="105"/>
      <c r="BA3" s="106"/>
      <c r="BB3" s="106"/>
      <c r="BC3" s="106"/>
      <c r="BD3" s="106"/>
      <c r="BE3" s="106"/>
    </row>
    <row r="4" spans="1:57" ht="17.25" customHeight="1">
      <c r="A4" s="80" t="s">
        <v>255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1"/>
      <c r="AH4" s="81"/>
      <c r="AI4" s="81"/>
      <c r="AJ4" s="81"/>
      <c r="AK4" s="81"/>
      <c r="AL4" s="81"/>
      <c r="AM4" s="81"/>
      <c r="AN4" s="81"/>
      <c r="AO4" s="81"/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</row>
    <row r="5" spans="1:57" ht="32.25" customHeight="1">
      <c r="A5" s="73" t="s">
        <v>3</v>
      </c>
      <c r="B5" s="73" t="s">
        <v>0</v>
      </c>
      <c r="C5" s="73" t="s">
        <v>4</v>
      </c>
      <c r="D5" s="73" t="s">
        <v>2</v>
      </c>
      <c r="E5" s="73" t="s">
        <v>1</v>
      </c>
      <c r="F5" s="73" t="s">
        <v>12</v>
      </c>
      <c r="G5" s="73" t="s">
        <v>30</v>
      </c>
      <c r="H5" s="73" t="s">
        <v>44</v>
      </c>
      <c r="I5" s="73" t="s">
        <v>30</v>
      </c>
      <c r="J5" s="73" t="s">
        <v>44</v>
      </c>
      <c r="K5" s="73" t="s">
        <v>47</v>
      </c>
      <c r="L5" s="74" t="s">
        <v>100</v>
      </c>
      <c r="M5" s="73" t="s">
        <v>47</v>
      </c>
      <c r="N5" s="73" t="s">
        <v>86</v>
      </c>
      <c r="O5" s="74" t="s">
        <v>100</v>
      </c>
      <c r="P5" s="74" t="s">
        <v>100</v>
      </c>
      <c r="Q5" s="73" t="s">
        <v>47</v>
      </c>
      <c r="R5" s="73" t="s">
        <v>86</v>
      </c>
      <c r="S5" s="73" t="s">
        <v>53</v>
      </c>
      <c r="T5" s="74" t="s">
        <v>100</v>
      </c>
      <c r="U5" s="74" t="s">
        <v>100</v>
      </c>
      <c r="V5" s="74" t="s">
        <v>100</v>
      </c>
      <c r="W5" s="73" t="s">
        <v>47</v>
      </c>
      <c r="X5" s="73" t="s">
        <v>86</v>
      </c>
      <c r="Y5" s="73" t="s">
        <v>53</v>
      </c>
      <c r="Z5" s="74" t="s">
        <v>100</v>
      </c>
      <c r="AA5" s="74" t="s">
        <v>100</v>
      </c>
      <c r="AB5" s="74" t="s">
        <v>186</v>
      </c>
      <c r="AC5" s="73" t="s">
        <v>47</v>
      </c>
      <c r="AD5" s="73" t="s">
        <v>86</v>
      </c>
      <c r="AE5" s="73" t="s">
        <v>53</v>
      </c>
      <c r="AF5" s="73" t="s">
        <v>87</v>
      </c>
      <c r="AG5" s="74" t="s">
        <v>100</v>
      </c>
      <c r="AH5" s="74" t="s">
        <v>100</v>
      </c>
      <c r="AI5" s="74" t="s">
        <v>186</v>
      </c>
      <c r="AJ5" s="69" t="s">
        <v>100</v>
      </c>
      <c r="AK5" s="73" t="s">
        <v>47</v>
      </c>
      <c r="AL5" s="73" t="s">
        <v>86</v>
      </c>
      <c r="AM5" s="73" t="s">
        <v>53</v>
      </c>
      <c r="AN5" s="73" t="s">
        <v>87</v>
      </c>
      <c r="AO5" s="74" t="s">
        <v>100</v>
      </c>
      <c r="AP5" s="74" t="s">
        <v>186</v>
      </c>
      <c r="AQ5" s="69" t="s">
        <v>100</v>
      </c>
      <c r="AR5" s="69" t="s">
        <v>100</v>
      </c>
      <c r="AS5" s="73" t="s">
        <v>47</v>
      </c>
      <c r="AT5" s="73" t="s">
        <v>86</v>
      </c>
      <c r="AU5" s="73" t="s">
        <v>53</v>
      </c>
      <c r="AV5" s="73" t="s">
        <v>87</v>
      </c>
      <c r="AW5" s="74" t="s">
        <v>186</v>
      </c>
      <c r="AX5" s="69" t="s">
        <v>100</v>
      </c>
      <c r="AY5" s="69" t="s">
        <v>100</v>
      </c>
      <c r="AZ5" s="82" t="s">
        <v>250</v>
      </c>
      <c r="BA5" s="75" t="s">
        <v>251</v>
      </c>
      <c r="BB5" s="71" t="s">
        <v>248</v>
      </c>
      <c r="BC5" s="65" t="s">
        <v>252</v>
      </c>
      <c r="BD5" s="67" t="s">
        <v>253</v>
      </c>
      <c r="BE5" s="68"/>
    </row>
    <row r="6" spans="1:57" ht="123.75" customHeight="1">
      <c r="A6" s="73"/>
      <c r="B6" s="73"/>
      <c r="C6" s="74"/>
      <c r="D6" s="74"/>
      <c r="E6" s="74"/>
      <c r="F6" s="74"/>
      <c r="G6" s="73"/>
      <c r="H6" s="73"/>
      <c r="I6" s="73"/>
      <c r="J6" s="73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74"/>
      <c r="AE6" s="74"/>
      <c r="AF6" s="74"/>
      <c r="AG6" s="74"/>
      <c r="AH6" s="74"/>
      <c r="AI6" s="74"/>
      <c r="AJ6" s="70"/>
      <c r="AK6" s="74"/>
      <c r="AL6" s="74"/>
      <c r="AM6" s="74"/>
      <c r="AN6" s="74"/>
      <c r="AO6" s="74"/>
      <c r="AP6" s="74"/>
      <c r="AQ6" s="70"/>
      <c r="AR6" s="70"/>
      <c r="AS6" s="74"/>
      <c r="AT6" s="74"/>
      <c r="AU6" s="74"/>
      <c r="AV6" s="74"/>
      <c r="AW6" s="74"/>
      <c r="AX6" s="70"/>
      <c r="AY6" s="70"/>
      <c r="AZ6" s="83"/>
      <c r="BA6" s="76"/>
      <c r="BB6" s="72"/>
      <c r="BC6" s="66"/>
      <c r="BD6" s="16" t="s">
        <v>254</v>
      </c>
      <c r="BE6" s="16" t="s">
        <v>249</v>
      </c>
    </row>
    <row r="7" spans="1:57" ht="15" customHeight="1">
      <c r="A7" s="17">
        <v>1</v>
      </c>
      <c r="B7" s="17">
        <v>2</v>
      </c>
      <c r="C7" s="18">
        <v>3</v>
      </c>
      <c r="D7" s="18">
        <v>4</v>
      </c>
      <c r="E7" s="18">
        <v>5</v>
      </c>
      <c r="F7" s="18">
        <v>6</v>
      </c>
      <c r="G7" s="17"/>
      <c r="H7" s="17"/>
      <c r="I7" s="17"/>
      <c r="J7" s="17"/>
      <c r="K7" s="18">
        <v>7</v>
      </c>
      <c r="L7" s="18">
        <v>7</v>
      </c>
      <c r="M7" s="18">
        <v>7</v>
      </c>
      <c r="N7" s="18">
        <v>8</v>
      </c>
      <c r="O7" s="18">
        <v>8</v>
      </c>
      <c r="P7" s="18">
        <v>7</v>
      </c>
      <c r="Q7" s="18">
        <v>7</v>
      </c>
      <c r="R7" s="18">
        <v>8</v>
      </c>
      <c r="S7" s="18">
        <v>9</v>
      </c>
      <c r="T7" s="18">
        <v>9</v>
      </c>
      <c r="U7" s="18">
        <v>8</v>
      </c>
      <c r="V7" s="18">
        <v>7</v>
      </c>
      <c r="W7" s="18">
        <v>7</v>
      </c>
      <c r="X7" s="18">
        <v>8</v>
      </c>
      <c r="Y7" s="18">
        <v>9</v>
      </c>
      <c r="Z7" s="18">
        <v>9</v>
      </c>
      <c r="AA7" s="18">
        <v>8</v>
      </c>
      <c r="AB7" s="18">
        <v>7</v>
      </c>
      <c r="AC7" s="18">
        <v>7</v>
      </c>
      <c r="AD7" s="18">
        <v>8</v>
      </c>
      <c r="AE7" s="18">
        <v>9</v>
      </c>
      <c r="AF7" s="18">
        <v>10</v>
      </c>
      <c r="AG7" s="18">
        <v>10</v>
      </c>
      <c r="AH7" s="18">
        <v>9</v>
      </c>
      <c r="AI7" s="18">
        <v>8</v>
      </c>
      <c r="AJ7" s="18">
        <v>7</v>
      </c>
      <c r="AK7" s="18">
        <v>7</v>
      </c>
      <c r="AL7" s="18">
        <v>8</v>
      </c>
      <c r="AM7" s="18">
        <v>9</v>
      </c>
      <c r="AN7" s="18">
        <v>10</v>
      </c>
      <c r="AO7" s="18">
        <v>10</v>
      </c>
      <c r="AP7" s="18">
        <v>9</v>
      </c>
      <c r="AQ7" s="18">
        <v>8</v>
      </c>
      <c r="AR7" s="18">
        <v>7</v>
      </c>
      <c r="AS7" s="18">
        <v>7</v>
      </c>
      <c r="AT7" s="18">
        <v>8</v>
      </c>
      <c r="AU7" s="18">
        <v>9</v>
      </c>
      <c r="AV7" s="18">
        <v>10</v>
      </c>
      <c r="AW7" s="18">
        <v>10</v>
      </c>
      <c r="AX7" s="18">
        <v>9</v>
      </c>
      <c r="AY7" s="18">
        <v>8</v>
      </c>
      <c r="AZ7" s="18">
        <v>8</v>
      </c>
      <c r="BA7" s="18">
        <v>9</v>
      </c>
      <c r="BB7" s="18">
        <v>10</v>
      </c>
      <c r="BC7" s="18">
        <v>11</v>
      </c>
      <c r="BD7" s="18">
        <v>12</v>
      </c>
      <c r="BE7" s="18">
        <v>13</v>
      </c>
    </row>
    <row r="8" spans="1:57" ht="27" customHeight="1">
      <c r="A8" s="84" t="s">
        <v>8</v>
      </c>
      <c r="B8" s="85"/>
      <c r="C8" s="85"/>
      <c r="D8" s="85"/>
      <c r="E8" s="17"/>
      <c r="F8" s="17"/>
      <c r="G8" s="6" t="e">
        <f>G11+G28+G48+G55+#REF!+#REF!+G78+G94+G107+G112+G116+#REF!</f>
        <v>#REF!</v>
      </c>
      <c r="H8" s="6" t="e">
        <f>H11+H28+H48+H55+#REF!+#REF!+H78+H94+H107+H112+H116+#REF!</f>
        <v>#REF!</v>
      </c>
      <c r="I8" s="6" t="e">
        <f>I11+I28+I48+I55+#REF!+#REF!+I78+I94+I107+I112+I116+#REF!</f>
        <v>#REF!</v>
      </c>
      <c r="J8" s="6" t="e">
        <f>J11+J28+J48+J55+#REF!+#REF!+J78+J94+J107+J112+J116+#REF!</f>
        <v>#REF!</v>
      </c>
      <c r="K8" s="6" t="e">
        <f t="shared" ref="K8:P8" si="0">K11+K28+K48+K55+K78+K94+K107+K112+K116+K86+K119</f>
        <v>#REF!</v>
      </c>
      <c r="L8" s="6" t="e">
        <f t="shared" si="0"/>
        <v>#REF!</v>
      </c>
      <c r="M8" s="6">
        <f t="shared" si="0"/>
        <v>17502907.289999999</v>
      </c>
      <c r="N8" s="6" t="e">
        <f t="shared" si="0"/>
        <v>#REF!</v>
      </c>
      <c r="O8" s="6" t="e">
        <f t="shared" si="0"/>
        <v>#REF!</v>
      </c>
      <c r="P8" s="6">
        <f t="shared" si="0"/>
        <v>353708.1</v>
      </c>
      <c r="Q8" s="6">
        <f>M8+P8</f>
        <v>17856615.390000001</v>
      </c>
      <c r="R8" s="6">
        <f>R11+R28+R48+R55+R78+R94+R107+R112+R116+R86+R119</f>
        <v>1415738.2999999998</v>
      </c>
      <c r="S8" s="6" t="e">
        <f>S11+S28+S48+S55+S78+S94+S107+S112+S116+S86+S119</f>
        <v>#REF!</v>
      </c>
      <c r="T8" s="6" t="e">
        <f>T11+T28+T48+T55+T78+T94+T107+T112+T116+T86+T119</f>
        <v>#REF!</v>
      </c>
      <c r="U8" s="6">
        <f>U11+U28+U48+U55+U78+U94+U107+U112+U116+U86+U119</f>
        <v>86074.455999999991</v>
      </c>
      <c r="V8" s="6">
        <f>V48+V86+V55</f>
        <v>291949.15700000001</v>
      </c>
      <c r="W8" s="6">
        <f>W11+W28+W48+W55+W78+W86+W94+W107+W112+W116+W119+W123</f>
        <v>18149248.446999997</v>
      </c>
      <c r="X8" s="6">
        <f>R8+U8</f>
        <v>1501812.7559999998</v>
      </c>
      <c r="Y8" s="19">
        <f>Y11+Y28+Y48+Y55+Y78+Y94+Y107+Y112+Y116+Y86+Y119</f>
        <v>811827.55</v>
      </c>
      <c r="Z8" s="6">
        <f>Z11+Z28+Z48+Z55+Z78+Z94+Z107+Z112+Z116+Z86</f>
        <v>0</v>
      </c>
      <c r="AA8" s="6">
        <f>AA78+AA86+AA94+AA28+AA55+AA48</f>
        <v>198136.90000000002</v>
      </c>
      <c r="AB8" s="6">
        <f>AB11+AB28+AB48+AB55+AB78+AB86+AB94+AB107+AB112+AB116+AB119+AB123+AB125</f>
        <v>6753446.7999999998</v>
      </c>
      <c r="AC8" s="6">
        <f>AC11+AC28+AC48+AC55+AC78+AC86+AC94+AC107+AC112+AC116+AC119+AC123+AC125</f>
        <v>24902705.246999994</v>
      </c>
      <c r="AD8" s="6">
        <f>AD11+AD28+AD48+AD55+AD78+AD86+AD94+AD107+AD112+AD116+AD119+AD123</f>
        <v>1699808.6559999997</v>
      </c>
      <c r="AE8" s="6">
        <f>Y8+Z8</f>
        <v>811827.55</v>
      </c>
      <c r="AF8" s="6">
        <f>AF11+AF28+AF48+AF55+AF78+AF94+AF107+AF112+AF116+AF86+AF119</f>
        <v>743073.40000000014</v>
      </c>
      <c r="AG8" s="6">
        <f>AG11+AG28+AG48+AG55+AG78+AG94+AG107+AG112+AG116+AG86</f>
        <v>0</v>
      </c>
      <c r="AH8" s="6">
        <f>AH11+AH28+AH55</f>
        <v>136475.79999999999</v>
      </c>
      <c r="AI8" s="6">
        <f>AI11+AI28+AI48+AI55+AI78+AI86+AI94+AI107+AI112+AI116+AI119+AI123+AI125</f>
        <v>203224.9</v>
      </c>
      <c r="AJ8" s="6">
        <f>AJ11+AJ28</f>
        <v>-60286.10000000002</v>
      </c>
      <c r="AK8" s="6">
        <v>24910419.100000001</v>
      </c>
      <c r="AL8" s="6">
        <f>AD8+AI8</f>
        <v>1903033.5559999996</v>
      </c>
      <c r="AM8" s="6">
        <f>AM11+AM28+AM48+AM55+AM78+AM86+AM94+AM107+AM112+AM116+AM119+AM123</f>
        <v>948303.4</v>
      </c>
      <c r="AN8" s="6">
        <f>AF8+AG8</f>
        <v>743073.40000000014</v>
      </c>
      <c r="AO8" s="6">
        <f>AO11+AO28+AO55</f>
        <v>0</v>
      </c>
      <c r="AP8" s="6">
        <v>0</v>
      </c>
      <c r="AQ8" s="6">
        <f>AQ11+AQ48+AQ55+AQ78+AQ86</f>
        <v>2598.1999999999998</v>
      </c>
      <c r="AR8" s="6">
        <f>AR11+AR48+AR55+AR112</f>
        <v>-451.9</v>
      </c>
      <c r="AS8" s="101">
        <f>AK8+AR8</f>
        <v>24909967.200000003</v>
      </c>
      <c r="AT8" s="101">
        <v>1973481.8</v>
      </c>
      <c r="AU8" s="101">
        <f>AM8+AP8</f>
        <v>948303.4</v>
      </c>
      <c r="AV8" s="101">
        <f>AV11+AV28+AV48+AV55+AV78+AV86+AV94+AV107+AV112+AV116+AV119+AV123</f>
        <v>743073.40000000014</v>
      </c>
      <c r="AW8" s="101">
        <f>AW11+AW28+AW48+AW55+AW78+AW86+AW94+AW107+AW112+AW116+AW119+AW123</f>
        <v>0</v>
      </c>
      <c r="AX8" s="101"/>
      <c r="AY8" s="101">
        <f>AY11+AY48+AY55+AY112+AY78</f>
        <v>-217678</v>
      </c>
      <c r="AZ8" s="101">
        <f>AT8+AY8-29107.5</f>
        <v>1726696.3</v>
      </c>
      <c r="BA8" s="101">
        <v>1726696.3</v>
      </c>
      <c r="BB8" s="101">
        <f>BB11+BB28+BB48+BB55+BB78+BB86+BB94+BB107+BB112+BB116+BB119+BB123+BB125</f>
        <v>1377434.93301</v>
      </c>
      <c r="BC8" s="101">
        <f>BC11+BC28+BC48+BC55+BC78+BC86+BC94+BC107+BC112+BC116+BC119+BC123+BC125</f>
        <v>1357037.8909300002</v>
      </c>
      <c r="BD8" s="101">
        <f>BC8/AZ8*100</f>
        <v>78.591579244711426</v>
      </c>
      <c r="BE8" s="101">
        <f>BC8/BA8*100</f>
        <v>78.591579244711426</v>
      </c>
    </row>
    <row r="9" spans="1:57" ht="21.75" hidden="1" customHeight="1">
      <c r="A9" s="86"/>
      <c r="B9" s="87"/>
      <c r="C9" s="87"/>
      <c r="D9" s="87"/>
      <c r="E9" s="17"/>
      <c r="F9" s="17" t="s">
        <v>73</v>
      </c>
      <c r="G9" s="6"/>
      <c r="H9" s="6"/>
      <c r="I9" s="6"/>
      <c r="J9" s="6"/>
      <c r="K9" s="6"/>
      <c r="L9" s="6"/>
      <c r="M9" s="6"/>
      <c r="N9" s="6" t="e">
        <f>N8-N79-N80-N81</f>
        <v>#REF!</v>
      </c>
      <c r="O9" s="6" t="e">
        <f>O8-O79-O80-O81</f>
        <v>#REF!</v>
      </c>
      <c r="P9" s="6"/>
      <c r="Q9" s="6"/>
      <c r="R9" s="6"/>
      <c r="S9" s="6" t="e">
        <f>S8-S51-S79-S80-S81</f>
        <v>#REF!</v>
      </c>
      <c r="T9" s="6" t="e">
        <f>T8-T51-T79-T80-T81</f>
        <v>#REF!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>
        <f>AF8-AF51-AF79-AF80-AF81</f>
        <v>543343.20000000019</v>
      </c>
      <c r="AG9" s="6">
        <f>AG8-AG51-AG79-AG80-AG81</f>
        <v>0</v>
      </c>
      <c r="AH9" s="6"/>
      <c r="AI9" s="6"/>
      <c r="AJ9" s="6"/>
      <c r="AK9" s="6">
        <f t="shared" ref="AK9:AK10" si="1">AC9+AJ9</f>
        <v>0</v>
      </c>
      <c r="AL9" s="6"/>
      <c r="AM9" s="6"/>
      <c r="AN9" s="6"/>
      <c r="AO9" s="6"/>
      <c r="AP9" s="6"/>
      <c r="AQ9" s="6"/>
      <c r="AR9" s="6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101"/>
      <c r="BE9" s="101"/>
    </row>
    <row r="10" spans="1:57" ht="21.75" hidden="1" customHeight="1">
      <c r="A10" s="86"/>
      <c r="B10" s="87"/>
      <c r="C10" s="87"/>
      <c r="D10" s="87"/>
      <c r="E10" s="17"/>
      <c r="F10" s="17" t="s">
        <v>74</v>
      </c>
      <c r="G10" s="6"/>
      <c r="H10" s="6"/>
      <c r="I10" s="6"/>
      <c r="J10" s="6"/>
      <c r="K10" s="6"/>
      <c r="L10" s="6"/>
      <c r="M10" s="6"/>
      <c r="N10" s="6" t="e">
        <f>N9-N52-N84-N97-N117-N86</f>
        <v>#REF!</v>
      </c>
      <c r="O10" s="6" t="e">
        <f>O9-O52-O84-O97-O117-O86</f>
        <v>#REF!</v>
      </c>
      <c r="P10" s="6"/>
      <c r="Q10" s="6"/>
      <c r="R10" s="6"/>
      <c r="S10" s="6" t="e">
        <f>S9-S52-S84-S97-S117-S86</f>
        <v>#REF!</v>
      </c>
      <c r="T10" s="6" t="e">
        <f>T9-T52-T84-T97-T117-T86</f>
        <v>#REF!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>
        <f>AF9-AF52-AF84-AF97-AF117-AF86</f>
        <v>448343.20000000019</v>
      </c>
      <c r="AG10" s="6">
        <f>AG9-AG52-AG84-AG97-AG117-AG86</f>
        <v>0</v>
      </c>
      <c r="AH10" s="6"/>
      <c r="AI10" s="6"/>
      <c r="AJ10" s="6"/>
      <c r="AK10" s="6">
        <f t="shared" si="1"/>
        <v>0</v>
      </c>
      <c r="AL10" s="6"/>
      <c r="AM10" s="6"/>
      <c r="AN10" s="6"/>
      <c r="AO10" s="6"/>
      <c r="AP10" s="6"/>
      <c r="AQ10" s="6"/>
      <c r="AR10" s="6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</row>
    <row r="11" spans="1:57" ht="64.5" customHeight="1">
      <c r="A11" s="84" t="s">
        <v>225</v>
      </c>
      <c r="B11" s="88"/>
      <c r="C11" s="88"/>
      <c r="D11" s="88"/>
      <c r="E11" s="22"/>
      <c r="F11" s="6"/>
      <c r="G11" s="6">
        <f>G12+G24</f>
        <v>238051.1</v>
      </c>
      <c r="H11" s="6" t="e">
        <f>H12+H24</f>
        <v>#REF!</v>
      </c>
      <c r="I11" s="6" t="e">
        <f>I12+I24</f>
        <v>#REF!</v>
      </c>
      <c r="J11" s="6" t="e">
        <f>J12+J24</f>
        <v>#REF!</v>
      </c>
      <c r="K11" s="6" t="e">
        <f t="shared" ref="K11:P11" si="2">K12+K22+K24</f>
        <v>#REF!</v>
      </c>
      <c r="L11" s="6" t="e">
        <f t="shared" si="2"/>
        <v>#REF!</v>
      </c>
      <c r="M11" s="6">
        <f t="shared" si="2"/>
        <v>6140089.0499999998</v>
      </c>
      <c r="N11" s="6" t="e">
        <f t="shared" si="2"/>
        <v>#REF!</v>
      </c>
      <c r="O11" s="6" t="e">
        <f t="shared" si="2"/>
        <v>#REF!</v>
      </c>
      <c r="P11" s="6">
        <f t="shared" si="2"/>
        <v>2702.3</v>
      </c>
      <c r="Q11" s="6">
        <f>M11+P11</f>
        <v>6142791.3499999996</v>
      </c>
      <c r="R11" s="6">
        <f>R12+R22+R24</f>
        <v>145841.19999999998</v>
      </c>
      <c r="S11" s="6" t="e">
        <f>S12+S22+S24</f>
        <v>#REF!</v>
      </c>
      <c r="T11" s="6" t="e">
        <f>T12+T22+T24</f>
        <v>#REF!</v>
      </c>
      <c r="U11" s="6">
        <f>U12+U22+U24</f>
        <v>5505.2</v>
      </c>
      <c r="V11" s="6"/>
      <c r="W11" s="6">
        <f t="shared" ref="W11:W12" si="3">Q11+V11</f>
        <v>6142791.3499999996</v>
      </c>
      <c r="X11" s="6">
        <f t="shared" ref="X11:X116" si="4">R11+U11</f>
        <v>151346.4</v>
      </c>
      <c r="Y11" s="6">
        <f>Y12+Y22+Y24</f>
        <v>174059.5</v>
      </c>
      <c r="Z11" s="6">
        <f>Z12+Z22+Z24</f>
        <v>0</v>
      </c>
      <c r="AA11" s="6"/>
      <c r="AB11" s="6">
        <f>AB12+AB22+AB24+AB27</f>
        <v>46236.2</v>
      </c>
      <c r="AC11" s="6">
        <f t="shared" ref="AC11:AC83" si="5">W11+AB11</f>
        <v>6189027.5499999998</v>
      </c>
      <c r="AD11" s="6">
        <f t="shared" ref="AD11:AD103" si="6">X11+AA11</f>
        <v>151346.4</v>
      </c>
      <c r="AE11" s="6">
        <f t="shared" ref="AE11:AE22" si="7">Y11+Z11</f>
        <v>174059.5</v>
      </c>
      <c r="AF11" s="6">
        <f>AF12+AF22+AF24</f>
        <v>82795.399999999994</v>
      </c>
      <c r="AG11" s="6">
        <f>AG12+AG22+AG24</f>
        <v>0</v>
      </c>
      <c r="AH11" s="6">
        <f>AH12</f>
        <v>-6000</v>
      </c>
      <c r="AI11" s="6">
        <f>AI12+AI22+AI24+AI27</f>
        <v>40801.800000000003</v>
      </c>
      <c r="AJ11" s="6">
        <f>AJ12+AJ22+AJ24</f>
        <v>-44882.3</v>
      </c>
      <c r="AK11" s="6">
        <f>AC11+AJ11</f>
        <v>6144145.25</v>
      </c>
      <c r="AL11" s="6">
        <f t="shared" ref="AL11:AL83" si="8">AD11+AI11</f>
        <v>192148.2</v>
      </c>
      <c r="AM11" s="6">
        <f>AE11+AH11</f>
        <v>168059.5</v>
      </c>
      <c r="AN11" s="6">
        <f t="shared" ref="AN11:AN119" si="9">AF11+AG11</f>
        <v>82795.399999999994</v>
      </c>
      <c r="AO11" s="6">
        <f>AO12</f>
        <v>-22385.4</v>
      </c>
      <c r="AP11" s="6">
        <f>AP12+AP22+AP24+AP27</f>
        <v>-34407.300000000003</v>
      </c>
      <c r="AQ11" s="6">
        <f>AQ12</f>
        <v>1277.2</v>
      </c>
      <c r="AR11" s="6">
        <f>AR24</f>
        <v>-141.5</v>
      </c>
      <c r="AS11" s="101">
        <f t="shared" ref="AS11:AS74" si="10">AK11+AR11</f>
        <v>6144003.75</v>
      </c>
      <c r="AT11" s="101">
        <f t="shared" ref="AT11:AT75" si="11">AL11+AQ11</f>
        <v>193425.40000000002</v>
      </c>
      <c r="AU11" s="101">
        <f t="shared" ref="AU11:AU83" si="12">AM11+AP11</f>
        <v>133652.20000000001</v>
      </c>
      <c r="AV11" s="101">
        <f t="shared" ref="AV11:AV100" si="13">AN11+AO11</f>
        <v>60409.999999999993</v>
      </c>
      <c r="AW11" s="101"/>
      <c r="AX11" s="101"/>
      <c r="AY11" s="101">
        <f>AY24</f>
        <v>-141.5</v>
      </c>
      <c r="AZ11" s="101">
        <f t="shared" ref="AZ11:AZ74" si="14">AT11+AY11</f>
        <v>193283.90000000002</v>
      </c>
      <c r="BA11" s="101">
        <v>193283.90000000002</v>
      </c>
      <c r="BB11" s="101">
        <f>BB12+BB22+BB24</f>
        <v>169341.14348</v>
      </c>
      <c r="BC11" s="101">
        <f>BC12+BC22+BC24</f>
        <v>169267.19828000001</v>
      </c>
      <c r="BD11" s="101">
        <f t="shared" ref="BD11:BD59" si="15">BC11/AZ11*100</f>
        <v>87.574390976175451</v>
      </c>
      <c r="BE11" s="101">
        <f t="shared" ref="BE11:BE59" si="16">BC11/BA11*100</f>
        <v>87.574390976175451</v>
      </c>
    </row>
    <row r="12" spans="1:57" ht="103.5" customHeight="1">
      <c r="A12" s="84" t="s">
        <v>31</v>
      </c>
      <c r="B12" s="84"/>
      <c r="C12" s="84"/>
      <c r="D12" s="84"/>
      <c r="E12" s="23"/>
      <c r="F12" s="24"/>
      <c r="G12" s="6">
        <f>SUM(G14:G14)</f>
        <v>238051.1</v>
      </c>
      <c r="H12" s="6" t="e">
        <f>H14+#REF!</f>
        <v>#REF!</v>
      </c>
      <c r="I12" s="6" t="e">
        <f>I14+#REF!+#REF!</f>
        <v>#REF!</v>
      </c>
      <c r="J12" s="6" t="e">
        <f>J14+#REF!+#REF!</f>
        <v>#REF!</v>
      </c>
      <c r="K12" s="6">
        <f>SUM(K13:K18)</f>
        <v>5782567.5500000007</v>
      </c>
      <c r="L12" s="6">
        <f>SUM(L13:L18)</f>
        <v>0</v>
      </c>
      <c r="M12" s="6">
        <f>SUM(M13:M19)</f>
        <v>5836877.9500000002</v>
      </c>
      <c r="N12" s="6">
        <f t="shared" ref="N12:P12" si="17">SUM(N13:N19)</f>
        <v>179953.3</v>
      </c>
      <c r="O12" s="6">
        <f t="shared" si="17"/>
        <v>-64616.5</v>
      </c>
      <c r="P12" s="6">
        <f t="shared" si="17"/>
        <v>2702.3</v>
      </c>
      <c r="Q12" s="6">
        <f>M12+P12</f>
        <v>5839580.25</v>
      </c>
      <c r="R12" s="6">
        <f>SUM(R13:R19)</f>
        <v>115336.8</v>
      </c>
      <c r="S12" s="6">
        <f t="shared" ref="S12:U12" si="18">SUM(S13:S19)</f>
        <v>63329.7</v>
      </c>
      <c r="T12" s="6">
        <f t="shared" si="18"/>
        <v>0</v>
      </c>
      <c r="U12" s="6">
        <f t="shared" si="18"/>
        <v>2.2999999999999998</v>
      </c>
      <c r="V12" s="6"/>
      <c r="W12" s="6">
        <f t="shared" si="3"/>
        <v>5839580.25</v>
      </c>
      <c r="X12" s="6">
        <f t="shared" si="4"/>
        <v>115339.1</v>
      </c>
      <c r="Y12" s="6">
        <f t="shared" ref="Y12:AF12" si="19">Y13+Y14+Y15+Y16+Y17+Y18</f>
        <v>63329.7</v>
      </c>
      <c r="Z12" s="6">
        <f t="shared" si="19"/>
        <v>0</v>
      </c>
      <c r="AA12" s="6"/>
      <c r="AB12" s="6">
        <f>AB20+AB21</f>
        <v>35008.199999999997</v>
      </c>
      <c r="AC12" s="6">
        <f t="shared" si="5"/>
        <v>5874588.4500000002</v>
      </c>
      <c r="AD12" s="6">
        <f t="shared" si="6"/>
        <v>115339.1</v>
      </c>
      <c r="AE12" s="6">
        <f t="shared" si="7"/>
        <v>63329.7</v>
      </c>
      <c r="AF12" s="6">
        <f t="shared" si="19"/>
        <v>82795.399999999994</v>
      </c>
      <c r="AG12" s="6">
        <f>SUM(AG13:AG18)</f>
        <v>0</v>
      </c>
      <c r="AH12" s="6">
        <f>AH18</f>
        <v>-6000</v>
      </c>
      <c r="AI12" s="6">
        <f>AI14+AI20+AI21</f>
        <v>30237</v>
      </c>
      <c r="AJ12" s="6">
        <f>AJ13+AJ14</f>
        <v>26053.200000000001</v>
      </c>
      <c r="AK12" s="6">
        <f t="shared" ref="AK12:AK76" si="20">AC12+AJ12</f>
        <v>5900641.6500000004</v>
      </c>
      <c r="AL12" s="6">
        <f t="shared" si="8"/>
        <v>145576.1</v>
      </c>
      <c r="AM12" s="6">
        <f>AE12+AH12</f>
        <v>57329.7</v>
      </c>
      <c r="AN12" s="6">
        <f t="shared" si="9"/>
        <v>82795.399999999994</v>
      </c>
      <c r="AO12" s="6">
        <f>AO18</f>
        <v>-22385.4</v>
      </c>
      <c r="AP12" s="6"/>
      <c r="AQ12" s="6">
        <f>AQ13+AQ15</f>
        <v>1277.2</v>
      </c>
      <c r="AR12" s="6"/>
      <c r="AS12" s="101">
        <f t="shared" si="10"/>
        <v>5900641.6500000004</v>
      </c>
      <c r="AT12" s="101">
        <f t="shared" si="11"/>
        <v>146853.30000000002</v>
      </c>
      <c r="AU12" s="101">
        <f t="shared" si="12"/>
        <v>57329.7</v>
      </c>
      <c r="AV12" s="101">
        <f t="shared" si="13"/>
        <v>60409.999999999993</v>
      </c>
      <c r="AW12" s="101"/>
      <c r="AX12" s="101"/>
      <c r="AY12" s="101"/>
      <c r="AZ12" s="101">
        <f t="shared" si="14"/>
        <v>146853.30000000002</v>
      </c>
      <c r="BA12" s="101">
        <v>146853.30000000002</v>
      </c>
      <c r="BB12" s="101">
        <f>BB13+BB14+BB15+BB16+BB17+BB18+BB19+BB20+BB21</f>
        <v>136878.75018</v>
      </c>
      <c r="BC12" s="101">
        <f>BC13+BC14+BC15+BC16+BC17+BC18+BC19+BC20+BC21</f>
        <v>136870.50549000001</v>
      </c>
      <c r="BD12" s="101">
        <f t="shared" si="15"/>
        <v>93.20219939899205</v>
      </c>
      <c r="BE12" s="101">
        <f t="shared" si="16"/>
        <v>93.20219939899205</v>
      </c>
    </row>
    <row r="13" spans="1:57" ht="164.25" customHeight="1">
      <c r="A13" s="89" t="s">
        <v>146</v>
      </c>
      <c r="B13" s="25" t="s">
        <v>128</v>
      </c>
      <c r="C13" s="26" t="s">
        <v>5</v>
      </c>
      <c r="D13" s="26" t="s">
        <v>7</v>
      </c>
      <c r="E13" s="26" t="s">
        <v>32</v>
      </c>
      <c r="F13" s="26" t="s">
        <v>129</v>
      </c>
      <c r="G13" s="6"/>
      <c r="H13" s="6"/>
      <c r="I13" s="6"/>
      <c r="J13" s="6"/>
      <c r="K13" s="6">
        <v>419054.45</v>
      </c>
      <c r="L13" s="6"/>
      <c r="M13" s="6">
        <v>473364.85000000003</v>
      </c>
      <c r="N13" s="27">
        <v>68906.2</v>
      </c>
      <c r="O13" s="27">
        <v>-64616.5</v>
      </c>
      <c r="P13" s="6"/>
      <c r="Q13" s="27">
        <v>473364.85000000003</v>
      </c>
      <c r="R13" s="6">
        <f t="shared" ref="R13:R117" si="21">N13+O13</f>
        <v>4289.6999999999971</v>
      </c>
      <c r="S13" s="6">
        <v>0</v>
      </c>
      <c r="T13" s="6">
        <v>0</v>
      </c>
      <c r="U13" s="6"/>
      <c r="V13" s="6"/>
      <c r="W13" s="6">
        <v>473364.85000000003</v>
      </c>
      <c r="X13" s="6">
        <f t="shared" si="4"/>
        <v>4289.6999999999971</v>
      </c>
      <c r="Y13" s="6">
        <f t="shared" ref="Y13:Y117" si="22">S13+T13</f>
        <v>0</v>
      </c>
      <c r="Z13" s="6"/>
      <c r="AA13" s="6"/>
      <c r="AB13" s="6"/>
      <c r="AC13" s="6">
        <f t="shared" si="5"/>
        <v>473364.85000000003</v>
      </c>
      <c r="AD13" s="6">
        <f t="shared" si="6"/>
        <v>4289.6999999999971</v>
      </c>
      <c r="AE13" s="6">
        <f t="shared" si="7"/>
        <v>0</v>
      </c>
      <c r="AF13" s="6">
        <v>0</v>
      </c>
      <c r="AG13" s="6"/>
      <c r="AH13" s="6"/>
      <c r="AI13" s="6"/>
      <c r="AJ13" s="6">
        <v>25998.5</v>
      </c>
      <c r="AK13" s="6">
        <f t="shared" si="20"/>
        <v>499363.35000000003</v>
      </c>
      <c r="AL13" s="6">
        <f t="shared" si="8"/>
        <v>4289.6999999999971</v>
      </c>
      <c r="AM13" s="6">
        <v>0</v>
      </c>
      <c r="AN13" s="6">
        <f t="shared" si="9"/>
        <v>0</v>
      </c>
      <c r="AO13" s="6"/>
      <c r="AP13" s="6"/>
      <c r="AQ13" s="6">
        <v>3210.9</v>
      </c>
      <c r="AR13" s="6"/>
      <c r="AS13" s="101">
        <f t="shared" si="10"/>
        <v>499363.35000000003</v>
      </c>
      <c r="AT13" s="101">
        <f t="shared" si="11"/>
        <v>7500.5999999999967</v>
      </c>
      <c r="AU13" s="101">
        <f t="shared" si="12"/>
        <v>0</v>
      </c>
      <c r="AV13" s="101">
        <f t="shared" si="13"/>
        <v>0</v>
      </c>
      <c r="AW13" s="101"/>
      <c r="AX13" s="101"/>
      <c r="AY13" s="101"/>
      <c r="AZ13" s="101">
        <f t="shared" si="14"/>
        <v>7500.5999999999967</v>
      </c>
      <c r="BA13" s="101">
        <v>7500.5999999999967</v>
      </c>
      <c r="BB13" s="101">
        <v>7500.5619999999999</v>
      </c>
      <c r="BC13" s="101">
        <v>7500.5619999999999</v>
      </c>
      <c r="BD13" s="101">
        <f t="shared" si="15"/>
        <v>99.999493373863473</v>
      </c>
      <c r="BE13" s="101">
        <f t="shared" si="16"/>
        <v>99.999493373863473</v>
      </c>
    </row>
    <row r="14" spans="1:57" ht="135" customHeight="1">
      <c r="A14" s="86" t="s">
        <v>263</v>
      </c>
      <c r="B14" s="28" t="s">
        <v>256</v>
      </c>
      <c r="C14" s="17" t="s">
        <v>5</v>
      </c>
      <c r="D14" s="17" t="s">
        <v>7</v>
      </c>
      <c r="E14" s="17" t="s">
        <v>14</v>
      </c>
      <c r="F14" s="17" t="s">
        <v>16</v>
      </c>
      <c r="G14" s="6">
        <v>238051.1</v>
      </c>
      <c r="H14" s="6">
        <f>15000+17938.4+9719.5</f>
        <v>42657.9</v>
      </c>
      <c r="I14" s="6">
        <f>G14+H14</f>
        <v>280709</v>
      </c>
      <c r="J14" s="6">
        <v>8409.5</v>
      </c>
      <c r="K14" s="6">
        <v>22219</v>
      </c>
      <c r="L14" s="6"/>
      <c r="M14" s="6">
        <f t="shared" ref="M14:M120" si="23">K14+L14</f>
        <v>22219</v>
      </c>
      <c r="N14" s="6">
        <v>13933.2</v>
      </c>
      <c r="O14" s="6"/>
      <c r="P14" s="6"/>
      <c r="Q14" s="6">
        <v>22219</v>
      </c>
      <c r="R14" s="6">
        <f t="shared" si="21"/>
        <v>13933.2</v>
      </c>
      <c r="S14" s="6">
        <v>0</v>
      </c>
      <c r="T14" s="6">
        <v>0</v>
      </c>
      <c r="U14" s="6"/>
      <c r="V14" s="6"/>
      <c r="W14" s="6">
        <v>22219</v>
      </c>
      <c r="X14" s="6">
        <f t="shared" si="4"/>
        <v>13933.2</v>
      </c>
      <c r="Y14" s="6">
        <f t="shared" si="22"/>
        <v>0</v>
      </c>
      <c r="Z14" s="6"/>
      <c r="AA14" s="6"/>
      <c r="AB14" s="6"/>
      <c r="AC14" s="6">
        <f t="shared" si="5"/>
        <v>22219</v>
      </c>
      <c r="AD14" s="6">
        <f t="shared" si="6"/>
        <v>13933.2</v>
      </c>
      <c r="AE14" s="6">
        <f t="shared" si="7"/>
        <v>0</v>
      </c>
      <c r="AF14" s="6">
        <v>0</v>
      </c>
      <c r="AG14" s="6"/>
      <c r="AH14" s="6"/>
      <c r="AI14" s="6">
        <v>-3864.7</v>
      </c>
      <c r="AJ14" s="6">
        <v>54.7</v>
      </c>
      <c r="AK14" s="6">
        <f t="shared" si="20"/>
        <v>22273.7</v>
      </c>
      <c r="AL14" s="6">
        <f t="shared" si="8"/>
        <v>10068.5</v>
      </c>
      <c r="AM14" s="6">
        <v>0</v>
      </c>
      <c r="AN14" s="6">
        <f t="shared" si="9"/>
        <v>0</v>
      </c>
      <c r="AO14" s="6"/>
      <c r="AP14" s="6"/>
      <c r="AQ14" s="6"/>
      <c r="AR14" s="6"/>
      <c r="AS14" s="101">
        <f t="shared" si="10"/>
        <v>22273.7</v>
      </c>
      <c r="AT14" s="101">
        <f t="shared" si="11"/>
        <v>10068.5</v>
      </c>
      <c r="AU14" s="101">
        <f t="shared" si="12"/>
        <v>0</v>
      </c>
      <c r="AV14" s="101">
        <f t="shared" si="13"/>
        <v>0</v>
      </c>
      <c r="AW14" s="101"/>
      <c r="AX14" s="101"/>
      <c r="AY14" s="101"/>
      <c r="AZ14" s="101">
        <f t="shared" si="14"/>
        <v>10068.5</v>
      </c>
      <c r="BA14" s="101">
        <v>10068.5</v>
      </c>
      <c r="BB14" s="102">
        <f>1722.7567+2461.08093+738.31423+374.82645</f>
        <v>5296.9783100000004</v>
      </c>
      <c r="BC14" s="102">
        <f>1722.7567+2461.08093+738.31423+374.82645</f>
        <v>5296.9783100000004</v>
      </c>
      <c r="BD14" s="101">
        <f t="shared" si="15"/>
        <v>52.609408650742417</v>
      </c>
      <c r="BE14" s="101">
        <f t="shared" si="16"/>
        <v>52.609408650742417</v>
      </c>
    </row>
    <row r="15" spans="1:57" ht="140.25" customHeight="1">
      <c r="A15" s="86" t="s">
        <v>264</v>
      </c>
      <c r="B15" s="17" t="s">
        <v>257</v>
      </c>
      <c r="C15" s="17" t="s">
        <v>20</v>
      </c>
      <c r="D15" s="17" t="s">
        <v>7</v>
      </c>
      <c r="E15" s="17" t="s">
        <v>118</v>
      </c>
      <c r="F15" s="17" t="s">
        <v>48</v>
      </c>
      <c r="G15" s="6"/>
      <c r="H15" s="6"/>
      <c r="I15" s="6"/>
      <c r="J15" s="6"/>
      <c r="K15" s="6">
        <v>59108.5</v>
      </c>
      <c r="L15" s="6"/>
      <c r="M15" s="6">
        <f t="shared" si="23"/>
        <v>59108.5</v>
      </c>
      <c r="N15" s="6">
        <v>33753.9</v>
      </c>
      <c r="O15" s="6"/>
      <c r="P15" s="6"/>
      <c r="Q15" s="6">
        <v>59108.5</v>
      </c>
      <c r="R15" s="6">
        <f t="shared" si="21"/>
        <v>33753.9</v>
      </c>
      <c r="S15" s="6">
        <v>0</v>
      </c>
      <c r="T15" s="6">
        <v>0</v>
      </c>
      <c r="U15" s="6"/>
      <c r="V15" s="6"/>
      <c r="W15" s="6">
        <v>59108.5</v>
      </c>
      <c r="X15" s="6">
        <f t="shared" si="4"/>
        <v>33753.9</v>
      </c>
      <c r="Y15" s="6">
        <f t="shared" si="22"/>
        <v>0</v>
      </c>
      <c r="Z15" s="6"/>
      <c r="AA15" s="6"/>
      <c r="AB15" s="6"/>
      <c r="AC15" s="6">
        <f t="shared" si="5"/>
        <v>59108.5</v>
      </c>
      <c r="AD15" s="6">
        <f t="shared" si="6"/>
        <v>33753.9</v>
      </c>
      <c r="AE15" s="6">
        <f t="shared" si="7"/>
        <v>0</v>
      </c>
      <c r="AF15" s="6">
        <v>0</v>
      </c>
      <c r="AG15" s="6"/>
      <c r="AH15" s="6"/>
      <c r="AI15" s="6"/>
      <c r="AJ15" s="6"/>
      <c r="AK15" s="6">
        <f t="shared" si="20"/>
        <v>59108.5</v>
      </c>
      <c r="AL15" s="6">
        <f t="shared" si="8"/>
        <v>33753.9</v>
      </c>
      <c r="AM15" s="6">
        <v>0</v>
      </c>
      <c r="AN15" s="6">
        <f t="shared" si="9"/>
        <v>0</v>
      </c>
      <c r="AO15" s="6"/>
      <c r="AP15" s="6"/>
      <c r="AQ15" s="6">
        <v>-1933.7</v>
      </c>
      <c r="AR15" s="6"/>
      <c r="AS15" s="101">
        <f t="shared" si="10"/>
        <v>59108.5</v>
      </c>
      <c r="AT15" s="101">
        <f t="shared" si="11"/>
        <v>31820.2</v>
      </c>
      <c r="AU15" s="101">
        <f t="shared" si="12"/>
        <v>0</v>
      </c>
      <c r="AV15" s="101">
        <f t="shared" si="13"/>
        <v>0</v>
      </c>
      <c r="AW15" s="101"/>
      <c r="AX15" s="101"/>
      <c r="AY15" s="101"/>
      <c r="AZ15" s="101">
        <f t="shared" si="14"/>
        <v>31820.2</v>
      </c>
      <c r="BA15" s="101">
        <v>31820.2</v>
      </c>
      <c r="BB15" s="102">
        <v>31134.77592</v>
      </c>
      <c r="BC15" s="102">
        <v>31126.531230000001</v>
      </c>
      <c r="BD15" s="101">
        <f t="shared" si="15"/>
        <v>97.820036423404005</v>
      </c>
      <c r="BE15" s="101">
        <f t="shared" si="16"/>
        <v>97.820036423404005</v>
      </c>
    </row>
    <row r="16" spans="1:57" ht="121.5" customHeight="1">
      <c r="A16" s="86" t="s">
        <v>140</v>
      </c>
      <c r="B16" s="17" t="s">
        <v>49</v>
      </c>
      <c r="C16" s="17" t="s">
        <v>20</v>
      </c>
      <c r="D16" s="17" t="s">
        <v>7</v>
      </c>
      <c r="E16" s="17" t="s">
        <v>119</v>
      </c>
      <c r="F16" s="17" t="s">
        <v>83</v>
      </c>
      <c r="G16" s="6"/>
      <c r="H16" s="6"/>
      <c r="I16" s="6"/>
      <c r="J16" s="6"/>
      <c r="K16" s="6">
        <v>4237022.4000000004</v>
      </c>
      <c r="L16" s="6"/>
      <c r="M16" s="6">
        <f t="shared" si="23"/>
        <v>4237022.4000000004</v>
      </c>
      <c r="N16" s="27">
        <v>42250</v>
      </c>
      <c r="O16" s="27"/>
      <c r="P16" s="6"/>
      <c r="Q16" s="27">
        <v>4237022.4000000004</v>
      </c>
      <c r="R16" s="6">
        <f t="shared" si="21"/>
        <v>42250</v>
      </c>
      <c r="S16" s="29">
        <v>52050</v>
      </c>
      <c r="T16" s="29"/>
      <c r="U16" s="6"/>
      <c r="V16" s="6"/>
      <c r="W16" s="6">
        <v>4237022.4000000004</v>
      </c>
      <c r="X16" s="6">
        <f t="shared" si="4"/>
        <v>42250</v>
      </c>
      <c r="Y16" s="6">
        <f t="shared" si="22"/>
        <v>52050</v>
      </c>
      <c r="Z16" s="6"/>
      <c r="AA16" s="6"/>
      <c r="AB16" s="6"/>
      <c r="AC16" s="6">
        <f t="shared" si="5"/>
        <v>4237022.4000000004</v>
      </c>
      <c r="AD16" s="6">
        <f t="shared" si="6"/>
        <v>42250</v>
      </c>
      <c r="AE16" s="6">
        <f t="shared" si="7"/>
        <v>52050</v>
      </c>
      <c r="AF16" s="29">
        <v>60410</v>
      </c>
      <c r="AG16" s="29"/>
      <c r="AH16" s="29"/>
      <c r="AI16" s="29"/>
      <c r="AJ16" s="29"/>
      <c r="AK16" s="6">
        <f t="shared" si="20"/>
        <v>4237022.4000000004</v>
      </c>
      <c r="AL16" s="6">
        <f t="shared" si="8"/>
        <v>42250</v>
      </c>
      <c r="AM16" s="6">
        <v>52050</v>
      </c>
      <c r="AN16" s="6">
        <f t="shared" si="9"/>
        <v>60410</v>
      </c>
      <c r="AO16" s="6"/>
      <c r="AP16" s="6"/>
      <c r="AQ16" s="6"/>
      <c r="AR16" s="6"/>
      <c r="AS16" s="101">
        <f t="shared" si="10"/>
        <v>4237022.4000000004</v>
      </c>
      <c r="AT16" s="101">
        <f t="shared" si="11"/>
        <v>42250</v>
      </c>
      <c r="AU16" s="101">
        <f t="shared" si="12"/>
        <v>52050</v>
      </c>
      <c r="AV16" s="101">
        <f t="shared" si="13"/>
        <v>60410</v>
      </c>
      <c r="AW16" s="101"/>
      <c r="AX16" s="101"/>
      <c r="AY16" s="101"/>
      <c r="AZ16" s="101">
        <f t="shared" si="14"/>
        <v>42250</v>
      </c>
      <c r="BA16" s="101">
        <v>42250</v>
      </c>
      <c r="BB16" s="102">
        <v>42250</v>
      </c>
      <c r="BC16" s="102">
        <v>42250</v>
      </c>
      <c r="BD16" s="101">
        <f t="shared" si="15"/>
        <v>100</v>
      </c>
      <c r="BE16" s="101">
        <f t="shared" si="16"/>
        <v>100</v>
      </c>
    </row>
    <row r="17" spans="1:57" ht="141.75" customHeight="1">
      <c r="A17" s="86" t="s">
        <v>139</v>
      </c>
      <c r="B17" s="17" t="s">
        <v>63</v>
      </c>
      <c r="C17" s="17" t="s">
        <v>20</v>
      </c>
      <c r="D17" s="17" t="s">
        <v>7</v>
      </c>
      <c r="E17" s="17" t="s">
        <v>119</v>
      </c>
      <c r="F17" s="17" t="s">
        <v>84</v>
      </c>
      <c r="G17" s="6"/>
      <c r="H17" s="6"/>
      <c r="I17" s="6"/>
      <c r="J17" s="6"/>
      <c r="K17" s="30">
        <v>807409.2</v>
      </c>
      <c r="L17" s="30"/>
      <c r="M17" s="6">
        <f t="shared" si="23"/>
        <v>807409.2</v>
      </c>
      <c r="N17" s="27">
        <v>21110</v>
      </c>
      <c r="O17" s="27"/>
      <c r="P17" s="6"/>
      <c r="Q17" s="27">
        <v>807409.2</v>
      </c>
      <c r="R17" s="6">
        <f t="shared" si="21"/>
        <v>21110</v>
      </c>
      <c r="S17" s="29">
        <v>3820</v>
      </c>
      <c r="T17" s="29"/>
      <c r="U17" s="6"/>
      <c r="V17" s="6"/>
      <c r="W17" s="6">
        <v>807409.2</v>
      </c>
      <c r="X17" s="6">
        <f t="shared" si="4"/>
        <v>21110</v>
      </c>
      <c r="Y17" s="6">
        <f t="shared" si="22"/>
        <v>3820</v>
      </c>
      <c r="Z17" s="6"/>
      <c r="AA17" s="6"/>
      <c r="AB17" s="6"/>
      <c r="AC17" s="6">
        <f t="shared" si="5"/>
        <v>807409.2</v>
      </c>
      <c r="AD17" s="6">
        <f t="shared" si="6"/>
        <v>21110</v>
      </c>
      <c r="AE17" s="6">
        <f t="shared" si="7"/>
        <v>3820</v>
      </c>
      <c r="AF17" s="29">
        <v>0</v>
      </c>
      <c r="AG17" s="29"/>
      <c r="AH17" s="29"/>
      <c r="AI17" s="29"/>
      <c r="AJ17" s="29"/>
      <c r="AK17" s="6">
        <f t="shared" si="20"/>
        <v>807409.2</v>
      </c>
      <c r="AL17" s="6">
        <f t="shared" si="8"/>
        <v>21110</v>
      </c>
      <c r="AM17" s="6">
        <v>3820</v>
      </c>
      <c r="AN17" s="6">
        <f t="shared" si="9"/>
        <v>0</v>
      </c>
      <c r="AO17" s="6"/>
      <c r="AP17" s="6"/>
      <c r="AQ17" s="6"/>
      <c r="AR17" s="6"/>
      <c r="AS17" s="101">
        <f t="shared" si="10"/>
        <v>807409.2</v>
      </c>
      <c r="AT17" s="101">
        <f t="shared" si="11"/>
        <v>21110</v>
      </c>
      <c r="AU17" s="101">
        <f t="shared" si="12"/>
        <v>3820</v>
      </c>
      <c r="AV17" s="101">
        <f t="shared" si="13"/>
        <v>0</v>
      </c>
      <c r="AW17" s="101"/>
      <c r="AX17" s="101"/>
      <c r="AY17" s="101"/>
      <c r="AZ17" s="101">
        <f t="shared" si="14"/>
        <v>21110</v>
      </c>
      <c r="BA17" s="101">
        <v>21110</v>
      </c>
      <c r="BB17" s="102">
        <v>21110</v>
      </c>
      <c r="BC17" s="102">
        <v>21110</v>
      </c>
      <c r="BD17" s="101">
        <f t="shared" si="15"/>
        <v>100</v>
      </c>
      <c r="BE17" s="101">
        <f t="shared" si="16"/>
        <v>100</v>
      </c>
    </row>
    <row r="18" spans="1:57" ht="137.25" customHeight="1">
      <c r="A18" s="86" t="s">
        <v>234</v>
      </c>
      <c r="B18" s="28" t="s">
        <v>77</v>
      </c>
      <c r="C18" s="17" t="s">
        <v>13</v>
      </c>
      <c r="D18" s="17" t="s">
        <v>7</v>
      </c>
      <c r="E18" s="17" t="s">
        <v>14</v>
      </c>
      <c r="F18" s="17" t="s">
        <v>76</v>
      </c>
      <c r="G18" s="6">
        <v>205680.1</v>
      </c>
      <c r="H18" s="6">
        <f>-17922.3-11000-1875.3-9719.5-755</f>
        <v>-41272.1</v>
      </c>
      <c r="I18" s="6">
        <f>G18+H18</f>
        <v>164408</v>
      </c>
      <c r="J18" s="6">
        <v>73166</v>
      </c>
      <c r="K18" s="30">
        <v>237754</v>
      </c>
      <c r="L18" s="30"/>
      <c r="M18" s="6">
        <f t="shared" si="23"/>
        <v>237754</v>
      </c>
      <c r="N18" s="6">
        <v>0</v>
      </c>
      <c r="O18" s="6"/>
      <c r="P18" s="6"/>
      <c r="Q18" s="6">
        <f>M18+P18</f>
        <v>237754</v>
      </c>
      <c r="R18" s="6">
        <f t="shared" si="21"/>
        <v>0</v>
      </c>
      <c r="S18" s="6">
        <v>7459.7</v>
      </c>
      <c r="T18" s="6"/>
      <c r="U18" s="6"/>
      <c r="V18" s="6"/>
      <c r="W18" s="6">
        <v>237754</v>
      </c>
      <c r="X18" s="6">
        <f t="shared" si="4"/>
        <v>0</v>
      </c>
      <c r="Y18" s="6">
        <f t="shared" si="22"/>
        <v>7459.7</v>
      </c>
      <c r="Z18" s="6"/>
      <c r="AA18" s="6"/>
      <c r="AB18" s="6"/>
      <c r="AC18" s="6">
        <f t="shared" si="5"/>
        <v>237754</v>
      </c>
      <c r="AD18" s="6">
        <f t="shared" si="6"/>
        <v>0</v>
      </c>
      <c r="AE18" s="6">
        <f t="shared" si="7"/>
        <v>7459.7</v>
      </c>
      <c r="AF18" s="6">
        <v>22385.4</v>
      </c>
      <c r="AG18" s="6"/>
      <c r="AH18" s="6">
        <v>-6000</v>
      </c>
      <c r="AI18" s="6"/>
      <c r="AJ18" s="6"/>
      <c r="AK18" s="6">
        <f t="shared" si="20"/>
        <v>237754</v>
      </c>
      <c r="AL18" s="6">
        <f t="shared" si="8"/>
        <v>0</v>
      </c>
      <c r="AM18" s="6">
        <f>AE18+AH18</f>
        <v>1459.6999999999998</v>
      </c>
      <c r="AN18" s="6">
        <f t="shared" si="9"/>
        <v>22385.4</v>
      </c>
      <c r="AO18" s="6">
        <v>-22385.4</v>
      </c>
      <c r="AP18" s="6"/>
      <c r="AQ18" s="6"/>
      <c r="AR18" s="6"/>
      <c r="AS18" s="101">
        <f t="shared" si="10"/>
        <v>237754</v>
      </c>
      <c r="AT18" s="101">
        <f t="shared" si="11"/>
        <v>0</v>
      </c>
      <c r="AU18" s="101">
        <f t="shared" si="12"/>
        <v>1459.6999999999998</v>
      </c>
      <c r="AV18" s="101">
        <f t="shared" si="13"/>
        <v>0</v>
      </c>
      <c r="AW18" s="101"/>
      <c r="AX18" s="101"/>
      <c r="AY18" s="101"/>
      <c r="AZ18" s="101">
        <f t="shared" si="14"/>
        <v>0</v>
      </c>
      <c r="BA18" s="101">
        <v>0</v>
      </c>
      <c r="BB18" s="101">
        <v>0</v>
      </c>
      <c r="BC18" s="101"/>
      <c r="BD18" s="101">
        <v>0</v>
      </c>
      <c r="BE18" s="101">
        <v>0</v>
      </c>
    </row>
    <row r="19" spans="1:57" ht="148.5" customHeight="1">
      <c r="A19" s="86" t="s">
        <v>148</v>
      </c>
      <c r="B19" s="28" t="s">
        <v>141</v>
      </c>
      <c r="C19" s="17" t="s">
        <v>13</v>
      </c>
      <c r="D19" s="17" t="s">
        <v>7</v>
      </c>
      <c r="E19" s="17" t="s">
        <v>14</v>
      </c>
      <c r="F19" s="17" t="s">
        <v>76</v>
      </c>
      <c r="G19" s="6"/>
      <c r="H19" s="6"/>
      <c r="I19" s="6"/>
      <c r="J19" s="6"/>
      <c r="K19" s="30"/>
      <c r="L19" s="30"/>
      <c r="M19" s="6"/>
      <c r="N19" s="6"/>
      <c r="O19" s="6"/>
      <c r="P19" s="6">
        <v>2702.3</v>
      </c>
      <c r="Q19" s="6">
        <f>M19+P19</f>
        <v>2702.3</v>
      </c>
      <c r="R19" s="6"/>
      <c r="S19" s="6"/>
      <c r="T19" s="6"/>
      <c r="U19" s="6">
        <v>2.2999999999999998</v>
      </c>
      <c r="V19" s="6"/>
      <c r="W19" s="6">
        <v>2702.3</v>
      </c>
      <c r="X19" s="6">
        <f t="shared" si="4"/>
        <v>2.2999999999999998</v>
      </c>
      <c r="Y19" s="6">
        <v>0</v>
      </c>
      <c r="Z19" s="6"/>
      <c r="AA19" s="6"/>
      <c r="AB19" s="6"/>
      <c r="AC19" s="6">
        <f t="shared" si="5"/>
        <v>2702.3</v>
      </c>
      <c r="AD19" s="6">
        <f t="shared" si="6"/>
        <v>2.2999999999999998</v>
      </c>
      <c r="AE19" s="6">
        <v>0</v>
      </c>
      <c r="AF19" s="6">
        <v>0</v>
      </c>
      <c r="AG19" s="6"/>
      <c r="AH19" s="6"/>
      <c r="AI19" s="6"/>
      <c r="AJ19" s="6"/>
      <c r="AK19" s="6">
        <f t="shared" si="20"/>
        <v>2702.3</v>
      </c>
      <c r="AL19" s="6">
        <f t="shared" si="8"/>
        <v>2.2999999999999998</v>
      </c>
      <c r="AM19" s="6">
        <v>0</v>
      </c>
      <c r="AN19" s="6">
        <f t="shared" si="9"/>
        <v>0</v>
      </c>
      <c r="AO19" s="6"/>
      <c r="AP19" s="6"/>
      <c r="AQ19" s="6"/>
      <c r="AR19" s="6"/>
      <c r="AS19" s="101">
        <f t="shared" si="10"/>
        <v>2702.3</v>
      </c>
      <c r="AT19" s="101">
        <f t="shared" si="11"/>
        <v>2.2999999999999998</v>
      </c>
      <c r="AU19" s="101">
        <f t="shared" si="12"/>
        <v>0</v>
      </c>
      <c r="AV19" s="101">
        <f t="shared" si="13"/>
        <v>0</v>
      </c>
      <c r="AW19" s="101"/>
      <c r="AX19" s="101"/>
      <c r="AY19" s="101"/>
      <c r="AZ19" s="101">
        <f t="shared" si="14"/>
        <v>2.2999999999999998</v>
      </c>
      <c r="BA19" s="101">
        <v>2.2999999999999998</v>
      </c>
      <c r="BB19" s="102">
        <v>2.3450000000000002</v>
      </c>
      <c r="BC19" s="102">
        <v>2.3450000000000002</v>
      </c>
      <c r="BD19" s="101">
        <f t="shared" si="15"/>
        <v>101.95652173913045</v>
      </c>
      <c r="BE19" s="101">
        <f t="shared" si="16"/>
        <v>101.95652173913045</v>
      </c>
    </row>
    <row r="20" spans="1:57" ht="135" customHeight="1">
      <c r="A20" s="89" t="s">
        <v>235</v>
      </c>
      <c r="B20" s="25" t="s">
        <v>212</v>
      </c>
      <c r="C20" s="26" t="s">
        <v>192</v>
      </c>
      <c r="D20" s="26" t="s">
        <v>7</v>
      </c>
      <c r="E20" s="17" t="s">
        <v>14</v>
      </c>
      <c r="F20" s="26">
        <v>2018</v>
      </c>
      <c r="G20" s="6"/>
      <c r="H20" s="6"/>
      <c r="I20" s="6"/>
      <c r="J20" s="6"/>
      <c r="K20" s="30"/>
      <c r="L20" s="30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>
        <v>16877</v>
      </c>
      <c r="AC20" s="6">
        <f t="shared" si="5"/>
        <v>16877</v>
      </c>
      <c r="AD20" s="6"/>
      <c r="AE20" s="6"/>
      <c r="AF20" s="6"/>
      <c r="AG20" s="6"/>
      <c r="AH20" s="6"/>
      <c r="AI20" s="6">
        <v>16877</v>
      </c>
      <c r="AJ20" s="6"/>
      <c r="AK20" s="6">
        <f t="shared" si="20"/>
        <v>16877</v>
      </c>
      <c r="AL20" s="6">
        <f t="shared" si="8"/>
        <v>16877</v>
      </c>
      <c r="AM20" s="6"/>
      <c r="AN20" s="6"/>
      <c r="AO20" s="6"/>
      <c r="AP20" s="6"/>
      <c r="AQ20" s="6"/>
      <c r="AR20" s="6"/>
      <c r="AS20" s="101">
        <f t="shared" si="10"/>
        <v>16877</v>
      </c>
      <c r="AT20" s="101">
        <f t="shared" si="11"/>
        <v>16877</v>
      </c>
      <c r="AU20" s="101">
        <v>0</v>
      </c>
      <c r="AV20" s="101"/>
      <c r="AW20" s="101"/>
      <c r="AX20" s="101"/>
      <c r="AY20" s="101"/>
      <c r="AZ20" s="101">
        <f t="shared" si="14"/>
        <v>16877</v>
      </c>
      <c r="BA20" s="101">
        <v>16877</v>
      </c>
      <c r="BB20" s="102">
        <f>12920</f>
        <v>12920</v>
      </c>
      <c r="BC20" s="102">
        <f>12920</f>
        <v>12920</v>
      </c>
      <c r="BD20" s="101">
        <f t="shared" si="15"/>
        <v>76.553889909344079</v>
      </c>
      <c r="BE20" s="101">
        <f t="shared" si="16"/>
        <v>76.553889909344079</v>
      </c>
    </row>
    <row r="21" spans="1:57" ht="135" customHeight="1">
      <c r="A21" s="89" t="s">
        <v>232</v>
      </c>
      <c r="B21" s="25" t="s">
        <v>193</v>
      </c>
      <c r="C21" s="26" t="s">
        <v>64</v>
      </c>
      <c r="D21" s="26" t="s">
        <v>7</v>
      </c>
      <c r="E21" s="17" t="s">
        <v>194</v>
      </c>
      <c r="F21" s="26">
        <v>2018</v>
      </c>
      <c r="G21" s="6"/>
      <c r="H21" s="6"/>
      <c r="I21" s="6"/>
      <c r="J21" s="6"/>
      <c r="K21" s="30"/>
      <c r="L21" s="30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>
        <v>18131.2</v>
      </c>
      <c r="AC21" s="6">
        <f t="shared" si="5"/>
        <v>18131.2</v>
      </c>
      <c r="AD21" s="6"/>
      <c r="AE21" s="6"/>
      <c r="AF21" s="6"/>
      <c r="AG21" s="6"/>
      <c r="AH21" s="6"/>
      <c r="AI21" s="6">
        <v>17224.7</v>
      </c>
      <c r="AJ21" s="6"/>
      <c r="AK21" s="6">
        <f t="shared" si="20"/>
        <v>18131.2</v>
      </c>
      <c r="AL21" s="6">
        <f t="shared" si="8"/>
        <v>17224.7</v>
      </c>
      <c r="AM21" s="6"/>
      <c r="AN21" s="6"/>
      <c r="AO21" s="6"/>
      <c r="AP21" s="6"/>
      <c r="AQ21" s="6"/>
      <c r="AR21" s="6"/>
      <c r="AS21" s="101">
        <f t="shared" si="10"/>
        <v>18131.2</v>
      </c>
      <c r="AT21" s="101">
        <f t="shared" si="11"/>
        <v>17224.7</v>
      </c>
      <c r="AU21" s="101">
        <v>0</v>
      </c>
      <c r="AV21" s="101"/>
      <c r="AW21" s="101"/>
      <c r="AX21" s="101"/>
      <c r="AY21" s="101"/>
      <c r="AZ21" s="101">
        <f t="shared" si="14"/>
        <v>17224.7</v>
      </c>
      <c r="BA21" s="101">
        <v>17224.7</v>
      </c>
      <c r="BB21" s="102">
        <v>16664.088950000001</v>
      </c>
      <c r="BC21" s="102">
        <v>16664.088950000001</v>
      </c>
      <c r="BD21" s="101">
        <f t="shared" si="15"/>
        <v>96.745307320301663</v>
      </c>
      <c r="BE21" s="101">
        <f t="shared" si="16"/>
        <v>96.745307320301663</v>
      </c>
    </row>
    <row r="22" spans="1:57" ht="42.75" customHeight="1">
      <c r="A22" s="84" t="s">
        <v>272</v>
      </c>
      <c r="B22" s="90"/>
      <c r="C22" s="90"/>
      <c r="D22" s="90"/>
      <c r="E22" s="17"/>
      <c r="F22" s="17"/>
      <c r="G22" s="6"/>
      <c r="H22" s="6"/>
      <c r="I22" s="6"/>
      <c r="J22" s="6"/>
      <c r="K22" s="6" t="e">
        <f>#REF!+K23</f>
        <v>#REF!</v>
      </c>
      <c r="L22" s="6" t="e">
        <f>#REF!+L23</f>
        <v>#REF!</v>
      </c>
      <c r="M22" s="6">
        <f>M23</f>
        <v>287582.3</v>
      </c>
      <c r="N22" s="6" t="e">
        <f>#REF!+N23</f>
        <v>#REF!</v>
      </c>
      <c r="O22" s="6" t="e">
        <f>#REF!+O23</f>
        <v>#REF!</v>
      </c>
      <c r="P22" s="6">
        <f>P23</f>
        <v>0</v>
      </c>
      <c r="Q22" s="6">
        <f>M22+P22</f>
        <v>287582.3</v>
      </c>
      <c r="R22" s="6">
        <f>R23</f>
        <v>21042.6</v>
      </c>
      <c r="S22" s="6" t="e">
        <f>#REF!+S23</f>
        <v>#REF!</v>
      </c>
      <c r="T22" s="6" t="e">
        <f>#REF!+T23</f>
        <v>#REF!</v>
      </c>
      <c r="U22" s="6">
        <f>U23</f>
        <v>-80.099999999999994</v>
      </c>
      <c r="V22" s="6"/>
      <c r="W22" s="6">
        <v>287582.3</v>
      </c>
      <c r="X22" s="6">
        <f t="shared" si="4"/>
        <v>20962.5</v>
      </c>
      <c r="Y22" s="6">
        <f>Y23</f>
        <v>110729.8</v>
      </c>
      <c r="Z22" s="6">
        <f>Z23</f>
        <v>0</v>
      </c>
      <c r="AA22" s="6"/>
      <c r="AB22" s="6"/>
      <c r="AC22" s="6">
        <f t="shared" si="5"/>
        <v>287582.3</v>
      </c>
      <c r="AD22" s="6">
        <f t="shared" si="6"/>
        <v>20962.5</v>
      </c>
      <c r="AE22" s="6">
        <f t="shared" si="7"/>
        <v>110729.8</v>
      </c>
      <c r="AF22" s="6">
        <f>AF23</f>
        <v>0</v>
      </c>
      <c r="AG22" s="6"/>
      <c r="AH22" s="6"/>
      <c r="AI22" s="6"/>
      <c r="AJ22" s="6">
        <f>AJ23</f>
        <v>-70833.7</v>
      </c>
      <c r="AK22" s="6">
        <f t="shared" si="20"/>
        <v>216748.59999999998</v>
      </c>
      <c r="AL22" s="6">
        <f t="shared" si="8"/>
        <v>20962.5</v>
      </c>
      <c r="AM22" s="6">
        <v>110729.8</v>
      </c>
      <c r="AN22" s="6">
        <f>AG22+AF22</f>
        <v>0</v>
      </c>
      <c r="AO22" s="6"/>
      <c r="AP22" s="6">
        <f>AP23</f>
        <v>-34407.300000000003</v>
      </c>
      <c r="AQ22" s="6"/>
      <c r="AR22" s="6"/>
      <c r="AS22" s="101">
        <f t="shared" si="10"/>
        <v>216748.59999999998</v>
      </c>
      <c r="AT22" s="101">
        <f t="shared" si="11"/>
        <v>20962.5</v>
      </c>
      <c r="AU22" s="101">
        <f t="shared" si="12"/>
        <v>76322.5</v>
      </c>
      <c r="AV22" s="101">
        <f t="shared" si="13"/>
        <v>0</v>
      </c>
      <c r="AW22" s="101"/>
      <c r="AX22" s="101"/>
      <c r="AY22" s="101"/>
      <c r="AZ22" s="101">
        <f t="shared" si="14"/>
        <v>20962.5</v>
      </c>
      <c r="BA22" s="101">
        <v>20962.5</v>
      </c>
      <c r="BB22" s="101">
        <f>BB23</f>
        <v>13467.017260000001</v>
      </c>
      <c r="BC22" s="101">
        <f>BC23</f>
        <v>13404.204879999999</v>
      </c>
      <c r="BD22" s="101">
        <f t="shared" si="15"/>
        <v>63.943732283840184</v>
      </c>
      <c r="BE22" s="101">
        <f t="shared" si="16"/>
        <v>63.943732283840184</v>
      </c>
    </row>
    <row r="23" spans="1:57" ht="141.75" customHeight="1">
      <c r="A23" s="86" t="s">
        <v>131</v>
      </c>
      <c r="B23" s="28" t="s">
        <v>71</v>
      </c>
      <c r="C23" s="17" t="s">
        <v>20</v>
      </c>
      <c r="D23" s="17" t="s">
        <v>18</v>
      </c>
      <c r="E23" s="17" t="s">
        <v>34</v>
      </c>
      <c r="F23" s="17" t="s">
        <v>26</v>
      </c>
      <c r="G23" s="6"/>
      <c r="H23" s="6"/>
      <c r="I23" s="6"/>
      <c r="J23" s="6"/>
      <c r="K23" s="6"/>
      <c r="L23" s="6">
        <v>287582.3</v>
      </c>
      <c r="M23" s="6">
        <f t="shared" si="23"/>
        <v>287582.3</v>
      </c>
      <c r="N23" s="6"/>
      <c r="O23" s="6">
        <v>21042.6</v>
      </c>
      <c r="P23" s="6"/>
      <c r="Q23" s="6">
        <v>287582.3</v>
      </c>
      <c r="R23" s="6">
        <f t="shared" si="21"/>
        <v>21042.6</v>
      </c>
      <c r="S23" s="6"/>
      <c r="T23" s="6">
        <v>147298.20000000001</v>
      </c>
      <c r="U23" s="6">
        <v>-80.099999999999994</v>
      </c>
      <c r="V23" s="6"/>
      <c r="W23" s="6">
        <v>287582.3</v>
      </c>
      <c r="X23" s="6">
        <f t="shared" si="4"/>
        <v>20962.5</v>
      </c>
      <c r="Y23" s="6">
        <v>110729.8</v>
      </c>
      <c r="Z23" s="6"/>
      <c r="AA23" s="6"/>
      <c r="AB23" s="6"/>
      <c r="AC23" s="6">
        <f t="shared" si="5"/>
        <v>287582.3</v>
      </c>
      <c r="AD23" s="6">
        <f t="shared" si="6"/>
        <v>20962.5</v>
      </c>
      <c r="AE23" s="6">
        <f>Y23+Z23</f>
        <v>110729.8</v>
      </c>
      <c r="AF23" s="6">
        <v>0</v>
      </c>
      <c r="AG23" s="6"/>
      <c r="AH23" s="6"/>
      <c r="AI23" s="6"/>
      <c r="AJ23" s="6">
        <v>-70833.7</v>
      </c>
      <c r="AK23" s="6">
        <f t="shared" si="20"/>
        <v>216748.59999999998</v>
      </c>
      <c r="AL23" s="6">
        <f t="shared" si="8"/>
        <v>20962.5</v>
      </c>
      <c r="AM23" s="6">
        <v>110729.8</v>
      </c>
      <c r="AN23" s="6">
        <f>AG23+AF23</f>
        <v>0</v>
      </c>
      <c r="AO23" s="6"/>
      <c r="AP23" s="6">
        <v>-34407.300000000003</v>
      </c>
      <c r="AQ23" s="6"/>
      <c r="AR23" s="6"/>
      <c r="AS23" s="101">
        <f t="shared" si="10"/>
        <v>216748.59999999998</v>
      </c>
      <c r="AT23" s="101">
        <f t="shared" si="11"/>
        <v>20962.5</v>
      </c>
      <c r="AU23" s="101">
        <f t="shared" si="12"/>
        <v>76322.5</v>
      </c>
      <c r="AV23" s="101">
        <f t="shared" si="13"/>
        <v>0</v>
      </c>
      <c r="AW23" s="101"/>
      <c r="AX23" s="101"/>
      <c r="AY23" s="101"/>
      <c r="AZ23" s="101">
        <f t="shared" si="14"/>
        <v>20962.5</v>
      </c>
      <c r="BA23" s="101">
        <v>20962.5</v>
      </c>
      <c r="BB23" s="102">
        <f>6754.05111+6712.96615</f>
        <v>13467.017260000001</v>
      </c>
      <c r="BC23" s="102">
        <v>13404.204879999999</v>
      </c>
      <c r="BD23" s="101">
        <f t="shared" si="15"/>
        <v>63.943732283840184</v>
      </c>
      <c r="BE23" s="101">
        <f t="shared" si="16"/>
        <v>63.943732283840184</v>
      </c>
    </row>
    <row r="24" spans="1:57" ht="69" customHeight="1">
      <c r="A24" s="84" t="s">
        <v>95</v>
      </c>
      <c r="B24" s="84"/>
      <c r="C24" s="84"/>
      <c r="D24" s="84"/>
      <c r="E24" s="17"/>
      <c r="F24" s="17"/>
      <c r="G24" s="6">
        <f>G25</f>
        <v>0</v>
      </c>
      <c r="H24" s="6">
        <f>H25</f>
        <v>0</v>
      </c>
      <c r="I24" s="6">
        <f>G24+H24</f>
        <v>0</v>
      </c>
      <c r="J24" s="6">
        <f>J25</f>
        <v>0</v>
      </c>
      <c r="K24" s="6">
        <f>SUM(K25:K26)</f>
        <v>0</v>
      </c>
      <c r="L24" s="6">
        <f>SUM(L25:L26)</f>
        <v>0</v>
      </c>
      <c r="M24" s="6">
        <f>M25+M26</f>
        <v>15628.8</v>
      </c>
      <c r="N24" s="6">
        <f t="shared" ref="N24:AF24" si="24">N25+N26</f>
        <v>0</v>
      </c>
      <c r="O24" s="6">
        <f t="shared" si="24"/>
        <v>0</v>
      </c>
      <c r="P24" s="6">
        <f>P25+P26</f>
        <v>0</v>
      </c>
      <c r="Q24" s="6">
        <v>15628.8</v>
      </c>
      <c r="R24" s="6">
        <f t="shared" si="24"/>
        <v>9461.7999999999993</v>
      </c>
      <c r="S24" s="6">
        <f t="shared" si="24"/>
        <v>0</v>
      </c>
      <c r="T24" s="6">
        <f t="shared" si="24"/>
        <v>0</v>
      </c>
      <c r="U24" s="6">
        <f t="shared" ref="U24" si="25">U25+U26</f>
        <v>5583</v>
      </c>
      <c r="V24" s="6"/>
      <c r="W24" s="6">
        <v>15628.8</v>
      </c>
      <c r="X24" s="6">
        <f t="shared" si="4"/>
        <v>15044.8</v>
      </c>
      <c r="Y24" s="6">
        <f t="shared" si="24"/>
        <v>0</v>
      </c>
      <c r="Z24" s="6">
        <f t="shared" si="24"/>
        <v>0</v>
      </c>
      <c r="AA24" s="6"/>
      <c r="AB24" s="6">
        <f>AB25</f>
        <v>0</v>
      </c>
      <c r="AC24" s="6">
        <f t="shared" si="5"/>
        <v>15628.8</v>
      </c>
      <c r="AD24" s="6">
        <f t="shared" si="6"/>
        <v>15044.8</v>
      </c>
      <c r="AE24" s="6">
        <v>0</v>
      </c>
      <c r="AF24" s="6">
        <f t="shared" si="24"/>
        <v>0</v>
      </c>
      <c r="AG24" s="6">
        <f>SUM(AG25:AG26)</f>
        <v>0</v>
      </c>
      <c r="AH24" s="6"/>
      <c r="AI24" s="6">
        <f>AI25</f>
        <v>-101.8</v>
      </c>
      <c r="AJ24" s="6">
        <f>AJ25</f>
        <v>-101.8</v>
      </c>
      <c r="AK24" s="6">
        <f t="shared" si="20"/>
        <v>15527</v>
      </c>
      <c r="AL24" s="6">
        <f t="shared" si="8"/>
        <v>14943</v>
      </c>
      <c r="AM24" s="6">
        <v>0</v>
      </c>
      <c r="AN24" s="6">
        <f t="shared" si="9"/>
        <v>0</v>
      </c>
      <c r="AO24" s="6"/>
      <c r="AP24" s="6"/>
      <c r="AQ24" s="6"/>
      <c r="AR24" s="6">
        <f>AR26</f>
        <v>-141.5</v>
      </c>
      <c r="AS24" s="101">
        <f t="shared" si="10"/>
        <v>15385.5</v>
      </c>
      <c r="AT24" s="101">
        <f t="shared" si="11"/>
        <v>14943</v>
      </c>
      <c r="AU24" s="101">
        <f t="shared" si="12"/>
        <v>0</v>
      </c>
      <c r="AV24" s="101">
        <f t="shared" si="13"/>
        <v>0</v>
      </c>
      <c r="AW24" s="101"/>
      <c r="AX24" s="101"/>
      <c r="AY24" s="101">
        <f>AY26</f>
        <v>-141.5</v>
      </c>
      <c r="AZ24" s="101">
        <f t="shared" si="14"/>
        <v>14801.5</v>
      </c>
      <c r="BA24" s="101">
        <v>14801.5</v>
      </c>
      <c r="BB24" s="101">
        <f>BB25+BB26+BB27</f>
        <v>18995.376039999999</v>
      </c>
      <c r="BC24" s="101">
        <f>BC25+BC26+BC27</f>
        <v>18992.48791</v>
      </c>
      <c r="BD24" s="101">
        <f t="shared" si="15"/>
        <v>128.31461615376821</v>
      </c>
      <c r="BE24" s="101">
        <f t="shared" si="16"/>
        <v>128.31461615376821</v>
      </c>
    </row>
    <row r="25" spans="1:57" ht="156.75" customHeight="1">
      <c r="A25" s="89" t="s">
        <v>274</v>
      </c>
      <c r="B25" s="26" t="s">
        <v>130</v>
      </c>
      <c r="C25" s="26" t="s">
        <v>120</v>
      </c>
      <c r="D25" s="26" t="s">
        <v>7</v>
      </c>
      <c r="E25" s="26" t="s">
        <v>14</v>
      </c>
      <c r="F25" s="26" t="s">
        <v>39</v>
      </c>
      <c r="G25" s="6"/>
      <c r="H25" s="6"/>
      <c r="I25" s="6"/>
      <c r="J25" s="6"/>
      <c r="K25" s="6"/>
      <c r="L25" s="6"/>
      <c r="M25" s="27">
        <v>3961.8</v>
      </c>
      <c r="N25" s="6"/>
      <c r="O25" s="6"/>
      <c r="P25" s="27"/>
      <c r="Q25" s="6">
        <v>3961.8</v>
      </c>
      <c r="R25" s="30">
        <v>3961.8</v>
      </c>
      <c r="S25" s="6"/>
      <c r="T25" s="6"/>
      <c r="U25" s="30"/>
      <c r="V25" s="30"/>
      <c r="W25" s="30">
        <v>3961.8</v>
      </c>
      <c r="X25" s="6">
        <f t="shared" si="4"/>
        <v>3961.8</v>
      </c>
      <c r="Y25" s="6">
        <v>0</v>
      </c>
      <c r="Z25" s="30"/>
      <c r="AA25" s="30"/>
      <c r="AB25" s="30"/>
      <c r="AC25" s="6">
        <f t="shared" si="5"/>
        <v>3961.8</v>
      </c>
      <c r="AD25" s="6">
        <f t="shared" si="6"/>
        <v>3961.8</v>
      </c>
      <c r="AE25" s="6">
        <v>0</v>
      </c>
      <c r="AF25" s="6">
        <v>0</v>
      </c>
      <c r="AG25" s="6"/>
      <c r="AH25" s="6"/>
      <c r="AI25" s="6">
        <v>-101.8</v>
      </c>
      <c r="AJ25" s="6">
        <v>-101.8</v>
      </c>
      <c r="AK25" s="6">
        <f t="shared" si="20"/>
        <v>3860</v>
      </c>
      <c r="AL25" s="6">
        <f t="shared" si="8"/>
        <v>3860</v>
      </c>
      <c r="AM25" s="6">
        <v>0</v>
      </c>
      <c r="AN25" s="6">
        <f t="shared" si="9"/>
        <v>0</v>
      </c>
      <c r="AO25" s="6"/>
      <c r="AP25" s="6"/>
      <c r="AQ25" s="6"/>
      <c r="AR25" s="6"/>
      <c r="AS25" s="101">
        <f t="shared" si="10"/>
        <v>3860</v>
      </c>
      <c r="AT25" s="101">
        <f t="shared" si="11"/>
        <v>3860</v>
      </c>
      <c r="AU25" s="101">
        <f t="shared" si="12"/>
        <v>0</v>
      </c>
      <c r="AV25" s="101">
        <f t="shared" si="13"/>
        <v>0</v>
      </c>
      <c r="AW25" s="101"/>
      <c r="AX25" s="101"/>
      <c r="AY25" s="101"/>
      <c r="AZ25" s="101">
        <f t="shared" si="14"/>
        <v>3860</v>
      </c>
      <c r="BA25" s="101">
        <v>3860</v>
      </c>
      <c r="BB25" s="102">
        <v>3860</v>
      </c>
      <c r="BC25" s="102">
        <v>3860</v>
      </c>
      <c r="BD25" s="101">
        <f t="shared" si="15"/>
        <v>100</v>
      </c>
      <c r="BE25" s="101">
        <f t="shared" si="16"/>
        <v>100</v>
      </c>
    </row>
    <row r="26" spans="1:57" ht="143.25" customHeight="1">
      <c r="A26" s="86" t="s">
        <v>273</v>
      </c>
      <c r="B26" s="17" t="s">
        <v>101</v>
      </c>
      <c r="C26" s="17" t="s">
        <v>20</v>
      </c>
      <c r="D26" s="17" t="s">
        <v>7</v>
      </c>
      <c r="E26" s="17" t="s">
        <v>102</v>
      </c>
      <c r="F26" s="17" t="s">
        <v>50</v>
      </c>
      <c r="G26" s="6"/>
      <c r="H26" s="6"/>
      <c r="I26" s="6"/>
      <c r="J26" s="6"/>
      <c r="K26" s="23"/>
      <c r="L26" s="23"/>
      <c r="M26" s="23">
        <v>11667</v>
      </c>
      <c r="N26" s="23"/>
      <c r="O26" s="23"/>
      <c r="P26" s="23"/>
      <c r="Q26" s="23">
        <v>11667</v>
      </c>
      <c r="R26" s="6">
        <v>5500</v>
      </c>
      <c r="S26" s="6"/>
      <c r="T26" s="6"/>
      <c r="U26" s="6">
        <v>5583</v>
      </c>
      <c r="V26" s="6"/>
      <c r="W26" s="6">
        <v>11667</v>
      </c>
      <c r="X26" s="6">
        <f t="shared" si="4"/>
        <v>11083</v>
      </c>
      <c r="Y26" s="6">
        <v>0</v>
      </c>
      <c r="Z26" s="6"/>
      <c r="AA26" s="6"/>
      <c r="AB26" s="6"/>
      <c r="AC26" s="6">
        <f t="shared" si="5"/>
        <v>11667</v>
      </c>
      <c r="AD26" s="6">
        <f t="shared" si="6"/>
        <v>11083</v>
      </c>
      <c r="AE26" s="6">
        <v>0</v>
      </c>
      <c r="AF26" s="6">
        <v>0</v>
      </c>
      <c r="AG26" s="6"/>
      <c r="AH26" s="6"/>
      <c r="AI26" s="6"/>
      <c r="AJ26" s="6"/>
      <c r="AK26" s="6">
        <f t="shared" si="20"/>
        <v>11667</v>
      </c>
      <c r="AL26" s="6">
        <f t="shared" si="8"/>
        <v>11083</v>
      </c>
      <c r="AM26" s="6">
        <v>0</v>
      </c>
      <c r="AN26" s="6">
        <f t="shared" si="9"/>
        <v>0</v>
      </c>
      <c r="AO26" s="6"/>
      <c r="AP26" s="6"/>
      <c r="AQ26" s="6"/>
      <c r="AR26" s="6">
        <v>-141.5</v>
      </c>
      <c r="AS26" s="101">
        <f t="shared" si="10"/>
        <v>11525.5</v>
      </c>
      <c r="AT26" s="101">
        <f t="shared" si="11"/>
        <v>11083</v>
      </c>
      <c r="AU26" s="101">
        <f t="shared" si="12"/>
        <v>0</v>
      </c>
      <c r="AV26" s="101">
        <f t="shared" si="13"/>
        <v>0</v>
      </c>
      <c r="AW26" s="101"/>
      <c r="AX26" s="101"/>
      <c r="AY26" s="101">
        <v>-141.5</v>
      </c>
      <c r="AZ26" s="101">
        <f t="shared" si="14"/>
        <v>10941.5</v>
      </c>
      <c r="BA26" s="101">
        <v>10941.5</v>
      </c>
      <c r="BB26" s="102">
        <v>4468.7760399999997</v>
      </c>
      <c r="BC26" s="102">
        <v>4465.8879100000004</v>
      </c>
      <c r="BD26" s="101">
        <f t="shared" si="15"/>
        <v>40.816048165242428</v>
      </c>
      <c r="BE26" s="101">
        <f t="shared" si="16"/>
        <v>40.816048165242428</v>
      </c>
    </row>
    <row r="27" spans="1:57" ht="140.25" customHeight="1">
      <c r="A27" s="86" t="s">
        <v>195</v>
      </c>
      <c r="B27" s="28" t="s">
        <v>213</v>
      </c>
      <c r="C27" s="17" t="s">
        <v>64</v>
      </c>
      <c r="D27" s="17" t="s">
        <v>18</v>
      </c>
      <c r="E27" s="17" t="s">
        <v>34</v>
      </c>
      <c r="F27" s="17">
        <v>2018</v>
      </c>
      <c r="G27" s="6"/>
      <c r="H27" s="6"/>
      <c r="I27" s="6"/>
      <c r="J27" s="6"/>
      <c r="K27" s="23"/>
      <c r="L27" s="23"/>
      <c r="M27" s="23"/>
      <c r="N27" s="23"/>
      <c r="O27" s="23"/>
      <c r="P27" s="23"/>
      <c r="Q27" s="23"/>
      <c r="R27" s="6"/>
      <c r="S27" s="6"/>
      <c r="T27" s="6"/>
      <c r="U27" s="6"/>
      <c r="V27" s="6"/>
      <c r="W27" s="6"/>
      <c r="X27" s="6"/>
      <c r="Y27" s="6"/>
      <c r="Z27" s="6"/>
      <c r="AA27" s="6"/>
      <c r="AB27" s="6">
        <v>11228</v>
      </c>
      <c r="AC27" s="6">
        <f t="shared" si="5"/>
        <v>11228</v>
      </c>
      <c r="AD27" s="6"/>
      <c r="AE27" s="6"/>
      <c r="AF27" s="6"/>
      <c r="AG27" s="6"/>
      <c r="AH27" s="6"/>
      <c r="AI27" s="6">
        <v>10666.6</v>
      </c>
      <c r="AJ27" s="6"/>
      <c r="AK27" s="6">
        <f t="shared" si="20"/>
        <v>11228</v>
      </c>
      <c r="AL27" s="6">
        <f t="shared" si="8"/>
        <v>10666.6</v>
      </c>
      <c r="AM27" s="6"/>
      <c r="AN27" s="6"/>
      <c r="AO27" s="6"/>
      <c r="AP27" s="6"/>
      <c r="AQ27" s="6"/>
      <c r="AR27" s="6"/>
      <c r="AS27" s="101">
        <f t="shared" si="10"/>
        <v>11228</v>
      </c>
      <c r="AT27" s="101">
        <f t="shared" si="11"/>
        <v>10666.6</v>
      </c>
      <c r="AU27" s="101">
        <v>0</v>
      </c>
      <c r="AV27" s="101"/>
      <c r="AW27" s="101"/>
      <c r="AX27" s="101"/>
      <c r="AY27" s="101"/>
      <c r="AZ27" s="101">
        <f t="shared" si="14"/>
        <v>10666.6</v>
      </c>
      <c r="BA27" s="101">
        <v>10666.6</v>
      </c>
      <c r="BB27" s="102">
        <f>5673.4+4993.2</f>
        <v>10666.599999999999</v>
      </c>
      <c r="BC27" s="102">
        <f>5673.4+4993.2</f>
        <v>10666.599999999999</v>
      </c>
      <c r="BD27" s="101">
        <f t="shared" si="15"/>
        <v>99.999999999999972</v>
      </c>
      <c r="BE27" s="101">
        <f t="shared" si="16"/>
        <v>99.999999999999972</v>
      </c>
    </row>
    <row r="28" spans="1:57" ht="40.5" customHeight="1">
      <c r="A28" s="84" t="s">
        <v>265</v>
      </c>
      <c r="B28" s="88"/>
      <c r="C28" s="88"/>
      <c r="D28" s="88"/>
      <c r="E28" s="17"/>
      <c r="F28" s="20"/>
      <c r="G28" s="6">
        <f t="shared" ref="G28:AF28" si="26">G29+G39</f>
        <v>728943.5</v>
      </c>
      <c r="H28" s="6" t="e">
        <f t="shared" si="26"/>
        <v>#REF!</v>
      </c>
      <c r="I28" s="6" t="e">
        <f t="shared" si="26"/>
        <v>#REF!</v>
      </c>
      <c r="J28" s="6" t="e">
        <f t="shared" si="26"/>
        <v>#REF!</v>
      </c>
      <c r="K28" s="6">
        <f t="shared" si="26"/>
        <v>2038937.5</v>
      </c>
      <c r="L28" s="6">
        <f t="shared" ref="L28" si="27">L29+L39</f>
        <v>0</v>
      </c>
      <c r="M28" s="6">
        <f>M29+M39</f>
        <v>3112030.3</v>
      </c>
      <c r="N28" s="6">
        <f t="shared" si="26"/>
        <v>129114.37999999999</v>
      </c>
      <c r="O28" s="6">
        <f t="shared" ref="O28" si="28">O29+O39</f>
        <v>7381.6</v>
      </c>
      <c r="P28" s="6">
        <f>P29+P39</f>
        <v>245842.7</v>
      </c>
      <c r="Q28" s="6">
        <f>M28+P28</f>
        <v>3357873</v>
      </c>
      <c r="R28" s="6">
        <f>R29+R39</f>
        <v>136496</v>
      </c>
      <c r="S28" s="6">
        <f t="shared" si="26"/>
        <v>75506.399999999994</v>
      </c>
      <c r="T28" s="6">
        <f t="shared" ref="T28" si="29">T29+T39</f>
        <v>0</v>
      </c>
      <c r="U28" s="6">
        <f>U29+U39</f>
        <v>0</v>
      </c>
      <c r="V28" s="6"/>
      <c r="W28" s="6">
        <v>3357873</v>
      </c>
      <c r="X28" s="6">
        <f t="shared" si="4"/>
        <v>136496</v>
      </c>
      <c r="Y28" s="6">
        <f>Y29+Y39</f>
        <v>112074.75</v>
      </c>
      <c r="Z28" s="6">
        <f>Z29+Z39</f>
        <v>0</v>
      </c>
      <c r="AA28" s="6">
        <f>AA29+AA39</f>
        <v>92884.3</v>
      </c>
      <c r="AB28" s="6">
        <f>AB29+AB39+AB46+AB47</f>
        <v>244921.2</v>
      </c>
      <c r="AC28" s="6">
        <f t="shared" si="5"/>
        <v>3602794.2</v>
      </c>
      <c r="AD28" s="6">
        <f t="shared" si="6"/>
        <v>229380.3</v>
      </c>
      <c r="AE28" s="6">
        <v>75506.399999999994</v>
      </c>
      <c r="AF28" s="6">
        <f t="shared" si="26"/>
        <v>182834.5</v>
      </c>
      <c r="AG28" s="6">
        <f t="shared" ref="AG28" si="30">AG29+AG39</f>
        <v>0</v>
      </c>
      <c r="AH28" s="6">
        <f>AH39</f>
        <v>-0.1</v>
      </c>
      <c r="AI28" s="6">
        <f>AI29+AI39+AI46+AI47</f>
        <v>9559.6</v>
      </c>
      <c r="AJ28" s="6">
        <f>AJ29+AJ39</f>
        <v>-15403.800000000017</v>
      </c>
      <c r="AK28" s="6">
        <f t="shared" si="20"/>
        <v>3587390.4000000004</v>
      </c>
      <c r="AL28" s="6">
        <f t="shared" si="8"/>
        <v>238939.9</v>
      </c>
      <c r="AM28" s="6">
        <v>112074.7</v>
      </c>
      <c r="AN28" s="6">
        <f t="shared" si="9"/>
        <v>182834.5</v>
      </c>
      <c r="AO28" s="6">
        <f>AO29+AO39</f>
        <v>-131011</v>
      </c>
      <c r="AP28" s="6">
        <f>AP29</f>
        <v>19470.2</v>
      </c>
      <c r="AQ28" s="6">
        <f>AQ29+AQ39</f>
        <v>0</v>
      </c>
      <c r="AR28" s="6"/>
      <c r="AS28" s="101">
        <f t="shared" si="10"/>
        <v>3587390.4000000004</v>
      </c>
      <c r="AT28" s="101">
        <f t="shared" si="11"/>
        <v>238939.9</v>
      </c>
      <c r="AU28" s="101">
        <f t="shared" si="12"/>
        <v>131544.9</v>
      </c>
      <c r="AV28" s="101">
        <f t="shared" si="13"/>
        <v>51823.5</v>
      </c>
      <c r="AW28" s="101"/>
      <c r="AX28" s="101">
        <f>AX29+AX39</f>
        <v>0</v>
      </c>
      <c r="AY28" s="101"/>
      <c r="AZ28" s="101">
        <f t="shared" si="14"/>
        <v>238939.9</v>
      </c>
      <c r="BA28" s="101">
        <v>238939.9</v>
      </c>
      <c r="BB28" s="101">
        <f>BB29+BB39</f>
        <v>122333.18638999999</v>
      </c>
      <c r="BC28" s="101">
        <f>BC29+BC39</f>
        <v>110841.56262</v>
      </c>
      <c r="BD28" s="101">
        <f t="shared" si="15"/>
        <v>46.388888009076759</v>
      </c>
      <c r="BE28" s="101">
        <f t="shared" si="16"/>
        <v>46.388888009076759</v>
      </c>
    </row>
    <row r="29" spans="1:57" ht="39" customHeight="1">
      <c r="A29" s="84" t="s">
        <v>19</v>
      </c>
      <c r="B29" s="90"/>
      <c r="C29" s="90"/>
      <c r="D29" s="90"/>
      <c r="E29" s="17"/>
      <c r="F29" s="20"/>
      <c r="G29" s="6">
        <f>SUM(G30:G30)</f>
        <v>79058</v>
      </c>
      <c r="H29" s="6" t="e">
        <f>#REF!+#REF!+#REF!+#REF!</f>
        <v>#REF!</v>
      </c>
      <c r="I29" s="6" t="e">
        <f>#REF!+#REF!+#REF!+#REF!</f>
        <v>#REF!</v>
      </c>
      <c r="J29" s="6" t="e">
        <f>#REF!+#REF!+#REF!+#REF!</f>
        <v>#REF!</v>
      </c>
      <c r="K29" s="6">
        <f>SUM(K30:K32)</f>
        <v>301422.09999999998</v>
      </c>
      <c r="L29" s="6">
        <f>SUM(L30:L32)</f>
        <v>0</v>
      </c>
      <c r="M29" s="6">
        <f>SUM(M30:M37)</f>
        <v>1374514.9</v>
      </c>
      <c r="N29" s="6">
        <f t="shared" ref="N29:O29" si="31">SUM(N30:N37)</f>
        <v>59711.7</v>
      </c>
      <c r="O29" s="6">
        <f t="shared" si="31"/>
        <v>7381.6</v>
      </c>
      <c r="P29" s="6">
        <f>SUM(P30:P37)</f>
        <v>71250.3</v>
      </c>
      <c r="Q29" s="6">
        <f>P29+M29</f>
        <v>1445765.2</v>
      </c>
      <c r="R29" s="6">
        <f>SUM(R30:R37)</f>
        <v>64153.5</v>
      </c>
      <c r="S29" s="6">
        <f t="shared" ref="S29:T29" si="32">SUM(S30:S37)</f>
        <v>31247</v>
      </c>
      <c r="T29" s="6">
        <f t="shared" si="32"/>
        <v>0</v>
      </c>
      <c r="U29" s="6">
        <f>SUM(U30:U37)</f>
        <v>0</v>
      </c>
      <c r="V29" s="6"/>
      <c r="W29" s="6">
        <f>W30+W31+W32+W33+W34+W35+W36+W37+W38</f>
        <v>1445765.1999999997</v>
      </c>
      <c r="X29" s="6">
        <f>R29+U29</f>
        <v>64153.5</v>
      </c>
      <c r="Y29" s="6">
        <f>SUM(Y30:Y37)</f>
        <v>67815.350000000006</v>
      </c>
      <c r="Z29" s="6">
        <f>SUM(Z30:Z37)</f>
        <v>0</v>
      </c>
      <c r="AA29" s="6">
        <f>AA30+AA31+AA32+AA33+AA34+AA35+AA36+AA37</f>
        <v>1.8474111129762605E-13</v>
      </c>
      <c r="AB29" s="6">
        <f>AB38</f>
        <v>221750</v>
      </c>
      <c r="AC29" s="6">
        <f t="shared" si="5"/>
        <v>1667515.1999999997</v>
      </c>
      <c r="AD29" s="6">
        <f>AD30+AD31+AD32+AD33+AD34+AD35+AD36+AD37+AD38</f>
        <v>64153.499999999993</v>
      </c>
      <c r="AE29" s="6">
        <f>AE30+AE31+AE32+AE33+AE34+AE35+AE36+AE37</f>
        <v>67815.400000000009</v>
      </c>
      <c r="AF29" s="6">
        <f t="shared" ref="AF29" si="33">SUM(AF30:AF32)</f>
        <v>131011</v>
      </c>
      <c r="AG29" s="6">
        <f t="shared" ref="AG29" si="34">SUM(AG30:AG32)</f>
        <v>0</v>
      </c>
      <c r="AH29" s="6">
        <f>AH30+AH31+AH32+AH33+AH34+AH35+AH36+AH37</f>
        <v>0</v>
      </c>
      <c r="AI29" s="6">
        <f>AI38</f>
        <v>1088.4000000000001</v>
      </c>
      <c r="AJ29" s="6">
        <f>AJ32+AJ33+AJ34+AJ35+AJ36+AJ37</f>
        <v>-132883.9</v>
      </c>
      <c r="AK29" s="6">
        <f t="shared" si="20"/>
        <v>1534631.2999999998</v>
      </c>
      <c r="AL29" s="6">
        <f t="shared" si="8"/>
        <v>65241.899999999994</v>
      </c>
      <c r="AM29" s="6">
        <f>AM30+AM31+AM32+AM33+AM34+AM35+AM36+AM37+AM38</f>
        <v>67815.399999999994</v>
      </c>
      <c r="AN29" s="6">
        <f t="shared" si="9"/>
        <v>131011</v>
      </c>
      <c r="AO29" s="6">
        <f>AO31+AO32</f>
        <v>-131011</v>
      </c>
      <c r="AP29" s="6">
        <f>AP38</f>
        <v>19470.2</v>
      </c>
      <c r="AQ29" s="6"/>
      <c r="AR29" s="6"/>
      <c r="AS29" s="101">
        <f t="shared" si="10"/>
        <v>1534631.2999999998</v>
      </c>
      <c r="AT29" s="101">
        <f t="shared" si="11"/>
        <v>65241.899999999994</v>
      </c>
      <c r="AU29" s="101">
        <f t="shared" si="12"/>
        <v>87285.599999999991</v>
      </c>
      <c r="AV29" s="101">
        <f t="shared" si="13"/>
        <v>0</v>
      </c>
      <c r="AW29" s="101">
        <f>AW38</f>
        <v>0</v>
      </c>
      <c r="AX29" s="101"/>
      <c r="AY29" s="101"/>
      <c r="AZ29" s="101">
        <f t="shared" si="14"/>
        <v>65241.899999999994</v>
      </c>
      <c r="BA29" s="101">
        <v>65241.899999999994</v>
      </c>
      <c r="BB29" s="101">
        <f>BB30+BB31+BB32+BB33+BB34+BB35+BB36+BB37+BB38</f>
        <v>22046.876579999996</v>
      </c>
      <c r="BC29" s="101">
        <f>BC30+BC31+BC32+BC33+BC34+BC35+BC36+BC37+BC38</f>
        <v>21572.152549999999</v>
      </c>
      <c r="BD29" s="101">
        <f t="shared" si="15"/>
        <v>33.064874796718065</v>
      </c>
      <c r="BE29" s="101">
        <f t="shared" si="16"/>
        <v>33.064874796718065</v>
      </c>
    </row>
    <row r="30" spans="1:57" ht="165.75" customHeight="1" outlineLevel="1">
      <c r="A30" s="86" t="s">
        <v>275</v>
      </c>
      <c r="B30" s="17" t="s">
        <v>24</v>
      </c>
      <c r="C30" s="17" t="s">
        <v>151</v>
      </c>
      <c r="D30" s="17" t="s">
        <v>7</v>
      </c>
      <c r="E30" s="17" t="s">
        <v>72</v>
      </c>
      <c r="F30" s="17" t="s">
        <v>16</v>
      </c>
      <c r="G30" s="30">
        <v>79058</v>
      </c>
      <c r="H30" s="30"/>
      <c r="I30" s="30">
        <v>79058</v>
      </c>
      <c r="J30" s="30"/>
      <c r="K30" s="30">
        <v>67764.2</v>
      </c>
      <c r="L30" s="30"/>
      <c r="M30" s="6">
        <f t="shared" si="23"/>
        <v>67764.2</v>
      </c>
      <c r="N30" s="6">
        <v>29705</v>
      </c>
      <c r="O30" s="6">
        <v>7381.6</v>
      </c>
      <c r="P30" s="6"/>
      <c r="Q30" s="6">
        <v>67764.2</v>
      </c>
      <c r="R30" s="6">
        <v>4000</v>
      </c>
      <c r="S30" s="30">
        <v>0</v>
      </c>
      <c r="T30" s="30">
        <v>0</v>
      </c>
      <c r="U30" s="6"/>
      <c r="V30" s="6"/>
      <c r="W30" s="6">
        <v>67764.2</v>
      </c>
      <c r="X30" s="6">
        <f t="shared" si="4"/>
        <v>4000</v>
      </c>
      <c r="Y30" s="6">
        <f t="shared" si="22"/>
        <v>0</v>
      </c>
      <c r="Z30" s="6"/>
      <c r="AA30" s="6"/>
      <c r="AB30" s="6"/>
      <c r="AC30" s="6">
        <f t="shared" si="5"/>
        <v>67764.2</v>
      </c>
      <c r="AD30" s="6">
        <v>3730.9</v>
      </c>
      <c r="AE30" s="6">
        <v>0</v>
      </c>
      <c r="AF30" s="30">
        <v>0</v>
      </c>
      <c r="AG30" s="30">
        <v>0</v>
      </c>
      <c r="AH30" s="30"/>
      <c r="AI30" s="30"/>
      <c r="AJ30" s="30"/>
      <c r="AK30" s="6">
        <f t="shared" si="20"/>
        <v>67764.2</v>
      </c>
      <c r="AL30" s="6">
        <f t="shared" si="8"/>
        <v>3730.9</v>
      </c>
      <c r="AM30" s="6">
        <f t="shared" ref="AM30:AM32" si="35">AE30+AH30</f>
        <v>0</v>
      </c>
      <c r="AN30" s="6">
        <f t="shared" si="9"/>
        <v>0</v>
      </c>
      <c r="AO30" s="6"/>
      <c r="AP30" s="6"/>
      <c r="AQ30" s="6"/>
      <c r="AR30" s="6"/>
      <c r="AS30" s="101">
        <f t="shared" si="10"/>
        <v>67764.2</v>
      </c>
      <c r="AT30" s="101">
        <f t="shared" si="11"/>
        <v>3730.9</v>
      </c>
      <c r="AU30" s="101">
        <f t="shared" si="12"/>
        <v>0</v>
      </c>
      <c r="AV30" s="101">
        <f t="shared" si="13"/>
        <v>0</v>
      </c>
      <c r="AW30" s="101"/>
      <c r="AX30" s="101"/>
      <c r="AY30" s="101"/>
      <c r="AZ30" s="101">
        <f t="shared" si="14"/>
        <v>3730.9</v>
      </c>
      <c r="BA30" s="101">
        <v>3730.9</v>
      </c>
      <c r="BB30" s="102">
        <f>3702.24703+13.75591</f>
        <v>3716.0029399999999</v>
      </c>
      <c r="BC30" s="102">
        <f>3667.6653+43.58229</f>
        <v>3711.2475899999999</v>
      </c>
      <c r="BD30" s="101">
        <f t="shared" si="15"/>
        <v>99.473252834436735</v>
      </c>
      <c r="BE30" s="101">
        <f t="shared" si="16"/>
        <v>99.473252834436735</v>
      </c>
    </row>
    <row r="31" spans="1:57" ht="164.25" customHeight="1" outlineLevel="1">
      <c r="A31" s="86" t="s">
        <v>168</v>
      </c>
      <c r="B31" s="17" t="s">
        <v>17</v>
      </c>
      <c r="C31" s="17" t="s">
        <v>151</v>
      </c>
      <c r="D31" s="17" t="s">
        <v>7</v>
      </c>
      <c r="E31" s="26" t="s">
        <v>75</v>
      </c>
      <c r="F31" s="17" t="s">
        <v>185</v>
      </c>
      <c r="G31" s="6">
        <v>101257.9</v>
      </c>
      <c r="H31" s="30"/>
      <c r="I31" s="6">
        <v>101257.9</v>
      </c>
      <c r="J31" s="30"/>
      <c r="K31" s="6">
        <v>101257.9</v>
      </c>
      <c r="L31" s="6"/>
      <c r="M31" s="6">
        <f t="shared" si="23"/>
        <v>101257.9</v>
      </c>
      <c r="N31" s="6">
        <v>20006.7</v>
      </c>
      <c r="O31" s="6"/>
      <c r="P31" s="6"/>
      <c r="Q31" s="6">
        <v>101257.9</v>
      </c>
      <c r="R31" s="6">
        <v>5555.6</v>
      </c>
      <c r="S31" s="6">
        <v>19247</v>
      </c>
      <c r="T31" s="6"/>
      <c r="U31" s="6"/>
      <c r="V31" s="6"/>
      <c r="W31" s="6">
        <v>101257.9</v>
      </c>
      <c r="X31" s="6">
        <f t="shared" si="4"/>
        <v>5555.6</v>
      </c>
      <c r="Y31" s="6">
        <v>2800.4</v>
      </c>
      <c r="Z31" s="6"/>
      <c r="AA31" s="6">
        <v>2455.4</v>
      </c>
      <c r="AB31" s="6"/>
      <c r="AC31" s="6">
        <f t="shared" si="5"/>
        <v>101257.9</v>
      </c>
      <c r="AD31" s="6">
        <v>8058.9</v>
      </c>
      <c r="AE31" s="6">
        <f>Y31+Z31</f>
        <v>2800.4</v>
      </c>
      <c r="AF31" s="30">
        <v>32231</v>
      </c>
      <c r="AG31" s="30"/>
      <c r="AH31" s="30">
        <v>-2396.9</v>
      </c>
      <c r="AI31" s="30"/>
      <c r="AJ31" s="30"/>
      <c r="AK31" s="6">
        <f t="shared" si="20"/>
        <v>101257.9</v>
      </c>
      <c r="AL31" s="6">
        <f t="shared" si="8"/>
        <v>8058.9</v>
      </c>
      <c r="AM31" s="6">
        <v>406</v>
      </c>
      <c r="AN31" s="6">
        <f t="shared" si="9"/>
        <v>32231</v>
      </c>
      <c r="AO31" s="6">
        <v>-32231</v>
      </c>
      <c r="AP31" s="6"/>
      <c r="AQ31" s="6"/>
      <c r="AR31" s="6"/>
      <c r="AS31" s="101">
        <f t="shared" si="10"/>
        <v>101257.9</v>
      </c>
      <c r="AT31" s="101">
        <f t="shared" si="11"/>
        <v>8058.9</v>
      </c>
      <c r="AU31" s="101">
        <f t="shared" si="12"/>
        <v>406</v>
      </c>
      <c r="AV31" s="101">
        <f t="shared" si="13"/>
        <v>0</v>
      </c>
      <c r="AW31" s="101"/>
      <c r="AX31" s="101"/>
      <c r="AY31" s="101"/>
      <c r="AZ31" s="101">
        <f t="shared" si="14"/>
        <v>8058.9</v>
      </c>
      <c r="BA31" s="101">
        <v>8058.9</v>
      </c>
      <c r="BB31" s="102">
        <f>1115.29438+2008.12819+79.56932+48.89218</f>
        <v>3251.8840699999996</v>
      </c>
      <c r="BC31" s="102">
        <v>3123.42254</v>
      </c>
      <c r="BD31" s="101">
        <f t="shared" si="15"/>
        <v>38.757430170370647</v>
      </c>
      <c r="BE31" s="101">
        <f t="shared" si="16"/>
        <v>38.757430170370647</v>
      </c>
    </row>
    <row r="32" spans="1:57" ht="162" customHeight="1" outlineLevel="1">
      <c r="A32" s="86" t="s">
        <v>149</v>
      </c>
      <c r="B32" s="17" t="s">
        <v>17</v>
      </c>
      <c r="C32" s="17" t="s">
        <v>151</v>
      </c>
      <c r="D32" s="17" t="s">
        <v>7</v>
      </c>
      <c r="E32" s="17" t="s">
        <v>152</v>
      </c>
      <c r="F32" s="17" t="s">
        <v>28</v>
      </c>
      <c r="G32" s="30">
        <v>79058</v>
      </c>
      <c r="H32" s="30"/>
      <c r="I32" s="30">
        <v>79058</v>
      </c>
      <c r="J32" s="30"/>
      <c r="K32" s="30">
        <v>132400</v>
      </c>
      <c r="L32" s="30"/>
      <c r="M32" s="6">
        <f t="shared" si="23"/>
        <v>132400</v>
      </c>
      <c r="N32" s="6">
        <v>10000</v>
      </c>
      <c r="O32" s="6"/>
      <c r="P32" s="6"/>
      <c r="Q32" s="6">
        <f>M32+P32</f>
        <v>132400</v>
      </c>
      <c r="R32" s="6">
        <v>6700</v>
      </c>
      <c r="S32" s="30">
        <v>12000</v>
      </c>
      <c r="T32" s="30"/>
      <c r="U32" s="6"/>
      <c r="V32" s="6"/>
      <c r="W32" s="6">
        <v>132400</v>
      </c>
      <c r="X32" s="6">
        <f t="shared" si="4"/>
        <v>6700</v>
      </c>
      <c r="Y32" s="6">
        <v>5247.3</v>
      </c>
      <c r="Z32" s="6"/>
      <c r="AA32" s="6">
        <v>5284.6</v>
      </c>
      <c r="AB32" s="6"/>
      <c r="AC32" s="6">
        <f t="shared" si="5"/>
        <v>132400</v>
      </c>
      <c r="AD32" s="6">
        <v>12056.26</v>
      </c>
      <c r="AE32" s="6">
        <f>Z32+Y32</f>
        <v>5247.3</v>
      </c>
      <c r="AF32" s="30">
        <v>98780</v>
      </c>
      <c r="AG32" s="30"/>
      <c r="AH32" s="30">
        <v>-5247.3</v>
      </c>
      <c r="AI32" s="30"/>
      <c r="AJ32" s="30">
        <v>14852.7</v>
      </c>
      <c r="AK32" s="6">
        <f t="shared" si="20"/>
        <v>147252.70000000001</v>
      </c>
      <c r="AL32" s="6">
        <f t="shared" si="8"/>
        <v>12056.26</v>
      </c>
      <c r="AM32" s="6">
        <f t="shared" si="35"/>
        <v>0</v>
      </c>
      <c r="AN32" s="6">
        <f t="shared" si="9"/>
        <v>98780</v>
      </c>
      <c r="AO32" s="6">
        <v>-98780</v>
      </c>
      <c r="AP32" s="6"/>
      <c r="AQ32" s="6"/>
      <c r="AR32" s="6"/>
      <c r="AS32" s="101">
        <f t="shared" si="10"/>
        <v>147252.70000000001</v>
      </c>
      <c r="AT32" s="101">
        <f t="shared" si="11"/>
        <v>12056.26</v>
      </c>
      <c r="AU32" s="101">
        <f t="shared" si="12"/>
        <v>0</v>
      </c>
      <c r="AV32" s="101">
        <f t="shared" si="13"/>
        <v>0</v>
      </c>
      <c r="AW32" s="101"/>
      <c r="AX32" s="101"/>
      <c r="AY32" s="101"/>
      <c r="AZ32" s="101">
        <f t="shared" si="14"/>
        <v>12056.26</v>
      </c>
      <c r="BA32" s="101">
        <v>12056.26</v>
      </c>
      <c r="BB32" s="102">
        <f>4458.22441+1536.57667</f>
        <v>5994.8010799999993</v>
      </c>
      <c r="BC32" s="102">
        <f>4458.22441+1536.57667</f>
        <v>5994.8010799999993</v>
      </c>
      <c r="BD32" s="101">
        <f t="shared" si="15"/>
        <v>49.723555065998902</v>
      </c>
      <c r="BE32" s="101">
        <f t="shared" si="16"/>
        <v>49.723555065998902</v>
      </c>
    </row>
    <row r="33" spans="1:57" ht="164.25" customHeight="1" outlineLevel="1">
      <c r="A33" s="86" t="s">
        <v>261</v>
      </c>
      <c r="B33" s="17" t="s">
        <v>153</v>
      </c>
      <c r="C33" s="17" t="s">
        <v>151</v>
      </c>
      <c r="D33" s="17" t="s">
        <v>7</v>
      </c>
      <c r="E33" s="17" t="s">
        <v>72</v>
      </c>
      <c r="F33" s="17" t="s">
        <v>26</v>
      </c>
      <c r="G33" s="30"/>
      <c r="H33" s="30"/>
      <c r="I33" s="30"/>
      <c r="J33" s="30"/>
      <c r="K33" s="30"/>
      <c r="L33" s="30"/>
      <c r="M33" s="6">
        <v>90000</v>
      </c>
      <c r="N33" s="6"/>
      <c r="O33" s="6"/>
      <c r="P33" s="6"/>
      <c r="Q33" s="6">
        <f t="shared" ref="Q33:Q37" si="36">M33+P33</f>
        <v>90000</v>
      </c>
      <c r="R33" s="6">
        <v>6700</v>
      </c>
      <c r="S33" s="30"/>
      <c r="T33" s="30"/>
      <c r="U33" s="6"/>
      <c r="V33" s="6"/>
      <c r="W33" s="6">
        <v>90000</v>
      </c>
      <c r="X33" s="6">
        <f t="shared" si="4"/>
        <v>6700</v>
      </c>
      <c r="Y33" s="6">
        <v>2310</v>
      </c>
      <c r="Z33" s="6"/>
      <c r="AA33" s="6"/>
      <c r="AB33" s="6"/>
      <c r="AC33" s="6">
        <f t="shared" si="5"/>
        <v>90000</v>
      </c>
      <c r="AD33" s="6">
        <v>6709.88</v>
      </c>
      <c r="AE33" s="6">
        <v>8732.7000000000007</v>
      </c>
      <c r="AF33" s="30">
        <v>0</v>
      </c>
      <c r="AG33" s="30"/>
      <c r="AH33" s="30"/>
      <c r="AI33" s="30"/>
      <c r="AJ33" s="30">
        <v>62863.9</v>
      </c>
      <c r="AK33" s="6">
        <f t="shared" si="20"/>
        <v>152863.9</v>
      </c>
      <c r="AL33" s="6">
        <f t="shared" si="8"/>
        <v>6709.88</v>
      </c>
      <c r="AM33" s="6">
        <v>8786.4</v>
      </c>
      <c r="AN33" s="6">
        <f t="shared" si="9"/>
        <v>0</v>
      </c>
      <c r="AO33" s="6"/>
      <c r="AP33" s="6"/>
      <c r="AQ33" s="6"/>
      <c r="AR33" s="6"/>
      <c r="AS33" s="101">
        <f t="shared" si="10"/>
        <v>152863.9</v>
      </c>
      <c r="AT33" s="101">
        <f t="shared" si="11"/>
        <v>6709.88</v>
      </c>
      <c r="AU33" s="101">
        <f t="shared" si="12"/>
        <v>8786.4</v>
      </c>
      <c r="AV33" s="101">
        <f t="shared" si="13"/>
        <v>0</v>
      </c>
      <c r="AW33" s="101"/>
      <c r="AX33" s="101"/>
      <c r="AY33" s="101"/>
      <c r="AZ33" s="101">
        <f t="shared" si="14"/>
        <v>6709.88</v>
      </c>
      <c r="BA33" s="101">
        <v>6709.88</v>
      </c>
      <c r="BB33" s="101"/>
      <c r="BC33" s="101"/>
      <c r="BD33" s="101">
        <f t="shared" si="15"/>
        <v>0</v>
      </c>
      <c r="BE33" s="101">
        <f t="shared" si="16"/>
        <v>0</v>
      </c>
    </row>
    <row r="34" spans="1:57" ht="170.25" customHeight="1" outlineLevel="1">
      <c r="A34" s="86" t="s">
        <v>154</v>
      </c>
      <c r="B34" s="17" t="s">
        <v>71</v>
      </c>
      <c r="C34" s="17" t="s">
        <v>151</v>
      </c>
      <c r="D34" s="17" t="s">
        <v>7</v>
      </c>
      <c r="E34" s="17" t="s">
        <v>72</v>
      </c>
      <c r="F34" s="17" t="s">
        <v>26</v>
      </c>
      <c r="G34" s="30"/>
      <c r="H34" s="30"/>
      <c r="I34" s="30"/>
      <c r="J34" s="30"/>
      <c r="K34" s="30"/>
      <c r="L34" s="30"/>
      <c r="M34" s="6">
        <v>287128.09999999998</v>
      </c>
      <c r="N34" s="6"/>
      <c r="O34" s="6"/>
      <c r="P34" s="6"/>
      <c r="Q34" s="6">
        <f t="shared" si="36"/>
        <v>287128.09999999998</v>
      </c>
      <c r="R34" s="6">
        <v>10000</v>
      </c>
      <c r="S34" s="30"/>
      <c r="T34" s="30"/>
      <c r="U34" s="6"/>
      <c r="V34" s="6"/>
      <c r="W34" s="6">
        <v>287128.09999999998</v>
      </c>
      <c r="X34" s="6">
        <f t="shared" si="4"/>
        <v>10000</v>
      </c>
      <c r="Y34" s="6">
        <v>18687.75</v>
      </c>
      <c r="Z34" s="6"/>
      <c r="AA34" s="6"/>
      <c r="AB34" s="6"/>
      <c r="AC34" s="6">
        <f t="shared" si="5"/>
        <v>287128.09999999998</v>
      </c>
      <c r="AD34" s="6">
        <v>10059.799999999999</v>
      </c>
      <c r="AE34" s="6">
        <v>12265.1</v>
      </c>
      <c r="AF34" s="30">
        <v>0</v>
      </c>
      <c r="AG34" s="30"/>
      <c r="AH34" s="30"/>
      <c r="AI34" s="30"/>
      <c r="AJ34" s="30">
        <v>-72005</v>
      </c>
      <c r="AK34" s="6">
        <f t="shared" si="20"/>
        <v>215123.09999999998</v>
      </c>
      <c r="AL34" s="6">
        <f t="shared" si="8"/>
        <v>10059.799999999999</v>
      </c>
      <c r="AM34" s="6">
        <v>12340.5</v>
      </c>
      <c r="AN34" s="6">
        <f t="shared" si="9"/>
        <v>0</v>
      </c>
      <c r="AO34" s="6"/>
      <c r="AP34" s="6"/>
      <c r="AQ34" s="6"/>
      <c r="AR34" s="6"/>
      <c r="AS34" s="101">
        <f t="shared" si="10"/>
        <v>215123.09999999998</v>
      </c>
      <c r="AT34" s="101">
        <f t="shared" si="11"/>
        <v>10059.799999999999</v>
      </c>
      <c r="AU34" s="101">
        <f t="shared" si="12"/>
        <v>12340.5</v>
      </c>
      <c r="AV34" s="101">
        <f t="shared" si="13"/>
        <v>0</v>
      </c>
      <c r="AW34" s="101"/>
      <c r="AX34" s="101"/>
      <c r="AY34" s="101"/>
      <c r="AZ34" s="101">
        <f t="shared" si="14"/>
        <v>10059.799999999999</v>
      </c>
      <c r="BA34" s="101">
        <v>10059.799999999999</v>
      </c>
      <c r="BB34" s="102">
        <f>523.21556+376.90429+93.97102</f>
        <v>994.09087</v>
      </c>
      <c r="BC34" s="102">
        <f>523.21556+376.90429+93.97102</f>
        <v>994.09087</v>
      </c>
      <c r="BD34" s="101">
        <f t="shared" si="15"/>
        <v>9.8818154436469925</v>
      </c>
      <c r="BE34" s="101">
        <f t="shared" si="16"/>
        <v>9.8818154436469925</v>
      </c>
    </row>
    <row r="35" spans="1:57" ht="171" customHeight="1" outlineLevel="1">
      <c r="A35" s="86" t="s">
        <v>276</v>
      </c>
      <c r="B35" s="17" t="s">
        <v>71</v>
      </c>
      <c r="C35" s="17" t="s">
        <v>151</v>
      </c>
      <c r="D35" s="17" t="s">
        <v>7</v>
      </c>
      <c r="E35" s="17" t="s">
        <v>38</v>
      </c>
      <c r="F35" s="17" t="s">
        <v>26</v>
      </c>
      <c r="G35" s="30"/>
      <c r="H35" s="30"/>
      <c r="I35" s="30"/>
      <c r="J35" s="30"/>
      <c r="K35" s="30"/>
      <c r="L35" s="30"/>
      <c r="M35" s="6">
        <v>264506</v>
      </c>
      <c r="N35" s="6"/>
      <c r="O35" s="6"/>
      <c r="P35" s="6"/>
      <c r="Q35" s="6">
        <f t="shared" si="36"/>
        <v>264506</v>
      </c>
      <c r="R35" s="6">
        <v>11111.1</v>
      </c>
      <c r="S35" s="30"/>
      <c r="T35" s="30"/>
      <c r="U35" s="6"/>
      <c r="V35" s="6"/>
      <c r="W35" s="6">
        <v>264506</v>
      </c>
      <c r="X35" s="6">
        <f t="shared" si="4"/>
        <v>11111.1</v>
      </c>
      <c r="Y35" s="6">
        <v>15725.9</v>
      </c>
      <c r="Z35" s="6"/>
      <c r="AA35" s="6"/>
      <c r="AB35" s="6"/>
      <c r="AC35" s="6">
        <f t="shared" si="5"/>
        <v>264506</v>
      </c>
      <c r="AD35" s="6">
        <v>11177.5</v>
      </c>
      <c r="AE35" s="6">
        <f t="shared" ref="AE35:AE37" si="37">Z35+Y35</f>
        <v>15725.9</v>
      </c>
      <c r="AF35" s="30">
        <v>0</v>
      </c>
      <c r="AG35" s="30"/>
      <c r="AH35" s="30">
        <v>-7179.2</v>
      </c>
      <c r="AI35" s="30"/>
      <c r="AJ35" s="30">
        <v>-76185.5</v>
      </c>
      <c r="AK35" s="6">
        <f t="shared" si="20"/>
        <v>188320.5</v>
      </c>
      <c r="AL35" s="6">
        <f t="shared" si="8"/>
        <v>11177.5</v>
      </c>
      <c r="AM35" s="6">
        <v>8182.3</v>
      </c>
      <c r="AN35" s="6">
        <f t="shared" si="9"/>
        <v>0</v>
      </c>
      <c r="AO35" s="6"/>
      <c r="AP35" s="6"/>
      <c r="AQ35" s="6"/>
      <c r="AR35" s="6"/>
      <c r="AS35" s="101">
        <f t="shared" si="10"/>
        <v>188320.5</v>
      </c>
      <c r="AT35" s="101">
        <f t="shared" si="11"/>
        <v>11177.5</v>
      </c>
      <c r="AU35" s="101">
        <f t="shared" si="12"/>
        <v>8182.3</v>
      </c>
      <c r="AV35" s="101">
        <f t="shared" si="13"/>
        <v>0</v>
      </c>
      <c r="AW35" s="101"/>
      <c r="AX35" s="101"/>
      <c r="AY35" s="101"/>
      <c r="AZ35" s="101">
        <f t="shared" si="14"/>
        <v>11177.5</v>
      </c>
      <c r="BA35" s="101">
        <v>11177.5</v>
      </c>
      <c r="BB35" s="102">
        <f>68.60944+1052.23952</f>
        <v>1120.84896</v>
      </c>
      <c r="BC35" s="102">
        <f>68.60944+1052.23952</f>
        <v>1120.84896</v>
      </c>
      <c r="BD35" s="101">
        <f t="shared" si="15"/>
        <v>10.02772498322523</v>
      </c>
      <c r="BE35" s="101">
        <f t="shared" si="16"/>
        <v>10.02772498322523</v>
      </c>
    </row>
    <row r="36" spans="1:57" ht="165" customHeight="1" outlineLevel="1">
      <c r="A36" s="86" t="s">
        <v>277</v>
      </c>
      <c r="B36" s="17" t="s">
        <v>71</v>
      </c>
      <c r="C36" s="17" t="s">
        <v>151</v>
      </c>
      <c r="D36" s="17" t="s">
        <v>7</v>
      </c>
      <c r="E36" s="17" t="s">
        <v>46</v>
      </c>
      <c r="F36" s="17" t="s">
        <v>26</v>
      </c>
      <c r="G36" s="30"/>
      <c r="H36" s="30"/>
      <c r="I36" s="30"/>
      <c r="J36" s="30"/>
      <c r="K36" s="30"/>
      <c r="L36" s="30"/>
      <c r="M36" s="6">
        <v>287128.09999999998</v>
      </c>
      <c r="N36" s="6"/>
      <c r="O36" s="6"/>
      <c r="P36" s="6"/>
      <c r="Q36" s="6">
        <f t="shared" si="36"/>
        <v>287128.09999999998</v>
      </c>
      <c r="R36" s="6">
        <v>13386.8</v>
      </c>
      <c r="S36" s="30"/>
      <c r="T36" s="30"/>
      <c r="U36" s="6"/>
      <c r="V36" s="6"/>
      <c r="W36" s="6">
        <v>287128.09999999998</v>
      </c>
      <c r="X36" s="6">
        <f t="shared" si="4"/>
        <v>13386.8</v>
      </c>
      <c r="Y36" s="6">
        <v>15300.9</v>
      </c>
      <c r="Z36" s="6"/>
      <c r="AA36" s="6">
        <v>-7706.7</v>
      </c>
      <c r="AB36" s="6"/>
      <c r="AC36" s="6">
        <f t="shared" si="5"/>
        <v>287128.09999999998</v>
      </c>
      <c r="AD36" s="6">
        <v>5653.7</v>
      </c>
      <c r="AE36" s="6">
        <f t="shared" si="37"/>
        <v>15300.9</v>
      </c>
      <c r="AF36" s="30">
        <v>0</v>
      </c>
      <c r="AG36" s="30"/>
      <c r="AH36" s="30">
        <v>7698.4</v>
      </c>
      <c r="AI36" s="30"/>
      <c r="AJ36" s="30">
        <v>-35810.6</v>
      </c>
      <c r="AK36" s="6">
        <f t="shared" si="20"/>
        <v>251317.49999999997</v>
      </c>
      <c r="AL36" s="6">
        <f t="shared" si="8"/>
        <v>5653.7</v>
      </c>
      <c r="AM36" s="6">
        <v>23140.7</v>
      </c>
      <c r="AN36" s="6">
        <f t="shared" si="9"/>
        <v>0</v>
      </c>
      <c r="AO36" s="6"/>
      <c r="AP36" s="6"/>
      <c r="AQ36" s="6"/>
      <c r="AR36" s="6"/>
      <c r="AS36" s="101">
        <f t="shared" si="10"/>
        <v>251317.49999999997</v>
      </c>
      <c r="AT36" s="101">
        <f t="shared" si="11"/>
        <v>5653.7</v>
      </c>
      <c r="AU36" s="101">
        <f t="shared" si="12"/>
        <v>23140.7</v>
      </c>
      <c r="AV36" s="101">
        <f t="shared" si="13"/>
        <v>0</v>
      </c>
      <c r="AW36" s="101"/>
      <c r="AX36" s="101"/>
      <c r="AY36" s="101"/>
      <c r="AZ36" s="101">
        <f t="shared" si="14"/>
        <v>5653.7</v>
      </c>
      <c r="BA36" s="101">
        <v>5653.7</v>
      </c>
      <c r="BB36" s="102">
        <v>5653.6985199999999</v>
      </c>
      <c r="BC36" s="102">
        <v>5653.6985199999999</v>
      </c>
      <c r="BD36" s="101">
        <f t="shared" si="15"/>
        <v>99.99997382245256</v>
      </c>
      <c r="BE36" s="101">
        <f t="shared" si="16"/>
        <v>99.99997382245256</v>
      </c>
    </row>
    <row r="37" spans="1:57" ht="170.25" customHeight="1" outlineLevel="1">
      <c r="A37" s="86" t="s">
        <v>147</v>
      </c>
      <c r="B37" s="17" t="s">
        <v>137</v>
      </c>
      <c r="C37" s="17" t="s">
        <v>151</v>
      </c>
      <c r="D37" s="17" t="s">
        <v>7</v>
      </c>
      <c r="E37" s="17" t="s">
        <v>118</v>
      </c>
      <c r="F37" s="17" t="s">
        <v>26</v>
      </c>
      <c r="G37" s="30"/>
      <c r="H37" s="30"/>
      <c r="I37" s="30"/>
      <c r="J37" s="30"/>
      <c r="K37" s="30"/>
      <c r="L37" s="30"/>
      <c r="M37" s="6">
        <v>144330.6</v>
      </c>
      <c r="N37" s="6"/>
      <c r="O37" s="6"/>
      <c r="P37" s="6">
        <v>71250.3</v>
      </c>
      <c r="Q37" s="6">
        <f t="shared" si="36"/>
        <v>215580.90000000002</v>
      </c>
      <c r="R37" s="6">
        <v>6700</v>
      </c>
      <c r="S37" s="30"/>
      <c r="T37" s="30"/>
      <c r="U37" s="6"/>
      <c r="V37" s="6"/>
      <c r="W37" s="6">
        <v>215580.90000000002</v>
      </c>
      <c r="X37" s="6">
        <f t="shared" si="4"/>
        <v>6700</v>
      </c>
      <c r="Y37" s="6">
        <v>7743.1</v>
      </c>
      <c r="Z37" s="6"/>
      <c r="AA37" s="6">
        <v>-33.299999999999997</v>
      </c>
      <c r="AB37" s="6"/>
      <c r="AC37" s="6">
        <f t="shared" si="5"/>
        <v>215580.90000000002</v>
      </c>
      <c r="AD37" s="6">
        <v>6706.5599999999995</v>
      </c>
      <c r="AE37" s="6">
        <f t="shared" si="37"/>
        <v>7743.1</v>
      </c>
      <c r="AF37" s="30">
        <v>0</v>
      </c>
      <c r="AG37" s="30"/>
      <c r="AH37" s="30">
        <v>7125</v>
      </c>
      <c r="AI37" s="30"/>
      <c r="AJ37" s="30">
        <v>-26599.4</v>
      </c>
      <c r="AK37" s="6">
        <f t="shared" si="20"/>
        <v>188981.50000000003</v>
      </c>
      <c r="AL37" s="6">
        <f t="shared" si="8"/>
        <v>6706.5599999999995</v>
      </c>
      <c r="AM37" s="6">
        <v>14959.5</v>
      </c>
      <c r="AN37" s="6">
        <f t="shared" si="9"/>
        <v>0</v>
      </c>
      <c r="AO37" s="6"/>
      <c r="AP37" s="6"/>
      <c r="AQ37" s="6"/>
      <c r="AR37" s="6"/>
      <c r="AS37" s="101">
        <f t="shared" si="10"/>
        <v>188981.50000000003</v>
      </c>
      <c r="AT37" s="101">
        <f t="shared" si="11"/>
        <v>6706.5599999999995</v>
      </c>
      <c r="AU37" s="101">
        <f t="shared" si="12"/>
        <v>14959.5</v>
      </c>
      <c r="AV37" s="101">
        <f t="shared" si="13"/>
        <v>0</v>
      </c>
      <c r="AW37" s="101"/>
      <c r="AX37" s="101"/>
      <c r="AY37" s="101"/>
      <c r="AZ37" s="101">
        <f t="shared" si="14"/>
        <v>6706.5599999999995</v>
      </c>
      <c r="BA37" s="101">
        <v>6706.5599999999995</v>
      </c>
      <c r="BB37" s="102">
        <f>113.25732+31.09305+638.69916+51.92344+480.57717</f>
        <v>1315.5501400000001</v>
      </c>
      <c r="BC37" s="102">
        <v>974.04299000000003</v>
      </c>
      <c r="BD37" s="101">
        <f t="shared" si="15"/>
        <v>14.523734820832143</v>
      </c>
      <c r="BE37" s="101">
        <f t="shared" si="16"/>
        <v>14.523734820832143</v>
      </c>
    </row>
    <row r="38" spans="1:57" ht="163.5" customHeight="1" outlineLevel="1">
      <c r="A38" s="86" t="s">
        <v>189</v>
      </c>
      <c r="B38" s="17" t="s">
        <v>137</v>
      </c>
      <c r="C38" s="17" t="s">
        <v>151</v>
      </c>
      <c r="D38" s="17" t="s">
        <v>7</v>
      </c>
      <c r="E38" s="17" t="s">
        <v>72</v>
      </c>
      <c r="F38" s="17" t="s">
        <v>190</v>
      </c>
      <c r="G38" s="30"/>
      <c r="H38" s="30"/>
      <c r="I38" s="30"/>
      <c r="J38" s="30"/>
      <c r="K38" s="30"/>
      <c r="L38" s="30"/>
      <c r="M38" s="6"/>
      <c r="N38" s="6"/>
      <c r="O38" s="6"/>
      <c r="P38" s="6"/>
      <c r="Q38" s="6"/>
      <c r="R38" s="6"/>
      <c r="S38" s="30"/>
      <c r="T38" s="30"/>
      <c r="U38" s="6"/>
      <c r="V38" s="6"/>
      <c r="W38" s="6"/>
      <c r="X38" s="6">
        <v>221750</v>
      </c>
      <c r="Y38" s="6">
        <f>W38+X38</f>
        <v>221750</v>
      </c>
      <c r="Z38" s="6">
        <v>0</v>
      </c>
      <c r="AA38" s="30">
        <v>1088.4000000000001</v>
      </c>
      <c r="AB38" s="30">
        <v>221750</v>
      </c>
      <c r="AC38" s="6">
        <f t="shared" si="5"/>
        <v>221750</v>
      </c>
      <c r="AD38" s="6"/>
      <c r="AE38" s="6">
        <f t="shared" ref="AE38" si="38">AC38+AD38</f>
        <v>221750</v>
      </c>
      <c r="AF38" s="6">
        <v>0</v>
      </c>
      <c r="AG38" s="6"/>
      <c r="AH38" s="6">
        <f t="shared" ref="AH38" si="39">AF38+AG38</f>
        <v>0</v>
      </c>
      <c r="AI38" s="30">
        <v>1088.4000000000001</v>
      </c>
      <c r="AJ38" s="30"/>
      <c r="AK38" s="6">
        <f t="shared" si="20"/>
        <v>221750</v>
      </c>
      <c r="AL38" s="6">
        <f t="shared" si="8"/>
        <v>1088.4000000000001</v>
      </c>
      <c r="AM38" s="6"/>
      <c r="AN38" s="6"/>
      <c r="AO38" s="6"/>
      <c r="AP38" s="6">
        <v>19470.2</v>
      </c>
      <c r="AQ38" s="6"/>
      <c r="AR38" s="6"/>
      <c r="AS38" s="101">
        <f t="shared" si="10"/>
        <v>221750</v>
      </c>
      <c r="AT38" s="101">
        <f t="shared" si="11"/>
        <v>1088.4000000000001</v>
      </c>
      <c r="AU38" s="101">
        <f t="shared" si="12"/>
        <v>19470.2</v>
      </c>
      <c r="AV38" s="101"/>
      <c r="AW38" s="101"/>
      <c r="AX38" s="101"/>
      <c r="AY38" s="101"/>
      <c r="AZ38" s="101">
        <f t="shared" si="14"/>
        <v>1088.4000000000001</v>
      </c>
      <c r="BA38" s="101">
        <v>1088.4000000000001</v>
      </c>
      <c r="BB38" s="101"/>
      <c r="BC38" s="101"/>
      <c r="BD38" s="101">
        <f t="shared" si="15"/>
        <v>0</v>
      </c>
      <c r="BE38" s="101">
        <f t="shared" si="16"/>
        <v>0</v>
      </c>
    </row>
    <row r="39" spans="1:57" ht="44.25" customHeight="1">
      <c r="A39" s="84" t="s">
        <v>21</v>
      </c>
      <c r="B39" s="90"/>
      <c r="C39" s="90"/>
      <c r="D39" s="90"/>
      <c r="E39" s="17"/>
      <c r="F39" s="20"/>
      <c r="G39" s="6">
        <f>SUM(G40:G41)</f>
        <v>649885.5</v>
      </c>
      <c r="H39" s="6">
        <f>H40+H41</f>
        <v>17147.099999999999</v>
      </c>
      <c r="I39" s="6" t="e">
        <f>I40+I41+#REF!</f>
        <v>#REF!</v>
      </c>
      <c r="J39" s="6" t="e">
        <f>J40+J41+#REF!</f>
        <v>#REF!</v>
      </c>
      <c r="K39" s="6">
        <f>SUM(K40:K43)</f>
        <v>1737515.4</v>
      </c>
      <c r="L39" s="6">
        <f>SUM(L40:L43)</f>
        <v>0</v>
      </c>
      <c r="M39" s="6">
        <f>SUM(M40:M45)</f>
        <v>1737515.4</v>
      </c>
      <c r="N39" s="6">
        <f t="shared" ref="N39:P39" si="40">SUM(N40:N45)</f>
        <v>69402.679999999993</v>
      </c>
      <c r="O39" s="6">
        <f t="shared" si="40"/>
        <v>0</v>
      </c>
      <c r="P39" s="6">
        <f t="shared" si="40"/>
        <v>174592.4</v>
      </c>
      <c r="Q39" s="6">
        <f>M39+P39</f>
        <v>1912107.7999999998</v>
      </c>
      <c r="R39" s="6">
        <f>SUM(R40:R45)</f>
        <v>72342.5</v>
      </c>
      <c r="S39" s="6">
        <f t="shared" ref="S39:AF39" si="41">SUM(S40:S43)</f>
        <v>44259.4</v>
      </c>
      <c r="T39" s="6">
        <f t="shared" ref="T39" si="42">SUM(T40:T43)</f>
        <v>0</v>
      </c>
      <c r="U39" s="6">
        <f>SUM(U40:U45)</f>
        <v>0</v>
      </c>
      <c r="V39" s="6"/>
      <c r="W39" s="6">
        <v>1912107.7999999998</v>
      </c>
      <c r="X39" s="6">
        <f>R39+U39</f>
        <v>72342.5</v>
      </c>
      <c r="Y39" s="6">
        <f t="shared" si="22"/>
        <v>44259.4</v>
      </c>
      <c r="Z39" s="6">
        <f>SUM(Z40:Z45)</f>
        <v>0</v>
      </c>
      <c r="AA39" s="6">
        <f>AA40+AA41+AA42+AA43+AA45</f>
        <v>92884.3</v>
      </c>
      <c r="AB39" s="6"/>
      <c r="AC39" s="6">
        <f t="shared" si="5"/>
        <v>1912107.7999999998</v>
      </c>
      <c r="AD39" s="6">
        <f t="shared" si="6"/>
        <v>165226.79999999999</v>
      </c>
      <c r="AE39" s="6">
        <f>AE40+AE41+AE42+AE43+AE45</f>
        <v>44259.4</v>
      </c>
      <c r="AF39" s="6">
        <f t="shared" si="41"/>
        <v>51823.5</v>
      </c>
      <c r="AG39" s="6">
        <f>SUM(AG40:AG45)</f>
        <v>0</v>
      </c>
      <c r="AH39" s="6">
        <f>AH42</f>
        <v>-0.1</v>
      </c>
      <c r="AI39" s="6"/>
      <c r="AJ39" s="6">
        <f>AJ43+AJ44</f>
        <v>117480.09999999998</v>
      </c>
      <c r="AK39" s="6">
        <f t="shared" si="20"/>
        <v>2029587.9</v>
      </c>
      <c r="AL39" s="6">
        <f t="shared" si="8"/>
        <v>165226.79999999999</v>
      </c>
      <c r="AM39" s="6">
        <f>AE39+AH39</f>
        <v>44259.3</v>
      </c>
      <c r="AN39" s="6">
        <f t="shared" si="9"/>
        <v>51823.5</v>
      </c>
      <c r="AO39" s="6"/>
      <c r="AP39" s="6"/>
      <c r="AQ39" s="6">
        <f>AQ40+AQ42</f>
        <v>0</v>
      </c>
      <c r="AR39" s="6"/>
      <c r="AS39" s="101">
        <f t="shared" si="10"/>
        <v>2029587.9</v>
      </c>
      <c r="AT39" s="101">
        <f t="shared" si="11"/>
        <v>165226.79999999999</v>
      </c>
      <c r="AU39" s="101">
        <f t="shared" si="12"/>
        <v>44259.3</v>
      </c>
      <c r="AV39" s="101">
        <f t="shared" si="13"/>
        <v>51823.5</v>
      </c>
      <c r="AW39" s="101"/>
      <c r="AX39" s="101">
        <f>AX43+AX44</f>
        <v>0</v>
      </c>
      <c r="AY39" s="101"/>
      <c r="AZ39" s="101">
        <f t="shared" si="14"/>
        <v>165226.79999999999</v>
      </c>
      <c r="BA39" s="101">
        <v>165226.79999999999</v>
      </c>
      <c r="BB39" s="101">
        <f>BB40+BB41+BB42+BB43+BB44+BB45+BB46+BB47</f>
        <v>100286.30980999999</v>
      </c>
      <c r="BC39" s="101">
        <f>BC40+BC41+BC42+BC43+BC44+BC45+BC46+BC47</f>
        <v>89269.410069999998</v>
      </c>
      <c r="BD39" s="101">
        <f t="shared" si="15"/>
        <v>54.02840826669766</v>
      </c>
      <c r="BE39" s="101">
        <f t="shared" si="16"/>
        <v>54.02840826669766</v>
      </c>
    </row>
    <row r="40" spans="1:57" ht="130.5" customHeight="1" outlineLevel="1">
      <c r="A40" s="86" t="s">
        <v>90</v>
      </c>
      <c r="B40" s="17" t="s">
        <v>22</v>
      </c>
      <c r="C40" s="17" t="s">
        <v>20</v>
      </c>
      <c r="D40" s="17" t="s">
        <v>7</v>
      </c>
      <c r="E40" s="17" t="s">
        <v>35</v>
      </c>
      <c r="F40" s="17" t="s">
        <v>54</v>
      </c>
      <c r="G40" s="6">
        <v>316480</v>
      </c>
      <c r="H40" s="6"/>
      <c r="I40" s="6">
        <v>316480</v>
      </c>
      <c r="J40" s="6"/>
      <c r="K40" s="6">
        <v>316480</v>
      </c>
      <c r="L40" s="6"/>
      <c r="M40" s="6">
        <f t="shared" si="23"/>
        <v>316480</v>
      </c>
      <c r="N40" s="6">
        <v>3741.28</v>
      </c>
      <c r="O40" s="6"/>
      <c r="P40" s="6"/>
      <c r="Q40" s="6">
        <f>M40+P40</f>
        <v>316480</v>
      </c>
      <c r="R40" s="6">
        <f>3741.3</f>
        <v>3741.3</v>
      </c>
      <c r="S40" s="30">
        <v>0</v>
      </c>
      <c r="T40" s="30">
        <v>0</v>
      </c>
      <c r="U40" s="6">
        <v>748.1</v>
      </c>
      <c r="V40" s="6"/>
      <c r="W40" s="6">
        <v>316480</v>
      </c>
      <c r="X40" s="6">
        <f t="shared" si="4"/>
        <v>4489.4000000000005</v>
      </c>
      <c r="Y40" s="6">
        <f t="shared" si="22"/>
        <v>0</v>
      </c>
      <c r="Z40" s="6"/>
      <c r="AA40" s="6">
        <v>6700</v>
      </c>
      <c r="AB40" s="6"/>
      <c r="AC40" s="6">
        <f t="shared" si="5"/>
        <v>316480</v>
      </c>
      <c r="AD40" s="6">
        <f t="shared" si="6"/>
        <v>11189.400000000001</v>
      </c>
      <c r="AE40" s="6">
        <v>0</v>
      </c>
      <c r="AF40" s="30">
        <v>0</v>
      </c>
      <c r="AG40" s="30"/>
      <c r="AH40" s="30"/>
      <c r="AI40" s="30"/>
      <c r="AJ40" s="30"/>
      <c r="AK40" s="6">
        <f t="shared" si="20"/>
        <v>316480</v>
      </c>
      <c r="AL40" s="6">
        <f t="shared" si="8"/>
        <v>11189.400000000001</v>
      </c>
      <c r="AM40" s="6">
        <v>0</v>
      </c>
      <c r="AN40" s="6">
        <f t="shared" si="9"/>
        <v>0</v>
      </c>
      <c r="AO40" s="6"/>
      <c r="AP40" s="6"/>
      <c r="AQ40" s="6">
        <v>-114.9</v>
      </c>
      <c r="AR40" s="6"/>
      <c r="AS40" s="101">
        <f t="shared" si="10"/>
        <v>316480</v>
      </c>
      <c r="AT40" s="101">
        <f t="shared" si="11"/>
        <v>11074.500000000002</v>
      </c>
      <c r="AU40" s="101">
        <f t="shared" si="12"/>
        <v>0</v>
      </c>
      <c r="AV40" s="101">
        <f t="shared" si="13"/>
        <v>0</v>
      </c>
      <c r="AW40" s="101"/>
      <c r="AX40" s="101"/>
      <c r="AY40" s="101"/>
      <c r="AZ40" s="101">
        <f t="shared" si="14"/>
        <v>11074.500000000002</v>
      </c>
      <c r="BA40" s="101">
        <v>11074.500000000002</v>
      </c>
      <c r="BB40" s="102">
        <v>11074.4455</v>
      </c>
      <c r="BC40" s="102">
        <v>11074.4455</v>
      </c>
      <c r="BD40" s="101">
        <f t="shared" si="15"/>
        <v>99.999507878459497</v>
      </c>
      <c r="BE40" s="101">
        <f t="shared" si="16"/>
        <v>99.999507878459497</v>
      </c>
    </row>
    <row r="41" spans="1:57" ht="130.5" customHeight="1" outlineLevel="1">
      <c r="A41" s="86" t="s">
        <v>45</v>
      </c>
      <c r="B41" s="17" t="s">
        <v>23</v>
      </c>
      <c r="C41" s="17" t="s">
        <v>5</v>
      </c>
      <c r="D41" s="17" t="s">
        <v>7</v>
      </c>
      <c r="E41" s="17" t="s">
        <v>14</v>
      </c>
      <c r="F41" s="17" t="s">
        <v>16</v>
      </c>
      <c r="G41" s="6">
        <v>333405.5</v>
      </c>
      <c r="H41" s="30">
        <v>17147.099999999999</v>
      </c>
      <c r="I41" s="6">
        <f>G41+H41</f>
        <v>350552.6</v>
      </c>
      <c r="J41" s="30"/>
      <c r="K41" s="6">
        <v>352526.8</v>
      </c>
      <c r="L41" s="6"/>
      <c r="M41" s="6">
        <f t="shared" si="23"/>
        <v>352526.8</v>
      </c>
      <c r="N41" s="6">
        <v>65661.399999999994</v>
      </c>
      <c r="O41" s="6"/>
      <c r="P41" s="6"/>
      <c r="Q41" s="6">
        <f t="shared" ref="Q41:Q45" si="43">M41+P41</f>
        <v>352526.8</v>
      </c>
      <c r="R41" s="6">
        <v>65661.36</v>
      </c>
      <c r="S41" s="30">
        <v>0</v>
      </c>
      <c r="T41" s="30">
        <v>0</v>
      </c>
      <c r="U41" s="6">
        <v>-2958.9</v>
      </c>
      <c r="V41" s="6"/>
      <c r="W41" s="6">
        <v>352526.8</v>
      </c>
      <c r="X41" s="6">
        <f>R41+U41</f>
        <v>62702.46</v>
      </c>
      <c r="Y41" s="6">
        <f t="shared" si="22"/>
        <v>0</v>
      </c>
      <c r="Z41" s="6">
        <v>7898.7</v>
      </c>
      <c r="AA41" s="6"/>
      <c r="AB41" s="6"/>
      <c r="AC41" s="6">
        <f t="shared" si="5"/>
        <v>352526.8</v>
      </c>
      <c r="AD41" s="6">
        <f t="shared" si="6"/>
        <v>62702.46</v>
      </c>
      <c r="AE41" s="6">
        <v>7898.6</v>
      </c>
      <c r="AF41" s="30">
        <v>0</v>
      </c>
      <c r="AG41" s="30"/>
      <c r="AH41" s="30"/>
      <c r="AI41" s="30"/>
      <c r="AJ41" s="30"/>
      <c r="AK41" s="6">
        <f t="shared" si="20"/>
        <v>352526.8</v>
      </c>
      <c r="AL41" s="6">
        <f t="shared" si="8"/>
        <v>62702.46</v>
      </c>
      <c r="AM41" s="6">
        <v>7898.6</v>
      </c>
      <c r="AN41" s="6">
        <f t="shared" si="9"/>
        <v>0</v>
      </c>
      <c r="AO41" s="6"/>
      <c r="AP41" s="6"/>
      <c r="AQ41" s="6"/>
      <c r="AR41" s="6"/>
      <c r="AS41" s="101">
        <f t="shared" si="10"/>
        <v>352526.8</v>
      </c>
      <c r="AT41" s="101">
        <f t="shared" si="11"/>
        <v>62702.46</v>
      </c>
      <c r="AU41" s="101">
        <f t="shared" si="12"/>
        <v>7898.6</v>
      </c>
      <c r="AV41" s="101">
        <f t="shared" si="13"/>
        <v>0</v>
      </c>
      <c r="AW41" s="101"/>
      <c r="AX41" s="101"/>
      <c r="AY41" s="101"/>
      <c r="AZ41" s="101">
        <f t="shared" si="14"/>
        <v>62702.46</v>
      </c>
      <c r="BA41" s="101">
        <v>62702.46</v>
      </c>
      <c r="BB41" s="102">
        <f>36178.90968+22694.2556</f>
        <v>58873.165280000001</v>
      </c>
      <c r="BC41" s="102">
        <f>25333.20995+22694.2556</f>
        <v>48027.465550000001</v>
      </c>
      <c r="BD41" s="101">
        <f t="shared" si="15"/>
        <v>76.595823433402771</v>
      </c>
      <c r="BE41" s="101">
        <f t="shared" si="16"/>
        <v>76.595823433402771</v>
      </c>
    </row>
    <row r="42" spans="1:57" ht="129.75" customHeight="1" outlineLevel="1">
      <c r="A42" s="86" t="s">
        <v>91</v>
      </c>
      <c r="B42" s="17" t="s">
        <v>92</v>
      </c>
      <c r="C42" s="17" t="s">
        <v>20</v>
      </c>
      <c r="D42" s="17" t="s">
        <v>7</v>
      </c>
      <c r="E42" s="17" t="s">
        <v>94</v>
      </c>
      <c r="F42" s="17" t="s">
        <v>138</v>
      </c>
      <c r="G42" s="6"/>
      <c r="H42" s="30"/>
      <c r="I42" s="6"/>
      <c r="J42" s="30"/>
      <c r="K42" s="6">
        <v>374983.1</v>
      </c>
      <c r="L42" s="6"/>
      <c r="M42" s="6">
        <f t="shared" si="23"/>
        <v>374983.1</v>
      </c>
      <c r="N42" s="6">
        <v>0</v>
      </c>
      <c r="O42" s="6">
        <v>0</v>
      </c>
      <c r="P42" s="6"/>
      <c r="Q42" s="6">
        <f t="shared" si="43"/>
        <v>374983.1</v>
      </c>
      <c r="R42" s="6">
        <v>2939.84</v>
      </c>
      <c r="S42" s="30">
        <v>44259.4</v>
      </c>
      <c r="T42" s="30"/>
      <c r="U42" s="6">
        <v>958.9</v>
      </c>
      <c r="V42" s="6"/>
      <c r="W42" s="6">
        <v>374983.1</v>
      </c>
      <c r="X42" s="6">
        <f t="shared" si="4"/>
        <v>3898.7400000000002</v>
      </c>
      <c r="Y42" s="6">
        <f t="shared" si="22"/>
        <v>44259.4</v>
      </c>
      <c r="Z42" s="6">
        <v>-27248.1</v>
      </c>
      <c r="AA42" s="6">
        <v>58803.3</v>
      </c>
      <c r="AB42" s="6"/>
      <c r="AC42" s="6">
        <f t="shared" si="5"/>
        <v>374983.1</v>
      </c>
      <c r="AD42" s="6">
        <f t="shared" si="6"/>
        <v>62702.04</v>
      </c>
      <c r="AE42" s="6">
        <v>17011.400000000001</v>
      </c>
      <c r="AF42" s="30">
        <v>0</v>
      </c>
      <c r="AG42" s="30">
        <v>738.1</v>
      </c>
      <c r="AH42" s="30">
        <v>-0.1</v>
      </c>
      <c r="AI42" s="30"/>
      <c r="AJ42" s="30"/>
      <c r="AK42" s="6">
        <f t="shared" si="20"/>
        <v>374983.1</v>
      </c>
      <c r="AL42" s="6">
        <f t="shared" si="8"/>
        <v>62702.04</v>
      </c>
      <c r="AM42" s="6">
        <f>AE42+AH42</f>
        <v>17011.300000000003</v>
      </c>
      <c r="AN42" s="6">
        <f t="shared" si="9"/>
        <v>738.1</v>
      </c>
      <c r="AO42" s="6"/>
      <c r="AP42" s="6"/>
      <c r="AQ42" s="6">
        <v>114.9</v>
      </c>
      <c r="AR42" s="6"/>
      <c r="AS42" s="101">
        <f t="shared" si="10"/>
        <v>374983.1</v>
      </c>
      <c r="AT42" s="101">
        <f t="shared" si="11"/>
        <v>62816.94</v>
      </c>
      <c r="AU42" s="101">
        <f t="shared" si="12"/>
        <v>17011.300000000003</v>
      </c>
      <c r="AV42" s="101">
        <f t="shared" si="13"/>
        <v>738.1</v>
      </c>
      <c r="AW42" s="101"/>
      <c r="AX42" s="101"/>
      <c r="AY42" s="101">
        <f>-12519+1251.9</f>
        <v>-11267.1</v>
      </c>
      <c r="AZ42" s="101">
        <f t="shared" si="14"/>
        <v>51549.840000000004</v>
      </c>
      <c r="BA42" s="101">
        <v>51549.840000000004</v>
      </c>
      <c r="BB42" s="102">
        <f>21867.5-0.00097</f>
        <v>21867.499029999999</v>
      </c>
      <c r="BC42" s="102">
        <f>21867.5-0.00098</f>
        <v>21867.499019999999</v>
      </c>
      <c r="BD42" s="101">
        <f t="shared" si="15"/>
        <v>42.420110363097145</v>
      </c>
      <c r="BE42" s="101">
        <f t="shared" si="16"/>
        <v>42.420110363097145</v>
      </c>
    </row>
    <row r="43" spans="1:57" ht="107.25" customHeight="1" outlineLevel="1">
      <c r="A43" s="86" t="s">
        <v>132</v>
      </c>
      <c r="B43" s="17" t="s">
        <v>93</v>
      </c>
      <c r="C43" s="17" t="s">
        <v>20</v>
      </c>
      <c r="D43" s="17" t="s">
        <v>7</v>
      </c>
      <c r="E43" s="17" t="s">
        <v>36</v>
      </c>
      <c r="F43" s="17" t="s">
        <v>143</v>
      </c>
      <c r="G43" s="6"/>
      <c r="H43" s="30"/>
      <c r="I43" s="6"/>
      <c r="J43" s="30"/>
      <c r="K43" s="6">
        <v>693525.5</v>
      </c>
      <c r="L43" s="6"/>
      <c r="M43" s="6">
        <f t="shared" si="23"/>
        <v>693525.5</v>
      </c>
      <c r="N43" s="6">
        <v>0</v>
      </c>
      <c r="O43" s="6">
        <v>0</v>
      </c>
      <c r="P43" s="6"/>
      <c r="Q43" s="6">
        <f t="shared" si="43"/>
        <v>693525.5</v>
      </c>
      <c r="R43" s="6">
        <f t="shared" si="21"/>
        <v>0</v>
      </c>
      <c r="S43" s="30">
        <v>0</v>
      </c>
      <c r="T43" s="30">
        <v>0</v>
      </c>
      <c r="U43" s="6"/>
      <c r="V43" s="6"/>
      <c r="W43" s="6">
        <v>693525.5</v>
      </c>
      <c r="X43" s="6">
        <f t="shared" si="4"/>
        <v>0</v>
      </c>
      <c r="Y43" s="6">
        <v>0</v>
      </c>
      <c r="Z43" s="6">
        <v>11501</v>
      </c>
      <c r="AA43" s="6"/>
      <c r="AB43" s="6"/>
      <c r="AC43" s="6">
        <f t="shared" si="5"/>
        <v>693525.5</v>
      </c>
      <c r="AD43" s="6">
        <f t="shared" si="6"/>
        <v>0</v>
      </c>
      <c r="AE43" s="6">
        <f>Y43+Z43</f>
        <v>11501</v>
      </c>
      <c r="AF43" s="30">
        <v>51823.5</v>
      </c>
      <c r="AG43" s="30">
        <v>-7265.1</v>
      </c>
      <c r="AH43" s="30"/>
      <c r="AI43" s="30"/>
      <c r="AJ43" s="30">
        <v>-693525.5</v>
      </c>
      <c r="AK43" s="6">
        <f t="shared" si="20"/>
        <v>0</v>
      </c>
      <c r="AL43" s="6">
        <f t="shared" si="8"/>
        <v>0</v>
      </c>
      <c r="AM43" s="6">
        <v>11501</v>
      </c>
      <c r="AN43" s="6">
        <f>AF43+AG43</f>
        <v>44558.400000000001</v>
      </c>
      <c r="AO43" s="6"/>
      <c r="AP43" s="6"/>
      <c r="AQ43" s="6"/>
      <c r="AR43" s="6"/>
      <c r="AS43" s="101">
        <f t="shared" si="10"/>
        <v>0</v>
      </c>
      <c r="AT43" s="101">
        <f t="shared" si="11"/>
        <v>0</v>
      </c>
      <c r="AU43" s="101">
        <f t="shared" si="12"/>
        <v>11501</v>
      </c>
      <c r="AV43" s="101">
        <f t="shared" si="13"/>
        <v>44558.400000000001</v>
      </c>
      <c r="AW43" s="101"/>
      <c r="AX43" s="101">
        <v>-11501</v>
      </c>
      <c r="AY43" s="101"/>
      <c r="AZ43" s="101">
        <f t="shared" si="14"/>
        <v>0</v>
      </c>
      <c r="BA43" s="101">
        <v>0</v>
      </c>
      <c r="BB43" s="101">
        <v>0</v>
      </c>
      <c r="BC43" s="101"/>
      <c r="BD43" s="101">
        <v>0</v>
      </c>
      <c r="BE43" s="101">
        <v>0</v>
      </c>
    </row>
    <row r="44" spans="1:57" ht="131.25" customHeight="1" outlineLevel="1">
      <c r="A44" s="86" t="s">
        <v>236</v>
      </c>
      <c r="B44" s="17" t="s">
        <v>93</v>
      </c>
      <c r="C44" s="17" t="s">
        <v>20</v>
      </c>
      <c r="D44" s="17" t="s">
        <v>7</v>
      </c>
      <c r="E44" s="17" t="s">
        <v>34</v>
      </c>
      <c r="F44" s="17" t="s">
        <v>143</v>
      </c>
      <c r="G44" s="6"/>
      <c r="H44" s="30"/>
      <c r="I44" s="6"/>
      <c r="J44" s="30"/>
      <c r="K44" s="6"/>
      <c r="L44" s="6"/>
      <c r="M44" s="6"/>
      <c r="N44" s="6"/>
      <c r="O44" s="6"/>
      <c r="P44" s="6"/>
      <c r="Q44" s="6"/>
      <c r="R44" s="6"/>
      <c r="S44" s="30"/>
      <c r="T44" s="30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30"/>
      <c r="AG44" s="30"/>
      <c r="AH44" s="30"/>
      <c r="AI44" s="30"/>
      <c r="AJ44" s="30">
        <v>811005.6</v>
      </c>
      <c r="AK44" s="6">
        <f t="shared" si="20"/>
        <v>811005.6</v>
      </c>
      <c r="AL44" s="6"/>
      <c r="AM44" s="6"/>
      <c r="AN44" s="6"/>
      <c r="AO44" s="6"/>
      <c r="AP44" s="6"/>
      <c r="AQ44" s="6"/>
      <c r="AR44" s="6"/>
      <c r="AS44" s="101">
        <f t="shared" si="10"/>
        <v>811005.6</v>
      </c>
      <c r="AT44" s="101"/>
      <c r="AU44" s="101"/>
      <c r="AV44" s="101"/>
      <c r="AW44" s="101"/>
      <c r="AX44" s="101">
        <v>11501</v>
      </c>
      <c r="AY44" s="101"/>
      <c r="AZ44" s="101">
        <f t="shared" si="14"/>
        <v>0</v>
      </c>
      <c r="BA44" s="101">
        <v>0</v>
      </c>
      <c r="BB44" s="101">
        <v>0</v>
      </c>
      <c r="BC44" s="101"/>
      <c r="BD44" s="101">
        <v>0</v>
      </c>
      <c r="BE44" s="101">
        <v>0</v>
      </c>
    </row>
    <row r="45" spans="1:57" ht="141.75" customHeight="1" outlineLevel="1">
      <c r="A45" s="86" t="s">
        <v>237</v>
      </c>
      <c r="B45" s="17" t="s">
        <v>109</v>
      </c>
      <c r="C45" s="17" t="s">
        <v>20</v>
      </c>
      <c r="D45" s="17" t="s">
        <v>7</v>
      </c>
      <c r="E45" s="17" t="s">
        <v>152</v>
      </c>
      <c r="F45" s="17" t="s">
        <v>56</v>
      </c>
      <c r="G45" s="6"/>
      <c r="H45" s="30"/>
      <c r="I45" s="6"/>
      <c r="J45" s="30"/>
      <c r="K45" s="6"/>
      <c r="L45" s="6"/>
      <c r="M45" s="6"/>
      <c r="N45" s="6"/>
      <c r="O45" s="6"/>
      <c r="P45" s="6">
        <v>174592.4</v>
      </c>
      <c r="Q45" s="6">
        <f t="shared" si="43"/>
        <v>174592.4</v>
      </c>
      <c r="R45" s="6">
        <f t="shared" si="21"/>
        <v>0</v>
      </c>
      <c r="S45" s="30"/>
      <c r="T45" s="30"/>
      <c r="U45" s="6">
        <v>1251.9000000000001</v>
      </c>
      <c r="V45" s="6"/>
      <c r="W45" s="6">
        <v>174592.4</v>
      </c>
      <c r="X45" s="6">
        <f t="shared" si="4"/>
        <v>1251.9000000000001</v>
      </c>
      <c r="Y45" s="6">
        <v>0</v>
      </c>
      <c r="Z45" s="6">
        <v>7848.4</v>
      </c>
      <c r="AA45" s="6">
        <v>27381</v>
      </c>
      <c r="AB45" s="6"/>
      <c r="AC45" s="6">
        <f t="shared" si="5"/>
        <v>174592.4</v>
      </c>
      <c r="AD45" s="6">
        <f t="shared" si="6"/>
        <v>28632.9</v>
      </c>
      <c r="AE45" s="6">
        <f>Y45+Z45</f>
        <v>7848.4</v>
      </c>
      <c r="AF45" s="30">
        <v>0</v>
      </c>
      <c r="AG45" s="30">
        <v>6527</v>
      </c>
      <c r="AH45" s="30"/>
      <c r="AI45" s="30"/>
      <c r="AJ45" s="30"/>
      <c r="AK45" s="6">
        <f t="shared" si="20"/>
        <v>174592.4</v>
      </c>
      <c r="AL45" s="6">
        <f t="shared" si="8"/>
        <v>28632.9</v>
      </c>
      <c r="AM45" s="6">
        <v>7848.4</v>
      </c>
      <c r="AN45" s="6">
        <f>AF45+AG45</f>
        <v>6527</v>
      </c>
      <c r="AO45" s="6"/>
      <c r="AP45" s="6"/>
      <c r="AQ45" s="6"/>
      <c r="AR45" s="6"/>
      <c r="AS45" s="101">
        <f t="shared" si="10"/>
        <v>174592.4</v>
      </c>
      <c r="AT45" s="101">
        <f t="shared" si="11"/>
        <v>28632.9</v>
      </c>
      <c r="AU45" s="101">
        <f t="shared" si="12"/>
        <v>7848.4</v>
      </c>
      <c r="AV45" s="101">
        <f t="shared" si="13"/>
        <v>6527</v>
      </c>
      <c r="AW45" s="101"/>
      <c r="AX45" s="101"/>
      <c r="AY45" s="101">
        <f>-1251.9+12519</f>
        <v>11267.1</v>
      </c>
      <c r="AZ45" s="101">
        <f t="shared" si="14"/>
        <v>39900</v>
      </c>
      <c r="BA45" s="101">
        <v>39900</v>
      </c>
      <c r="BB45" s="101"/>
      <c r="BC45" s="101"/>
      <c r="BD45" s="101">
        <f t="shared" si="15"/>
        <v>0</v>
      </c>
      <c r="BE45" s="101">
        <f t="shared" si="16"/>
        <v>0</v>
      </c>
    </row>
    <row r="46" spans="1:57" ht="174.75" customHeight="1" outlineLevel="1">
      <c r="A46" s="86" t="s">
        <v>209</v>
      </c>
      <c r="B46" s="17" t="s">
        <v>205</v>
      </c>
      <c r="C46" s="17" t="s">
        <v>206</v>
      </c>
      <c r="D46" s="17" t="s">
        <v>202</v>
      </c>
      <c r="E46" s="17" t="s">
        <v>207</v>
      </c>
      <c r="F46" s="17" t="s">
        <v>54</v>
      </c>
      <c r="G46" s="6"/>
      <c r="H46" s="30"/>
      <c r="I46" s="6"/>
      <c r="J46" s="30"/>
      <c r="K46" s="6"/>
      <c r="L46" s="6"/>
      <c r="M46" s="6"/>
      <c r="N46" s="6"/>
      <c r="O46" s="6"/>
      <c r="P46" s="6"/>
      <c r="Q46" s="6"/>
      <c r="R46" s="6"/>
      <c r="S46" s="30"/>
      <c r="T46" s="30"/>
      <c r="U46" s="6"/>
      <c r="V46" s="6"/>
      <c r="W46" s="6"/>
      <c r="X46" s="6"/>
      <c r="Y46" s="6"/>
      <c r="Z46" s="6"/>
      <c r="AA46" s="6"/>
      <c r="AB46" s="6">
        <v>23000</v>
      </c>
      <c r="AC46" s="6">
        <f t="shared" si="5"/>
        <v>23000</v>
      </c>
      <c r="AD46" s="6"/>
      <c r="AE46" s="6"/>
      <c r="AF46" s="30"/>
      <c r="AG46" s="30"/>
      <c r="AH46" s="30"/>
      <c r="AI46" s="6">
        <v>8300</v>
      </c>
      <c r="AJ46" s="6"/>
      <c r="AK46" s="6">
        <f t="shared" si="20"/>
        <v>23000</v>
      </c>
      <c r="AL46" s="6">
        <f t="shared" si="8"/>
        <v>8300</v>
      </c>
      <c r="AM46" s="6"/>
      <c r="AN46" s="6"/>
      <c r="AO46" s="6"/>
      <c r="AP46" s="6"/>
      <c r="AQ46" s="6"/>
      <c r="AR46" s="6"/>
      <c r="AS46" s="101">
        <f t="shared" si="10"/>
        <v>23000</v>
      </c>
      <c r="AT46" s="101">
        <f t="shared" si="11"/>
        <v>8300</v>
      </c>
      <c r="AU46" s="101">
        <v>0</v>
      </c>
      <c r="AV46" s="101"/>
      <c r="AW46" s="101"/>
      <c r="AX46" s="101"/>
      <c r="AY46" s="101"/>
      <c r="AZ46" s="101">
        <f t="shared" si="14"/>
        <v>8300</v>
      </c>
      <c r="BA46" s="101">
        <v>8300</v>
      </c>
      <c r="BB46" s="102">
        <v>8300</v>
      </c>
      <c r="BC46" s="102">
        <v>8300</v>
      </c>
      <c r="BD46" s="101">
        <f t="shared" si="15"/>
        <v>100</v>
      </c>
      <c r="BE46" s="101">
        <f t="shared" si="16"/>
        <v>100</v>
      </c>
    </row>
    <row r="47" spans="1:57" ht="171.75" customHeight="1" outlineLevel="1">
      <c r="A47" s="86" t="s">
        <v>210</v>
      </c>
      <c r="B47" s="17" t="s">
        <v>214</v>
      </c>
      <c r="C47" s="17" t="s">
        <v>206</v>
      </c>
      <c r="D47" s="17" t="s">
        <v>202</v>
      </c>
      <c r="E47" s="17" t="s">
        <v>208</v>
      </c>
      <c r="F47" s="17" t="s">
        <v>50</v>
      </c>
      <c r="G47" s="6"/>
      <c r="H47" s="30"/>
      <c r="I47" s="6"/>
      <c r="J47" s="30"/>
      <c r="K47" s="6"/>
      <c r="L47" s="6"/>
      <c r="M47" s="6"/>
      <c r="N47" s="6"/>
      <c r="O47" s="6"/>
      <c r="P47" s="6"/>
      <c r="Q47" s="6"/>
      <c r="R47" s="6"/>
      <c r="S47" s="30"/>
      <c r="T47" s="30"/>
      <c r="U47" s="6"/>
      <c r="V47" s="6"/>
      <c r="W47" s="6"/>
      <c r="X47" s="6"/>
      <c r="Y47" s="6"/>
      <c r="Z47" s="6"/>
      <c r="AA47" s="6"/>
      <c r="AB47" s="6">
        <v>171.2</v>
      </c>
      <c r="AC47" s="6">
        <f t="shared" si="5"/>
        <v>171.2</v>
      </c>
      <c r="AD47" s="6"/>
      <c r="AE47" s="6"/>
      <c r="AF47" s="30"/>
      <c r="AG47" s="30"/>
      <c r="AH47" s="30"/>
      <c r="AI47" s="6">
        <v>171.2</v>
      </c>
      <c r="AJ47" s="6"/>
      <c r="AK47" s="6">
        <f t="shared" si="20"/>
        <v>171.2</v>
      </c>
      <c r="AL47" s="6">
        <f t="shared" si="8"/>
        <v>171.2</v>
      </c>
      <c r="AM47" s="6"/>
      <c r="AN47" s="6"/>
      <c r="AO47" s="6"/>
      <c r="AP47" s="6"/>
      <c r="AQ47" s="6"/>
      <c r="AR47" s="6"/>
      <c r="AS47" s="101">
        <f t="shared" si="10"/>
        <v>171.2</v>
      </c>
      <c r="AT47" s="101">
        <f t="shared" si="11"/>
        <v>171.2</v>
      </c>
      <c r="AU47" s="101">
        <v>0</v>
      </c>
      <c r="AV47" s="101"/>
      <c r="AW47" s="101"/>
      <c r="AX47" s="101"/>
      <c r="AY47" s="101"/>
      <c r="AZ47" s="101">
        <f t="shared" si="14"/>
        <v>171.2</v>
      </c>
      <c r="BA47" s="101">
        <v>171.2</v>
      </c>
      <c r="BB47" s="102">
        <v>171.2</v>
      </c>
      <c r="BC47" s="102"/>
      <c r="BD47" s="101">
        <f t="shared" si="15"/>
        <v>0</v>
      </c>
      <c r="BE47" s="101">
        <f t="shared" si="16"/>
        <v>0</v>
      </c>
    </row>
    <row r="48" spans="1:57" ht="28.5" customHeight="1">
      <c r="A48" s="85" t="s">
        <v>266</v>
      </c>
      <c r="B48" s="85"/>
      <c r="C48" s="85"/>
      <c r="D48" s="85"/>
      <c r="E48" s="31"/>
      <c r="F48" s="31"/>
      <c r="G48" s="32">
        <f>SUM(G49:G51)</f>
        <v>724590.7</v>
      </c>
      <c r="H48" s="32">
        <f>H49+H50+H51</f>
        <v>29059.200000000001</v>
      </c>
      <c r="I48" s="32" t="e">
        <f>I49+I50+I51+#REF!</f>
        <v>#REF!</v>
      </c>
      <c r="J48" s="32" t="e">
        <f>J49+J50+J51+#REF!</f>
        <v>#REF!</v>
      </c>
      <c r="K48" s="32">
        <f>SUM(K49:K52)</f>
        <v>767376.64999999991</v>
      </c>
      <c r="L48" s="32">
        <f>SUM(L49:L53)</f>
        <v>251050.9</v>
      </c>
      <c r="M48" s="6">
        <f>M49+M50+M51+M52+M53+M54</f>
        <v>1025427.5</v>
      </c>
      <c r="N48" s="32">
        <f>SUM(N49:N52)</f>
        <v>262420.39999999997</v>
      </c>
      <c r="O48" s="32">
        <f>SUM(O49:O53)</f>
        <v>4622.6000000000004</v>
      </c>
      <c r="P48" s="6">
        <f>P49+P50+P51+P52+P53+P54</f>
        <v>-4080.8</v>
      </c>
      <c r="Q48" s="32">
        <f>M48+P48</f>
        <v>1021346.7</v>
      </c>
      <c r="R48" s="6">
        <f t="shared" ref="R48:AF48" si="44">R49+R50+R51+R52+R53+R54</f>
        <v>274042.99999999994</v>
      </c>
      <c r="S48" s="6">
        <f t="shared" si="44"/>
        <v>0</v>
      </c>
      <c r="T48" s="6">
        <f t="shared" si="44"/>
        <v>0</v>
      </c>
      <c r="U48" s="6">
        <f t="shared" ref="U48" si="45">U49+U50+U51+U52+U53+U54</f>
        <v>-16386.344000000001</v>
      </c>
      <c r="V48" s="6">
        <f>V49</f>
        <v>31615.8</v>
      </c>
      <c r="W48" s="6">
        <v>1053646.3999999999</v>
      </c>
      <c r="X48" s="6">
        <f t="shared" si="4"/>
        <v>257656.65599999993</v>
      </c>
      <c r="Y48" s="6">
        <f t="shared" si="44"/>
        <v>0</v>
      </c>
      <c r="Z48" s="6">
        <f t="shared" si="44"/>
        <v>0</v>
      </c>
      <c r="AA48" s="6">
        <f>AA50</f>
        <v>35000</v>
      </c>
      <c r="AB48" s="6">
        <f>AB49+AB50+AB51+AB52+AB53+AB54</f>
        <v>16027.6</v>
      </c>
      <c r="AC48" s="6">
        <f t="shared" si="5"/>
        <v>1069674</v>
      </c>
      <c r="AD48" s="6">
        <f t="shared" si="6"/>
        <v>292656.65599999996</v>
      </c>
      <c r="AE48" s="6">
        <v>0</v>
      </c>
      <c r="AF48" s="6">
        <f t="shared" si="44"/>
        <v>0</v>
      </c>
      <c r="AG48" s="32">
        <f>SUM(AG49:AG52)</f>
        <v>0</v>
      </c>
      <c r="AH48" s="32"/>
      <c r="AI48" s="6">
        <f>AI49+AI50+AI51+AI52+AI53+AI54</f>
        <v>43593.5</v>
      </c>
      <c r="AJ48" s="6"/>
      <c r="AK48" s="6">
        <f t="shared" si="20"/>
        <v>1069674</v>
      </c>
      <c r="AL48" s="6">
        <f t="shared" si="8"/>
        <v>336250.15599999996</v>
      </c>
      <c r="AM48" s="6">
        <v>0</v>
      </c>
      <c r="AN48" s="6">
        <f t="shared" si="9"/>
        <v>0</v>
      </c>
      <c r="AO48" s="6"/>
      <c r="AP48" s="6"/>
      <c r="AQ48" s="6">
        <f>AQ53</f>
        <v>-1632.6</v>
      </c>
      <c r="AR48" s="6"/>
      <c r="AS48" s="101">
        <f t="shared" si="10"/>
        <v>1069674</v>
      </c>
      <c r="AT48" s="101">
        <f t="shared" si="11"/>
        <v>334617.55599999998</v>
      </c>
      <c r="AU48" s="101">
        <f t="shared" si="12"/>
        <v>0</v>
      </c>
      <c r="AV48" s="101">
        <f t="shared" si="13"/>
        <v>0</v>
      </c>
      <c r="AW48" s="101"/>
      <c r="AX48" s="101"/>
      <c r="AY48" s="101">
        <f>AY49</f>
        <v>-700.5</v>
      </c>
      <c r="AZ48" s="101">
        <f t="shared" si="14"/>
        <v>333917.05599999998</v>
      </c>
      <c r="BA48" s="101">
        <v>333917.05599999998</v>
      </c>
      <c r="BB48" s="101">
        <f>BB49+BB50+BB51+BB52+BB53+BB54</f>
        <v>311512.98881000001</v>
      </c>
      <c r="BC48" s="101">
        <f>BC49+BC50+BC51+BC52+BC53+BC54</f>
        <v>311512.95881000004</v>
      </c>
      <c r="BD48" s="101">
        <f t="shared" si="15"/>
        <v>93.290520269201238</v>
      </c>
      <c r="BE48" s="101">
        <f t="shared" si="16"/>
        <v>93.290520269201238</v>
      </c>
    </row>
    <row r="49" spans="1:57" ht="153" customHeight="1" outlineLevel="1">
      <c r="A49" s="86" t="s">
        <v>70</v>
      </c>
      <c r="B49" s="17" t="s">
        <v>9</v>
      </c>
      <c r="C49" s="17" t="s">
        <v>13</v>
      </c>
      <c r="D49" s="17" t="s">
        <v>7</v>
      </c>
      <c r="E49" s="17" t="s">
        <v>14</v>
      </c>
      <c r="F49" s="17" t="s">
        <v>54</v>
      </c>
      <c r="G49" s="30">
        <v>574511.9</v>
      </c>
      <c r="H49" s="30"/>
      <c r="I49" s="30">
        <v>574511.9</v>
      </c>
      <c r="J49" s="30"/>
      <c r="K49" s="30">
        <v>574511.9</v>
      </c>
      <c r="L49" s="30"/>
      <c r="M49" s="6">
        <f t="shared" si="23"/>
        <v>574511.9</v>
      </c>
      <c r="N49" s="6">
        <v>194634.4</v>
      </c>
      <c r="O49" s="6"/>
      <c r="P49" s="6"/>
      <c r="Q49" s="6">
        <v>574511.9</v>
      </c>
      <c r="R49" s="6">
        <f t="shared" si="21"/>
        <v>194634.4</v>
      </c>
      <c r="S49" s="30">
        <v>0</v>
      </c>
      <c r="T49" s="30">
        <v>0</v>
      </c>
      <c r="U49" s="6">
        <v>-12305.544</v>
      </c>
      <c r="V49" s="6">
        <v>31615.8</v>
      </c>
      <c r="W49" s="6">
        <f>Q49+V49</f>
        <v>606127.70000000007</v>
      </c>
      <c r="X49" s="6">
        <f t="shared" si="4"/>
        <v>182328.856</v>
      </c>
      <c r="Y49" s="6">
        <f t="shared" si="22"/>
        <v>0</v>
      </c>
      <c r="Z49" s="6"/>
      <c r="AA49" s="6"/>
      <c r="AB49" s="6"/>
      <c r="AC49" s="6">
        <f t="shared" si="5"/>
        <v>606127.70000000007</v>
      </c>
      <c r="AD49" s="6">
        <f t="shared" si="6"/>
        <v>182328.856</v>
      </c>
      <c r="AE49" s="6">
        <v>0</v>
      </c>
      <c r="AF49" s="30">
        <v>0</v>
      </c>
      <c r="AG49" s="30"/>
      <c r="AH49" s="30"/>
      <c r="AI49" s="30">
        <v>-5181</v>
      </c>
      <c r="AJ49" s="30"/>
      <c r="AK49" s="6">
        <f t="shared" si="20"/>
        <v>606127.70000000007</v>
      </c>
      <c r="AL49" s="6">
        <f t="shared" si="8"/>
        <v>177147.856</v>
      </c>
      <c r="AM49" s="6">
        <v>0</v>
      </c>
      <c r="AN49" s="6">
        <f t="shared" si="9"/>
        <v>0</v>
      </c>
      <c r="AO49" s="6"/>
      <c r="AP49" s="6"/>
      <c r="AQ49" s="6"/>
      <c r="AR49" s="6"/>
      <c r="AS49" s="101">
        <f t="shared" si="10"/>
        <v>606127.70000000007</v>
      </c>
      <c r="AT49" s="101">
        <f t="shared" si="11"/>
        <v>177147.856</v>
      </c>
      <c r="AU49" s="101">
        <f t="shared" si="12"/>
        <v>0</v>
      </c>
      <c r="AV49" s="101">
        <f t="shared" si="13"/>
        <v>0</v>
      </c>
      <c r="AW49" s="101"/>
      <c r="AX49" s="101"/>
      <c r="AY49" s="101">
        <v>-700.5</v>
      </c>
      <c r="AZ49" s="101">
        <f t="shared" si="14"/>
        <v>176447.356</v>
      </c>
      <c r="BA49" s="101">
        <v>176447.356</v>
      </c>
      <c r="BB49" s="102">
        <v>176447.33880999999</v>
      </c>
      <c r="BC49" s="102">
        <v>176447.33880999999</v>
      </c>
      <c r="BD49" s="101">
        <f t="shared" si="15"/>
        <v>99.999990257717428</v>
      </c>
      <c r="BE49" s="101">
        <f t="shared" si="16"/>
        <v>99.999990257717428</v>
      </c>
    </row>
    <row r="50" spans="1:57" ht="142.5" customHeight="1" outlineLevel="1">
      <c r="A50" s="86" t="s">
        <v>278</v>
      </c>
      <c r="B50" s="17" t="s">
        <v>17</v>
      </c>
      <c r="C50" s="17" t="s">
        <v>20</v>
      </c>
      <c r="D50" s="17" t="s">
        <v>18</v>
      </c>
      <c r="E50" s="17" t="s">
        <v>33</v>
      </c>
      <c r="F50" s="17" t="s">
        <v>16</v>
      </c>
      <c r="G50" s="30">
        <v>150078.79999999999</v>
      </c>
      <c r="H50" s="30"/>
      <c r="I50" s="30">
        <v>150078.79999999999</v>
      </c>
      <c r="J50" s="30"/>
      <c r="K50" s="30">
        <v>150078.79999999999</v>
      </c>
      <c r="L50" s="30"/>
      <c r="M50" s="6">
        <f t="shared" si="23"/>
        <v>150078.79999999999</v>
      </c>
      <c r="N50" s="6">
        <v>30000</v>
      </c>
      <c r="O50" s="6"/>
      <c r="P50" s="6"/>
      <c r="Q50" s="6">
        <v>150078.79999999999</v>
      </c>
      <c r="R50" s="6">
        <f t="shared" si="21"/>
        <v>30000</v>
      </c>
      <c r="S50" s="30">
        <v>0</v>
      </c>
      <c r="T50" s="30">
        <v>0</v>
      </c>
      <c r="U50" s="6"/>
      <c r="V50" s="6"/>
      <c r="W50" s="6">
        <v>150078.79999999999</v>
      </c>
      <c r="X50" s="6">
        <f t="shared" si="4"/>
        <v>30000</v>
      </c>
      <c r="Y50" s="6">
        <f t="shared" si="22"/>
        <v>0</v>
      </c>
      <c r="Z50" s="6"/>
      <c r="AA50" s="6">
        <v>35000</v>
      </c>
      <c r="AB50" s="6"/>
      <c r="AC50" s="6">
        <f t="shared" si="5"/>
        <v>150078.79999999999</v>
      </c>
      <c r="AD50" s="6">
        <f t="shared" si="6"/>
        <v>65000</v>
      </c>
      <c r="AE50" s="6">
        <v>0</v>
      </c>
      <c r="AF50" s="30">
        <v>0</v>
      </c>
      <c r="AG50" s="30"/>
      <c r="AH50" s="30"/>
      <c r="AI50" s="30">
        <v>33898.300000000003</v>
      </c>
      <c r="AJ50" s="30"/>
      <c r="AK50" s="6">
        <f t="shared" si="20"/>
        <v>150078.79999999999</v>
      </c>
      <c r="AL50" s="6">
        <f t="shared" si="8"/>
        <v>98898.3</v>
      </c>
      <c r="AM50" s="6">
        <v>0</v>
      </c>
      <c r="AN50" s="6">
        <f t="shared" si="9"/>
        <v>0</v>
      </c>
      <c r="AO50" s="6"/>
      <c r="AP50" s="6"/>
      <c r="AQ50" s="6"/>
      <c r="AR50" s="6"/>
      <c r="AS50" s="101">
        <f t="shared" si="10"/>
        <v>150078.79999999999</v>
      </c>
      <c r="AT50" s="101">
        <f t="shared" si="11"/>
        <v>98898.3</v>
      </c>
      <c r="AU50" s="101">
        <f t="shared" si="12"/>
        <v>0</v>
      </c>
      <c r="AV50" s="101">
        <f t="shared" si="13"/>
        <v>0</v>
      </c>
      <c r="AW50" s="101"/>
      <c r="AX50" s="101"/>
      <c r="AY50" s="101"/>
      <c r="AZ50" s="101">
        <f t="shared" si="14"/>
        <v>98898.3</v>
      </c>
      <c r="BA50" s="101">
        <v>98898.3</v>
      </c>
      <c r="BB50" s="102">
        <v>98898.3</v>
      </c>
      <c r="BC50" s="102">
        <v>98898.27</v>
      </c>
      <c r="BD50" s="101">
        <f t="shared" si="15"/>
        <v>99.999969665808209</v>
      </c>
      <c r="BE50" s="101">
        <f t="shared" si="16"/>
        <v>99.999969665808209</v>
      </c>
    </row>
    <row r="51" spans="1:57" ht="160.5" customHeight="1" outlineLevel="1">
      <c r="A51" s="86" t="s">
        <v>121</v>
      </c>
      <c r="B51" s="17" t="s">
        <v>164</v>
      </c>
      <c r="C51" s="17" t="s">
        <v>13</v>
      </c>
      <c r="D51" s="17" t="s">
        <v>7</v>
      </c>
      <c r="E51" s="17" t="s">
        <v>14</v>
      </c>
      <c r="F51" s="17" t="s">
        <v>40</v>
      </c>
      <c r="G51" s="33">
        <v>0</v>
      </c>
      <c r="H51" s="33">
        <v>29059.200000000001</v>
      </c>
      <c r="I51" s="34"/>
      <c r="J51" s="30">
        <v>29059.200000000001</v>
      </c>
      <c r="K51" s="30">
        <v>26484.85</v>
      </c>
      <c r="L51" s="30"/>
      <c r="M51" s="6">
        <v>26484.799999999999</v>
      </c>
      <c r="N51" s="30">
        <f>26786-301.2</f>
        <v>26484.799999999999</v>
      </c>
      <c r="O51" s="30"/>
      <c r="P51" s="6">
        <v>-4080.8</v>
      </c>
      <c r="Q51" s="30">
        <f>M51+P51</f>
        <v>22404</v>
      </c>
      <c r="R51" s="6">
        <f t="shared" si="21"/>
        <v>26484.799999999999</v>
      </c>
      <c r="S51" s="30">
        <v>0</v>
      </c>
      <c r="T51" s="30">
        <v>0</v>
      </c>
      <c r="U51" s="6">
        <v>-4080.8</v>
      </c>
      <c r="V51" s="6"/>
      <c r="W51" s="6">
        <v>22404</v>
      </c>
      <c r="X51" s="6">
        <f t="shared" si="4"/>
        <v>22404</v>
      </c>
      <c r="Y51" s="6">
        <f t="shared" si="22"/>
        <v>0</v>
      </c>
      <c r="Z51" s="6"/>
      <c r="AA51" s="6"/>
      <c r="AB51" s="6"/>
      <c r="AC51" s="6">
        <f t="shared" si="5"/>
        <v>22404</v>
      </c>
      <c r="AD51" s="6">
        <f t="shared" si="6"/>
        <v>22404</v>
      </c>
      <c r="AE51" s="6">
        <v>0</v>
      </c>
      <c r="AF51" s="30">
        <v>0</v>
      </c>
      <c r="AG51" s="30"/>
      <c r="AH51" s="30"/>
      <c r="AI51" s="30"/>
      <c r="AJ51" s="30"/>
      <c r="AK51" s="6">
        <f t="shared" si="20"/>
        <v>22404</v>
      </c>
      <c r="AL51" s="6">
        <f t="shared" si="8"/>
        <v>22404</v>
      </c>
      <c r="AM51" s="6">
        <v>0</v>
      </c>
      <c r="AN51" s="6">
        <f t="shared" si="9"/>
        <v>0</v>
      </c>
      <c r="AO51" s="6"/>
      <c r="AP51" s="6"/>
      <c r="AQ51" s="6"/>
      <c r="AR51" s="6"/>
      <c r="AS51" s="101">
        <f t="shared" si="10"/>
        <v>22404</v>
      </c>
      <c r="AT51" s="101">
        <f t="shared" si="11"/>
        <v>22404</v>
      </c>
      <c r="AU51" s="101">
        <f t="shared" si="12"/>
        <v>0</v>
      </c>
      <c r="AV51" s="101">
        <f t="shared" si="13"/>
        <v>0</v>
      </c>
      <c r="AW51" s="101"/>
      <c r="AX51" s="101"/>
      <c r="AY51" s="101"/>
      <c r="AZ51" s="101">
        <f t="shared" si="14"/>
        <v>22404</v>
      </c>
      <c r="BA51" s="101">
        <v>22404</v>
      </c>
      <c r="BB51" s="102"/>
      <c r="BC51" s="102"/>
      <c r="BD51" s="101">
        <f t="shared" si="15"/>
        <v>0</v>
      </c>
      <c r="BE51" s="101">
        <f t="shared" si="16"/>
        <v>0</v>
      </c>
    </row>
    <row r="52" spans="1:57" ht="216" customHeight="1" outlineLevel="1">
      <c r="A52" s="86" t="s">
        <v>279</v>
      </c>
      <c r="B52" s="17" t="s">
        <v>25</v>
      </c>
      <c r="C52" s="17" t="s">
        <v>79</v>
      </c>
      <c r="D52" s="17" t="s">
        <v>69</v>
      </c>
      <c r="E52" s="17" t="s">
        <v>238</v>
      </c>
      <c r="F52" s="17" t="s">
        <v>58</v>
      </c>
      <c r="G52" s="33">
        <v>0</v>
      </c>
      <c r="H52" s="33">
        <v>29059.200000000001</v>
      </c>
      <c r="I52" s="34"/>
      <c r="J52" s="30">
        <v>29059.200000000001</v>
      </c>
      <c r="K52" s="30">
        <v>16301.1</v>
      </c>
      <c r="L52" s="30"/>
      <c r="M52" s="6">
        <f t="shared" si="23"/>
        <v>16301.1</v>
      </c>
      <c r="N52" s="30">
        <f>11000+301.2</f>
        <v>11301.2</v>
      </c>
      <c r="O52" s="30"/>
      <c r="P52" s="6"/>
      <c r="Q52" s="30">
        <v>16301.1</v>
      </c>
      <c r="R52" s="6">
        <f t="shared" si="21"/>
        <v>11301.2</v>
      </c>
      <c r="S52" s="30">
        <v>0</v>
      </c>
      <c r="T52" s="30">
        <v>0</v>
      </c>
      <c r="U52" s="6"/>
      <c r="V52" s="6"/>
      <c r="W52" s="6">
        <v>16985</v>
      </c>
      <c r="X52" s="6">
        <f t="shared" si="4"/>
        <v>11301.2</v>
      </c>
      <c r="Y52" s="6">
        <f t="shared" si="22"/>
        <v>0</v>
      </c>
      <c r="Z52" s="6"/>
      <c r="AA52" s="6"/>
      <c r="AB52" s="6"/>
      <c r="AC52" s="6">
        <f t="shared" si="5"/>
        <v>16985</v>
      </c>
      <c r="AD52" s="6">
        <f t="shared" si="6"/>
        <v>11301.2</v>
      </c>
      <c r="AE52" s="6">
        <v>0</v>
      </c>
      <c r="AF52" s="30">
        <v>0</v>
      </c>
      <c r="AG52" s="30"/>
      <c r="AH52" s="30"/>
      <c r="AI52" s="30"/>
      <c r="AJ52" s="30"/>
      <c r="AK52" s="6">
        <f t="shared" si="20"/>
        <v>16985</v>
      </c>
      <c r="AL52" s="6">
        <f t="shared" si="8"/>
        <v>11301.2</v>
      </c>
      <c r="AM52" s="6">
        <v>0</v>
      </c>
      <c r="AN52" s="6">
        <f t="shared" si="9"/>
        <v>0</v>
      </c>
      <c r="AO52" s="6"/>
      <c r="AP52" s="6"/>
      <c r="AQ52" s="6"/>
      <c r="AR52" s="6"/>
      <c r="AS52" s="101">
        <f t="shared" si="10"/>
        <v>16985</v>
      </c>
      <c r="AT52" s="101">
        <f t="shared" si="11"/>
        <v>11301.2</v>
      </c>
      <c r="AU52" s="101">
        <f t="shared" si="12"/>
        <v>0</v>
      </c>
      <c r="AV52" s="101">
        <f t="shared" si="13"/>
        <v>0</v>
      </c>
      <c r="AW52" s="101"/>
      <c r="AX52" s="101"/>
      <c r="AY52" s="101"/>
      <c r="AZ52" s="101">
        <f t="shared" si="14"/>
        <v>11301.2</v>
      </c>
      <c r="BA52" s="101">
        <v>11301.2</v>
      </c>
      <c r="BB52" s="102">
        <v>11301.2</v>
      </c>
      <c r="BC52" s="102">
        <v>11301.2</v>
      </c>
      <c r="BD52" s="101">
        <f t="shared" si="15"/>
        <v>100</v>
      </c>
      <c r="BE52" s="101">
        <f t="shared" si="16"/>
        <v>100</v>
      </c>
    </row>
    <row r="53" spans="1:57" ht="131.25" customHeight="1" outlineLevel="1">
      <c r="A53" s="86" t="s">
        <v>281</v>
      </c>
      <c r="B53" s="17" t="s">
        <v>104</v>
      </c>
      <c r="C53" s="17" t="s">
        <v>13</v>
      </c>
      <c r="D53" s="17" t="s">
        <v>7</v>
      </c>
      <c r="E53" s="17" t="s">
        <v>14</v>
      </c>
      <c r="F53" s="17" t="s">
        <v>105</v>
      </c>
      <c r="G53" s="34">
        <v>0</v>
      </c>
      <c r="H53" s="34">
        <v>251050.9</v>
      </c>
      <c r="I53" s="30">
        <f t="shared" ref="I53" si="46">G53+H53</f>
        <v>251050.9</v>
      </c>
      <c r="J53" s="30">
        <v>0</v>
      </c>
      <c r="K53" s="30"/>
      <c r="L53" s="27">
        <v>251050.9</v>
      </c>
      <c r="M53" s="6">
        <f t="shared" si="23"/>
        <v>251050.9</v>
      </c>
      <c r="N53" s="30">
        <v>0</v>
      </c>
      <c r="O53" s="30">
        <v>4622.6000000000004</v>
      </c>
      <c r="P53" s="6"/>
      <c r="Q53" s="30">
        <v>251050.9</v>
      </c>
      <c r="R53" s="6">
        <f t="shared" si="21"/>
        <v>4622.6000000000004</v>
      </c>
      <c r="S53" s="30"/>
      <c r="T53" s="30"/>
      <c r="U53" s="6"/>
      <c r="V53" s="6"/>
      <c r="W53" s="6">
        <v>251050.9</v>
      </c>
      <c r="X53" s="6">
        <f t="shared" si="4"/>
        <v>4622.6000000000004</v>
      </c>
      <c r="Y53" s="6">
        <v>0</v>
      </c>
      <c r="Z53" s="6"/>
      <c r="AA53" s="6"/>
      <c r="AB53" s="6"/>
      <c r="AC53" s="6">
        <f t="shared" si="5"/>
        <v>251050.9</v>
      </c>
      <c r="AD53" s="6">
        <f t="shared" si="6"/>
        <v>4622.6000000000004</v>
      </c>
      <c r="AE53" s="6">
        <v>0</v>
      </c>
      <c r="AF53" s="30">
        <v>0</v>
      </c>
      <c r="AG53" s="30"/>
      <c r="AH53" s="30"/>
      <c r="AI53" s="30"/>
      <c r="AJ53" s="30"/>
      <c r="AK53" s="6">
        <f t="shared" si="20"/>
        <v>251050.9</v>
      </c>
      <c r="AL53" s="6">
        <f t="shared" si="8"/>
        <v>4622.6000000000004</v>
      </c>
      <c r="AM53" s="6">
        <v>0</v>
      </c>
      <c r="AN53" s="6">
        <f t="shared" si="9"/>
        <v>0</v>
      </c>
      <c r="AO53" s="6"/>
      <c r="AP53" s="6"/>
      <c r="AQ53" s="6">
        <v>-1632.6</v>
      </c>
      <c r="AR53" s="6"/>
      <c r="AS53" s="101">
        <f t="shared" si="10"/>
        <v>251050.9</v>
      </c>
      <c r="AT53" s="101">
        <f t="shared" si="11"/>
        <v>2990.0000000000005</v>
      </c>
      <c r="AU53" s="101">
        <f t="shared" si="12"/>
        <v>0</v>
      </c>
      <c r="AV53" s="101">
        <f t="shared" si="13"/>
        <v>0</v>
      </c>
      <c r="AW53" s="101"/>
      <c r="AX53" s="101"/>
      <c r="AY53" s="101"/>
      <c r="AZ53" s="101">
        <f t="shared" si="14"/>
        <v>2990.0000000000005</v>
      </c>
      <c r="BA53" s="101">
        <v>2990.0000000000005</v>
      </c>
      <c r="BB53" s="102">
        <v>2989.95</v>
      </c>
      <c r="BC53" s="102">
        <v>2989.95</v>
      </c>
      <c r="BD53" s="101">
        <f t="shared" si="15"/>
        <v>99.998327759197309</v>
      </c>
      <c r="BE53" s="101">
        <f t="shared" si="16"/>
        <v>99.998327759197309</v>
      </c>
    </row>
    <row r="54" spans="1:57" ht="139.5" customHeight="1" outlineLevel="1">
      <c r="A54" s="86" t="s">
        <v>280</v>
      </c>
      <c r="B54" s="17" t="s">
        <v>117</v>
      </c>
      <c r="C54" s="17" t="s">
        <v>64</v>
      </c>
      <c r="D54" s="17" t="s">
        <v>69</v>
      </c>
      <c r="E54" s="17" t="s">
        <v>116</v>
      </c>
      <c r="F54" s="17" t="s">
        <v>103</v>
      </c>
      <c r="G54" s="34"/>
      <c r="H54" s="34"/>
      <c r="I54" s="30"/>
      <c r="J54" s="30"/>
      <c r="K54" s="30"/>
      <c r="L54" s="27"/>
      <c r="M54" s="6">
        <v>7000</v>
      </c>
      <c r="N54" s="30"/>
      <c r="O54" s="30"/>
      <c r="P54" s="6"/>
      <c r="Q54" s="30">
        <v>7000</v>
      </c>
      <c r="R54" s="6">
        <v>7000</v>
      </c>
      <c r="S54" s="30"/>
      <c r="T54" s="30"/>
      <c r="U54" s="6"/>
      <c r="V54" s="6"/>
      <c r="W54" s="6">
        <v>7000</v>
      </c>
      <c r="X54" s="6">
        <f t="shared" si="4"/>
        <v>7000</v>
      </c>
      <c r="Y54" s="6">
        <v>0</v>
      </c>
      <c r="Z54" s="6"/>
      <c r="AA54" s="6"/>
      <c r="AB54" s="6">
        <v>16027.6</v>
      </c>
      <c r="AC54" s="6">
        <f t="shared" si="5"/>
        <v>23027.599999999999</v>
      </c>
      <c r="AD54" s="6">
        <f t="shared" si="6"/>
        <v>7000</v>
      </c>
      <c r="AE54" s="6">
        <v>0</v>
      </c>
      <c r="AF54" s="30">
        <v>0</v>
      </c>
      <c r="AG54" s="30"/>
      <c r="AH54" s="30"/>
      <c r="AI54" s="30">
        <v>14876.2</v>
      </c>
      <c r="AJ54" s="30"/>
      <c r="AK54" s="6">
        <f t="shared" si="20"/>
        <v>23027.599999999999</v>
      </c>
      <c r="AL54" s="6">
        <f t="shared" si="8"/>
        <v>21876.2</v>
      </c>
      <c r="AM54" s="6">
        <v>0</v>
      </c>
      <c r="AN54" s="6">
        <f t="shared" si="9"/>
        <v>0</v>
      </c>
      <c r="AO54" s="6"/>
      <c r="AP54" s="6"/>
      <c r="AQ54" s="6"/>
      <c r="AR54" s="6"/>
      <c r="AS54" s="101">
        <f t="shared" si="10"/>
        <v>23027.599999999999</v>
      </c>
      <c r="AT54" s="101">
        <f t="shared" si="11"/>
        <v>21876.2</v>
      </c>
      <c r="AU54" s="101">
        <f t="shared" si="12"/>
        <v>0</v>
      </c>
      <c r="AV54" s="101">
        <f t="shared" si="13"/>
        <v>0</v>
      </c>
      <c r="AW54" s="101"/>
      <c r="AX54" s="101"/>
      <c r="AY54" s="101"/>
      <c r="AZ54" s="101">
        <f t="shared" si="14"/>
        <v>21876.2</v>
      </c>
      <c r="BA54" s="101">
        <v>21876.2</v>
      </c>
      <c r="BB54" s="102">
        <v>21876.2</v>
      </c>
      <c r="BC54" s="102">
        <v>21876.2</v>
      </c>
      <c r="BD54" s="101">
        <f t="shared" si="15"/>
        <v>100</v>
      </c>
      <c r="BE54" s="101">
        <f t="shared" si="16"/>
        <v>100</v>
      </c>
    </row>
    <row r="55" spans="1:57" ht="44.25" customHeight="1">
      <c r="A55" s="85" t="s">
        <v>282</v>
      </c>
      <c r="B55" s="91"/>
      <c r="C55" s="91"/>
      <c r="D55" s="91"/>
      <c r="E55" s="17"/>
      <c r="F55" s="17"/>
      <c r="G55" s="35" t="e">
        <f>#REF!</f>
        <v>#REF!</v>
      </c>
      <c r="H55" s="35" t="e">
        <f>#REF!</f>
        <v>#REF!</v>
      </c>
      <c r="I55" s="35" t="e">
        <f>#REF!</f>
        <v>#REF!</v>
      </c>
      <c r="J55" s="35" t="e">
        <f>#REF!</f>
        <v>#REF!</v>
      </c>
      <c r="K55" s="35">
        <f>K56+K57+K58</f>
        <v>518867.60000000003</v>
      </c>
      <c r="L55" s="35">
        <f>L56+L57+L58</f>
        <v>0</v>
      </c>
      <c r="M55" s="6">
        <f>M56+M57+M58</f>
        <v>495323.4</v>
      </c>
      <c r="N55" s="35">
        <f t="shared" ref="N55:S55" si="47">N56+N57+N58</f>
        <v>23000</v>
      </c>
      <c r="O55" s="35">
        <f t="shared" ref="O55" si="48">O56+O57+O58</f>
        <v>0</v>
      </c>
      <c r="P55" s="6">
        <f>P56+P57+P58</f>
        <v>-6342.1</v>
      </c>
      <c r="Q55" s="6">
        <f>Q56+Q57+Q58</f>
        <v>488981.30000000005</v>
      </c>
      <c r="R55" s="6">
        <f>R56+R57+R58</f>
        <v>33000</v>
      </c>
      <c r="S55" s="35">
        <f t="shared" si="47"/>
        <v>0</v>
      </c>
      <c r="T55" s="35">
        <f t="shared" ref="T55" si="49">T56+T57+T58</f>
        <v>0</v>
      </c>
      <c r="U55" s="6">
        <f>U56+U57+U58</f>
        <v>45.399999999999636</v>
      </c>
      <c r="V55" s="6">
        <f t="shared" ref="V55" si="50">V56+V57+V58</f>
        <v>145945.20000000001</v>
      </c>
      <c r="W55" s="6">
        <f>W56+W57+W58+W75</f>
        <v>634926.5</v>
      </c>
      <c r="X55" s="6">
        <f>X56+X57+X58</f>
        <v>33045.4</v>
      </c>
      <c r="Y55" s="6">
        <f t="shared" si="22"/>
        <v>0</v>
      </c>
      <c r="Z55" s="6">
        <f>Z56+Z57</f>
        <v>0</v>
      </c>
      <c r="AA55" s="6">
        <f>AA56+AA57+AA58</f>
        <v>31425.200000000001</v>
      </c>
      <c r="AB55" s="6">
        <f>AB56+AB57+AB58+AB75+AB76+AB77</f>
        <v>5418571.8999999994</v>
      </c>
      <c r="AC55" s="6">
        <f t="shared" si="5"/>
        <v>6053498.3999999994</v>
      </c>
      <c r="AD55" s="6">
        <f t="shared" ref="AD55:AV55" si="51">AD56+AD57+AD58+AD75</f>
        <v>64470.6</v>
      </c>
      <c r="AE55" s="6">
        <f t="shared" si="51"/>
        <v>0</v>
      </c>
      <c r="AF55" s="6">
        <f t="shared" si="51"/>
        <v>0</v>
      </c>
      <c r="AG55" s="6">
        <f t="shared" si="51"/>
        <v>0</v>
      </c>
      <c r="AH55" s="6">
        <f t="shared" si="51"/>
        <v>142475.9</v>
      </c>
      <c r="AI55" s="6">
        <f>AI56+AI57+AI58+AI75+AI76+AI77</f>
        <v>74415.7</v>
      </c>
      <c r="AJ55" s="6"/>
      <c r="AK55" s="6">
        <f t="shared" si="20"/>
        <v>6053498.3999999994</v>
      </c>
      <c r="AL55" s="6">
        <f t="shared" si="8"/>
        <v>138886.29999999999</v>
      </c>
      <c r="AM55" s="6">
        <f t="shared" si="51"/>
        <v>142475.9</v>
      </c>
      <c r="AN55" s="6">
        <f t="shared" si="51"/>
        <v>0</v>
      </c>
      <c r="AO55" s="6">
        <f t="shared" si="51"/>
        <v>153396.4</v>
      </c>
      <c r="AP55" s="36">
        <f>AP56+AP57+AP58+AP75+AP76</f>
        <v>0</v>
      </c>
      <c r="AQ55" s="37">
        <f>AQ76</f>
        <v>1180</v>
      </c>
      <c r="AR55" s="6">
        <f>AR56+AR58+AR75</f>
        <v>-310.39999999999998</v>
      </c>
      <c r="AS55" s="101">
        <f t="shared" si="10"/>
        <v>6053187.9999999991</v>
      </c>
      <c r="AT55" s="101">
        <f t="shared" si="11"/>
        <v>140066.29999999999</v>
      </c>
      <c r="AU55" s="101">
        <f t="shared" si="12"/>
        <v>142475.9</v>
      </c>
      <c r="AV55" s="101">
        <f t="shared" si="51"/>
        <v>153396.4</v>
      </c>
      <c r="AW55" s="101"/>
      <c r="AX55" s="101"/>
      <c r="AY55" s="101">
        <f>AY56+AY58+AY75</f>
        <v>2525.1000000000004</v>
      </c>
      <c r="AZ55" s="101">
        <f t="shared" si="14"/>
        <v>142591.4</v>
      </c>
      <c r="BA55" s="101">
        <v>142591.4</v>
      </c>
      <c r="BB55" s="101">
        <f>BB56+BB57+BB58+BB75+BB76+BB77</f>
        <v>141301.32287999999</v>
      </c>
      <c r="BC55" s="101">
        <f>BC56+BC57+BC58+BC75+BC76+BC77</f>
        <v>141301.32287999999</v>
      </c>
      <c r="BD55" s="101">
        <f t="shared" si="15"/>
        <v>99.095263024277756</v>
      </c>
      <c r="BE55" s="101">
        <f t="shared" si="16"/>
        <v>99.095263024277756</v>
      </c>
    </row>
    <row r="56" spans="1:57" ht="154.5" customHeight="1">
      <c r="A56" s="87" t="s">
        <v>85</v>
      </c>
      <c r="B56" s="26" t="s">
        <v>82</v>
      </c>
      <c r="C56" s="17" t="s">
        <v>13</v>
      </c>
      <c r="D56" s="17" t="s">
        <v>18</v>
      </c>
      <c r="E56" s="17" t="s">
        <v>10</v>
      </c>
      <c r="F56" s="17" t="s">
        <v>66</v>
      </c>
      <c r="G56" s="35"/>
      <c r="H56" s="35"/>
      <c r="I56" s="35"/>
      <c r="J56" s="35"/>
      <c r="K56" s="6">
        <v>231024.2</v>
      </c>
      <c r="L56" s="6"/>
      <c r="M56" s="6">
        <v>202000</v>
      </c>
      <c r="N56" s="6">
        <v>6000</v>
      </c>
      <c r="O56" s="6"/>
      <c r="P56" s="6">
        <v>3617.9</v>
      </c>
      <c r="Q56" s="6">
        <f t="shared" ref="Q56:Q60" si="52">M56+P56</f>
        <v>205617.9</v>
      </c>
      <c r="R56" s="6">
        <v>16000</v>
      </c>
      <c r="S56" s="35">
        <v>0</v>
      </c>
      <c r="T56" s="35">
        <v>0</v>
      </c>
      <c r="U56" s="6">
        <v>4525.3999999999996</v>
      </c>
      <c r="V56" s="6"/>
      <c r="W56" s="6">
        <v>205617.9</v>
      </c>
      <c r="X56" s="6">
        <f t="shared" si="4"/>
        <v>20525.400000000001</v>
      </c>
      <c r="Y56" s="6">
        <f t="shared" si="22"/>
        <v>0</v>
      </c>
      <c r="Z56" s="6"/>
      <c r="AA56" s="6">
        <v>30000</v>
      </c>
      <c r="AB56" s="6"/>
      <c r="AC56" s="6">
        <f t="shared" si="5"/>
        <v>205617.9</v>
      </c>
      <c r="AD56" s="6">
        <f t="shared" si="6"/>
        <v>50525.4</v>
      </c>
      <c r="AE56" s="6">
        <v>0</v>
      </c>
      <c r="AF56" s="35">
        <v>0</v>
      </c>
      <c r="AG56" s="35">
        <v>0</v>
      </c>
      <c r="AH56" s="35">
        <v>67675.899999999994</v>
      </c>
      <c r="AI56" s="35">
        <v>70000</v>
      </c>
      <c r="AJ56" s="35"/>
      <c r="AK56" s="6">
        <f t="shared" si="20"/>
        <v>205617.9</v>
      </c>
      <c r="AL56" s="6">
        <f t="shared" si="8"/>
        <v>120525.4</v>
      </c>
      <c r="AM56" s="6">
        <f>AE56+AH56</f>
        <v>67675.899999999994</v>
      </c>
      <c r="AN56" s="6">
        <f t="shared" si="9"/>
        <v>0</v>
      </c>
      <c r="AO56" s="6">
        <v>83676.399999999994</v>
      </c>
      <c r="AP56" s="6"/>
      <c r="AQ56" s="6"/>
      <c r="AR56" s="6"/>
      <c r="AS56" s="101">
        <f t="shared" si="10"/>
        <v>205617.9</v>
      </c>
      <c r="AT56" s="101">
        <f t="shared" si="11"/>
        <v>120525.4</v>
      </c>
      <c r="AU56" s="101">
        <f t="shared" si="12"/>
        <v>67675.899999999994</v>
      </c>
      <c r="AV56" s="101">
        <f t="shared" si="13"/>
        <v>83676.399999999994</v>
      </c>
      <c r="AW56" s="101"/>
      <c r="AX56" s="101"/>
      <c r="AY56" s="101">
        <v>2835.5</v>
      </c>
      <c r="AZ56" s="101">
        <f t="shared" si="14"/>
        <v>123360.9</v>
      </c>
      <c r="BA56" s="101">
        <v>123360.9</v>
      </c>
      <c r="BB56" s="102">
        <v>123360.87288</v>
      </c>
      <c r="BC56" s="102">
        <v>123360.87288</v>
      </c>
      <c r="BD56" s="101">
        <f t="shared" si="15"/>
        <v>99.999978015724594</v>
      </c>
      <c r="BE56" s="101">
        <f t="shared" si="16"/>
        <v>99.999978015724594</v>
      </c>
    </row>
    <row r="57" spans="1:57" ht="161.25" customHeight="1">
      <c r="A57" s="87" t="s">
        <v>96</v>
      </c>
      <c r="B57" s="26" t="s">
        <v>97</v>
      </c>
      <c r="C57" s="17" t="s">
        <v>13</v>
      </c>
      <c r="D57" s="17" t="s">
        <v>18</v>
      </c>
      <c r="E57" s="17" t="s">
        <v>10</v>
      </c>
      <c r="F57" s="17" t="s">
        <v>76</v>
      </c>
      <c r="G57" s="35"/>
      <c r="H57" s="35"/>
      <c r="I57" s="35"/>
      <c r="J57" s="35"/>
      <c r="K57" s="6">
        <v>275843.40000000002</v>
      </c>
      <c r="L57" s="6"/>
      <c r="M57" s="6">
        <f t="shared" si="23"/>
        <v>275843.40000000002</v>
      </c>
      <c r="N57" s="6">
        <v>5000</v>
      </c>
      <c r="O57" s="6"/>
      <c r="P57" s="6"/>
      <c r="Q57" s="6">
        <f t="shared" si="52"/>
        <v>275843.40000000002</v>
      </c>
      <c r="R57" s="6">
        <f t="shared" si="21"/>
        <v>5000</v>
      </c>
      <c r="S57" s="35">
        <v>0</v>
      </c>
      <c r="T57" s="35">
        <v>0</v>
      </c>
      <c r="U57" s="6"/>
      <c r="V57" s="6"/>
      <c r="W57" s="6">
        <v>275843.40000000002</v>
      </c>
      <c r="X57" s="6">
        <f t="shared" si="4"/>
        <v>5000</v>
      </c>
      <c r="Y57" s="6">
        <f t="shared" si="22"/>
        <v>0</v>
      </c>
      <c r="Z57" s="6"/>
      <c r="AA57" s="6"/>
      <c r="AB57" s="6"/>
      <c r="AC57" s="6">
        <f t="shared" si="5"/>
        <v>275843.40000000002</v>
      </c>
      <c r="AD57" s="6">
        <f t="shared" si="6"/>
        <v>5000</v>
      </c>
      <c r="AE57" s="6">
        <v>0</v>
      </c>
      <c r="AF57" s="35">
        <v>0</v>
      </c>
      <c r="AG57" s="35"/>
      <c r="AH57" s="35"/>
      <c r="AI57" s="35"/>
      <c r="AJ57" s="35"/>
      <c r="AK57" s="6">
        <f t="shared" si="20"/>
        <v>275843.40000000002</v>
      </c>
      <c r="AL57" s="6">
        <f t="shared" si="8"/>
        <v>5000</v>
      </c>
      <c r="AM57" s="6">
        <f t="shared" ref="AM57:AM75" si="53">AE57+AH57</f>
        <v>0</v>
      </c>
      <c r="AN57" s="6">
        <f t="shared" si="9"/>
        <v>0</v>
      </c>
      <c r="AO57" s="6"/>
      <c r="AP57" s="6"/>
      <c r="AQ57" s="6"/>
      <c r="AR57" s="6"/>
      <c r="AS57" s="101">
        <f t="shared" si="10"/>
        <v>275843.40000000002</v>
      </c>
      <c r="AT57" s="101">
        <f t="shared" si="11"/>
        <v>5000</v>
      </c>
      <c r="AU57" s="101">
        <f t="shared" si="12"/>
        <v>0</v>
      </c>
      <c r="AV57" s="101">
        <f t="shared" si="13"/>
        <v>0</v>
      </c>
      <c r="AW57" s="101"/>
      <c r="AX57" s="101"/>
      <c r="AY57" s="101"/>
      <c r="AZ57" s="101">
        <f t="shared" si="14"/>
        <v>5000</v>
      </c>
      <c r="BA57" s="101">
        <v>5000</v>
      </c>
      <c r="BB57" s="102">
        <f>30.68+4969.32</f>
        <v>5000</v>
      </c>
      <c r="BC57" s="102">
        <f>30.68+4969.32</f>
        <v>5000</v>
      </c>
      <c r="BD57" s="101">
        <f t="shared" si="15"/>
        <v>100</v>
      </c>
      <c r="BE57" s="101">
        <f t="shared" si="16"/>
        <v>100</v>
      </c>
    </row>
    <row r="58" spans="1:57" ht="45.75" customHeight="1">
      <c r="A58" s="85" t="s">
        <v>156</v>
      </c>
      <c r="B58" s="85"/>
      <c r="C58" s="85"/>
      <c r="D58" s="85"/>
      <c r="E58" s="22"/>
      <c r="F58" s="17"/>
      <c r="G58" s="35"/>
      <c r="H58" s="35"/>
      <c r="I58" s="35"/>
      <c r="J58" s="35"/>
      <c r="K58" s="6">
        <f>K59+K60</f>
        <v>12000</v>
      </c>
      <c r="L58" s="6">
        <f>L59+L60</f>
        <v>0</v>
      </c>
      <c r="M58" s="6">
        <f t="shared" ref="M58:O58" si="54">M59+M60</f>
        <v>17480</v>
      </c>
      <c r="N58" s="6">
        <f t="shared" si="54"/>
        <v>12000</v>
      </c>
      <c r="O58" s="6">
        <f t="shared" si="54"/>
        <v>0</v>
      </c>
      <c r="P58" s="6">
        <f>P59+P60</f>
        <v>-9960</v>
      </c>
      <c r="Q58" s="6">
        <f t="shared" si="52"/>
        <v>7520</v>
      </c>
      <c r="R58" s="6">
        <f t="shared" si="21"/>
        <v>12000</v>
      </c>
      <c r="S58" s="6">
        <f t="shared" ref="S58" si="55">S59+S60</f>
        <v>0</v>
      </c>
      <c r="T58" s="6">
        <f t="shared" ref="T58" si="56">T59+T60</f>
        <v>0</v>
      </c>
      <c r="U58" s="6">
        <f>U59+U60</f>
        <v>-4480</v>
      </c>
      <c r="V58" s="6">
        <f>V59+V60+V75+V61+V62+V63+V64+V65+V66+V67+V68+V69+V70+V71+V72+V73+V74</f>
        <v>145945.20000000001</v>
      </c>
      <c r="W58" s="6">
        <f>W59+W60+W61+W62+W63+W64+W65+W66+W67+W68+W69+W70+W71+W72+W73+W74</f>
        <v>152040</v>
      </c>
      <c r="X58" s="6">
        <f t="shared" si="4"/>
        <v>7520</v>
      </c>
      <c r="Y58" s="6">
        <f t="shared" si="22"/>
        <v>0</v>
      </c>
      <c r="Z58" s="6">
        <f>Z59+Z60</f>
        <v>0</v>
      </c>
      <c r="AA58" s="6">
        <f>AA59+AA60+AA75</f>
        <v>1425.2</v>
      </c>
      <c r="AB58" s="6"/>
      <c r="AC58" s="6">
        <f t="shared" si="5"/>
        <v>152040</v>
      </c>
      <c r="AD58" s="6">
        <f>AD59+AD60+AD61+AD62+AD63+AD64+AD65+AD66+AD67+AD68+AD69+AD70+AD71+AD72+AD73+AD74</f>
        <v>7520</v>
      </c>
      <c r="AE58" s="6">
        <f t="shared" ref="AE58:AH58" si="57">AE59+AE60+AE61+AE62+AE63+AE64+AE65+AE66+AE67</f>
        <v>0</v>
      </c>
      <c r="AF58" s="6">
        <f t="shared" si="57"/>
        <v>0</v>
      </c>
      <c r="AG58" s="6">
        <f t="shared" si="57"/>
        <v>0</v>
      </c>
      <c r="AH58" s="6">
        <f t="shared" si="57"/>
        <v>74800</v>
      </c>
      <c r="AI58" s="6"/>
      <c r="AJ58" s="6"/>
      <c r="AK58" s="6">
        <f t="shared" si="20"/>
        <v>152040</v>
      </c>
      <c r="AL58" s="6">
        <f t="shared" si="8"/>
        <v>7520</v>
      </c>
      <c r="AM58" s="6">
        <f>AM59+AM60+AM61+AM62+AM63+AM64+AM65+AM66+AM67+AM68+AM69+AM70+AM71+AM72+AM73+AM74</f>
        <v>74800</v>
      </c>
      <c r="AN58" s="6">
        <f t="shared" si="9"/>
        <v>0</v>
      </c>
      <c r="AO58" s="6">
        <f>AO59+AO60+AO61+AO62+AO63+AO64+AO65+AO66+AO67+AO68+AO69+AO70+AO71+AO72+AO73+AO74+AO75</f>
        <v>69720</v>
      </c>
      <c r="AP58" s="6"/>
      <c r="AQ58" s="6"/>
      <c r="AR58" s="6">
        <f>AR59</f>
        <v>-75.2</v>
      </c>
      <c r="AS58" s="101">
        <f t="shared" si="10"/>
        <v>151964.79999999999</v>
      </c>
      <c r="AT58" s="101">
        <f t="shared" si="11"/>
        <v>7520</v>
      </c>
      <c r="AU58" s="101">
        <f t="shared" si="12"/>
        <v>74800</v>
      </c>
      <c r="AV58" s="101">
        <f>AV59+AV60+AV61+AV62+AV63+AV64+AV65+AV66+AV67+AV68+AV69+AV70+AV71+AV72+AV73+AV74</f>
        <v>69720</v>
      </c>
      <c r="AW58" s="101"/>
      <c r="AX58" s="101"/>
      <c r="AY58" s="101">
        <f>AY59</f>
        <v>-75.2</v>
      </c>
      <c r="AZ58" s="101">
        <f t="shared" si="14"/>
        <v>7444.8</v>
      </c>
      <c r="BA58" s="101">
        <v>7444.8</v>
      </c>
      <c r="BB58" s="101">
        <f>BB59</f>
        <v>7444.8</v>
      </c>
      <c r="BC58" s="101">
        <f>BC59</f>
        <v>7444.8</v>
      </c>
      <c r="BD58" s="101">
        <f t="shared" si="15"/>
        <v>100</v>
      </c>
      <c r="BE58" s="101">
        <f t="shared" si="16"/>
        <v>100</v>
      </c>
    </row>
    <row r="59" spans="1:57" ht="159" customHeight="1">
      <c r="A59" s="87" t="s">
        <v>133</v>
      </c>
      <c r="B59" s="26" t="s">
        <v>98</v>
      </c>
      <c r="C59" s="17" t="s">
        <v>99</v>
      </c>
      <c r="D59" s="17" t="s">
        <v>18</v>
      </c>
      <c r="E59" s="17" t="s">
        <v>10</v>
      </c>
      <c r="F59" s="17" t="s">
        <v>50</v>
      </c>
      <c r="G59" s="35"/>
      <c r="H59" s="35"/>
      <c r="I59" s="35"/>
      <c r="J59" s="35"/>
      <c r="K59" s="6">
        <v>6000</v>
      </c>
      <c r="L59" s="6"/>
      <c r="M59" s="6">
        <v>7520</v>
      </c>
      <c r="N59" s="6">
        <v>6000</v>
      </c>
      <c r="O59" s="6"/>
      <c r="P59" s="6"/>
      <c r="Q59" s="6">
        <f t="shared" si="52"/>
        <v>7520</v>
      </c>
      <c r="R59" s="6">
        <f t="shared" si="21"/>
        <v>6000</v>
      </c>
      <c r="S59" s="35">
        <v>0</v>
      </c>
      <c r="T59" s="35">
        <v>0</v>
      </c>
      <c r="U59" s="6">
        <v>1520</v>
      </c>
      <c r="V59" s="6"/>
      <c r="W59" s="6">
        <f t="shared" ref="W59:W74" si="58">Q59+V59</f>
        <v>7520</v>
      </c>
      <c r="X59" s="6">
        <f t="shared" si="4"/>
        <v>7520</v>
      </c>
      <c r="Y59" s="6">
        <f t="shared" si="22"/>
        <v>0</v>
      </c>
      <c r="Z59" s="6"/>
      <c r="AA59" s="6"/>
      <c r="AB59" s="6"/>
      <c r="AC59" s="6">
        <f t="shared" si="5"/>
        <v>7520</v>
      </c>
      <c r="AD59" s="6">
        <f t="shared" si="6"/>
        <v>7520</v>
      </c>
      <c r="AE59" s="6">
        <v>0</v>
      </c>
      <c r="AF59" s="35">
        <v>0</v>
      </c>
      <c r="AG59" s="35">
        <v>0</v>
      </c>
      <c r="AH59" s="35"/>
      <c r="AI59" s="35"/>
      <c r="AJ59" s="35"/>
      <c r="AK59" s="6">
        <f t="shared" si="20"/>
        <v>7520</v>
      </c>
      <c r="AL59" s="6">
        <f t="shared" si="8"/>
        <v>7520</v>
      </c>
      <c r="AM59" s="6">
        <f t="shared" si="53"/>
        <v>0</v>
      </c>
      <c r="AN59" s="6">
        <f t="shared" si="9"/>
        <v>0</v>
      </c>
      <c r="AO59" s="6"/>
      <c r="AP59" s="6"/>
      <c r="AQ59" s="6"/>
      <c r="AR59" s="6">
        <v>-75.2</v>
      </c>
      <c r="AS59" s="101">
        <f t="shared" si="10"/>
        <v>7444.8</v>
      </c>
      <c r="AT59" s="101">
        <f t="shared" si="11"/>
        <v>7520</v>
      </c>
      <c r="AU59" s="101">
        <f t="shared" si="12"/>
        <v>0</v>
      </c>
      <c r="AV59" s="101">
        <f t="shared" si="13"/>
        <v>0</v>
      </c>
      <c r="AW59" s="101"/>
      <c r="AX59" s="101"/>
      <c r="AY59" s="101">
        <v>-75.2</v>
      </c>
      <c r="AZ59" s="101">
        <f t="shared" si="14"/>
        <v>7444.8</v>
      </c>
      <c r="BA59" s="101">
        <v>7444.8</v>
      </c>
      <c r="BB59" s="101">
        <v>7444.8</v>
      </c>
      <c r="BC59" s="101">
        <v>7444.8</v>
      </c>
      <c r="BD59" s="101">
        <f t="shared" si="15"/>
        <v>100</v>
      </c>
      <c r="BE59" s="101">
        <f t="shared" si="16"/>
        <v>100</v>
      </c>
    </row>
    <row r="60" spans="1:57" ht="139.5" customHeight="1">
      <c r="A60" s="87" t="s">
        <v>169</v>
      </c>
      <c r="B60" s="26" t="s">
        <v>98</v>
      </c>
      <c r="C60" s="17" t="s">
        <v>99</v>
      </c>
      <c r="D60" s="17" t="s">
        <v>18</v>
      </c>
      <c r="E60" s="17" t="s">
        <v>10</v>
      </c>
      <c r="F60" s="17" t="s">
        <v>162</v>
      </c>
      <c r="G60" s="35"/>
      <c r="H60" s="35"/>
      <c r="I60" s="35"/>
      <c r="J60" s="35"/>
      <c r="K60" s="6">
        <v>6000</v>
      </c>
      <c r="L60" s="6"/>
      <c r="M60" s="6">
        <v>9960</v>
      </c>
      <c r="N60" s="6">
        <v>6000</v>
      </c>
      <c r="O60" s="6"/>
      <c r="P60" s="6">
        <v>-9960</v>
      </c>
      <c r="Q60" s="6">
        <f t="shared" si="52"/>
        <v>0</v>
      </c>
      <c r="R60" s="6">
        <f t="shared" si="21"/>
        <v>6000</v>
      </c>
      <c r="S60" s="35">
        <v>0</v>
      </c>
      <c r="T60" s="35">
        <v>0</v>
      </c>
      <c r="U60" s="6">
        <v>-6000</v>
      </c>
      <c r="V60" s="6">
        <v>9960</v>
      </c>
      <c r="W60" s="6">
        <f t="shared" si="58"/>
        <v>9960</v>
      </c>
      <c r="X60" s="6">
        <f t="shared" si="4"/>
        <v>0</v>
      </c>
      <c r="Y60" s="6">
        <f t="shared" si="22"/>
        <v>0</v>
      </c>
      <c r="Z60" s="6"/>
      <c r="AA60" s="6"/>
      <c r="AB60" s="6"/>
      <c r="AC60" s="6">
        <f t="shared" si="5"/>
        <v>9960</v>
      </c>
      <c r="AD60" s="6">
        <f t="shared" si="6"/>
        <v>0</v>
      </c>
      <c r="AE60" s="6">
        <v>0</v>
      </c>
      <c r="AF60" s="35">
        <v>0</v>
      </c>
      <c r="AG60" s="35">
        <v>0</v>
      </c>
      <c r="AH60" s="6">
        <v>9960</v>
      </c>
      <c r="AI60" s="6"/>
      <c r="AJ60" s="6"/>
      <c r="AK60" s="6">
        <f t="shared" si="20"/>
        <v>9960</v>
      </c>
      <c r="AL60" s="6">
        <f t="shared" si="8"/>
        <v>0</v>
      </c>
      <c r="AM60" s="6">
        <f t="shared" si="53"/>
        <v>9960</v>
      </c>
      <c r="AN60" s="6">
        <f t="shared" si="9"/>
        <v>0</v>
      </c>
      <c r="AO60" s="6"/>
      <c r="AP60" s="6"/>
      <c r="AQ60" s="6"/>
      <c r="AR60" s="6"/>
      <c r="AS60" s="101">
        <f t="shared" si="10"/>
        <v>9960</v>
      </c>
      <c r="AT60" s="101">
        <f t="shared" si="11"/>
        <v>0</v>
      </c>
      <c r="AU60" s="101">
        <f t="shared" si="12"/>
        <v>9960</v>
      </c>
      <c r="AV60" s="101">
        <f t="shared" si="13"/>
        <v>0</v>
      </c>
      <c r="AW60" s="101"/>
      <c r="AX60" s="101"/>
      <c r="AY60" s="101"/>
      <c r="AZ60" s="101">
        <f t="shared" si="14"/>
        <v>0</v>
      </c>
      <c r="BA60" s="101">
        <v>0</v>
      </c>
      <c r="BB60" s="101">
        <v>0</v>
      </c>
      <c r="BC60" s="101"/>
      <c r="BD60" s="101">
        <v>0</v>
      </c>
      <c r="BE60" s="101">
        <v>0</v>
      </c>
    </row>
    <row r="61" spans="1:57" ht="138" customHeight="1">
      <c r="A61" s="87" t="s">
        <v>170</v>
      </c>
      <c r="B61" s="26" t="s">
        <v>98</v>
      </c>
      <c r="C61" s="17" t="s">
        <v>99</v>
      </c>
      <c r="D61" s="17" t="s">
        <v>18</v>
      </c>
      <c r="E61" s="17" t="s">
        <v>10</v>
      </c>
      <c r="F61" s="17" t="s">
        <v>162</v>
      </c>
      <c r="G61" s="35"/>
      <c r="H61" s="35"/>
      <c r="I61" s="35"/>
      <c r="J61" s="35"/>
      <c r="K61" s="6"/>
      <c r="L61" s="6"/>
      <c r="M61" s="6"/>
      <c r="N61" s="6"/>
      <c r="O61" s="6"/>
      <c r="P61" s="6"/>
      <c r="Q61" s="6"/>
      <c r="R61" s="6"/>
      <c r="S61" s="35"/>
      <c r="T61" s="35"/>
      <c r="U61" s="6"/>
      <c r="V61" s="6">
        <v>9960</v>
      </c>
      <c r="W61" s="6">
        <f t="shared" si="58"/>
        <v>9960</v>
      </c>
      <c r="X61" s="6"/>
      <c r="Y61" s="6"/>
      <c r="Z61" s="6"/>
      <c r="AA61" s="6"/>
      <c r="AB61" s="6"/>
      <c r="AC61" s="6">
        <f t="shared" si="5"/>
        <v>9960</v>
      </c>
      <c r="AD61" s="6">
        <v>0</v>
      </c>
      <c r="AE61" s="6"/>
      <c r="AF61" s="35"/>
      <c r="AG61" s="35"/>
      <c r="AH61" s="6">
        <v>9960</v>
      </c>
      <c r="AI61" s="6"/>
      <c r="AJ61" s="6"/>
      <c r="AK61" s="6">
        <f t="shared" si="20"/>
        <v>9960</v>
      </c>
      <c r="AL61" s="6">
        <f t="shared" si="8"/>
        <v>0</v>
      </c>
      <c r="AM61" s="6">
        <f t="shared" si="53"/>
        <v>9960</v>
      </c>
      <c r="AN61" s="6"/>
      <c r="AO61" s="6"/>
      <c r="AP61" s="6"/>
      <c r="AQ61" s="6"/>
      <c r="AR61" s="6"/>
      <c r="AS61" s="101">
        <f t="shared" si="10"/>
        <v>9960</v>
      </c>
      <c r="AT61" s="101">
        <f t="shared" si="11"/>
        <v>0</v>
      </c>
      <c r="AU61" s="101">
        <f t="shared" si="12"/>
        <v>9960</v>
      </c>
      <c r="AV61" s="101">
        <f t="shared" si="13"/>
        <v>0</v>
      </c>
      <c r="AW61" s="101"/>
      <c r="AX61" s="101"/>
      <c r="AY61" s="101"/>
      <c r="AZ61" s="101">
        <f t="shared" si="14"/>
        <v>0</v>
      </c>
      <c r="BA61" s="101">
        <v>0</v>
      </c>
      <c r="BB61" s="101">
        <v>0</v>
      </c>
      <c r="BC61" s="101"/>
      <c r="BD61" s="101">
        <v>0</v>
      </c>
      <c r="BE61" s="101">
        <v>0</v>
      </c>
    </row>
    <row r="62" spans="1:57" ht="132" customHeight="1">
      <c r="A62" s="87" t="s">
        <v>171</v>
      </c>
      <c r="B62" s="26" t="s">
        <v>98</v>
      </c>
      <c r="C62" s="17" t="s">
        <v>99</v>
      </c>
      <c r="D62" s="17" t="s">
        <v>18</v>
      </c>
      <c r="E62" s="17" t="s">
        <v>10</v>
      </c>
      <c r="F62" s="17" t="s">
        <v>162</v>
      </c>
      <c r="G62" s="35"/>
      <c r="H62" s="35"/>
      <c r="I62" s="35"/>
      <c r="J62" s="35"/>
      <c r="K62" s="6"/>
      <c r="L62" s="6"/>
      <c r="M62" s="6"/>
      <c r="N62" s="6"/>
      <c r="O62" s="6"/>
      <c r="P62" s="6"/>
      <c r="Q62" s="6"/>
      <c r="R62" s="6"/>
      <c r="S62" s="35"/>
      <c r="T62" s="35"/>
      <c r="U62" s="6"/>
      <c r="V62" s="6">
        <v>9960</v>
      </c>
      <c r="W62" s="6">
        <v>7520</v>
      </c>
      <c r="X62" s="6"/>
      <c r="Y62" s="6"/>
      <c r="Z62" s="6"/>
      <c r="AA62" s="6"/>
      <c r="AB62" s="6"/>
      <c r="AC62" s="6">
        <f t="shared" si="5"/>
        <v>7520</v>
      </c>
      <c r="AD62" s="6">
        <v>0</v>
      </c>
      <c r="AE62" s="6"/>
      <c r="AF62" s="35"/>
      <c r="AG62" s="35"/>
      <c r="AH62" s="6">
        <v>9960</v>
      </c>
      <c r="AI62" s="6"/>
      <c r="AJ62" s="6"/>
      <c r="AK62" s="6">
        <f t="shared" si="20"/>
        <v>7520</v>
      </c>
      <c r="AL62" s="6">
        <f t="shared" si="8"/>
        <v>0</v>
      </c>
      <c r="AM62" s="6">
        <v>7520</v>
      </c>
      <c r="AN62" s="6"/>
      <c r="AO62" s="6"/>
      <c r="AP62" s="6"/>
      <c r="AQ62" s="6"/>
      <c r="AR62" s="6"/>
      <c r="AS62" s="101">
        <f t="shared" si="10"/>
        <v>7520</v>
      </c>
      <c r="AT62" s="101">
        <f t="shared" si="11"/>
        <v>0</v>
      </c>
      <c r="AU62" s="101">
        <f t="shared" si="12"/>
        <v>7520</v>
      </c>
      <c r="AV62" s="101">
        <f t="shared" si="13"/>
        <v>0</v>
      </c>
      <c r="AW62" s="101"/>
      <c r="AX62" s="101"/>
      <c r="AY62" s="101"/>
      <c r="AZ62" s="101">
        <f t="shared" si="14"/>
        <v>0</v>
      </c>
      <c r="BA62" s="101">
        <v>0</v>
      </c>
      <c r="BB62" s="101">
        <v>0</v>
      </c>
      <c r="BC62" s="101"/>
      <c r="BD62" s="101">
        <v>0</v>
      </c>
      <c r="BE62" s="101">
        <v>0</v>
      </c>
    </row>
    <row r="63" spans="1:57" ht="131.25" customHeight="1">
      <c r="A63" s="87" t="s">
        <v>172</v>
      </c>
      <c r="B63" s="26" t="s">
        <v>98</v>
      </c>
      <c r="C63" s="17" t="s">
        <v>99</v>
      </c>
      <c r="D63" s="17" t="s">
        <v>18</v>
      </c>
      <c r="E63" s="17" t="s">
        <v>10</v>
      </c>
      <c r="F63" s="17" t="s">
        <v>162</v>
      </c>
      <c r="G63" s="35"/>
      <c r="H63" s="35"/>
      <c r="I63" s="35"/>
      <c r="J63" s="35"/>
      <c r="K63" s="6"/>
      <c r="L63" s="6"/>
      <c r="M63" s="6"/>
      <c r="N63" s="6"/>
      <c r="O63" s="6"/>
      <c r="P63" s="6"/>
      <c r="Q63" s="6"/>
      <c r="R63" s="6"/>
      <c r="S63" s="35"/>
      <c r="T63" s="35"/>
      <c r="U63" s="6"/>
      <c r="V63" s="6">
        <v>7520</v>
      </c>
      <c r="W63" s="6">
        <v>9960</v>
      </c>
      <c r="X63" s="6"/>
      <c r="Y63" s="6"/>
      <c r="Z63" s="6"/>
      <c r="AA63" s="6"/>
      <c r="AB63" s="6"/>
      <c r="AC63" s="6">
        <f t="shared" si="5"/>
        <v>9960</v>
      </c>
      <c r="AD63" s="6">
        <v>0</v>
      </c>
      <c r="AE63" s="6"/>
      <c r="AF63" s="35"/>
      <c r="AG63" s="35"/>
      <c r="AH63" s="6">
        <v>7520</v>
      </c>
      <c r="AI63" s="6"/>
      <c r="AJ63" s="6"/>
      <c r="AK63" s="6">
        <f t="shared" si="20"/>
        <v>9960</v>
      </c>
      <c r="AL63" s="6">
        <f t="shared" si="8"/>
        <v>0</v>
      </c>
      <c r="AM63" s="6">
        <v>9960</v>
      </c>
      <c r="AN63" s="6"/>
      <c r="AO63" s="6"/>
      <c r="AP63" s="6"/>
      <c r="AQ63" s="6"/>
      <c r="AR63" s="6"/>
      <c r="AS63" s="101">
        <f t="shared" si="10"/>
        <v>9960</v>
      </c>
      <c r="AT63" s="101">
        <f t="shared" si="11"/>
        <v>0</v>
      </c>
      <c r="AU63" s="101">
        <f t="shared" si="12"/>
        <v>9960</v>
      </c>
      <c r="AV63" s="101">
        <f t="shared" si="13"/>
        <v>0</v>
      </c>
      <c r="AW63" s="101"/>
      <c r="AX63" s="101"/>
      <c r="AY63" s="101"/>
      <c r="AZ63" s="101">
        <f t="shared" si="14"/>
        <v>0</v>
      </c>
      <c r="BA63" s="101">
        <v>0</v>
      </c>
      <c r="BB63" s="101">
        <v>0</v>
      </c>
      <c r="BC63" s="101"/>
      <c r="BD63" s="101">
        <v>0</v>
      </c>
      <c r="BE63" s="101">
        <v>0</v>
      </c>
    </row>
    <row r="64" spans="1:57" ht="132" customHeight="1">
      <c r="A64" s="87" t="s">
        <v>173</v>
      </c>
      <c r="B64" s="26" t="s">
        <v>98</v>
      </c>
      <c r="C64" s="17" t="s">
        <v>99</v>
      </c>
      <c r="D64" s="17" t="s">
        <v>18</v>
      </c>
      <c r="E64" s="17" t="s">
        <v>10</v>
      </c>
      <c r="F64" s="17" t="s">
        <v>162</v>
      </c>
      <c r="G64" s="35"/>
      <c r="H64" s="35"/>
      <c r="I64" s="35"/>
      <c r="J64" s="35"/>
      <c r="K64" s="6"/>
      <c r="L64" s="6"/>
      <c r="M64" s="6"/>
      <c r="N64" s="6"/>
      <c r="O64" s="6"/>
      <c r="P64" s="6"/>
      <c r="Q64" s="6"/>
      <c r="R64" s="6"/>
      <c r="S64" s="35"/>
      <c r="T64" s="35"/>
      <c r="U64" s="6"/>
      <c r="V64" s="6">
        <v>9960</v>
      </c>
      <c r="W64" s="6">
        <v>7520</v>
      </c>
      <c r="X64" s="6"/>
      <c r="Y64" s="6"/>
      <c r="Z64" s="6"/>
      <c r="AA64" s="6"/>
      <c r="AB64" s="6"/>
      <c r="AC64" s="6">
        <f t="shared" si="5"/>
        <v>7520</v>
      </c>
      <c r="AD64" s="6">
        <v>0</v>
      </c>
      <c r="AE64" s="6"/>
      <c r="AF64" s="35"/>
      <c r="AG64" s="35"/>
      <c r="AH64" s="6">
        <v>9960</v>
      </c>
      <c r="AI64" s="6"/>
      <c r="AJ64" s="6"/>
      <c r="AK64" s="6">
        <f t="shared" si="20"/>
        <v>7520</v>
      </c>
      <c r="AL64" s="6">
        <f t="shared" si="8"/>
        <v>0</v>
      </c>
      <c r="AM64" s="6">
        <v>7520</v>
      </c>
      <c r="AN64" s="6"/>
      <c r="AO64" s="6"/>
      <c r="AP64" s="6"/>
      <c r="AQ64" s="6"/>
      <c r="AR64" s="6"/>
      <c r="AS64" s="101">
        <f t="shared" si="10"/>
        <v>7520</v>
      </c>
      <c r="AT64" s="101">
        <f t="shared" si="11"/>
        <v>0</v>
      </c>
      <c r="AU64" s="101">
        <f t="shared" si="12"/>
        <v>7520</v>
      </c>
      <c r="AV64" s="101">
        <f t="shared" si="13"/>
        <v>0</v>
      </c>
      <c r="AW64" s="101"/>
      <c r="AX64" s="101"/>
      <c r="AY64" s="101"/>
      <c r="AZ64" s="101">
        <f t="shared" si="14"/>
        <v>0</v>
      </c>
      <c r="BA64" s="101">
        <v>0</v>
      </c>
      <c r="BB64" s="101">
        <v>0</v>
      </c>
      <c r="BC64" s="101"/>
      <c r="BD64" s="101">
        <v>0</v>
      </c>
      <c r="BE64" s="101">
        <v>0</v>
      </c>
    </row>
    <row r="65" spans="1:57" ht="136.5" customHeight="1">
      <c r="A65" s="87" t="s">
        <v>174</v>
      </c>
      <c r="B65" s="26" t="s">
        <v>98</v>
      </c>
      <c r="C65" s="17" t="s">
        <v>99</v>
      </c>
      <c r="D65" s="17" t="s">
        <v>18</v>
      </c>
      <c r="E65" s="17" t="s">
        <v>10</v>
      </c>
      <c r="F65" s="17" t="s">
        <v>162</v>
      </c>
      <c r="G65" s="35"/>
      <c r="H65" s="35"/>
      <c r="I65" s="35"/>
      <c r="J65" s="35"/>
      <c r="K65" s="6"/>
      <c r="L65" s="6"/>
      <c r="M65" s="6"/>
      <c r="N65" s="6"/>
      <c r="O65" s="6"/>
      <c r="P65" s="6"/>
      <c r="Q65" s="6"/>
      <c r="R65" s="6"/>
      <c r="S65" s="35"/>
      <c r="T65" s="35"/>
      <c r="U65" s="6"/>
      <c r="V65" s="6">
        <v>9960</v>
      </c>
      <c r="W65" s="6">
        <f t="shared" si="58"/>
        <v>9960</v>
      </c>
      <c r="X65" s="6"/>
      <c r="Y65" s="6"/>
      <c r="Z65" s="6"/>
      <c r="AA65" s="6"/>
      <c r="AB65" s="6"/>
      <c r="AC65" s="6">
        <f t="shared" si="5"/>
        <v>9960</v>
      </c>
      <c r="AD65" s="6">
        <v>0</v>
      </c>
      <c r="AE65" s="6"/>
      <c r="AF65" s="35"/>
      <c r="AG65" s="35"/>
      <c r="AH65" s="6">
        <v>9960</v>
      </c>
      <c r="AI65" s="6"/>
      <c r="AJ65" s="6"/>
      <c r="AK65" s="6">
        <f t="shared" si="20"/>
        <v>9960</v>
      </c>
      <c r="AL65" s="6">
        <f t="shared" si="8"/>
        <v>0</v>
      </c>
      <c r="AM65" s="6">
        <f t="shared" si="53"/>
        <v>9960</v>
      </c>
      <c r="AN65" s="6"/>
      <c r="AO65" s="6"/>
      <c r="AP65" s="6"/>
      <c r="AQ65" s="6"/>
      <c r="AR65" s="6"/>
      <c r="AS65" s="101">
        <f t="shared" si="10"/>
        <v>9960</v>
      </c>
      <c r="AT65" s="101">
        <f t="shared" si="11"/>
        <v>0</v>
      </c>
      <c r="AU65" s="101">
        <f t="shared" si="12"/>
        <v>9960</v>
      </c>
      <c r="AV65" s="101">
        <f t="shared" si="13"/>
        <v>0</v>
      </c>
      <c r="AW65" s="101"/>
      <c r="AX65" s="101"/>
      <c r="AY65" s="101"/>
      <c r="AZ65" s="101">
        <f t="shared" si="14"/>
        <v>0</v>
      </c>
      <c r="BA65" s="101">
        <v>0</v>
      </c>
      <c r="BB65" s="101">
        <v>0</v>
      </c>
      <c r="BC65" s="101"/>
      <c r="BD65" s="101">
        <v>0</v>
      </c>
      <c r="BE65" s="101">
        <v>0</v>
      </c>
    </row>
    <row r="66" spans="1:57" ht="136.5" customHeight="1">
      <c r="A66" s="87" t="s">
        <v>175</v>
      </c>
      <c r="B66" s="26" t="s">
        <v>98</v>
      </c>
      <c r="C66" s="17" t="s">
        <v>99</v>
      </c>
      <c r="D66" s="17" t="s">
        <v>18</v>
      </c>
      <c r="E66" s="17" t="s">
        <v>10</v>
      </c>
      <c r="F66" s="17" t="s">
        <v>162</v>
      </c>
      <c r="G66" s="35"/>
      <c r="H66" s="35"/>
      <c r="I66" s="35"/>
      <c r="J66" s="35"/>
      <c r="K66" s="6"/>
      <c r="L66" s="6"/>
      <c r="M66" s="6"/>
      <c r="N66" s="6"/>
      <c r="O66" s="6"/>
      <c r="P66" s="6"/>
      <c r="Q66" s="6"/>
      <c r="R66" s="6"/>
      <c r="S66" s="35"/>
      <c r="T66" s="35"/>
      <c r="U66" s="6"/>
      <c r="V66" s="6">
        <v>9960</v>
      </c>
      <c r="W66" s="6">
        <f t="shared" si="58"/>
        <v>9960</v>
      </c>
      <c r="X66" s="6"/>
      <c r="Y66" s="6"/>
      <c r="Z66" s="6"/>
      <c r="AA66" s="6"/>
      <c r="AB66" s="6"/>
      <c r="AC66" s="6">
        <f t="shared" si="5"/>
        <v>9960</v>
      </c>
      <c r="AD66" s="6">
        <v>0</v>
      </c>
      <c r="AE66" s="6"/>
      <c r="AF66" s="35"/>
      <c r="AG66" s="35"/>
      <c r="AH66" s="6">
        <v>9960</v>
      </c>
      <c r="AI66" s="6"/>
      <c r="AJ66" s="6"/>
      <c r="AK66" s="6">
        <f t="shared" si="20"/>
        <v>9960</v>
      </c>
      <c r="AL66" s="6">
        <f t="shared" si="8"/>
        <v>0</v>
      </c>
      <c r="AM66" s="6">
        <f t="shared" si="53"/>
        <v>9960</v>
      </c>
      <c r="AN66" s="6"/>
      <c r="AO66" s="6"/>
      <c r="AP66" s="6"/>
      <c r="AQ66" s="6"/>
      <c r="AR66" s="6"/>
      <c r="AS66" s="101">
        <f t="shared" si="10"/>
        <v>9960</v>
      </c>
      <c r="AT66" s="101">
        <f t="shared" si="11"/>
        <v>0</v>
      </c>
      <c r="AU66" s="101">
        <f t="shared" si="12"/>
        <v>9960</v>
      </c>
      <c r="AV66" s="101">
        <f t="shared" si="13"/>
        <v>0</v>
      </c>
      <c r="AW66" s="101"/>
      <c r="AX66" s="101"/>
      <c r="AY66" s="101"/>
      <c r="AZ66" s="101">
        <f t="shared" si="14"/>
        <v>0</v>
      </c>
      <c r="BA66" s="101">
        <v>0</v>
      </c>
      <c r="BB66" s="101">
        <v>0</v>
      </c>
      <c r="BC66" s="101"/>
      <c r="BD66" s="101">
        <v>0</v>
      </c>
      <c r="BE66" s="101">
        <v>0</v>
      </c>
    </row>
    <row r="67" spans="1:57" ht="134.25" customHeight="1">
      <c r="A67" s="87" t="s">
        <v>176</v>
      </c>
      <c r="B67" s="26" t="s">
        <v>98</v>
      </c>
      <c r="C67" s="17" t="s">
        <v>99</v>
      </c>
      <c r="D67" s="17" t="s">
        <v>18</v>
      </c>
      <c r="E67" s="17" t="s">
        <v>10</v>
      </c>
      <c r="F67" s="17" t="s">
        <v>162</v>
      </c>
      <c r="G67" s="35"/>
      <c r="H67" s="35"/>
      <c r="I67" s="35"/>
      <c r="J67" s="35"/>
      <c r="K67" s="6"/>
      <c r="L67" s="6"/>
      <c r="M67" s="6"/>
      <c r="N67" s="6"/>
      <c r="O67" s="6"/>
      <c r="P67" s="6"/>
      <c r="Q67" s="6"/>
      <c r="R67" s="6"/>
      <c r="S67" s="35"/>
      <c r="T67" s="35"/>
      <c r="U67" s="6"/>
      <c r="V67" s="6">
        <v>7520</v>
      </c>
      <c r="W67" s="6">
        <v>9960</v>
      </c>
      <c r="X67" s="6"/>
      <c r="Y67" s="6"/>
      <c r="Z67" s="6"/>
      <c r="AA67" s="6"/>
      <c r="AB67" s="6"/>
      <c r="AC67" s="6">
        <f t="shared" si="5"/>
        <v>9960</v>
      </c>
      <c r="AD67" s="6">
        <v>0</v>
      </c>
      <c r="AE67" s="6"/>
      <c r="AF67" s="35"/>
      <c r="AG67" s="35"/>
      <c r="AH67" s="6">
        <v>7520</v>
      </c>
      <c r="AI67" s="6"/>
      <c r="AJ67" s="6"/>
      <c r="AK67" s="6">
        <f t="shared" si="20"/>
        <v>9960</v>
      </c>
      <c r="AL67" s="6">
        <f t="shared" si="8"/>
        <v>0</v>
      </c>
      <c r="AM67" s="6">
        <v>9960</v>
      </c>
      <c r="AN67" s="6"/>
      <c r="AO67" s="6"/>
      <c r="AP67" s="6"/>
      <c r="AQ67" s="6"/>
      <c r="AR67" s="6"/>
      <c r="AS67" s="101">
        <f t="shared" si="10"/>
        <v>9960</v>
      </c>
      <c r="AT67" s="101">
        <f t="shared" si="11"/>
        <v>0</v>
      </c>
      <c r="AU67" s="101">
        <f t="shared" si="12"/>
        <v>9960</v>
      </c>
      <c r="AV67" s="101">
        <f t="shared" si="13"/>
        <v>0</v>
      </c>
      <c r="AW67" s="101"/>
      <c r="AX67" s="101"/>
      <c r="AY67" s="101"/>
      <c r="AZ67" s="101">
        <f t="shared" si="14"/>
        <v>0</v>
      </c>
      <c r="BA67" s="101">
        <v>0</v>
      </c>
      <c r="BB67" s="101">
        <v>0</v>
      </c>
      <c r="BC67" s="101"/>
      <c r="BD67" s="101">
        <v>0</v>
      </c>
      <c r="BE67" s="101">
        <v>0</v>
      </c>
    </row>
    <row r="68" spans="1:57" ht="137.25" customHeight="1">
      <c r="A68" s="87" t="s">
        <v>177</v>
      </c>
      <c r="B68" s="26" t="s">
        <v>98</v>
      </c>
      <c r="C68" s="17" t="s">
        <v>99</v>
      </c>
      <c r="D68" s="17" t="s">
        <v>18</v>
      </c>
      <c r="E68" s="17" t="s">
        <v>10</v>
      </c>
      <c r="F68" s="17" t="s">
        <v>163</v>
      </c>
      <c r="G68" s="35"/>
      <c r="H68" s="35"/>
      <c r="I68" s="35"/>
      <c r="J68" s="35"/>
      <c r="K68" s="6"/>
      <c r="L68" s="6"/>
      <c r="M68" s="6"/>
      <c r="N68" s="6"/>
      <c r="O68" s="6"/>
      <c r="P68" s="6"/>
      <c r="Q68" s="6"/>
      <c r="R68" s="6"/>
      <c r="S68" s="35"/>
      <c r="T68" s="35"/>
      <c r="U68" s="6"/>
      <c r="V68" s="6">
        <v>9960</v>
      </c>
      <c r="W68" s="6">
        <f t="shared" si="58"/>
        <v>9960</v>
      </c>
      <c r="X68" s="6"/>
      <c r="Y68" s="6"/>
      <c r="Z68" s="6"/>
      <c r="AA68" s="6"/>
      <c r="AB68" s="6"/>
      <c r="AC68" s="6">
        <f t="shared" si="5"/>
        <v>9960</v>
      </c>
      <c r="AD68" s="6">
        <v>0</v>
      </c>
      <c r="AE68" s="6"/>
      <c r="AF68" s="35"/>
      <c r="AG68" s="35"/>
      <c r="AH68" s="6"/>
      <c r="AI68" s="6"/>
      <c r="AJ68" s="6"/>
      <c r="AK68" s="6">
        <f t="shared" si="20"/>
        <v>9960</v>
      </c>
      <c r="AL68" s="6">
        <f t="shared" si="8"/>
        <v>0</v>
      </c>
      <c r="AM68" s="6">
        <f t="shared" si="53"/>
        <v>0</v>
      </c>
      <c r="AN68" s="6"/>
      <c r="AO68" s="6">
        <v>9960</v>
      </c>
      <c r="AP68" s="6"/>
      <c r="AQ68" s="6"/>
      <c r="AR68" s="6"/>
      <c r="AS68" s="101">
        <f t="shared" si="10"/>
        <v>9960</v>
      </c>
      <c r="AT68" s="101">
        <f t="shared" si="11"/>
        <v>0</v>
      </c>
      <c r="AU68" s="101">
        <f t="shared" si="12"/>
        <v>0</v>
      </c>
      <c r="AV68" s="101">
        <f t="shared" si="13"/>
        <v>9960</v>
      </c>
      <c r="AW68" s="101"/>
      <c r="AX68" s="101"/>
      <c r="AY68" s="101"/>
      <c r="AZ68" s="101">
        <f t="shared" si="14"/>
        <v>0</v>
      </c>
      <c r="BA68" s="101">
        <v>0</v>
      </c>
      <c r="BB68" s="101">
        <v>0</v>
      </c>
      <c r="BC68" s="101"/>
      <c r="BD68" s="101">
        <v>0</v>
      </c>
      <c r="BE68" s="101">
        <v>0</v>
      </c>
    </row>
    <row r="69" spans="1:57" ht="135" customHeight="1">
      <c r="A69" s="87" t="s">
        <v>178</v>
      </c>
      <c r="B69" s="26" t="s">
        <v>98</v>
      </c>
      <c r="C69" s="17" t="s">
        <v>99</v>
      </c>
      <c r="D69" s="17" t="s">
        <v>18</v>
      </c>
      <c r="E69" s="17" t="s">
        <v>10</v>
      </c>
      <c r="F69" s="17" t="s">
        <v>163</v>
      </c>
      <c r="G69" s="35"/>
      <c r="H69" s="35"/>
      <c r="I69" s="35"/>
      <c r="J69" s="35"/>
      <c r="K69" s="6"/>
      <c r="L69" s="6"/>
      <c r="M69" s="6"/>
      <c r="N69" s="6"/>
      <c r="O69" s="6"/>
      <c r="P69" s="6"/>
      <c r="Q69" s="6"/>
      <c r="R69" s="6"/>
      <c r="S69" s="35"/>
      <c r="T69" s="35"/>
      <c r="U69" s="6"/>
      <c r="V69" s="6">
        <v>9960</v>
      </c>
      <c r="W69" s="6">
        <f t="shared" si="58"/>
        <v>9960</v>
      </c>
      <c r="X69" s="6"/>
      <c r="Y69" s="6"/>
      <c r="Z69" s="6"/>
      <c r="AA69" s="6"/>
      <c r="AB69" s="6"/>
      <c r="AC69" s="6">
        <f t="shared" si="5"/>
        <v>9960</v>
      </c>
      <c r="AD69" s="6">
        <v>0</v>
      </c>
      <c r="AE69" s="6"/>
      <c r="AF69" s="35"/>
      <c r="AG69" s="35"/>
      <c r="AH69" s="6"/>
      <c r="AI69" s="6"/>
      <c r="AJ69" s="6"/>
      <c r="AK69" s="6">
        <f t="shared" si="20"/>
        <v>9960</v>
      </c>
      <c r="AL69" s="6">
        <f t="shared" si="8"/>
        <v>0</v>
      </c>
      <c r="AM69" s="6">
        <f t="shared" si="53"/>
        <v>0</v>
      </c>
      <c r="AN69" s="6"/>
      <c r="AO69" s="6">
        <v>9960</v>
      </c>
      <c r="AP69" s="6"/>
      <c r="AQ69" s="6"/>
      <c r="AR69" s="6"/>
      <c r="AS69" s="101">
        <f t="shared" si="10"/>
        <v>9960</v>
      </c>
      <c r="AT69" s="101">
        <f t="shared" si="11"/>
        <v>0</v>
      </c>
      <c r="AU69" s="101">
        <f t="shared" si="12"/>
        <v>0</v>
      </c>
      <c r="AV69" s="101">
        <f t="shared" si="13"/>
        <v>9960</v>
      </c>
      <c r="AW69" s="101"/>
      <c r="AX69" s="101"/>
      <c r="AY69" s="101"/>
      <c r="AZ69" s="101">
        <f t="shared" si="14"/>
        <v>0</v>
      </c>
      <c r="BA69" s="101">
        <v>0</v>
      </c>
      <c r="BB69" s="101">
        <v>0</v>
      </c>
      <c r="BC69" s="101"/>
      <c r="BD69" s="101">
        <v>0</v>
      </c>
      <c r="BE69" s="101">
        <v>0</v>
      </c>
    </row>
    <row r="70" spans="1:57" ht="141.75" customHeight="1">
      <c r="A70" s="87" t="s">
        <v>179</v>
      </c>
      <c r="B70" s="26" t="s">
        <v>98</v>
      </c>
      <c r="C70" s="17" t="s">
        <v>99</v>
      </c>
      <c r="D70" s="17" t="s">
        <v>18</v>
      </c>
      <c r="E70" s="17" t="s">
        <v>10</v>
      </c>
      <c r="F70" s="17" t="s">
        <v>163</v>
      </c>
      <c r="G70" s="35"/>
      <c r="H70" s="35"/>
      <c r="I70" s="35"/>
      <c r="J70" s="35"/>
      <c r="K70" s="6"/>
      <c r="L70" s="6"/>
      <c r="M70" s="6"/>
      <c r="N70" s="6"/>
      <c r="O70" s="6"/>
      <c r="P70" s="6"/>
      <c r="Q70" s="6"/>
      <c r="R70" s="6"/>
      <c r="S70" s="35"/>
      <c r="T70" s="35"/>
      <c r="U70" s="6"/>
      <c r="V70" s="6">
        <v>9960</v>
      </c>
      <c r="W70" s="6">
        <f t="shared" si="58"/>
        <v>9960</v>
      </c>
      <c r="X70" s="6"/>
      <c r="Y70" s="6"/>
      <c r="Z70" s="6"/>
      <c r="AA70" s="6"/>
      <c r="AB70" s="6"/>
      <c r="AC70" s="6">
        <f t="shared" si="5"/>
        <v>9960</v>
      </c>
      <c r="AD70" s="6">
        <v>0</v>
      </c>
      <c r="AE70" s="6"/>
      <c r="AF70" s="35"/>
      <c r="AG70" s="35"/>
      <c r="AH70" s="6"/>
      <c r="AI70" s="6"/>
      <c r="AJ70" s="6"/>
      <c r="AK70" s="6">
        <f t="shared" si="20"/>
        <v>9960</v>
      </c>
      <c r="AL70" s="6">
        <f t="shared" si="8"/>
        <v>0</v>
      </c>
      <c r="AM70" s="6">
        <f t="shared" si="53"/>
        <v>0</v>
      </c>
      <c r="AN70" s="6"/>
      <c r="AO70" s="6">
        <v>9960</v>
      </c>
      <c r="AP70" s="6"/>
      <c r="AQ70" s="6"/>
      <c r="AR70" s="6"/>
      <c r="AS70" s="101">
        <f t="shared" si="10"/>
        <v>9960</v>
      </c>
      <c r="AT70" s="101">
        <f t="shared" si="11"/>
        <v>0</v>
      </c>
      <c r="AU70" s="101">
        <f t="shared" si="12"/>
        <v>0</v>
      </c>
      <c r="AV70" s="101">
        <f t="shared" si="13"/>
        <v>9960</v>
      </c>
      <c r="AW70" s="101"/>
      <c r="AX70" s="101"/>
      <c r="AY70" s="101"/>
      <c r="AZ70" s="101">
        <f t="shared" si="14"/>
        <v>0</v>
      </c>
      <c r="BA70" s="101">
        <v>0</v>
      </c>
      <c r="BB70" s="101">
        <v>0</v>
      </c>
      <c r="BC70" s="101"/>
      <c r="BD70" s="101">
        <v>0</v>
      </c>
      <c r="BE70" s="101">
        <v>0</v>
      </c>
    </row>
    <row r="71" spans="1:57" ht="134.25" customHeight="1">
      <c r="A71" s="87" t="s">
        <v>180</v>
      </c>
      <c r="B71" s="26" t="s">
        <v>98</v>
      </c>
      <c r="C71" s="17" t="s">
        <v>99</v>
      </c>
      <c r="D71" s="17" t="s">
        <v>18</v>
      </c>
      <c r="E71" s="17" t="s">
        <v>10</v>
      </c>
      <c r="F71" s="17" t="s">
        <v>163</v>
      </c>
      <c r="G71" s="35"/>
      <c r="H71" s="35"/>
      <c r="I71" s="35"/>
      <c r="J71" s="35"/>
      <c r="K71" s="6"/>
      <c r="L71" s="6"/>
      <c r="M71" s="6"/>
      <c r="N71" s="6"/>
      <c r="O71" s="6"/>
      <c r="P71" s="6"/>
      <c r="Q71" s="6"/>
      <c r="R71" s="6"/>
      <c r="S71" s="35"/>
      <c r="T71" s="35"/>
      <c r="U71" s="6"/>
      <c r="V71" s="6">
        <v>9960</v>
      </c>
      <c r="W71" s="6">
        <f t="shared" si="58"/>
        <v>9960</v>
      </c>
      <c r="X71" s="6"/>
      <c r="Y71" s="6"/>
      <c r="Z71" s="6"/>
      <c r="AA71" s="6"/>
      <c r="AB71" s="6"/>
      <c r="AC71" s="6">
        <f t="shared" si="5"/>
        <v>9960</v>
      </c>
      <c r="AD71" s="6">
        <v>0</v>
      </c>
      <c r="AE71" s="6"/>
      <c r="AF71" s="35"/>
      <c r="AG71" s="35"/>
      <c r="AH71" s="6"/>
      <c r="AI71" s="6"/>
      <c r="AJ71" s="6"/>
      <c r="AK71" s="6">
        <f t="shared" si="20"/>
        <v>9960</v>
      </c>
      <c r="AL71" s="6">
        <f t="shared" si="8"/>
        <v>0</v>
      </c>
      <c r="AM71" s="6">
        <f t="shared" si="53"/>
        <v>0</v>
      </c>
      <c r="AN71" s="6"/>
      <c r="AO71" s="6">
        <v>9960</v>
      </c>
      <c r="AP71" s="6"/>
      <c r="AQ71" s="6"/>
      <c r="AR71" s="6"/>
      <c r="AS71" s="101">
        <f t="shared" si="10"/>
        <v>9960</v>
      </c>
      <c r="AT71" s="101">
        <f t="shared" si="11"/>
        <v>0</v>
      </c>
      <c r="AU71" s="101">
        <f t="shared" si="12"/>
        <v>0</v>
      </c>
      <c r="AV71" s="101">
        <f t="shared" si="13"/>
        <v>9960</v>
      </c>
      <c r="AW71" s="101"/>
      <c r="AX71" s="101"/>
      <c r="AY71" s="101"/>
      <c r="AZ71" s="101">
        <f t="shared" si="14"/>
        <v>0</v>
      </c>
      <c r="BA71" s="101">
        <v>0</v>
      </c>
      <c r="BB71" s="101">
        <v>0</v>
      </c>
      <c r="BC71" s="101"/>
      <c r="BD71" s="101">
        <v>0</v>
      </c>
      <c r="BE71" s="101">
        <v>0</v>
      </c>
    </row>
    <row r="72" spans="1:57" ht="138" customHeight="1">
      <c r="A72" s="87" t="s">
        <v>181</v>
      </c>
      <c r="B72" s="26" t="s">
        <v>98</v>
      </c>
      <c r="C72" s="17" t="s">
        <v>99</v>
      </c>
      <c r="D72" s="17" t="s">
        <v>18</v>
      </c>
      <c r="E72" s="17" t="s">
        <v>10</v>
      </c>
      <c r="F72" s="17" t="s">
        <v>163</v>
      </c>
      <c r="G72" s="35"/>
      <c r="H72" s="35"/>
      <c r="I72" s="35"/>
      <c r="J72" s="35"/>
      <c r="K72" s="6"/>
      <c r="L72" s="6"/>
      <c r="M72" s="6"/>
      <c r="N72" s="6"/>
      <c r="O72" s="6"/>
      <c r="P72" s="6"/>
      <c r="Q72" s="6"/>
      <c r="R72" s="6"/>
      <c r="S72" s="35"/>
      <c r="T72" s="35"/>
      <c r="U72" s="6"/>
      <c r="V72" s="6">
        <v>9960</v>
      </c>
      <c r="W72" s="6">
        <f t="shared" si="58"/>
        <v>9960</v>
      </c>
      <c r="X72" s="6"/>
      <c r="Y72" s="6"/>
      <c r="Z72" s="6"/>
      <c r="AA72" s="6"/>
      <c r="AB72" s="6"/>
      <c r="AC72" s="6">
        <f t="shared" si="5"/>
        <v>9960</v>
      </c>
      <c r="AD72" s="6">
        <v>0</v>
      </c>
      <c r="AE72" s="6"/>
      <c r="AF72" s="35"/>
      <c r="AG72" s="35"/>
      <c r="AH72" s="6"/>
      <c r="AI72" s="6"/>
      <c r="AJ72" s="6"/>
      <c r="AK72" s="6">
        <f t="shared" si="20"/>
        <v>9960</v>
      </c>
      <c r="AL72" s="6">
        <f t="shared" si="8"/>
        <v>0</v>
      </c>
      <c r="AM72" s="6">
        <f t="shared" si="53"/>
        <v>0</v>
      </c>
      <c r="AN72" s="6"/>
      <c r="AO72" s="6">
        <v>9960</v>
      </c>
      <c r="AP72" s="6"/>
      <c r="AQ72" s="6"/>
      <c r="AR72" s="6"/>
      <c r="AS72" s="101">
        <f t="shared" si="10"/>
        <v>9960</v>
      </c>
      <c r="AT72" s="101">
        <f t="shared" si="11"/>
        <v>0</v>
      </c>
      <c r="AU72" s="101">
        <f t="shared" si="12"/>
        <v>0</v>
      </c>
      <c r="AV72" s="101">
        <f t="shared" si="13"/>
        <v>9960</v>
      </c>
      <c r="AW72" s="101"/>
      <c r="AX72" s="101"/>
      <c r="AY72" s="101"/>
      <c r="AZ72" s="101">
        <f t="shared" si="14"/>
        <v>0</v>
      </c>
      <c r="BA72" s="101">
        <v>0</v>
      </c>
      <c r="BB72" s="101">
        <v>0</v>
      </c>
      <c r="BC72" s="101"/>
      <c r="BD72" s="101">
        <v>0</v>
      </c>
      <c r="BE72" s="101">
        <v>0</v>
      </c>
    </row>
    <row r="73" spans="1:57" ht="143.25" customHeight="1">
      <c r="A73" s="87" t="s">
        <v>182</v>
      </c>
      <c r="B73" s="26" t="s">
        <v>98</v>
      </c>
      <c r="C73" s="17" t="s">
        <v>99</v>
      </c>
      <c r="D73" s="17" t="s">
        <v>18</v>
      </c>
      <c r="E73" s="17" t="s">
        <v>10</v>
      </c>
      <c r="F73" s="17" t="s">
        <v>163</v>
      </c>
      <c r="G73" s="35"/>
      <c r="H73" s="35"/>
      <c r="I73" s="35"/>
      <c r="J73" s="35"/>
      <c r="K73" s="6"/>
      <c r="L73" s="6"/>
      <c r="M73" s="6"/>
      <c r="N73" s="6"/>
      <c r="O73" s="6"/>
      <c r="P73" s="6"/>
      <c r="Q73" s="6"/>
      <c r="R73" s="6"/>
      <c r="S73" s="35"/>
      <c r="T73" s="35"/>
      <c r="U73" s="6"/>
      <c r="V73" s="6">
        <v>9960</v>
      </c>
      <c r="W73" s="6">
        <f t="shared" si="58"/>
        <v>9960</v>
      </c>
      <c r="X73" s="6"/>
      <c r="Y73" s="6"/>
      <c r="Z73" s="6"/>
      <c r="AA73" s="6"/>
      <c r="AB73" s="6"/>
      <c r="AC73" s="6">
        <f t="shared" si="5"/>
        <v>9960</v>
      </c>
      <c r="AD73" s="6">
        <v>0</v>
      </c>
      <c r="AE73" s="6"/>
      <c r="AF73" s="35"/>
      <c r="AG73" s="35"/>
      <c r="AH73" s="6"/>
      <c r="AI73" s="6"/>
      <c r="AJ73" s="6"/>
      <c r="AK73" s="6">
        <f t="shared" si="20"/>
        <v>9960</v>
      </c>
      <c r="AL73" s="6">
        <f t="shared" si="8"/>
        <v>0</v>
      </c>
      <c r="AM73" s="6">
        <f t="shared" si="53"/>
        <v>0</v>
      </c>
      <c r="AN73" s="6"/>
      <c r="AO73" s="6">
        <v>9960</v>
      </c>
      <c r="AP73" s="6"/>
      <c r="AQ73" s="6"/>
      <c r="AR73" s="6"/>
      <c r="AS73" s="101">
        <f t="shared" si="10"/>
        <v>9960</v>
      </c>
      <c r="AT73" s="101">
        <f t="shared" si="11"/>
        <v>0</v>
      </c>
      <c r="AU73" s="101">
        <f t="shared" si="12"/>
        <v>0</v>
      </c>
      <c r="AV73" s="101">
        <f t="shared" si="13"/>
        <v>9960</v>
      </c>
      <c r="AW73" s="101"/>
      <c r="AX73" s="101"/>
      <c r="AY73" s="101"/>
      <c r="AZ73" s="101">
        <f t="shared" si="14"/>
        <v>0</v>
      </c>
      <c r="BA73" s="101">
        <v>0</v>
      </c>
      <c r="BB73" s="101">
        <v>0</v>
      </c>
      <c r="BC73" s="101"/>
      <c r="BD73" s="101">
        <v>0</v>
      </c>
      <c r="BE73" s="101">
        <v>0</v>
      </c>
    </row>
    <row r="74" spans="1:57" ht="139.5" customHeight="1">
      <c r="A74" s="87" t="s">
        <v>183</v>
      </c>
      <c r="B74" s="26" t="s">
        <v>98</v>
      </c>
      <c r="C74" s="17" t="s">
        <v>99</v>
      </c>
      <c r="D74" s="17" t="s">
        <v>18</v>
      </c>
      <c r="E74" s="17" t="s">
        <v>10</v>
      </c>
      <c r="F74" s="17" t="s">
        <v>163</v>
      </c>
      <c r="G74" s="35"/>
      <c r="H74" s="35"/>
      <c r="I74" s="35"/>
      <c r="J74" s="35"/>
      <c r="K74" s="6"/>
      <c r="L74" s="6"/>
      <c r="M74" s="6"/>
      <c r="N74" s="6"/>
      <c r="O74" s="6"/>
      <c r="P74" s="6"/>
      <c r="Q74" s="6"/>
      <c r="R74" s="6"/>
      <c r="S74" s="35"/>
      <c r="T74" s="35"/>
      <c r="U74" s="6"/>
      <c r="V74" s="6">
        <v>9960</v>
      </c>
      <c r="W74" s="6">
        <f t="shared" si="58"/>
        <v>9960</v>
      </c>
      <c r="X74" s="6"/>
      <c r="Y74" s="6"/>
      <c r="Z74" s="6"/>
      <c r="AA74" s="6"/>
      <c r="AB74" s="6"/>
      <c r="AC74" s="6">
        <f t="shared" si="5"/>
        <v>9960</v>
      </c>
      <c r="AD74" s="6">
        <v>0</v>
      </c>
      <c r="AE74" s="6"/>
      <c r="AF74" s="35"/>
      <c r="AG74" s="35"/>
      <c r="AH74" s="6"/>
      <c r="AI74" s="6"/>
      <c r="AJ74" s="6"/>
      <c r="AK74" s="6">
        <f t="shared" si="20"/>
        <v>9960</v>
      </c>
      <c r="AL74" s="6">
        <f t="shared" si="8"/>
        <v>0</v>
      </c>
      <c r="AM74" s="6">
        <f t="shared" si="53"/>
        <v>0</v>
      </c>
      <c r="AN74" s="6"/>
      <c r="AO74" s="6">
        <v>9960</v>
      </c>
      <c r="AP74" s="6"/>
      <c r="AQ74" s="6"/>
      <c r="AR74" s="6"/>
      <c r="AS74" s="101">
        <f t="shared" si="10"/>
        <v>9960</v>
      </c>
      <c r="AT74" s="101">
        <f t="shared" si="11"/>
        <v>0</v>
      </c>
      <c r="AU74" s="101">
        <f t="shared" si="12"/>
        <v>0</v>
      </c>
      <c r="AV74" s="101">
        <f t="shared" si="13"/>
        <v>9960</v>
      </c>
      <c r="AW74" s="101"/>
      <c r="AX74" s="101"/>
      <c r="AY74" s="101"/>
      <c r="AZ74" s="101">
        <f t="shared" si="14"/>
        <v>0</v>
      </c>
      <c r="BA74" s="101">
        <v>0</v>
      </c>
      <c r="BB74" s="101">
        <v>0</v>
      </c>
      <c r="BC74" s="101"/>
      <c r="BD74" s="101">
        <v>0</v>
      </c>
      <c r="BE74" s="101">
        <v>0</v>
      </c>
    </row>
    <row r="75" spans="1:57" ht="158.25" customHeight="1">
      <c r="A75" s="87" t="s">
        <v>184</v>
      </c>
      <c r="B75" s="26" t="s">
        <v>25</v>
      </c>
      <c r="C75" s="17" t="s">
        <v>13</v>
      </c>
      <c r="D75" s="17" t="s">
        <v>18</v>
      </c>
      <c r="E75" s="17" t="s">
        <v>10</v>
      </c>
      <c r="F75" s="17" t="s">
        <v>50</v>
      </c>
      <c r="G75" s="35"/>
      <c r="H75" s="35"/>
      <c r="I75" s="35"/>
      <c r="J75" s="35"/>
      <c r="K75" s="6"/>
      <c r="L75" s="6"/>
      <c r="M75" s="6"/>
      <c r="N75" s="6"/>
      <c r="O75" s="6"/>
      <c r="P75" s="6"/>
      <c r="Q75" s="6"/>
      <c r="R75" s="6"/>
      <c r="S75" s="35"/>
      <c r="T75" s="35"/>
      <c r="U75" s="6"/>
      <c r="V75" s="6">
        <v>1425.2</v>
      </c>
      <c r="W75" s="6">
        <f>Q75+V75</f>
        <v>1425.2</v>
      </c>
      <c r="X75" s="6"/>
      <c r="Y75" s="6"/>
      <c r="Z75" s="6"/>
      <c r="AA75" s="6">
        <v>1425.2</v>
      </c>
      <c r="AB75" s="6"/>
      <c r="AC75" s="6">
        <f t="shared" si="5"/>
        <v>1425.2</v>
      </c>
      <c r="AD75" s="6">
        <f t="shared" si="6"/>
        <v>1425.2</v>
      </c>
      <c r="AE75" s="6"/>
      <c r="AF75" s="35"/>
      <c r="AG75" s="35"/>
      <c r="AH75" s="35"/>
      <c r="AI75" s="35"/>
      <c r="AJ75" s="35"/>
      <c r="AK75" s="6">
        <f t="shared" si="20"/>
        <v>1425.2</v>
      </c>
      <c r="AL75" s="6">
        <f t="shared" si="8"/>
        <v>1425.2</v>
      </c>
      <c r="AM75" s="6">
        <f t="shared" si="53"/>
        <v>0</v>
      </c>
      <c r="AN75" s="6"/>
      <c r="AO75" s="6"/>
      <c r="AP75" s="6"/>
      <c r="AQ75" s="6"/>
      <c r="AR75" s="6">
        <v>-235.2</v>
      </c>
      <c r="AS75" s="101">
        <f t="shared" ref="AS75:AS126" si="59">AK75+AR75</f>
        <v>1190</v>
      </c>
      <c r="AT75" s="101">
        <f t="shared" si="11"/>
        <v>1425.2</v>
      </c>
      <c r="AU75" s="101">
        <f t="shared" si="12"/>
        <v>0</v>
      </c>
      <c r="AV75" s="101">
        <f t="shared" si="13"/>
        <v>0</v>
      </c>
      <c r="AW75" s="101"/>
      <c r="AX75" s="101"/>
      <c r="AY75" s="101">
        <v>-235.2</v>
      </c>
      <c r="AZ75" s="101">
        <f t="shared" ref="AZ75:AZ126" si="60">AT75+AY75</f>
        <v>1190</v>
      </c>
      <c r="BA75" s="101">
        <v>1190</v>
      </c>
      <c r="BB75" s="102"/>
      <c r="BC75" s="102"/>
      <c r="BD75" s="101">
        <f t="shared" ref="BD75:BD126" si="61">BC75/AZ75*100</f>
        <v>0</v>
      </c>
      <c r="BE75" s="101">
        <f t="shared" ref="BE75:BE126" si="62">BC75/BA75*100</f>
        <v>0</v>
      </c>
    </row>
    <row r="76" spans="1:57" ht="155.25" customHeight="1">
      <c r="A76" s="87" t="s">
        <v>239</v>
      </c>
      <c r="B76" s="26" t="s">
        <v>191</v>
      </c>
      <c r="C76" s="17" t="s">
        <v>13</v>
      </c>
      <c r="D76" s="17" t="s">
        <v>18</v>
      </c>
      <c r="E76" s="17" t="s">
        <v>10</v>
      </c>
      <c r="F76" s="17" t="s">
        <v>215</v>
      </c>
      <c r="G76" s="35"/>
      <c r="H76" s="35"/>
      <c r="I76" s="35"/>
      <c r="J76" s="35"/>
      <c r="K76" s="6"/>
      <c r="L76" s="6"/>
      <c r="M76" s="6"/>
      <c r="N76" s="6"/>
      <c r="O76" s="6"/>
      <c r="P76" s="6"/>
      <c r="Q76" s="6"/>
      <c r="R76" s="6"/>
      <c r="S76" s="35"/>
      <c r="T76" s="35"/>
      <c r="U76" s="6"/>
      <c r="V76" s="6"/>
      <c r="W76" s="6"/>
      <c r="X76" s="6"/>
      <c r="Y76" s="6"/>
      <c r="Z76" s="6"/>
      <c r="AA76" s="6"/>
      <c r="AB76" s="6">
        <v>210045.8</v>
      </c>
      <c r="AC76" s="6">
        <f t="shared" si="5"/>
        <v>210045.8</v>
      </c>
      <c r="AD76" s="6"/>
      <c r="AE76" s="6"/>
      <c r="AF76" s="35"/>
      <c r="AG76" s="35"/>
      <c r="AH76" s="35"/>
      <c r="AI76" s="35">
        <v>4315.7</v>
      </c>
      <c r="AJ76" s="35"/>
      <c r="AK76" s="6">
        <f t="shared" si="20"/>
        <v>210045.8</v>
      </c>
      <c r="AL76" s="6">
        <f t="shared" si="8"/>
        <v>4315.7</v>
      </c>
      <c r="AM76" s="6"/>
      <c r="AN76" s="6"/>
      <c r="AO76" s="6"/>
      <c r="AP76" s="6"/>
      <c r="AQ76" s="6">
        <v>1180</v>
      </c>
      <c r="AR76" s="6"/>
      <c r="AS76" s="101">
        <f t="shared" si="59"/>
        <v>210045.8</v>
      </c>
      <c r="AT76" s="101">
        <f t="shared" ref="AT76:AT126" si="63">AL76+AQ76</f>
        <v>5495.7</v>
      </c>
      <c r="AU76" s="101">
        <v>0</v>
      </c>
      <c r="AV76" s="101"/>
      <c r="AW76" s="101"/>
      <c r="AX76" s="101"/>
      <c r="AY76" s="101"/>
      <c r="AZ76" s="101">
        <f t="shared" si="60"/>
        <v>5495.7</v>
      </c>
      <c r="BA76" s="101">
        <v>5495.7</v>
      </c>
      <c r="BB76" s="102">
        <v>5495.65</v>
      </c>
      <c r="BC76" s="102">
        <v>5495.65</v>
      </c>
      <c r="BD76" s="101">
        <f t="shared" si="61"/>
        <v>99.999090197790991</v>
      </c>
      <c r="BE76" s="101">
        <f t="shared" si="62"/>
        <v>99.999090197790991</v>
      </c>
    </row>
    <row r="77" spans="1:57" ht="162" customHeight="1">
      <c r="A77" s="87" t="s">
        <v>240</v>
      </c>
      <c r="B77" s="26" t="s">
        <v>196</v>
      </c>
      <c r="C77" s="17" t="s">
        <v>13</v>
      </c>
      <c r="D77" s="17" t="s">
        <v>18</v>
      </c>
      <c r="E77" s="17" t="s">
        <v>10</v>
      </c>
      <c r="F77" s="17" t="s">
        <v>216</v>
      </c>
      <c r="G77" s="35"/>
      <c r="H77" s="35"/>
      <c r="I77" s="35"/>
      <c r="J77" s="35"/>
      <c r="K77" s="6"/>
      <c r="L77" s="6"/>
      <c r="M77" s="6"/>
      <c r="N77" s="6"/>
      <c r="O77" s="6"/>
      <c r="P77" s="6"/>
      <c r="Q77" s="6"/>
      <c r="R77" s="6"/>
      <c r="S77" s="35"/>
      <c r="T77" s="35"/>
      <c r="U77" s="6"/>
      <c r="V77" s="6"/>
      <c r="W77" s="6"/>
      <c r="X77" s="6"/>
      <c r="Y77" s="6"/>
      <c r="Z77" s="6"/>
      <c r="AA77" s="6"/>
      <c r="AB77" s="6">
        <v>5208526.0999999996</v>
      </c>
      <c r="AC77" s="6">
        <f t="shared" si="5"/>
        <v>5208526.0999999996</v>
      </c>
      <c r="AD77" s="6"/>
      <c r="AE77" s="6"/>
      <c r="AF77" s="35"/>
      <c r="AG77" s="35"/>
      <c r="AH77" s="35"/>
      <c r="AI77" s="35">
        <v>100</v>
      </c>
      <c r="AJ77" s="35"/>
      <c r="AK77" s="6">
        <f t="shared" ref="AK77:AK126" si="64">AC77+AJ77</f>
        <v>5208526.0999999996</v>
      </c>
      <c r="AL77" s="6">
        <f t="shared" si="8"/>
        <v>100</v>
      </c>
      <c r="AM77" s="6"/>
      <c r="AN77" s="6"/>
      <c r="AO77" s="6"/>
      <c r="AP77" s="6"/>
      <c r="AQ77" s="6"/>
      <c r="AR77" s="6"/>
      <c r="AS77" s="101">
        <f t="shared" si="59"/>
        <v>5208526.0999999996</v>
      </c>
      <c r="AT77" s="101">
        <f t="shared" si="63"/>
        <v>100</v>
      </c>
      <c r="AU77" s="101">
        <v>0</v>
      </c>
      <c r="AV77" s="101"/>
      <c r="AW77" s="101"/>
      <c r="AX77" s="101"/>
      <c r="AY77" s="101"/>
      <c r="AZ77" s="101">
        <f t="shared" si="60"/>
        <v>100</v>
      </c>
      <c r="BA77" s="101">
        <v>100</v>
      </c>
      <c r="BB77" s="102"/>
      <c r="BC77" s="102"/>
      <c r="BD77" s="101">
        <f t="shared" si="61"/>
        <v>0</v>
      </c>
      <c r="BE77" s="101">
        <f t="shared" si="62"/>
        <v>0</v>
      </c>
    </row>
    <row r="78" spans="1:57" ht="42" customHeight="1">
      <c r="A78" s="85" t="s">
        <v>283</v>
      </c>
      <c r="B78" s="85"/>
      <c r="C78" s="85"/>
      <c r="D78" s="85"/>
      <c r="E78" s="31"/>
      <c r="F78" s="31"/>
      <c r="G78" s="32">
        <f>SUM(G79:G84)</f>
        <v>255070.30000000002</v>
      </c>
      <c r="H78" s="32" t="e">
        <f>H79+#REF!+#REF!+H80+H84+#REF!+#REF!+#REF!+#REF!</f>
        <v>#REF!</v>
      </c>
      <c r="I78" s="32" t="e">
        <f>I79+#REF!+#REF!+I80+I84+#REF!+#REF!+#REF!+#REF!</f>
        <v>#REF!</v>
      </c>
      <c r="J78" s="32" t="e">
        <f>J79+#REF!+#REF!+J80+J84+#REF!+#REF!+#REF!+#REF!</f>
        <v>#REF!</v>
      </c>
      <c r="K78" s="6">
        <f>SUM(K79:K83)</f>
        <v>1690658</v>
      </c>
      <c r="L78" s="6">
        <f>SUM(L79:L83)</f>
        <v>338894.5</v>
      </c>
      <c r="M78" s="6">
        <f t="shared" si="23"/>
        <v>2029552.5</v>
      </c>
      <c r="N78" s="6">
        <f>SUM(N79:N83)</f>
        <v>362492.6</v>
      </c>
      <c r="O78" s="6">
        <f t="shared" ref="O78" si="65">SUM(O79:O83)</f>
        <v>140800</v>
      </c>
      <c r="P78" s="6">
        <f>P79+P80+P81+P82+P83</f>
        <v>0</v>
      </c>
      <c r="Q78" s="6">
        <v>2029552.5</v>
      </c>
      <c r="R78" s="6">
        <f>SUM(R79:R83)</f>
        <v>491928.5</v>
      </c>
      <c r="S78" s="6">
        <f t="shared" ref="S78:AF78" si="66">SUM(S79:S83)</f>
        <v>347929</v>
      </c>
      <c r="T78" s="6">
        <f t="shared" ref="T78" si="67">SUM(T79:T83)</f>
        <v>79054.5</v>
      </c>
      <c r="U78" s="6">
        <f>U79+U80+U81+U82+U83</f>
        <v>0</v>
      </c>
      <c r="V78" s="6"/>
      <c r="W78" s="6">
        <v>2029552.5</v>
      </c>
      <c r="X78" s="6">
        <f t="shared" si="4"/>
        <v>491928.5</v>
      </c>
      <c r="Y78" s="6">
        <f>S78+T78</f>
        <v>426983.5</v>
      </c>
      <c r="Z78" s="6">
        <f>Z79+Z80+Z81+Z82+Z83</f>
        <v>0</v>
      </c>
      <c r="AA78" s="6">
        <f>AA79</f>
        <v>7354.1</v>
      </c>
      <c r="AB78" s="6"/>
      <c r="AC78" s="6">
        <f>AC79+AC80+AC81+AC82+AC83+AC85</f>
        <v>2029562.5</v>
      </c>
      <c r="AD78" s="6">
        <f t="shared" si="6"/>
        <v>499282.6</v>
      </c>
      <c r="AE78" s="6">
        <v>426983.5</v>
      </c>
      <c r="AF78" s="6">
        <f t="shared" si="66"/>
        <v>294730.2</v>
      </c>
      <c r="AG78" s="6">
        <f t="shared" ref="AG78" si="68">SUM(AG79:AG83)</f>
        <v>0</v>
      </c>
      <c r="AH78" s="6"/>
      <c r="AI78" s="6"/>
      <c r="AJ78" s="6"/>
      <c r="AK78" s="6">
        <f t="shared" si="64"/>
        <v>2029562.5</v>
      </c>
      <c r="AL78" s="6">
        <f t="shared" si="8"/>
        <v>499282.6</v>
      </c>
      <c r="AM78" s="6">
        <v>426983.5</v>
      </c>
      <c r="AN78" s="6">
        <f t="shared" si="9"/>
        <v>294730.2</v>
      </c>
      <c r="AO78" s="6"/>
      <c r="AP78" s="6">
        <f>AP83</f>
        <v>-149444.4</v>
      </c>
      <c r="AQ78" s="6">
        <f>AQ82</f>
        <v>1632.6</v>
      </c>
      <c r="AR78" s="6"/>
      <c r="AS78" s="101">
        <f t="shared" si="59"/>
        <v>2029562.5</v>
      </c>
      <c r="AT78" s="101">
        <f t="shared" si="63"/>
        <v>500915.19999999995</v>
      </c>
      <c r="AU78" s="101">
        <f t="shared" si="12"/>
        <v>277539.09999999998</v>
      </c>
      <c r="AV78" s="101">
        <f t="shared" si="13"/>
        <v>294730.2</v>
      </c>
      <c r="AW78" s="101">
        <f>AW83</f>
        <v>-95000</v>
      </c>
      <c r="AX78" s="101"/>
      <c r="AY78" s="101">
        <f>AY83</f>
        <v>-150000</v>
      </c>
      <c r="AZ78" s="101">
        <f t="shared" si="60"/>
        <v>350915.19999999995</v>
      </c>
      <c r="BA78" s="101">
        <v>350915.19999999995</v>
      </c>
      <c r="BB78" s="101">
        <f>BB79+BB80+BB81+BB82+BB83+BB85</f>
        <v>287041.66553000006</v>
      </c>
      <c r="BC78" s="101">
        <f>BC79+BC80+BC81+BC82+BC83+BC85</f>
        <v>287041.66648000001</v>
      </c>
      <c r="BD78" s="101">
        <f t="shared" si="61"/>
        <v>81.798014585860074</v>
      </c>
      <c r="BE78" s="101">
        <f t="shared" si="62"/>
        <v>81.798014585860074</v>
      </c>
    </row>
    <row r="79" spans="1:57" ht="145.5" customHeight="1">
      <c r="A79" s="92" t="s">
        <v>241</v>
      </c>
      <c r="B79" s="28" t="s">
        <v>88</v>
      </c>
      <c r="C79" s="17" t="s">
        <v>55</v>
      </c>
      <c r="D79" s="17" t="s">
        <v>6</v>
      </c>
      <c r="E79" s="17" t="s">
        <v>243</v>
      </c>
      <c r="F79" s="17" t="s">
        <v>51</v>
      </c>
      <c r="G79" s="6">
        <v>190401</v>
      </c>
      <c r="H79" s="6">
        <v>-33531.1</v>
      </c>
      <c r="I79" s="6">
        <f>G79+H79</f>
        <v>156869.9</v>
      </c>
      <c r="J79" s="6"/>
      <c r="K79" s="38">
        <v>1074428.8999999999</v>
      </c>
      <c r="L79" s="38"/>
      <c r="M79" s="6">
        <f t="shared" si="23"/>
        <v>1074428.8999999999</v>
      </c>
      <c r="N79" s="39">
        <v>183158.5</v>
      </c>
      <c r="O79" s="39"/>
      <c r="P79" s="6"/>
      <c r="Q79" s="39">
        <v>1074428.8999999999</v>
      </c>
      <c r="R79" s="6">
        <v>171794.4</v>
      </c>
      <c r="S79" s="39">
        <v>191929</v>
      </c>
      <c r="T79" s="39"/>
      <c r="U79" s="6"/>
      <c r="V79" s="6"/>
      <c r="W79" s="6">
        <v>1074428.8999999999</v>
      </c>
      <c r="X79" s="6">
        <f t="shared" si="4"/>
        <v>171794.4</v>
      </c>
      <c r="Y79" s="6">
        <f t="shared" si="22"/>
        <v>191929</v>
      </c>
      <c r="Z79" s="6"/>
      <c r="AA79" s="6">
        <v>7354.1</v>
      </c>
      <c r="AB79" s="6"/>
      <c r="AC79" s="6">
        <f t="shared" si="5"/>
        <v>1074428.8999999999</v>
      </c>
      <c r="AD79" s="6">
        <f t="shared" si="6"/>
        <v>179148.5</v>
      </c>
      <c r="AE79" s="6">
        <v>191929</v>
      </c>
      <c r="AF79" s="39">
        <v>199730.2</v>
      </c>
      <c r="AG79" s="39"/>
      <c r="AH79" s="39"/>
      <c r="AI79" s="39"/>
      <c r="AJ79" s="39"/>
      <c r="AK79" s="6">
        <f t="shared" si="64"/>
        <v>1074428.8999999999</v>
      </c>
      <c r="AL79" s="6">
        <v>179138.5</v>
      </c>
      <c r="AM79" s="6">
        <v>191929</v>
      </c>
      <c r="AN79" s="6">
        <f t="shared" si="9"/>
        <v>199730.2</v>
      </c>
      <c r="AO79" s="6"/>
      <c r="AP79" s="6"/>
      <c r="AQ79" s="6"/>
      <c r="AR79" s="6"/>
      <c r="AS79" s="101">
        <f t="shared" si="59"/>
        <v>1074428.8999999999</v>
      </c>
      <c r="AT79" s="101">
        <f t="shared" si="63"/>
        <v>179138.5</v>
      </c>
      <c r="AU79" s="101">
        <f t="shared" si="12"/>
        <v>191929</v>
      </c>
      <c r="AV79" s="101">
        <f t="shared" si="13"/>
        <v>199730.2</v>
      </c>
      <c r="AW79" s="101"/>
      <c r="AX79" s="101"/>
      <c r="AY79" s="101"/>
      <c r="AZ79" s="101">
        <f t="shared" si="60"/>
        <v>179138.5</v>
      </c>
      <c r="BA79" s="101">
        <v>179138.5</v>
      </c>
      <c r="BB79" s="102">
        <v>115267.88553</v>
      </c>
      <c r="BC79" s="102">
        <v>115267.88553</v>
      </c>
      <c r="BD79" s="101">
        <f t="shared" si="61"/>
        <v>64.345679756166319</v>
      </c>
      <c r="BE79" s="101">
        <f t="shared" si="62"/>
        <v>64.345679756166319</v>
      </c>
    </row>
    <row r="80" spans="1:57" ht="153" customHeight="1">
      <c r="A80" s="92" t="s">
        <v>285</v>
      </c>
      <c r="B80" s="17" t="s">
        <v>25</v>
      </c>
      <c r="C80" s="17" t="s">
        <v>42</v>
      </c>
      <c r="D80" s="17" t="s">
        <v>6</v>
      </c>
      <c r="E80" s="17" t="s">
        <v>34</v>
      </c>
      <c r="F80" s="40" t="s">
        <v>80</v>
      </c>
      <c r="G80" s="6">
        <v>30358.9</v>
      </c>
      <c r="H80" s="6"/>
      <c r="I80" s="6">
        <v>30358.9</v>
      </c>
      <c r="J80" s="6"/>
      <c r="K80" s="7">
        <v>25793.8</v>
      </c>
      <c r="L80" s="7"/>
      <c r="M80" s="6">
        <f t="shared" si="23"/>
        <v>25793.8</v>
      </c>
      <c r="N80" s="7">
        <v>21676.9</v>
      </c>
      <c r="O80" s="7"/>
      <c r="P80" s="6"/>
      <c r="Q80" s="7">
        <v>25793.8</v>
      </c>
      <c r="R80" s="6">
        <f t="shared" si="21"/>
        <v>21676.9</v>
      </c>
      <c r="S80" s="6">
        <v>0</v>
      </c>
      <c r="T80" s="6">
        <v>0</v>
      </c>
      <c r="U80" s="6"/>
      <c r="V80" s="6"/>
      <c r="W80" s="6">
        <v>25793.8</v>
      </c>
      <c r="X80" s="6">
        <f t="shared" si="4"/>
        <v>21676.9</v>
      </c>
      <c r="Y80" s="6">
        <f t="shared" si="22"/>
        <v>0</v>
      </c>
      <c r="Z80" s="6"/>
      <c r="AA80" s="6"/>
      <c r="AB80" s="6"/>
      <c r="AC80" s="6">
        <f t="shared" si="5"/>
        <v>25793.8</v>
      </c>
      <c r="AD80" s="6">
        <f t="shared" si="6"/>
        <v>21676.9</v>
      </c>
      <c r="AE80" s="6">
        <v>0</v>
      </c>
      <c r="AF80" s="6">
        <v>0</v>
      </c>
      <c r="AG80" s="6">
        <v>0</v>
      </c>
      <c r="AH80" s="6"/>
      <c r="AI80" s="6"/>
      <c r="AJ80" s="6"/>
      <c r="AK80" s="6">
        <f t="shared" si="64"/>
        <v>25793.8</v>
      </c>
      <c r="AL80" s="6">
        <f t="shared" si="8"/>
        <v>21676.9</v>
      </c>
      <c r="AM80" s="6">
        <v>0</v>
      </c>
      <c r="AN80" s="6">
        <f t="shared" si="9"/>
        <v>0</v>
      </c>
      <c r="AO80" s="6"/>
      <c r="AP80" s="6"/>
      <c r="AQ80" s="6"/>
      <c r="AR80" s="6"/>
      <c r="AS80" s="101">
        <f t="shared" si="59"/>
        <v>25793.8</v>
      </c>
      <c r="AT80" s="101">
        <f t="shared" si="63"/>
        <v>21676.9</v>
      </c>
      <c r="AU80" s="101">
        <f t="shared" si="12"/>
        <v>0</v>
      </c>
      <c r="AV80" s="101">
        <f t="shared" si="13"/>
        <v>0</v>
      </c>
      <c r="AW80" s="101"/>
      <c r="AX80" s="101"/>
      <c r="AY80" s="101"/>
      <c r="AZ80" s="101">
        <f t="shared" si="60"/>
        <v>21676.9</v>
      </c>
      <c r="BA80" s="101">
        <v>21676.9</v>
      </c>
      <c r="BB80" s="102">
        <v>21676.9</v>
      </c>
      <c r="BC80" s="102">
        <v>21676.9</v>
      </c>
      <c r="BD80" s="101">
        <f t="shared" si="61"/>
        <v>100</v>
      </c>
      <c r="BE80" s="101">
        <f t="shared" si="62"/>
        <v>100</v>
      </c>
    </row>
    <row r="81" spans="1:57" ht="152.25" customHeight="1">
      <c r="A81" s="92" t="s">
        <v>284</v>
      </c>
      <c r="B81" s="17" t="s">
        <v>25</v>
      </c>
      <c r="C81" s="17" t="s">
        <v>42</v>
      </c>
      <c r="D81" s="17" t="s">
        <v>6</v>
      </c>
      <c r="E81" s="17" t="s">
        <v>34</v>
      </c>
      <c r="F81" s="40" t="s">
        <v>80</v>
      </c>
      <c r="G81" s="6">
        <v>17155.2</v>
      </c>
      <c r="H81" s="6"/>
      <c r="I81" s="6">
        <v>17155.2</v>
      </c>
      <c r="J81" s="6"/>
      <c r="K81" s="7">
        <v>9435.2999999999993</v>
      </c>
      <c r="L81" s="7"/>
      <c r="M81" s="6">
        <f t="shared" si="23"/>
        <v>9435.2999999999993</v>
      </c>
      <c r="N81" s="7">
        <v>7657.2</v>
      </c>
      <c r="O81" s="7"/>
      <c r="P81" s="6"/>
      <c r="Q81" s="7">
        <v>9435.2999999999993</v>
      </c>
      <c r="R81" s="6">
        <f t="shared" si="21"/>
        <v>7657.2</v>
      </c>
      <c r="S81" s="6">
        <v>0</v>
      </c>
      <c r="T81" s="6">
        <v>0</v>
      </c>
      <c r="U81" s="6"/>
      <c r="V81" s="6"/>
      <c r="W81" s="6">
        <v>9435.2999999999993</v>
      </c>
      <c r="X81" s="6">
        <f t="shared" si="4"/>
        <v>7657.2</v>
      </c>
      <c r="Y81" s="6">
        <f t="shared" si="22"/>
        <v>0</v>
      </c>
      <c r="Z81" s="6"/>
      <c r="AA81" s="6"/>
      <c r="AB81" s="6"/>
      <c r="AC81" s="6">
        <f t="shared" si="5"/>
        <v>9435.2999999999993</v>
      </c>
      <c r="AD81" s="6">
        <f t="shared" si="6"/>
        <v>7657.2</v>
      </c>
      <c r="AE81" s="6">
        <v>0</v>
      </c>
      <c r="AF81" s="6">
        <v>0</v>
      </c>
      <c r="AG81" s="6">
        <v>0</v>
      </c>
      <c r="AH81" s="6"/>
      <c r="AI81" s="6"/>
      <c r="AJ81" s="6"/>
      <c r="AK81" s="6">
        <f t="shared" si="64"/>
        <v>9435.2999999999993</v>
      </c>
      <c r="AL81" s="6">
        <f t="shared" si="8"/>
        <v>7657.2</v>
      </c>
      <c r="AM81" s="6">
        <v>0</v>
      </c>
      <c r="AN81" s="6">
        <f t="shared" si="9"/>
        <v>0</v>
      </c>
      <c r="AO81" s="6"/>
      <c r="AP81" s="6"/>
      <c r="AQ81" s="6"/>
      <c r="AR81" s="6"/>
      <c r="AS81" s="101">
        <f t="shared" si="59"/>
        <v>9435.2999999999993</v>
      </c>
      <c r="AT81" s="101">
        <f t="shared" si="63"/>
        <v>7657.2</v>
      </c>
      <c r="AU81" s="101">
        <f t="shared" si="12"/>
        <v>0</v>
      </c>
      <c r="AV81" s="101">
        <f t="shared" si="13"/>
        <v>0</v>
      </c>
      <c r="AW81" s="101"/>
      <c r="AX81" s="101"/>
      <c r="AY81" s="101"/>
      <c r="AZ81" s="101">
        <f t="shared" si="60"/>
        <v>7657.2</v>
      </c>
      <c r="BA81" s="101">
        <v>7657.2</v>
      </c>
      <c r="BB81" s="102">
        <v>7657.2</v>
      </c>
      <c r="BC81" s="102">
        <v>7657.2</v>
      </c>
      <c r="BD81" s="101">
        <f t="shared" si="61"/>
        <v>100</v>
      </c>
      <c r="BE81" s="101">
        <f t="shared" si="62"/>
        <v>100</v>
      </c>
    </row>
    <row r="82" spans="1:57" ht="159" customHeight="1">
      <c r="A82" s="93" t="s">
        <v>286</v>
      </c>
      <c r="B82" s="41" t="s">
        <v>111</v>
      </c>
      <c r="C82" s="41" t="s">
        <v>42</v>
      </c>
      <c r="D82" s="41" t="s">
        <v>6</v>
      </c>
      <c r="E82" s="41" t="s">
        <v>34</v>
      </c>
      <c r="F82" s="5" t="s">
        <v>26</v>
      </c>
      <c r="G82" s="6"/>
      <c r="H82" s="6"/>
      <c r="I82" s="6"/>
      <c r="J82" s="6"/>
      <c r="K82" s="7"/>
      <c r="L82" s="7">
        <v>338894.5</v>
      </c>
      <c r="M82" s="6">
        <f t="shared" si="23"/>
        <v>338894.5</v>
      </c>
      <c r="N82" s="7"/>
      <c r="O82" s="7">
        <v>140800</v>
      </c>
      <c r="P82" s="6"/>
      <c r="Q82" s="7">
        <v>338894.5</v>
      </c>
      <c r="R82" s="6">
        <f t="shared" si="21"/>
        <v>140800</v>
      </c>
      <c r="S82" s="6"/>
      <c r="T82" s="6">
        <v>79054.5</v>
      </c>
      <c r="U82" s="6"/>
      <c r="V82" s="6"/>
      <c r="W82" s="6">
        <v>338894.5</v>
      </c>
      <c r="X82" s="6">
        <f t="shared" si="4"/>
        <v>140800</v>
      </c>
      <c r="Y82" s="6">
        <f t="shared" si="22"/>
        <v>79054.5</v>
      </c>
      <c r="Z82" s="6"/>
      <c r="AA82" s="6"/>
      <c r="AB82" s="6"/>
      <c r="AC82" s="6">
        <f t="shared" si="5"/>
        <v>338894.5</v>
      </c>
      <c r="AD82" s="6">
        <f t="shared" si="6"/>
        <v>140800</v>
      </c>
      <c r="AE82" s="6">
        <v>79054.5</v>
      </c>
      <c r="AF82" s="6">
        <v>0</v>
      </c>
      <c r="AG82" s="6"/>
      <c r="AH82" s="6"/>
      <c r="AI82" s="6"/>
      <c r="AJ82" s="6"/>
      <c r="AK82" s="6">
        <f t="shared" si="64"/>
        <v>338894.5</v>
      </c>
      <c r="AL82" s="6">
        <f t="shared" si="8"/>
        <v>140800</v>
      </c>
      <c r="AM82" s="6">
        <v>79054.5</v>
      </c>
      <c r="AN82" s="6">
        <f t="shared" si="9"/>
        <v>0</v>
      </c>
      <c r="AO82" s="6"/>
      <c r="AP82" s="6"/>
      <c r="AQ82" s="6">
        <v>1632.6</v>
      </c>
      <c r="AR82" s="6"/>
      <c r="AS82" s="101">
        <f t="shared" si="59"/>
        <v>338894.5</v>
      </c>
      <c r="AT82" s="101">
        <f t="shared" si="63"/>
        <v>142432.6</v>
      </c>
      <c r="AU82" s="101">
        <f t="shared" si="12"/>
        <v>79054.5</v>
      </c>
      <c r="AV82" s="101">
        <f t="shared" si="13"/>
        <v>0</v>
      </c>
      <c r="AW82" s="101"/>
      <c r="AX82" s="101"/>
      <c r="AY82" s="101"/>
      <c r="AZ82" s="101">
        <f t="shared" si="60"/>
        <v>142432.6</v>
      </c>
      <c r="BA82" s="101">
        <v>142432.6</v>
      </c>
      <c r="BB82" s="102">
        <v>142432.6</v>
      </c>
      <c r="BC82" s="102">
        <v>142432.60094999999</v>
      </c>
      <c r="BD82" s="101">
        <f t="shared" si="61"/>
        <v>100.00000066698213</v>
      </c>
      <c r="BE82" s="101">
        <f t="shared" si="62"/>
        <v>100.00000066698213</v>
      </c>
    </row>
    <row r="83" spans="1:57" ht="45.75" customHeight="1">
      <c r="A83" s="88" t="s">
        <v>267</v>
      </c>
      <c r="B83" s="94"/>
      <c r="C83" s="94"/>
      <c r="D83" s="94"/>
      <c r="E83" s="42"/>
      <c r="F83" s="42"/>
      <c r="G83" s="6"/>
      <c r="H83" s="6"/>
      <c r="I83" s="6"/>
      <c r="J83" s="6"/>
      <c r="K83" s="7">
        <f>K84</f>
        <v>581000</v>
      </c>
      <c r="L83" s="7">
        <f>L84</f>
        <v>0</v>
      </c>
      <c r="M83" s="6">
        <f t="shared" si="23"/>
        <v>581000</v>
      </c>
      <c r="N83" s="7">
        <f t="shared" ref="N83:AG83" si="69">N84</f>
        <v>150000</v>
      </c>
      <c r="O83" s="7">
        <f t="shared" si="69"/>
        <v>0</v>
      </c>
      <c r="P83" s="6">
        <f>P84</f>
        <v>0</v>
      </c>
      <c r="Q83" s="7">
        <v>581000</v>
      </c>
      <c r="R83" s="6">
        <f t="shared" si="21"/>
        <v>150000</v>
      </c>
      <c r="S83" s="7">
        <f t="shared" si="69"/>
        <v>156000</v>
      </c>
      <c r="T83" s="7">
        <f t="shared" si="69"/>
        <v>0</v>
      </c>
      <c r="U83" s="6">
        <f>U84</f>
        <v>0</v>
      </c>
      <c r="V83" s="6"/>
      <c r="W83" s="6">
        <v>581000</v>
      </c>
      <c r="X83" s="6">
        <f t="shared" si="4"/>
        <v>150000</v>
      </c>
      <c r="Y83" s="6">
        <f t="shared" si="22"/>
        <v>156000</v>
      </c>
      <c r="Z83" s="6">
        <f>Z84</f>
        <v>0</v>
      </c>
      <c r="AA83" s="6"/>
      <c r="AB83" s="6"/>
      <c r="AC83" s="6">
        <f t="shared" si="5"/>
        <v>581000</v>
      </c>
      <c r="AD83" s="6">
        <f t="shared" si="6"/>
        <v>150000</v>
      </c>
      <c r="AE83" s="6">
        <v>156000</v>
      </c>
      <c r="AF83" s="7">
        <f t="shared" si="69"/>
        <v>95000</v>
      </c>
      <c r="AG83" s="7">
        <f t="shared" si="69"/>
        <v>0</v>
      </c>
      <c r="AH83" s="7"/>
      <c r="AI83" s="7"/>
      <c r="AJ83" s="7"/>
      <c r="AK83" s="6">
        <f t="shared" si="64"/>
        <v>581000</v>
      </c>
      <c r="AL83" s="6">
        <f t="shared" si="8"/>
        <v>150000</v>
      </c>
      <c r="AM83" s="6">
        <v>156000</v>
      </c>
      <c r="AN83" s="6">
        <f t="shared" si="9"/>
        <v>95000</v>
      </c>
      <c r="AO83" s="6"/>
      <c r="AP83" s="6">
        <f>AP84</f>
        <v>-149444.4</v>
      </c>
      <c r="AQ83" s="6"/>
      <c r="AR83" s="6"/>
      <c r="AS83" s="101">
        <f t="shared" si="59"/>
        <v>581000</v>
      </c>
      <c r="AT83" s="101">
        <f t="shared" si="63"/>
        <v>150000</v>
      </c>
      <c r="AU83" s="101">
        <f t="shared" si="12"/>
        <v>6555.6000000000058</v>
      </c>
      <c r="AV83" s="101">
        <f t="shared" si="13"/>
        <v>95000</v>
      </c>
      <c r="AW83" s="101">
        <f>AW84</f>
        <v>-95000</v>
      </c>
      <c r="AX83" s="101"/>
      <c r="AY83" s="101">
        <f>AY84</f>
        <v>-150000</v>
      </c>
      <c r="AZ83" s="101">
        <f t="shared" si="60"/>
        <v>0</v>
      </c>
      <c r="BA83" s="101">
        <v>0</v>
      </c>
      <c r="BB83" s="101">
        <f>BB84</f>
        <v>0</v>
      </c>
      <c r="BC83" s="101">
        <f>BC84</f>
        <v>0</v>
      </c>
      <c r="BD83" s="101">
        <v>0</v>
      </c>
      <c r="BE83" s="101">
        <v>0</v>
      </c>
    </row>
    <row r="84" spans="1:57" ht="133.5" customHeight="1">
      <c r="A84" s="92" t="s">
        <v>81</v>
      </c>
      <c r="B84" s="17" t="s">
        <v>65</v>
      </c>
      <c r="C84" s="17" t="s">
        <v>64</v>
      </c>
      <c r="D84" s="17" t="s">
        <v>6</v>
      </c>
      <c r="E84" s="17" t="s">
        <v>34</v>
      </c>
      <c r="F84" s="40" t="s">
        <v>66</v>
      </c>
      <c r="G84" s="6">
        <v>17155.2</v>
      </c>
      <c r="H84" s="6"/>
      <c r="I84" s="6">
        <v>17155.2</v>
      </c>
      <c r="J84" s="6"/>
      <c r="K84" s="7">
        <v>581000</v>
      </c>
      <c r="L84" s="7"/>
      <c r="M84" s="6">
        <f t="shared" si="23"/>
        <v>581000</v>
      </c>
      <c r="N84" s="7">
        <v>150000</v>
      </c>
      <c r="O84" s="7"/>
      <c r="P84" s="6"/>
      <c r="Q84" s="7">
        <v>581000</v>
      </c>
      <c r="R84" s="6">
        <f t="shared" si="21"/>
        <v>150000</v>
      </c>
      <c r="S84" s="6">
        <v>156000</v>
      </c>
      <c r="T84" s="6"/>
      <c r="U84" s="6"/>
      <c r="V84" s="6"/>
      <c r="W84" s="6">
        <v>581000</v>
      </c>
      <c r="X84" s="6">
        <f t="shared" si="4"/>
        <v>150000</v>
      </c>
      <c r="Y84" s="6">
        <f t="shared" si="22"/>
        <v>156000</v>
      </c>
      <c r="Z84" s="6"/>
      <c r="AA84" s="6"/>
      <c r="AB84" s="6"/>
      <c r="AC84" s="6">
        <f t="shared" ref="AC84:AC126" si="70">W84+AB84</f>
        <v>581000</v>
      </c>
      <c r="AD84" s="6">
        <f t="shared" si="6"/>
        <v>150000</v>
      </c>
      <c r="AE84" s="6">
        <v>156000</v>
      </c>
      <c r="AF84" s="6">
        <v>95000</v>
      </c>
      <c r="AG84" s="6"/>
      <c r="AH84" s="6"/>
      <c r="AI84" s="6"/>
      <c r="AJ84" s="6"/>
      <c r="AK84" s="6">
        <f t="shared" si="64"/>
        <v>581000</v>
      </c>
      <c r="AL84" s="6">
        <f t="shared" ref="AL84:AL126" si="71">AD84+AI84</f>
        <v>150000</v>
      </c>
      <c r="AM84" s="6">
        <v>156000</v>
      </c>
      <c r="AN84" s="6">
        <f t="shared" si="9"/>
        <v>95000</v>
      </c>
      <c r="AO84" s="6"/>
      <c r="AP84" s="6">
        <v>-149444.4</v>
      </c>
      <c r="AQ84" s="6"/>
      <c r="AR84" s="6"/>
      <c r="AS84" s="101">
        <f t="shared" si="59"/>
        <v>581000</v>
      </c>
      <c r="AT84" s="101">
        <f t="shared" si="63"/>
        <v>150000</v>
      </c>
      <c r="AU84" s="101">
        <f t="shared" ref="AU84:AU121" si="72">AM84+AP84</f>
        <v>6555.6000000000058</v>
      </c>
      <c r="AV84" s="101">
        <f t="shared" si="13"/>
        <v>95000</v>
      </c>
      <c r="AW84" s="101">
        <v>-95000</v>
      </c>
      <c r="AX84" s="101"/>
      <c r="AY84" s="101">
        <v>-150000</v>
      </c>
      <c r="AZ84" s="101">
        <f t="shared" si="60"/>
        <v>0</v>
      </c>
      <c r="BA84" s="101">
        <v>0</v>
      </c>
      <c r="BB84" s="101">
        <v>0</v>
      </c>
      <c r="BC84" s="101"/>
      <c r="BD84" s="101">
        <v>0</v>
      </c>
      <c r="BE84" s="101">
        <v>0</v>
      </c>
    </row>
    <row r="85" spans="1:57" ht="156.75" customHeight="1">
      <c r="A85" s="92" t="s">
        <v>242</v>
      </c>
      <c r="B85" s="17" t="s">
        <v>25</v>
      </c>
      <c r="C85" s="17" t="s">
        <v>144</v>
      </c>
      <c r="D85" s="17" t="s">
        <v>6</v>
      </c>
      <c r="E85" s="17" t="s">
        <v>244</v>
      </c>
      <c r="F85" s="5" t="s">
        <v>50</v>
      </c>
      <c r="G85" s="6"/>
      <c r="H85" s="6"/>
      <c r="I85" s="6"/>
      <c r="J85" s="6"/>
      <c r="K85" s="39"/>
      <c r="L85" s="39"/>
      <c r="M85" s="6"/>
      <c r="N85" s="39"/>
      <c r="O85" s="39"/>
      <c r="P85" s="6"/>
      <c r="Q85" s="39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>
        <v>10</v>
      </c>
      <c r="AD85" s="6"/>
      <c r="AE85" s="6"/>
      <c r="AF85" s="6"/>
      <c r="AG85" s="6"/>
      <c r="AH85" s="6"/>
      <c r="AI85" s="6"/>
      <c r="AJ85" s="6"/>
      <c r="AK85" s="6">
        <f t="shared" si="64"/>
        <v>10</v>
      </c>
      <c r="AL85" s="6">
        <v>10</v>
      </c>
      <c r="AM85" s="6"/>
      <c r="AN85" s="6"/>
      <c r="AO85" s="6"/>
      <c r="AP85" s="6"/>
      <c r="AQ85" s="6"/>
      <c r="AR85" s="6"/>
      <c r="AS85" s="101">
        <f t="shared" si="59"/>
        <v>10</v>
      </c>
      <c r="AT85" s="101">
        <f t="shared" si="63"/>
        <v>10</v>
      </c>
      <c r="AU85" s="101">
        <v>0</v>
      </c>
      <c r="AV85" s="101"/>
      <c r="AW85" s="101"/>
      <c r="AX85" s="101"/>
      <c r="AY85" s="101"/>
      <c r="AZ85" s="101">
        <f t="shared" si="60"/>
        <v>10</v>
      </c>
      <c r="BA85" s="101">
        <v>10</v>
      </c>
      <c r="BB85" s="102">
        <v>7.08</v>
      </c>
      <c r="BC85" s="102">
        <v>7.08</v>
      </c>
      <c r="BD85" s="101">
        <f t="shared" si="61"/>
        <v>70.8</v>
      </c>
      <c r="BE85" s="101">
        <f t="shared" si="62"/>
        <v>70.8</v>
      </c>
    </row>
    <row r="86" spans="1:57" ht="48" customHeight="1">
      <c r="A86" s="91" t="s">
        <v>287</v>
      </c>
      <c r="B86" s="91"/>
      <c r="C86" s="91"/>
      <c r="D86" s="91"/>
      <c r="E86" s="42"/>
      <c r="F86" s="42"/>
      <c r="G86" s="6"/>
      <c r="H86" s="6"/>
      <c r="I86" s="6"/>
      <c r="J86" s="6"/>
      <c r="K86" s="7">
        <f>K87</f>
        <v>291567.3</v>
      </c>
      <c r="L86" s="7">
        <f>L87+L88</f>
        <v>2777777.8</v>
      </c>
      <c r="M86" s="6">
        <f>SUM(M87:M89)</f>
        <v>3069345.0999999996</v>
      </c>
      <c r="N86" s="6">
        <f t="shared" ref="N86:P86" si="73">SUM(N87:N89)</f>
        <v>23512.400000000001</v>
      </c>
      <c r="O86" s="6">
        <f t="shared" si="73"/>
        <v>33333.300000000003</v>
      </c>
      <c r="P86" s="6">
        <f t="shared" si="73"/>
        <v>110000</v>
      </c>
      <c r="Q86" s="7">
        <f>M86+P86</f>
        <v>3179345.0999999996</v>
      </c>
      <c r="R86" s="6">
        <f>SUM(R87:R89)</f>
        <v>56845.700000000004</v>
      </c>
      <c r="S86" s="6">
        <f t="shared" ref="S86:U86" si="74">SUM(S87:S89)</f>
        <v>0</v>
      </c>
      <c r="T86" s="6">
        <f t="shared" si="74"/>
        <v>0</v>
      </c>
      <c r="U86" s="6">
        <f t="shared" si="74"/>
        <v>91324.2</v>
      </c>
      <c r="V86" s="6">
        <f>V90+V91</f>
        <v>114388.15699999999</v>
      </c>
      <c r="W86" s="6">
        <f>Q86+V86</f>
        <v>3293733.2569999998</v>
      </c>
      <c r="X86" s="6">
        <f>R86+U86</f>
        <v>148169.9</v>
      </c>
      <c r="Y86" s="6">
        <f>SUM(Y87:Y89)</f>
        <v>0</v>
      </c>
      <c r="Z86" s="6">
        <f>SUM(Z87:Z89)</f>
        <v>0</v>
      </c>
      <c r="AA86" s="6">
        <f>AA90+AA91+AA89</f>
        <v>19704.8</v>
      </c>
      <c r="AB86" s="6">
        <f>AB92+AB87+AB88+AB89+AB90+AB91</f>
        <v>581588.69999999995</v>
      </c>
      <c r="AC86" s="6">
        <f t="shared" si="70"/>
        <v>3875321.9569999995</v>
      </c>
      <c r="AD86" s="6">
        <f>AD87+AD88+AD89+AD90+AD91</f>
        <v>167733.70000000001</v>
      </c>
      <c r="AE86" s="6">
        <v>0</v>
      </c>
      <c r="AF86" s="6">
        <f>SUM(AF87:AF89)</f>
        <v>0</v>
      </c>
      <c r="AG86" s="6">
        <f>SUM(AG87:AG89)</f>
        <v>0</v>
      </c>
      <c r="AH86" s="6"/>
      <c r="AI86" s="6">
        <f>AI92+AI87+AI88+AI89+AI90+AI91</f>
        <v>3441.6000000000004</v>
      </c>
      <c r="AJ86" s="6"/>
      <c r="AK86" s="6">
        <f>AK87+AK88+AK89+AK90+AK91+AK92+AK93</f>
        <v>3943321.9569999995</v>
      </c>
      <c r="AL86" s="6">
        <f t="shared" si="71"/>
        <v>171175.30000000002</v>
      </c>
      <c r="AM86" s="6">
        <f>AM92+AM87+AM88+AM89+AM90+AM91</f>
        <v>0</v>
      </c>
      <c r="AN86" s="6">
        <f t="shared" si="9"/>
        <v>0</v>
      </c>
      <c r="AO86" s="6"/>
      <c r="AP86" s="6">
        <f>AP92+AP87+AP88+AP89+AP90+AP91</f>
        <v>149444.4</v>
      </c>
      <c r="AQ86" s="6">
        <f>AQ91</f>
        <v>141</v>
      </c>
      <c r="AR86" s="6"/>
      <c r="AS86" s="101">
        <f t="shared" si="59"/>
        <v>3943321.9569999995</v>
      </c>
      <c r="AT86" s="101">
        <f>AT87+AT88+AT89+AT90+AT91+AT92+AT93</f>
        <v>239166.3</v>
      </c>
      <c r="AU86" s="101">
        <f t="shared" si="72"/>
        <v>149444.4</v>
      </c>
      <c r="AV86" s="101">
        <f>AV92+AV87+AV88+AV89+AV90+AV91</f>
        <v>0</v>
      </c>
      <c r="AW86" s="101">
        <f>AW92+AW87+AW88+AW89+AW90+AW91</f>
        <v>95000</v>
      </c>
      <c r="AX86" s="101"/>
      <c r="AY86" s="101"/>
      <c r="AZ86" s="101">
        <f t="shared" si="60"/>
        <v>239166.3</v>
      </c>
      <c r="BA86" s="101">
        <v>239166.3</v>
      </c>
      <c r="BB86" s="101">
        <f>BB87+BB88+BB89+BB90+BB91+BB92+BB93</f>
        <v>158828.77301</v>
      </c>
      <c r="BC86" s="101">
        <f>BC87+BC88+BC89+BC90+BC91+BC92+BC93</f>
        <v>151852.80807</v>
      </c>
      <c r="BD86" s="101">
        <f t="shared" si="61"/>
        <v>63.492560645040705</v>
      </c>
      <c r="BE86" s="101">
        <f t="shared" si="62"/>
        <v>63.492560645040705</v>
      </c>
    </row>
    <row r="87" spans="1:57" ht="140.25" customHeight="1">
      <c r="A87" s="95" t="s">
        <v>229</v>
      </c>
      <c r="B87" s="26" t="s">
        <v>67</v>
      </c>
      <c r="C87" s="17" t="s">
        <v>20</v>
      </c>
      <c r="D87" s="17" t="s">
        <v>68</v>
      </c>
      <c r="E87" s="17" t="s">
        <v>75</v>
      </c>
      <c r="F87" s="40" t="s">
        <v>185</v>
      </c>
      <c r="G87" s="6"/>
      <c r="H87" s="6"/>
      <c r="I87" s="6"/>
      <c r="J87" s="6"/>
      <c r="K87" s="30">
        <v>291567.3</v>
      </c>
      <c r="L87" s="30"/>
      <c r="M87" s="6">
        <f t="shared" si="23"/>
        <v>291567.3</v>
      </c>
      <c r="N87" s="7">
        <v>23512.400000000001</v>
      </c>
      <c r="O87" s="7"/>
      <c r="P87" s="6"/>
      <c r="Q87" s="7">
        <f t="shared" ref="Q87:Q89" si="75">M87+P87</f>
        <v>291567.3</v>
      </c>
      <c r="R87" s="6">
        <f t="shared" si="21"/>
        <v>23512.400000000001</v>
      </c>
      <c r="S87" s="6">
        <v>0</v>
      </c>
      <c r="T87" s="6">
        <v>0</v>
      </c>
      <c r="U87" s="6"/>
      <c r="V87" s="6"/>
      <c r="W87" s="6">
        <v>291567.3</v>
      </c>
      <c r="X87" s="6">
        <f t="shared" si="4"/>
        <v>23512.400000000001</v>
      </c>
      <c r="Y87" s="6">
        <f t="shared" si="22"/>
        <v>0</v>
      </c>
      <c r="Z87" s="6"/>
      <c r="AA87" s="6"/>
      <c r="AB87" s="6"/>
      <c r="AC87" s="6">
        <f t="shared" si="70"/>
        <v>291567.3</v>
      </c>
      <c r="AD87" s="6">
        <f t="shared" si="6"/>
        <v>23512.400000000001</v>
      </c>
      <c r="AE87" s="6">
        <v>0</v>
      </c>
      <c r="AF87" s="6">
        <v>0</v>
      </c>
      <c r="AG87" s="6">
        <v>0</v>
      </c>
      <c r="AH87" s="6"/>
      <c r="AI87" s="6">
        <v>-8708.2999999999993</v>
      </c>
      <c r="AJ87" s="6"/>
      <c r="AK87" s="6">
        <v>320667.3</v>
      </c>
      <c r="AL87" s="6">
        <f t="shared" si="71"/>
        <v>14804.100000000002</v>
      </c>
      <c r="AM87" s="6">
        <v>0</v>
      </c>
      <c r="AN87" s="6">
        <f t="shared" si="9"/>
        <v>0</v>
      </c>
      <c r="AO87" s="6"/>
      <c r="AP87" s="6"/>
      <c r="AQ87" s="6"/>
      <c r="AR87" s="6"/>
      <c r="AS87" s="101">
        <f t="shared" si="59"/>
        <v>320667.3</v>
      </c>
      <c r="AT87" s="101">
        <v>43904.1</v>
      </c>
      <c r="AU87" s="101">
        <f t="shared" si="72"/>
        <v>0</v>
      </c>
      <c r="AV87" s="101">
        <f t="shared" si="13"/>
        <v>0</v>
      </c>
      <c r="AW87" s="101"/>
      <c r="AX87" s="101"/>
      <c r="AY87" s="101"/>
      <c r="AZ87" s="101">
        <f t="shared" si="60"/>
        <v>43904.1</v>
      </c>
      <c r="BA87" s="101">
        <v>43904.1</v>
      </c>
      <c r="BB87" s="102">
        <f>2279.12115+1.53952</f>
        <v>2280.6606699999998</v>
      </c>
      <c r="BC87" s="102">
        <f>2279.12115+1.53952</f>
        <v>2280.6606699999998</v>
      </c>
      <c r="BD87" s="101">
        <f t="shared" si="61"/>
        <v>5.1946416621682259</v>
      </c>
      <c r="BE87" s="101">
        <f t="shared" si="62"/>
        <v>5.1946416621682259</v>
      </c>
    </row>
    <row r="88" spans="1:57" ht="147" customHeight="1">
      <c r="A88" s="95" t="s">
        <v>122</v>
      </c>
      <c r="B88" s="26" t="s">
        <v>106</v>
      </c>
      <c r="C88" s="17" t="s">
        <v>55</v>
      </c>
      <c r="D88" s="17" t="s">
        <v>18</v>
      </c>
      <c r="E88" s="17" t="s">
        <v>10</v>
      </c>
      <c r="F88" s="40" t="s">
        <v>56</v>
      </c>
      <c r="G88" s="6"/>
      <c r="H88" s="6"/>
      <c r="I88" s="6"/>
      <c r="J88" s="6"/>
      <c r="K88" s="30"/>
      <c r="L88" s="6">
        <v>2777777.8</v>
      </c>
      <c r="M88" s="6">
        <f t="shared" si="23"/>
        <v>2777777.8</v>
      </c>
      <c r="N88" s="7"/>
      <c r="O88" s="39">
        <v>33333.300000000003</v>
      </c>
      <c r="P88" s="6"/>
      <c r="Q88" s="7">
        <f t="shared" si="75"/>
        <v>2777777.8</v>
      </c>
      <c r="R88" s="6">
        <f t="shared" si="21"/>
        <v>33333.300000000003</v>
      </c>
      <c r="S88" s="6"/>
      <c r="T88" s="6"/>
      <c r="U88" s="6"/>
      <c r="V88" s="6"/>
      <c r="W88" s="6">
        <v>2777777.8</v>
      </c>
      <c r="X88" s="6">
        <f t="shared" si="4"/>
        <v>33333.300000000003</v>
      </c>
      <c r="Y88" s="6">
        <v>0</v>
      </c>
      <c r="Z88" s="6"/>
      <c r="AA88" s="6"/>
      <c r="AB88" s="6"/>
      <c r="AC88" s="6">
        <f t="shared" si="70"/>
        <v>2777777.8</v>
      </c>
      <c r="AD88" s="6">
        <f t="shared" si="6"/>
        <v>33333.300000000003</v>
      </c>
      <c r="AE88" s="6">
        <v>0</v>
      </c>
      <c r="AF88" s="6">
        <v>0</v>
      </c>
      <c r="AG88" s="6"/>
      <c r="AH88" s="6"/>
      <c r="AI88" s="6"/>
      <c r="AJ88" s="6"/>
      <c r="AK88" s="6">
        <f t="shared" si="64"/>
        <v>2777777.8</v>
      </c>
      <c r="AL88" s="6">
        <f t="shared" si="71"/>
        <v>33333.300000000003</v>
      </c>
      <c r="AM88" s="6">
        <v>0</v>
      </c>
      <c r="AN88" s="6">
        <f t="shared" si="9"/>
        <v>0</v>
      </c>
      <c r="AO88" s="6"/>
      <c r="AP88" s="6">
        <v>149444.4</v>
      </c>
      <c r="AQ88" s="6"/>
      <c r="AR88" s="6"/>
      <c r="AS88" s="101">
        <f t="shared" si="59"/>
        <v>2777777.8</v>
      </c>
      <c r="AT88" s="101">
        <f t="shared" si="63"/>
        <v>33333.300000000003</v>
      </c>
      <c r="AU88" s="101">
        <f t="shared" si="72"/>
        <v>149444.4</v>
      </c>
      <c r="AV88" s="101">
        <f t="shared" si="13"/>
        <v>0</v>
      </c>
      <c r="AW88" s="101">
        <v>95000</v>
      </c>
      <c r="AX88" s="101"/>
      <c r="AY88" s="101"/>
      <c r="AZ88" s="101">
        <f t="shared" si="60"/>
        <v>33333.300000000003</v>
      </c>
      <c r="BA88" s="101">
        <v>33333.300000000003</v>
      </c>
      <c r="BB88" s="101">
        <v>33333.300000000003</v>
      </c>
      <c r="BC88" s="101">
        <v>33333.300000000003</v>
      </c>
      <c r="BD88" s="101">
        <f t="shared" si="61"/>
        <v>100</v>
      </c>
      <c r="BE88" s="101">
        <f t="shared" si="62"/>
        <v>100</v>
      </c>
    </row>
    <row r="89" spans="1:57" ht="147" customHeight="1">
      <c r="A89" s="95" t="s">
        <v>245</v>
      </c>
      <c r="B89" s="26" t="s">
        <v>155</v>
      </c>
      <c r="C89" s="17" t="s">
        <v>144</v>
      </c>
      <c r="D89" s="17" t="s">
        <v>18</v>
      </c>
      <c r="E89" s="17" t="s">
        <v>10</v>
      </c>
      <c r="F89" s="40" t="s">
        <v>50</v>
      </c>
      <c r="G89" s="6"/>
      <c r="H89" s="6"/>
      <c r="I89" s="6"/>
      <c r="J89" s="6"/>
      <c r="K89" s="30"/>
      <c r="L89" s="6"/>
      <c r="M89" s="6"/>
      <c r="N89" s="7"/>
      <c r="O89" s="39"/>
      <c r="P89" s="6">
        <v>110000</v>
      </c>
      <c r="Q89" s="7">
        <f t="shared" si="75"/>
        <v>110000</v>
      </c>
      <c r="R89" s="6"/>
      <c r="S89" s="6"/>
      <c r="T89" s="6"/>
      <c r="U89" s="6">
        <v>91324.2</v>
      </c>
      <c r="V89" s="6"/>
      <c r="W89" s="6">
        <v>110000</v>
      </c>
      <c r="X89" s="6">
        <f t="shared" si="4"/>
        <v>91324.2</v>
      </c>
      <c r="Y89" s="6">
        <v>0</v>
      </c>
      <c r="Z89" s="6"/>
      <c r="AA89" s="6">
        <v>18675.8</v>
      </c>
      <c r="AB89" s="6"/>
      <c r="AC89" s="6">
        <f t="shared" si="70"/>
        <v>110000</v>
      </c>
      <c r="AD89" s="6">
        <f t="shared" si="6"/>
        <v>110000</v>
      </c>
      <c r="AE89" s="6">
        <v>0</v>
      </c>
      <c r="AF89" s="6">
        <v>0</v>
      </c>
      <c r="AG89" s="6"/>
      <c r="AH89" s="6"/>
      <c r="AI89" s="6"/>
      <c r="AJ89" s="6"/>
      <c r="AK89" s="6">
        <f t="shared" si="64"/>
        <v>110000</v>
      </c>
      <c r="AL89" s="6">
        <f t="shared" si="71"/>
        <v>110000</v>
      </c>
      <c r="AM89" s="6">
        <v>0</v>
      </c>
      <c r="AN89" s="6">
        <f t="shared" si="9"/>
        <v>0</v>
      </c>
      <c r="AO89" s="6"/>
      <c r="AP89" s="6"/>
      <c r="AQ89" s="6"/>
      <c r="AR89" s="6"/>
      <c r="AS89" s="101">
        <f t="shared" si="59"/>
        <v>110000</v>
      </c>
      <c r="AT89" s="101">
        <f t="shared" si="63"/>
        <v>110000</v>
      </c>
      <c r="AU89" s="101">
        <f t="shared" si="72"/>
        <v>0</v>
      </c>
      <c r="AV89" s="101">
        <f t="shared" si="13"/>
        <v>0</v>
      </c>
      <c r="AW89" s="101"/>
      <c r="AX89" s="101"/>
      <c r="AY89" s="101"/>
      <c r="AZ89" s="101">
        <f t="shared" si="60"/>
        <v>110000</v>
      </c>
      <c r="BA89" s="101">
        <v>110000</v>
      </c>
      <c r="BB89" s="102">
        <v>110000</v>
      </c>
      <c r="BC89" s="102">
        <v>103024.07509</v>
      </c>
      <c r="BD89" s="101">
        <f t="shared" si="61"/>
        <v>93.658250081818181</v>
      </c>
      <c r="BE89" s="101">
        <f t="shared" si="62"/>
        <v>93.658250081818181</v>
      </c>
    </row>
    <row r="90" spans="1:57" ht="147" customHeight="1">
      <c r="A90" s="95" t="s">
        <v>158</v>
      </c>
      <c r="B90" s="26" t="s">
        <v>159</v>
      </c>
      <c r="C90" s="17" t="s">
        <v>160</v>
      </c>
      <c r="D90" s="17" t="s">
        <v>68</v>
      </c>
      <c r="E90" s="17" t="s">
        <v>217</v>
      </c>
      <c r="F90" s="40" t="s">
        <v>165</v>
      </c>
      <c r="G90" s="6"/>
      <c r="H90" s="6"/>
      <c r="I90" s="6"/>
      <c r="J90" s="6"/>
      <c r="K90" s="30"/>
      <c r="L90" s="6"/>
      <c r="M90" s="6"/>
      <c r="N90" s="7"/>
      <c r="O90" s="39"/>
      <c r="P90" s="6"/>
      <c r="Q90" s="17"/>
      <c r="R90" s="6"/>
      <c r="S90" s="6"/>
      <c r="T90" s="6"/>
      <c r="U90" s="6"/>
      <c r="V90" s="39">
        <f>3238.4+333.357</f>
        <v>3571.7570000000001</v>
      </c>
      <c r="W90" s="6">
        <f>-Q90+V90</f>
        <v>3571.7570000000001</v>
      </c>
      <c r="X90" s="6"/>
      <c r="Y90" s="6"/>
      <c r="Z90" s="6"/>
      <c r="AA90" s="6">
        <v>333.4</v>
      </c>
      <c r="AB90" s="6"/>
      <c r="AC90" s="6">
        <f t="shared" si="70"/>
        <v>3571.7570000000001</v>
      </c>
      <c r="AD90" s="6">
        <f t="shared" si="6"/>
        <v>333.4</v>
      </c>
      <c r="AE90" s="6"/>
      <c r="AF90" s="6"/>
      <c r="AG90" s="6"/>
      <c r="AH90" s="6"/>
      <c r="AI90" s="6"/>
      <c r="AJ90" s="6"/>
      <c r="AK90" s="6">
        <f t="shared" si="64"/>
        <v>3571.7570000000001</v>
      </c>
      <c r="AL90" s="6">
        <f t="shared" si="71"/>
        <v>333.4</v>
      </c>
      <c r="AM90" s="6">
        <v>0</v>
      </c>
      <c r="AN90" s="6"/>
      <c r="AO90" s="6"/>
      <c r="AP90" s="6"/>
      <c r="AQ90" s="6"/>
      <c r="AR90" s="6"/>
      <c r="AS90" s="101">
        <f t="shared" si="59"/>
        <v>3571.7570000000001</v>
      </c>
      <c r="AT90" s="101">
        <f t="shared" si="63"/>
        <v>333.4</v>
      </c>
      <c r="AU90" s="101">
        <f t="shared" si="72"/>
        <v>0</v>
      </c>
      <c r="AV90" s="101">
        <f t="shared" si="13"/>
        <v>0</v>
      </c>
      <c r="AW90" s="101"/>
      <c r="AX90" s="101"/>
      <c r="AY90" s="101"/>
      <c r="AZ90" s="101">
        <f t="shared" si="60"/>
        <v>333.4</v>
      </c>
      <c r="BA90" s="101">
        <v>333.4</v>
      </c>
      <c r="BB90" s="102">
        <v>333.35700000000003</v>
      </c>
      <c r="BC90" s="102">
        <v>333.35700000000003</v>
      </c>
      <c r="BD90" s="101">
        <f t="shared" si="61"/>
        <v>99.987102579484116</v>
      </c>
      <c r="BE90" s="101">
        <f t="shared" si="62"/>
        <v>99.987102579484116</v>
      </c>
    </row>
    <row r="91" spans="1:57" ht="147" customHeight="1">
      <c r="A91" s="95" t="s">
        <v>166</v>
      </c>
      <c r="B91" s="25" t="s">
        <v>246</v>
      </c>
      <c r="C91" s="17" t="s">
        <v>157</v>
      </c>
      <c r="D91" s="17" t="s">
        <v>68</v>
      </c>
      <c r="E91" s="17" t="s">
        <v>161</v>
      </c>
      <c r="F91" s="40" t="s">
        <v>167</v>
      </c>
      <c r="G91" s="6"/>
      <c r="H91" s="6"/>
      <c r="I91" s="6"/>
      <c r="J91" s="6"/>
      <c r="K91" s="30"/>
      <c r="L91" s="6"/>
      <c r="M91" s="6"/>
      <c r="N91" s="7"/>
      <c r="O91" s="39"/>
      <c r="P91" s="6"/>
      <c r="Q91" s="7"/>
      <c r="R91" s="6"/>
      <c r="S91" s="6"/>
      <c r="T91" s="6"/>
      <c r="U91" s="6"/>
      <c r="V91" s="39">
        <v>110816.4</v>
      </c>
      <c r="W91" s="6">
        <f>-Q91+V91</f>
        <v>110816.4</v>
      </c>
      <c r="X91" s="6"/>
      <c r="Y91" s="6"/>
      <c r="Z91" s="6"/>
      <c r="AA91" s="6">
        <v>695.6</v>
      </c>
      <c r="AB91" s="6"/>
      <c r="AC91" s="6">
        <f t="shared" si="70"/>
        <v>110816.4</v>
      </c>
      <c r="AD91" s="6">
        <v>554.6</v>
      </c>
      <c r="AE91" s="6"/>
      <c r="AF91" s="6"/>
      <c r="AG91" s="6"/>
      <c r="AH91" s="6"/>
      <c r="AI91" s="6"/>
      <c r="AJ91" s="6"/>
      <c r="AK91" s="6">
        <f t="shared" si="64"/>
        <v>110816.4</v>
      </c>
      <c r="AL91" s="6">
        <f t="shared" si="71"/>
        <v>554.6</v>
      </c>
      <c r="AM91" s="6">
        <v>0</v>
      </c>
      <c r="AN91" s="6"/>
      <c r="AO91" s="6"/>
      <c r="AP91" s="6"/>
      <c r="AQ91" s="6">
        <v>141</v>
      </c>
      <c r="AR91" s="6"/>
      <c r="AS91" s="101">
        <f t="shared" si="59"/>
        <v>110816.4</v>
      </c>
      <c r="AT91" s="101">
        <v>545.6</v>
      </c>
      <c r="AU91" s="101">
        <f t="shared" si="72"/>
        <v>0</v>
      </c>
      <c r="AV91" s="101">
        <f t="shared" si="13"/>
        <v>0</v>
      </c>
      <c r="AW91" s="101"/>
      <c r="AX91" s="101"/>
      <c r="AY91" s="101"/>
      <c r="AZ91" s="101">
        <f t="shared" si="60"/>
        <v>545.6</v>
      </c>
      <c r="BA91" s="101">
        <v>545.6</v>
      </c>
      <c r="BB91" s="102">
        <v>545.6</v>
      </c>
      <c r="BC91" s="102">
        <v>545.55999999999995</v>
      </c>
      <c r="BD91" s="101">
        <f t="shared" si="61"/>
        <v>99.992668621700858</v>
      </c>
      <c r="BE91" s="101">
        <f t="shared" si="62"/>
        <v>99.992668621700858</v>
      </c>
    </row>
    <row r="92" spans="1:57" ht="137.25" customHeight="1">
      <c r="A92" s="95" t="s">
        <v>230</v>
      </c>
      <c r="B92" s="25" t="s">
        <v>187</v>
      </c>
      <c r="C92" s="17" t="s">
        <v>20</v>
      </c>
      <c r="D92" s="17" t="s">
        <v>68</v>
      </c>
      <c r="E92" s="17" t="s">
        <v>75</v>
      </c>
      <c r="F92" s="40" t="s">
        <v>188</v>
      </c>
      <c r="G92" s="6"/>
      <c r="H92" s="6"/>
      <c r="I92" s="6"/>
      <c r="J92" s="6"/>
      <c r="K92" s="30"/>
      <c r="L92" s="6"/>
      <c r="M92" s="6"/>
      <c r="N92" s="7"/>
      <c r="O92" s="39"/>
      <c r="P92" s="6"/>
      <c r="Q92" s="7"/>
      <c r="R92" s="6"/>
      <c r="S92" s="6"/>
      <c r="T92" s="6"/>
      <c r="U92" s="6"/>
      <c r="V92" s="39"/>
      <c r="W92" s="6"/>
      <c r="X92" s="6"/>
      <c r="Y92" s="6"/>
      <c r="Z92" s="6"/>
      <c r="AA92" s="6"/>
      <c r="AB92" s="6">
        <v>581588.69999999995</v>
      </c>
      <c r="AC92" s="6">
        <f t="shared" si="70"/>
        <v>581588.69999999995</v>
      </c>
      <c r="AD92" s="6"/>
      <c r="AE92" s="6"/>
      <c r="AF92" s="6"/>
      <c r="AG92" s="6"/>
      <c r="AH92" s="6"/>
      <c r="AI92" s="6">
        <f>8708.3+3441.6</f>
        <v>12149.9</v>
      </c>
      <c r="AJ92" s="6"/>
      <c r="AK92" s="6">
        <v>614788.69999999995</v>
      </c>
      <c r="AL92" s="6">
        <f t="shared" si="71"/>
        <v>12149.9</v>
      </c>
      <c r="AM92" s="6"/>
      <c r="AN92" s="6"/>
      <c r="AO92" s="6"/>
      <c r="AP92" s="6"/>
      <c r="AQ92" s="6"/>
      <c r="AR92" s="6"/>
      <c r="AS92" s="101">
        <f t="shared" si="59"/>
        <v>614788.69999999995</v>
      </c>
      <c r="AT92" s="101">
        <v>45349.9</v>
      </c>
      <c r="AU92" s="101">
        <v>0</v>
      </c>
      <c r="AV92" s="101"/>
      <c r="AW92" s="101"/>
      <c r="AX92" s="101"/>
      <c r="AY92" s="101"/>
      <c r="AZ92" s="101">
        <f t="shared" si="60"/>
        <v>45349.9</v>
      </c>
      <c r="BA92" s="101">
        <v>45349.9</v>
      </c>
      <c r="BB92" s="102">
        <v>12335.85534</v>
      </c>
      <c r="BC92" s="102">
        <v>12335.855310000001</v>
      </c>
      <c r="BD92" s="101">
        <f t="shared" si="61"/>
        <v>27.201504986780566</v>
      </c>
      <c r="BE92" s="101">
        <f t="shared" si="62"/>
        <v>27.201504986780566</v>
      </c>
    </row>
    <row r="93" spans="1:57" ht="141.75" customHeight="1">
      <c r="A93" s="95" t="s">
        <v>231</v>
      </c>
      <c r="B93" s="25" t="s">
        <v>258</v>
      </c>
      <c r="C93" s="17" t="s">
        <v>20</v>
      </c>
      <c r="D93" s="17" t="s">
        <v>68</v>
      </c>
      <c r="E93" s="17" t="s">
        <v>75</v>
      </c>
      <c r="F93" s="40" t="s">
        <v>227</v>
      </c>
      <c r="G93" s="6"/>
      <c r="H93" s="6"/>
      <c r="I93" s="6"/>
      <c r="J93" s="6"/>
      <c r="K93" s="30"/>
      <c r="L93" s="6"/>
      <c r="M93" s="6"/>
      <c r="N93" s="7"/>
      <c r="O93" s="39"/>
      <c r="P93" s="6"/>
      <c r="Q93" s="7"/>
      <c r="R93" s="6"/>
      <c r="S93" s="6"/>
      <c r="T93" s="6"/>
      <c r="U93" s="6"/>
      <c r="V93" s="39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>
        <v>5700</v>
      </c>
      <c r="AL93" s="6"/>
      <c r="AM93" s="6"/>
      <c r="AN93" s="6"/>
      <c r="AO93" s="6"/>
      <c r="AP93" s="6"/>
      <c r="AQ93" s="6"/>
      <c r="AR93" s="6"/>
      <c r="AS93" s="101">
        <f t="shared" si="59"/>
        <v>5700</v>
      </c>
      <c r="AT93" s="101">
        <v>5700</v>
      </c>
      <c r="AU93" s="101"/>
      <c r="AV93" s="101"/>
      <c r="AW93" s="101"/>
      <c r="AX93" s="101"/>
      <c r="AY93" s="101"/>
      <c r="AZ93" s="101">
        <f t="shared" si="60"/>
        <v>5700</v>
      </c>
      <c r="BA93" s="101">
        <v>5700</v>
      </c>
      <c r="BB93" s="102"/>
      <c r="BC93" s="102"/>
      <c r="BD93" s="101">
        <f t="shared" si="61"/>
        <v>0</v>
      </c>
      <c r="BE93" s="101">
        <f t="shared" si="62"/>
        <v>0</v>
      </c>
    </row>
    <row r="94" spans="1:57" ht="48.75" customHeight="1">
      <c r="A94" s="85" t="s">
        <v>268</v>
      </c>
      <c r="B94" s="85"/>
      <c r="C94" s="85"/>
      <c r="D94" s="85"/>
      <c r="E94" s="43"/>
      <c r="F94" s="43"/>
      <c r="G94" s="32" t="e">
        <f>#REF!+G96+G97</f>
        <v>#REF!</v>
      </c>
      <c r="H94" s="32" t="e">
        <f>H95+#REF!+H97</f>
        <v>#REF!</v>
      </c>
      <c r="I94" s="32" t="e">
        <f>I95+#REF!+I97+#REF!</f>
        <v>#REF!</v>
      </c>
      <c r="J94" s="32" t="e">
        <f>J95+#REF!+J97</f>
        <v>#REF!</v>
      </c>
      <c r="K94" s="32">
        <f>K95+K97</f>
        <v>209641.84999999998</v>
      </c>
      <c r="L94" s="32">
        <f>L95+L97+L101</f>
        <v>128914.7</v>
      </c>
      <c r="M94" s="6">
        <f t="shared" ref="M94:O94" si="76">M95+M97+M101+M103</f>
        <v>337030.95</v>
      </c>
      <c r="N94" s="6">
        <f t="shared" si="76"/>
        <v>23312.7</v>
      </c>
      <c r="O94" s="6">
        <f t="shared" si="76"/>
        <v>7010.2</v>
      </c>
      <c r="P94" s="6">
        <f>P95+P97+P101+P103</f>
        <v>0</v>
      </c>
      <c r="Q94" s="6">
        <f>M94+P94</f>
        <v>337030.95</v>
      </c>
      <c r="R94" s="6">
        <f t="shared" ref="R94:T94" si="77">R95+R97+R101+R103</f>
        <v>34332.9</v>
      </c>
      <c r="S94" s="6">
        <f t="shared" si="77"/>
        <v>23020</v>
      </c>
      <c r="T94" s="6">
        <f t="shared" si="77"/>
        <v>0</v>
      </c>
      <c r="U94" s="6">
        <f>U95+U97+U101+U103</f>
        <v>0</v>
      </c>
      <c r="V94" s="6"/>
      <c r="W94" s="6">
        <v>337030.95</v>
      </c>
      <c r="X94" s="6">
        <f t="shared" si="4"/>
        <v>34332.9</v>
      </c>
      <c r="Y94" s="6">
        <f>Y95+Y97+Y101+Y103</f>
        <v>28080</v>
      </c>
      <c r="Z94" s="6">
        <f>Z95+Z97+Z101+Z103</f>
        <v>0</v>
      </c>
      <c r="AA94" s="6">
        <f>AA97</f>
        <v>11768.5</v>
      </c>
      <c r="AB94" s="6"/>
      <c r="AC94" s="6">
        <f t="shared" si="70"/>
        <v>337030.95</v>
      </c>
      <c r="AD94" s="6">
        <f t="shared" si="6"/>
        <v>46101.4</v>
      </c>
      <c r="AE94" s="6">
        <f>Y94+Z94</f>
        <v>28080</v>
      </c>
      <c r="AF94" s="32">
        <f>AF95+AF97</f>
        <v>17800</v>
      </c>
      <c r="AG94" s="32">
        <f>AG95+AG97</f>
        <v>0</v>
      </c>
      <c r="AH94" s="32"/>
      <c r="AI94" s="32"/>
      <c r="AJ94" s="32"/>
      <c r="AK94" s="6">
        <f t="shared" si="64"/>
        <v>337030.95</v>
      </c>
      <c r="AL94" s="6">
        <f t="shared" si="71"/>
        <v>46101.4</v>
      </c>
      <c r="AM94" s="6">
        <v>28080</v>
      </c>
      <c r="AN94" s="6">
        <f t="shared" si="9"/>
        <v>17800</v>
      </c>
      <c r="AO94" s="6"/>
      <c r="AP94" s="6"/>
      <c r="AQ94" s="6"/>
      <c r="AR94" s="6"/>
      <c r="AS94" s="101">
        <f t="shared" si="59"/>
        <v>337030.95</v>
      </c>
      <c r="AT94" s="101">
        <f t="shared" si="63"/>
        <v>46101.4</v>
      </c>
      <c r="AU94" s="101">
        <f t="shared" si="72"/>
        <v>28080</v>
      </c>
      <c r="AV94" s="101">
        <f t="shared" si="13"/>
        <v>17800</v>
      </c>
      <c r="AW94" s="101"/>
      <c r="AX94" s="101"/>
      <c r="AY94" s="101"/>
      <c r="AZ94" s="101">
        <f t="shared" si="60"/>
        <v>46101.4</v>
      </c>
      <c r="BA94" s="101">
        <v>46101.4</v>
      </c>
      <c r="BB94" s="101">
        <f>BB95+BB97+BB101+BB103</f>
        <v>45559.853499999997</v>
      </c>
      <c r="BC94" s="101">
        <f>BC95+BC97+BC101+BC103</f>
        <v>45559.853499999997</v>
      </c>
      <c r="BD94" s="101">
        <f t="shared" si="61"/>
        <v>98.825314415614258</v>
      </c>
      <c r="BE94" s="101">
        <f t="shared" si="62"/>
        <v>98.825314415614258</v>
      </c>
    </row>
    <row r="95" spans="1:57" ht="30.75" customHeight="1">
      <c r="A95" s="85" t="s">
        <v>29</v>
      </c>
      <c r="B95" s="85"/>
      <c r="C95" s="85"/>
      <c r="D95" s="85"/>
      <c r="E95" s="43"/>
      <c r="F95" s="43"/>
      <c r="G95" s="32">
        <f>G96</f>
        <v>121674.15</v>
      </c>
      <c r="H95" s="32">
        <v>0</v>
      </c>
      <c r="I95" s="32">
        <f>I96</f>
        <v>121674.15</v>
      </c>
      <c r="J95" s="32">
        <v>0</v>
      </c>
      <c r="K95" s="32">
        <f>K96</f>
        <v>121674.15</v>
      </c>
      <c r="L95" s="32">
        <f>L96</f>
        <v>0</v>
      </c>
      <c r="M95" s="6">
        <f t="shared" si="23"/>
        <v>121674.15</v>
      </c>
      <c r="N95" s="32">
        <f>N96</f>
        <v>20000</v>
      </c>
      <c r="O95" s="32">
        <f t="shared" ref="O95" si="78">O96</f>
        <v>0</v>
      </c>
      <c r="P95" s="6">
        <f>P96</f>
        <v>0</v>
      </c>
      <c r="Q95" s="32">
        <v>121674.15</v>
      </c>
      <c r="R95" s="6">
        <f t="shared" si="21"/>
        <v>20000</v>
      </c>
      <c r="S95" s="32">
        <f>S96</f>
        <v>20000</v>
      </c>
      <c r="T95" s="32">
        <f>T96</f>
        <v>0</v>
      </c>
      <c r="U95" s="6">
        <f>U96</f>
        <v>0</v>
      </c>
      <c r="V95" s="6"/>
      <c r="W95" s="6">
        <v>121674.15</v>
      </c>
      <c r="X95" s="6">
        <f t="shared" si="4"/>
        <v>20000</v>
      </c>
      <c r="Y95" s="6">
        <f t="shared" si="22"/>
        <v>20000</v>
      </c>
      <c r="Z95" s="6">
        <f>Z96</f>
        <v>0</v>
      </c>
      <c r="AA95" s="6"/>
      <c r="AB95" s="6"/>
      <c r="AC95" s="6">
        <f t="shared" si="70"/>
        <v>121674.15</v>
      </c>
      <c r="AD95" s="6">
        <f t="shared" si="6"/>
        <v>20000</v>
      </c>
      <c r="AE95" s="6">
        <v>20000</v>
      </c>
      <c r="AF95" s="32">
        <f>AF96</f>
        <v>17800</v>
      </c>
      <c r="AG95" s="32">
        <f>AG96</f>
        <v>0</v>
      </c>
      <c r="AH95" s="32"/>
      <c r="AI95" s="32"/>
      <c r="AJ95" s="32"/>
      <c r="AK95" s="6">
        <f t="shared" si="64"/>
        <v>121674.15</v>
      </c>
      <c r="AL95" s="6">
        <f t="shared" si="71"/>
        <v>20000</v>
      </c>
      <c r="AM95" s="6">
        <v>20000</v>
      </c>
      <c r="AN95" s="6">
        <f t="shared" si="9"/>
        <v>17800</v>
      </c>
      <c r="AO95" s="6"/>
      <c r="AP95" s="6"/>
      <c r="AQ95" s="6"/>
      <c r="AR95" s="6"/>
      <c r="AS95" s="101">
        <f t="shared" si="59"/>
        <v>121674.15</v>
      </c>
      <c r="AT95" s="101">
        <f t="shared" si="63"/>
        <v>20000</v>
      </c>
      <c r="AU95" s="101">
        <f t="shared" si="72"/>
        <v>20000</v>
      </c>
      <c r="AV95" s="101">
        <f t="shared" si="13"/>
        <v>17800</v>
      </c>
      <c r="AW95" s="101"/>
      <c r="AX95" s="101"/>
      <c r="AY95" s="101"/>
      <c r="AZ95" s="101">
        <f t="shared" si="60"/>
        <v>20000</v>
      </c>
      <c r="BA95" s="101">
        <v>20000</v>
      </c>
      <c r="BB95" s="101">
        <f>BB96</f>
        <v>20000</v>
      </c>
      <c r="BC95" s="101">
        <f>BC96</f>
        <v>20000</v>
      </c>
      <c r="BD95" s="101">
        <f t="shared" si="61"/>
        <v>100</v>
      </c>
      <c r="BE95" s="101">
        <f t="shared" si="62"/>
        <v>100</v>
      </c>
    </row>
    <row r="96" spans="1:57" ht="141" customHeight="1">
      <c r="A96" s="86" t="s">
        <v>288</v>
      </c>
      <c r="B96" s="17" t="s">
        <v>17</v>
      </c>
      <c r="C96" s="17" t="s">
        <v>20</v>
      </c>
      <c r="D96" s="17" t="s">
        <v>18</v>
      </c>
      <c r="E96" s="17" t="s">
        <v>37</v>
      </c>
      <c r="F96" s="17" t="s">
        <v>56</v>
      </c>
      <c r="G96" s="30">
        <v>121674.15</v>
      </c>
      <c r="H96" s="30">
        <v>0</v>
      </c>
      <c r="I96" s="30">
        <v>121674.15</v>
      </c>
      <c r="J96" s="30">
        <v>0</v>
      </c>
      <c r="K96" s="30">
        <v>121674.15</v>
      </c>
      <c r="L96" s="30"/>
      <c r="M96" s="6">
        <f t="shared" si="23"/>
        <v>121674.15</v>
      </c>
      <c r="N96" s="6">
        <v>20000</v>
      </c>
      <c r="O96" s="6"/>
      <c r="P96" s="6"/>
      <c r="Q96" s="6">
        <v>121674.15</v>
      </c>
      <c r="R96" s="6">
        <f t="shared" si="21"/>
        <v>20000</v>
      </c>
      <c r="S96" s="30">
        <v>20000</v>
      </c>
      <c r="T96" s="30"/>
      <c r="U96" s="6"/>
      <c r="V96" s="6"/>
      <c r="W96" s="6">
        <v>121674.15</v>
      </c>
      <c r="X96" s="6">
        <f t="shared" si="4"/>
        <v>20000</v>
      </c>
      <c r="Y96" s="6">
        <f t="shared" si="22"/>
        <v>20000</v>
      </c>
      <c r="Z96" s="6"/>
      <c r="AA96" s="6"/>
      <c r="AB96" s="6"/>
      <c r="AC96" s="6">
        <f t="shared" si="70"/>
        <v>121674.15</v>
      </c>
      <c r="AD96" s="6">
        <f t="shared" si="6"/>
        <v>20000</v>
      </c>
      <c r="AE96" s="6">
        <v>20000</v>
      </c>
      <c r="AF96" s="30">
        <v>17800</v>
      </c>
      <c r="AG96" s="30"/>
      <c r="AH96" s="30"/>
      <c r="AI96" s="30"/>
      <c r="AJ96" s="30"/>
      <c r="AK96" s="6">
        <f t="shared" si="64"/>
        <v>121674.15</v>
      </c>
      <c r="AL96" s="6">
        <f t="shared" si="71"/>
        <v>20000</v>
      </c>
      <c r="AM96" s="6">
        <v>20000</v>
      </c>
      <c r="AN96" s="6">
        <f t="shared" si="9"/>
        <v>17800</v>
      </c>
      <c r="AO96" s="6"/>
      <c r="AP96" s="6"/>
      <c r="AQ96" s="6"/>
      <c r="AR96" s="6"/>
      <c r="AS96" s="101">
        <f t="shared" si="59"/>
        <v>121674.15</v>
      </c>
      <c r="AT96" s="101">
        <f t="shared" si="63"/>
        <v>20000</v>
      </c>
      <c r="AU96" s="101">
        <f t="shared" si="72"/>
        <v>20000</v>
      </c>
      <c r="AV96" s="101">
        <f t="shared" si="13"/>
        <v>17800</v>
      </c>
      <c r="AW96" s="101"/>
      <c r="AX96" s="101"/>
      <c r="AY96" s="101"/>
      <c r="AZ96" s="101">
        <f t="shared" si="60"/>
        <v>20000</v>
      </c>
      <c r="BA96" s="101">
        <v>20000</v>
      </c>
      <c r="BB96" s="102">
        <v>20000</v>
      </c>
      <c r="BC96" s="102">
        <v>20000</v>
      </c>
      <c r="BD96" s="101">
        <f t="shared" si="61"/>
        <v>100</v>
      </c>
      <c r="BE96" s="101">
        <f t="shared" si="62"/>
        <v>100</v>
      </c>
    </row>
    <row r="97" spans="1:61" ht="29.25" customHeight="1">
      <c r="A97" s="85" t="s">
        <v>57</v>
      </c>
      <c r="B97" s="85"/>
      <c r="C97" s="85"/>
      <c r="D97" s="85"/>
      <c r="E97" s="21"/>
      <c r="F97" s="21"/>
      <c r="G97" s="44">
        <f>SUM(G98:G100)</f>
        <v>29046.6</v>
      </c>
      <c r="H97" s="44">
        <f>H98+H100</f>
        <v>0</v>
      </c>
      <c r="I97" s="44">
        <f>I98+I100</f>
        <v>29046.6</v>
      </c>
      <c r="J97" s="44">
        <f>J98+J100</f>
        <v>0</v>
      </c>
      <c r="K97" s="44">
        <f>SUM(K98:K100)</f>
        <v>87967.7</v>
      </c>
      <c r="L97" s="44">
        <f>SUM(L98:L100)</f>
        <v>0</v>
      </c>
      <c r="M97" s="6">
        <f t="shared" ref="M97:O97" si="79">M98+M99+M100</f>
        <v>77372.100000000006</v>
      </c>
      <c r="N97" s="6">
        <f t="shared" si="79"/>
        <v>3312.7</v>
      </c>
      <c r="O97" s="6">
        <f t="shared" si="79"/>
        <v>0</v>
      </c>
      <c r="P97" s="6">
        <f>P98+P99+P100</f>
        <v>0</v>
      </c>
      <c r="Q97" s="6">
        <f>M97+P97</f>
        <v>77372.100000000006</v>
      </c>
      <c r="R97" s="6">
        <f t="shared" si="21"/>
        <v>3312.7</v>
      </c>
      <c r="S97" s="44">
        <f>SUM(S98:S100)</f>
        <v>3020</v>
      </c>
      <c r="T97" s="44">
        <f>SUM(T98:T100)</f>
        <v>0</v>
      </c>
      <c r="U97" s="6">
        <f>U98+U99+U100</f>
        <v>0</v>
      </c>
      <c r="V97" s="6"/>
      <c r="W97" s="6">
        <v>77372.100000000006</v>
      </c>
      <c r="X97" s="6">
        <f t="shared" si="4"/>
        <v>3312.7</v>
      </c>
      <c r="Y97" s="6">
        <f t="shared" si="22"/>
        <v>3020</v>
      </c>
      <c r="Z97" s="6">
        <f>Z98+Z99+Z100</f>
        <v>0</v>
      </c>
      <c r="AA97" s="6">
        <f>AA100</f>
        <v>11768.5</v>
      </c>
      <c r="AB97" s="6"/>
      <c r="AC97" s="6">
        <f t="shared" si="70"/>
        <v>77372.100000000006</v>
      </c>
      <c r="AD97" s="6">
        <f t="shared" si="6"/>
        <v>15081.2</v>
      </c>
      <c r="AE97" s="6">
        <v>3020</v>
      </c>
      <c r="AF97" s="44">
        <f>SUM(AF98:AF100)</f>
        <v>0</v>
      </c>
      <c r="AG97" s="44">
        <f>SUM(AG98:AG100)</f>
        <v>0</v>
      </c>
      <c r="AH97" s="44"/>
      <c r="AI97" s="44"/>
      <c r="AJ97" s="44"/>
      <c r="AK97" s="6">
        <f t="shared" si="64"/>
        <v>77372.100000000006</v>
      </c>
      <c r="AL97" s="6">
        <f t="shared" si="71"/>
        <v>15081.2</v>
      </c>
      <c r="AM97" s="6">
        <v>3020</v>
      </c>
      <c r="AN97" s="6">
        <f t="shared" si="9"/>
        <v>0</v>
      </c>
      <c r="AO97" s="6"/>
      <c r="AP97" s="6"/>
      <c r="AQ97" s="6"/>
      <c r="AR97" s="6"/>
      <c r="AS97" s="101">
        <f t="shared" si="59"/>
        <v>77372.100000000006</v>
      </c>
      <c r="AT97" s="101">
        <f t="shared" si="63"/>
        <v>15081.2</v>
      </c>
      <c r="AU97" s="101">
        <f t="shared" si="72"/>
        <v>3020</v>
      </c>
      <c r="AV97" s="101">
        <f t="shared" si="13"/>
        <v>0</v>
      </c>
      <c r="AW97" s="101"/>
      <c r="AX97" s="101"/>
      <c r="AY97" s="101"/>
      <c r="AZ97" s="101">
        <f t="shared" si="60"/>
        <v>15081.2</v>
      </c>
      <c r="BA97" s="101">
        <v>15081.2</v>
      </c>
      <c r="BB97" s="101">
        <f>BB98+BB99+BB100</f>
        <v>15081.2</v>
      </c>
      <c r="BC97" s="101">
        <f>BC98+BC99+BC100</f>
        <v>15081.2</v>
      </c>
      <c r="BD97" s="101">
        <f t="shared" si="61"/>
        <v>100</v>
      </c>
      <c r="BE97" s="101">
        <f t="shared" si="62"/>
        <v>100</v>
      </c>
      <c r="BF97" s="1"/>
      <c r="BG97" s="1"/>
      <c r="BH97" s="1"/>
      <c r="BI97" s="1"/>
    </row>
    <row r="98" spans="1:61" ht="165" customHeight="1" outlineLevel="1">
      <c r="A98" s="92" t="s">
        <v>43</v>
      </c>
      <c r="B98" s="28" t="s">
        <v>62</v>
      </c>
      <c r="C98" s="17" t="s">
        <v>20</v>
      </c>
      <c r="D98" s="17" t="s">
        <v>11</v>
      </c>
      <c r="E98" s="17" t="s">
        <v>41</v>
      </c>
      <c r="F98" s="17" t="s">
        <v>28</v>
      </c>
      <c r="G98" s="44">
        <v>10900</v>
      </c>
      <c r="H98" s="44"/>
      <c r="I98" s="44">
        <f>G98+H98</f>
        <v>10900</v>
      </c>
      <c r="J98" s="44"/>
      <c r="K98" s="44">
        <f>I98+J98</f>
        <v>10900</v>
      </c>
      <c r="L98" s="44"/>
      <c r="M98" s="6">
        <f t="shared" si="23"/>
        <v>10900</v>
      </c>
      <c r="N98" s="6">
        <v>175</v>
      </c>
      <c r="O98" s="6"/>
      <c r="P98" s="6"/>
      <c r="Q98" s="6">
        <v>10900</v>
      </c>
      <c r="R98" s="6">
        <v>0</v>
      </c>
      <c r="S98" s="35">
        <v>0</v>
      </c>
      <c r="T98" s="35">
        <v>0</v>
      </c>
      <c r="U98" s="6"/>
      <c r="V98" s="6"/>
      <c r="W98" s="6">
        <v>10900</v>
      </c>
      <c r="X98" s="6">
        <f t="shared" si="4"/>
        <v>0</v>
      </c>
      <c r="Y98" s="6">
        <f t="shared" si="22"/>
        <v>0</v>
      </c>
      <c r="Z98" s="6"/>
      <c r="AA98" s="6"/>
      <c r="AB98" s="6"/>
      <c r="AC98" s="6">
        <f t="shared" si="70"/>
        <v>10900</v>
      </c>
      <c r="AD98" s="6">
        <f t="shared" si="6"/>
        <v>0</v>
      </c>
      <c r="AE98" s="6">
        <v>0</v>
      </c>
      <c r="AF98" s="35">
        <v>0</v>
      </c>
      <c r="AG98" s="35">
        <v>0</v>
      </c>
      <c r="AH98" s="35"/>
      <c r="AI98" s="35"/>
      <c r="AJ98" s="35"/>
      <c r="AK98" s="6">
        <f t="shared" si="64"/>
        <v>10900</v>
      </c>
      <c r="AL98" s="6">
        <f t="shared" si="71"/>
        <v>0</v>
      </c>
      <c r="AM98" s="6">
        <v>0</v>
      </c>
      <c r="AN98" s="6">
        <f t="shared" si="9"/>
        <v>0</v>
      </c>
      <c r="AO98" s="6"/>
      <c r="AP98" s="6"/>
      <c r="AQ98" s="6"/>
      <c r="AR98" s="6"/>
      <c r="AS98" s="101">
        <f t="shared" si="59"/>
        <v>10900</v>
      </c>
      <c r="AT98" s="101">
        <f t="shared" si="63"/>
        <v>0</v>
      </c>
      <c r="AU98" s="101">
        <f t="shared" si="72"/>
        <v>0</v>
      </c>
      <c r="AV98" s="101">
        <f t="shared" si="13"/>
        <v>0</v>
      </c>
      <c r="AW98" s="101"/>
      <c r="AX98" s="101"/>
      <c r="AY98" s="101"/>
      <c r="AZ98" s="101">
        <f t="shared" si="60"/>
        <v>0</v>
      </c>
      <c r="BA98" s="101">
        <v>0</v>
      </c>
      <c r="BB98" s="101">
        <v>0</v>
      </c>
      <c r="BC98" s="101"/>
      <c r="BD98" s="101">
        <v>0</v>
      </c>
      <c r="BE98" s="101">
        <v>0</v>
      </c>
      <c r="BF98" s="1"/>
      <c r="BG98" s="1"/>
      <c r="BH98" s="1"/>
      <c r="BI98" s="1"/>
    </row>
    <row r="99" spans="1:61" ht="159" customHeight="1" outlineLevel="1">
      <c r="A99" s="92" t="s">
        <v>123</v>
      </c>
      <c r="B99" s="28" t="s">
        <v>61</v>
      </c>
      <c r="C99" s="17" t="s">
        <v>20</v>
      </c>
      <c r="D99" s="17" t="s">
        <v>11</v>
      </c>
      <c r="E99" s="17" t="s">
        <v>36</v>
      </c>
      <c r="F99" s="17" t="s">
        <v>28</v>
      </c>
      <c r="G99" s="44"/>
      <c r="H99" s="44"/>
      <c r="I99" s="44"/>
      <c r="J99" s="44"/>
      <c r="K99" s="44">
        <v>18146.599999999999</v>
      </c>
      <c r="L99" s="44"/>
      <c r="M99" s="6">
        <f t="shared" si="23"/>
        <v>18146.599999999999</v>
      </c>
      <c r="N99" s="6">
        <v>407</v>
      </c>
      <c r="O99" s="6"/>
      <c r="P99" s="6"/>
      <c r="Q99" s="6">
        <v>18146.599999999999</v>
      </c>
      <c r="R99" s="6">
        <v>0</v>
      </c>
      <c r="S99" s="35">
        <v>0</v>
      </c>
      <c r="T99" s="35">
        <v>0</v>
      </c>
      <c r="U99" s="6"/>
      <c r="V99" s="6"/>
      <c r="W99" s="6">
        <v>18146.599999999999</v>
      </c>
      <c r="X99" s="6">
        <f t="shared" si="4"/>
        <v>0</v>
      </c>
      <c r="Y99" s="6">
        <f t="shared" si="22"/>
        <v>0</v>
      </c>
      <c r="Z99" s="6"/>
      <c r="AA99" s="6"/>
      <c r="AB99" s="6"/>
      <c r="AC99" s="6">
        <f t="shared" si="70"/>
        <v>18146.599999999999</v>
      </c>
      <c r="AD99" s="6">
        <f t="shared" si="6"/>
        <v>0</v>
      </c>
      <c r="AE99" s="6">
        <v>0</v>
      </c>
      <c r="AF99" s="35">
        <v>0</v>
      </c>
      <c r="AG99" s="35">
        <v>0</v>
      </c>
      <c r="AH99" s="35"/>
      <c r="AI99" s="35"/>
      <c r="AJ99" s="35"/>
      <c r="AK99" s="6">
        <f t="shared" si="64"/>
        <v>18146.599999999999</v>
      </c>
      <c r="AL99" s="6">
        <f t="shared" si="71"/>
        <v>0</v>
      </c>
      <c r="AM99" s="6">
        <v>0</v>
      </c>
      <c r="AN99" s="6">
        <f t="shared" si="9"/>
        <v>0</v>
      </c>
      <c r="AO99" s="6"/>
      <c r="AP99" s="6"/>
      <c r="AQ99" s="6"/>
      <c r="AR99" s="6"/>
      <c r="AS99" s="101">
        <f t="shared" si="59"/>
        <v>18146.599999999999</v>
      </c>
      <c r="AT99" s="101">
        <f t="shared" si="63"/>
        <v>0</v>
      </c>
      <c r="AU99" s="101">
        <f t="shared" si="72"/>
        <v>0</v>
      </c>
      <c r="AV99" s="101">
        <f t="shared" si="13"/>
        <v>0</v>
      </c>
      <c r="AW99" s="101"/>
      <c r="AX99" s="101"/>
      <c r="AY99" s="101"/>
      <c r="AZ99" s="101">
        <f t="shared" si="60"/>
        <v>0</v>
      </c>
      <c r="BA99" s="101">
        <v>0</v>
      </c>
      <c r="BB99" s="101">
        <v>0</v>
      </c>
      <c r="BC99" s="101"/>
      <c r="BD99" s="101">
        <v>0</v>
      </c>
      <c r="BE99" s="101">
        <v>0</v>
      </c>
      <c r="BF99" s="1"/>
      <c r="BG99" s="1"/>
      <c r="BH99" s="1"/>
      <c r="BI99" s="1"/>
    </row>
    <row r="100" spans="1:61" ht="165" customHeight="1" outlineLevel="1">
      <c r="A100" s="92" t="s">
        <v>289</v>
      </c>
      <c r="B100" s="28" t="s">
        <v>60</v>
      </c>
      <c r="C100" s="17" t="s">
        <v>20</v>
      </c>
      <c r="D100" s="17" t="s">
        <v>11</v>
      </c>
      <c r="E100" s="17" t="s">
        <v>36</v>
      </c>
      <c r="F100" s="17" t="s">
        <v>26</v>
      </c>
      <c r="G100" s="44">
        <v>18146.599999999999</v>
      </c>
      <c r="H100" s="44"/>
      <c r="I100" s="44">
        <f>G100+H100</f>
        <v>18146.599999999999</v>
      </c>
      <c r="J100" s="44"/>
      <c r="K100" s="44">
        <v>58921.1</v>
      </c>
      <c r="L100" s="44"/>
      <c r="M100" s="6">
        <v>48325.5</v>
      </c>
      <c r="N100" s="6">
        <v>2730.7</v>
      </c>
      <c r="O100" s="6"/>
      <c r="P100" s="6"/>
      <c r="Q100" s="6">
        <f>M100+P100</f>
        <v>48325.5</v>
      </c>
      <c r="R100" s="6">
        <v>3312.7</v>
      </c>
      <c r="S100" s="35">
        <v>3020</v>
      </c>
      <c r="T100" s="35"/>
      <c r="U100" s="6"/>
      <c r="V100" s="6"/>
      <c r="W100" s="6">
        <v>48325.5</v>
      </c>
      <c r="X100" s="6">
        <f t="shared" si="4"/>
        <v>3312.7</v>
      </c>
      <c r="Y100" s="6">
        <f t="shared" si="22"/>
        <v>3020</v>
      </c>
      <c r="Z100" s="6"/>
      <c r="AA100" s="6">
        <v>11768.5</v>
      </c>
      <c r="AB100" s="6"/>
      <c r="AC100" s="6">
        <f t="shared" si="70"/>
        <v>48325.5</v>
      </c>
      <c r="AD100" s="6">
        <f t="shared" si="6"/>
        <v>15081.2</v>
      </c>
      <c r="AE100" s="6">
        <v>3020</v>
      </c>
      <c r="AF100" s="35">
        <v>0</v>
      </c>
      <c r="AG100" s="35">
        <v>0</v>
      </c>
      <c r="AH100" s="35"/>
      <c r="AI100" s="35"/>
      <c r="AJ100" s="35"/>
      <c r="AK100" s="6">
        <f t="shared" si="64"/>
        <v>48325.5</v>
      </c>
      <c r="AL100" s="6">
        <f t="shared" si="71"/>
        <v>15081.2</v>
      </c>
      <c r="AM100" s="6">
        <v>3020</v>
      </c>
      <c r="AN100" s="6">
        <f t="shared" si="9"/>
        <v>0</v>
      </c>
      <c r="AO100" s="6"/>
      <c r="AP100" s="6"/>
      <c r="AQ100" s="6"/>
      <c r="AR100" s="6"/>
      <c r="AS100" s="101">
        <f t="shared" si="59"/>
        <v>48325.5</v>
      </c>
      <c r="AT100" s="101">
        <f t="shared" si="63"/>
        <v>15081.2</v>
      </c>
      <c r="AU100" s="101">
        <f t="shared" si="72"/>
        <v>3020</v>
      </c>
      <c r="AV100" s="101">
        <f t="shared" si="13"/>
        <v>0</v>
      </c>
      <c r="AW100" s="101"/>
      <c r="AX100" s="101"/>
      <c r="AY100" s="101"/>
      <c r="AZ100" s="101">
        <f t="shared" si="60"/>
        <v>15081.2</v>
      </c>
      <c r="BA100" s="101">
        <v>15081.2</v>
      </c>
      <c r="BB100" s="102">
        <v>15081.2</v>
      </c>
      <c r="BC100" s="102">
        <v>15081.2</v>
      </c>
      <c r="BD100" s="101">
        <f t="shared" si="61"/>
        <v>100</v>
      </c>
      <c r="BE100" s="101">
        <f t="shared" si="62"/>
        <v>100</v>
      </c>
      <c r="BF100" s="1"/>
      <c r="BG100" s="1"/>
      <c r="BH100" s="1"/>
      <c r="BI100" s="1"/>
    </row>
    <row r="101" spans="1:61" ht="25.5" customHeight="1" outlineLevel="1">
      <c r="A101" s="77" t="s">
        <v>107</v>
      </c>
      <c r="B101" s="77"/>
      <c r="C101" s="77"/>
      <c r="D101" s="77"/>
      <c r="E101" s="17"/>
      <c r="F101" s="17"/>
      <c r="G101" s="44"/>
      <c r="H101" s="44"/>
      <c r="I101" s="44"/>
      <c r="J101" s="44"/>
      <c r="K101" s="44"/>
      <c r="L101" s="44">
        <f>L102</f>
        <v>128914.7</v>
      </c>
      <c r="M101" s="44">
        <f t="shared" ref="M101:AN101" si="80">M102</f>
        <v>128914.7</v>
      </c>
      <c r="N101" s="44">
        <f t="shared" si="80"/>
        <v>0</v>
      </c>
      <c r="O101" s="44">
        <f t="shared" si="80"/>
        <v>7010.2</v>
      </c>
      <c r="P101" s="44">
        <f t="shared" si="80"/>
        <v>0</v>
      </c>
      <c r="Q101" s="44">
        <v>128914.7</v>
      </c>
      <c r="R101" s="44">
        <f t="shared" si="80"/>
        <v>7010.2</v>
      </c>
      <c r="S101" s="44">
        <f t="shared" si="80"/>
        <v>0</v>
      </c>
      <c r="T101" s="44">
        <f t="shared" si="80"/>
        <v>0</v>
      </c>
      <c r="U101" s="44">
        <f t="shared" si="80"/>
        <v>0</v>
      </c>
      <c r="V101" s="44"/>
      <c r="W101" s="44">
        <v>128914.7</v>
      </c>
      <c r="X101" s="6">
        <f t="shared" si="4"/>
        <v>7010.2</v>
      </c>
      <c r="Y101" s="44">
        <f t="shared" si="80"/>
        <v>0</v>
      </c>
      <c r="Z101" s="44">
        <f t="shared" si="80"/>
        <v>0</v>
      </c>
      <c r="AA101" s="44"/>
      <c r="AB101" s="44"/>
      <c r="AC101" s="6">
        <f t="shared" si="70"/>
        <v>128914.7</v>
      </c>
      <c r="AD101" s="6">
        <f t="shared" si="6"/>
        <v>7010.2</v>
      </c>
      <c r="AE101" s="44">
        <v>0</v>
      </c>
      <c r="AF101" s="44">
        <f t="shared" si="80"/>
        <v>0</v>
      </c>
      <c r="AG101" s="44">
        <f t="shared" si="80"/>
        <v>0</v>
      </c>
      <c r="AH101" s="44"/>
      <c r="AI101" s="44"/>
      <c r="AJ101" s="44"/>
      <c r="AK101" s="6">
        <f t="shared" si="64"/>
        <v>128914.7</v>
      </c>
      <c r="AL101" s="6">
        <f t="shared" si="71"/>
        <v>7010.2</v>
      </c>
      <c r="AM101" s="44">
        <v>0</v>
      </c>
      <c r="AN101" s="44">
        <f t="shared" si="80"/>
        <v>0</v>
      </c>
      <c r="AO101" s="44"/>
      <c r="AP101" s="44"/>
      <c r="AQ101" s="44"/>
      <c r="AR101" s="44"/>
      <c r="AS101" s="101">
        <f t="shared" si="59"/>
        <v>128914.7</v>
      </c>
      <c r="AT101" s="101">
        <f t="shared" si="63"/>
        <v>7010.2</v>
      </c>
      <c r="AU101" s="101">
        <f t="shared" si="72"/>
        <v>0</v>
      </c>
      <c r="AV101" s="101">
        <f t="shared" ref="AV101:AV121" si="81">AN101+AO101</f>
        <v>0</v>
      </c>
      <c r="AW101" s="101"/>
      <c r="AX101" s="101"/>
      <c r="AY101" s="101"/>
      <c r="AZ101" s="101">
        <f t="shared" si="60"/>
        <v>7010.2</v>
      </c>
      <c r="BA101" s="101">
        <v>7010.2</v>
      </c>
      <c r="BB101" s="101">
        <f>BB102</f>
        <v>7010.174</v>
      </c>
      <c r="BC101" s="101">
        <f>BC102</f>
        <v>7010.174</v>
      </c>
      <c r="BD101" s="101">
        <f t="shared" si="61"/>
        <v>99.999629111865573</v>
      </c>
      <c r="BE101" s="101">
        <f t="shared" si="62"/>
        <v>99.999629111865573</v>
      </c>
      <c r="BF101" s="1"/>
      <c r="BG101" s="1"/>
      <c r="BH101" s="1"/>
      <c r="BI101" s="1"/>
    </row>
    <row r="102" spans="1:61" ht="132" customHeight="1" outlineLevel="1">
      <c r="A102" s="64" t="s">
        <v>108</v>
      </c>
      <c r="B102" s="28" t="s">
        <v>109</v>
      </c>
      <c r="C102" s="17" t="s">
        <v>20</v>
      </c>
      <c r="D102" s="17" t="s">
        <v>7</v>
      </c>
      <c r="E102" s="17" t="s">
        <v>36</v>
      </c>
      <c r="F102" s="17" t="s">
        <v>110</v>
      </c>
      <c r="G102" s="44"/>
      <c r="H102" s="44"/>
      <c r="I102" s="44"/>
      <c r="J102" s="44"/>
      <c r="K102" s="44"/>
      <c r="L102" s="44">
        <v>128914.7</v>
      </c>
      <c r="M102" s="6">
        <f t="shared" si="23"/>
        <v>128914.7</v>
      </c>
      <c r="N102" s="6"/>
      <c r="O102" s="6">
        <v>7010.2</v>
      </c>
      <c r="P102" s="6"/>
      <c r="Q102" s="6">
        <v>128914.7</v>
      </c>
      <c r="R102" s="6">
        <f t="shared" si="21"/>
        <v>7010.2</v>
      </c>
      <c r="S102" s="35"/>
      <c r="T102" s="35"/>
      <c r="U102" s="6"/>
      <c r="V102" s="6"/>
      <c r="W102" s="6">
        <v>128914.7</v>
      </c>
      <c r="X102" s="6">
        <f t="shared" si="4"/>
        <v>7010.2</v>
      </c>
      <c r="Y102" s="6">
        <v>0</v>
      </c>
      <c r="Z102" s="6"/>
      <c r="AA102" s="6"/>
      <c r="AB102" s="6"/>
      <c r="AC102" s="6">
        <f t="shared" si="70"/>
        <v>128914.7</v>
      </c>
      <c r="AD102" s="6">
        <f t="shared" si="6"/>
        <v>7010.2</v>
      </c>
      <c r="AE102" s="6">
        <v>0</v>
      </c>
      <c r="AF102" s="35">
        <v>0</v>
      </c>
      <c r="AG102" s="35"/>
      <c r="AH102" s="35"/>
      <c r="AI102" s="35"/>
      <c r="AJ102" s="35"/>
      <c r="AK102" s="6">
        <f t="shared" si="64"/>
        <v>128914.7</v>
      </c>
      <c r="AL102" s="6">
        <f t="shared" si="71"/>
        <v>7010.2</v>
      </c>
      <c r="AM102" s="6">
        <v>0</v>
      </c>
      <c r="AN102" s="6">
        <f t="shared" si="9"/>
        <v>0</v>
      </c>
      <c r="AO102" s="6"/>
      <c r="AP102" s="6"/>
      <c r="AQ102" s="6"/>
      <c r="AR102" s="6"/>
      <c r="AS102" s="101">
        <f t="shared" si="59"/>
        <v>128914.7</v>
      </c>
      <c r="AT102" s="101">
        <f t="shared" si="63"/>
        <v>7010.2</v>
      </c>
      <c r="AU102" s="101">
        <f t="shared" si="72"/>
        <v>0</v>
      </c>
      <c r="AV102" s="101">
        <f t="shared" si="81"/>
        <v>0</v>
      </c>
      <c r="AW102" s="101"/>
      <c r="AX102" s="101"/>
      <c r="AY102" s="101"/>
      <c r="AZ102" s="101">
        <f t="shared" si="60"/>
        <v>7010.2</v>
      </c>
      <c r="BA102" s="101">
        <v>7010.2</v>
      </c>
      <c r="BB102" s="102">
        <v>7010.174</v>
      </c>
      <c r="BC102" s="102">
        <v>7010.174</v>
      </c>
      <c r="BD102" s="101">
        <f t="shared" si="61"/>
        <v>99.999629111865573</v>
      </c>
      <c r="BE102" s="101">
        <f t="shared" si="62"/>
        <v>99.999629111865573</v>
      </c>
      <c r="BF102" s="1"/>
      <c r="BG102" s="1"/>
      <c r="BH102" s="1"/>
      <c r="BI102" s="1"/>
    </row>
    <row r="103" spans="1:61" ht="60.75" customHeight="1" outlineLevel="1">
      <c r="A103" s="91" t="s">
        <v>134</v>
      </c>
      <c r="B103" s="91"/>
      <c r="C103" s="91"/>
      <c r="D103" s="91"/>
      <c r="E103" s="91"/>
      <c r="F103" s="17"/>
      <c r="G103" s="44"/>
      <c r="H103" s="44"/>
      <c r="I103" s="44"/>
      <c r="J103" s="44"/>
      <c r="K103" s="44"/>
      <c r="L103" s="44"/>
      <c r="M103" s="6">
        <f t="shared" ref="M103:O103" si="82">M104+M105+M106</f>
        <v>9070</v>
      </c>
      <c r="N103" s="6">
        <f t="shared" si="82"/>
        <v>0</v>
      </c>
      <c r="O103" s="6">
        <f t="shared" si="82"/>
        <v>0</v>
      </c>
      <c r="P103" s="6">
        <f>P104+P105+P106</f>
        <v>0</v>
      </c>
      <c r="Q103" s="6">
        <f>M103+P103</f>
        <v>9070</v>
      </c>
      <c r="R103" s="6">
        <f t="shared" ref="R103:T103" si="83">R104+R105+R106</f>
        <v>4010</v>
      </c>
      <c r="S103" s="6">
        <f t="shared" si="83"/>
        <v>0</v>
      </c>
      <c r="T103" s="6">
        <f t="shared" si="83"/>
        <v>0</v>
      </c>
      <c r="U103" s="6"/>
      <c r="V103" s="6"/>
      <c r="W103" s="6">
        <v>9070</v>
      </c>
      <c r="X103" s="6">
        <f>R103+U103</f>
        <v>4010</v>
      </c>
      <c r="Y103" s="6">
        <f>Y104+Y105+Y106</f>
        <v>5060</v>
      </c>
      <c r="Z103" s="6">
        <f>Z104+Z105+Z106</f>
        <v>0</v>
      </c>
      <c r="AA103" s="6"/>
      <c r="AB103" s="6"/>
      <c r="AC103" s="6">
        <f t="shared" si="70"/>
        <v>9070</v>
      </c>
      <c r="AD103" s="6">
        <f t="shared" si="6"/>
        <v>4010</v>
      </c>
      <c r="AE103" s="6">
        <f>Y103+Z103</f>
        <v>5060</v>
      </c>
      <c r="AF103" s="6"/>
      <c r="AG103" s="35"/>
      <c r="AH103" s="35"/>
      <c r="AI103" s="35"/>
      <c r="AJ103" s="35"/>
      <c r="AK103" s="6">
        <f t="shared" si="64"/>
        <v>9070</v>
      </c>
      <c r="AL103" s="6">
        <f t="shared" si="71"/>
        <v>4010</v>
      </c>
      <c r="AM103" s="6">
        <v>5060</v>
      </c>
      <c r="AN103" s="6">
        <f t="shared" si="9"/>
        <v>0</v>
      </c>
      <c r="AO103" s="6"/>
      <c r="AP103" s="6"/>
      <c r="AQ103" s="6"/>
      <c r="AR103" s="6"/>
      <c r="AS103" s="101">
        <f t="shared" si="59"/>
        <v>9070</v>
      </c>
      <c r="AT103" s="101">
        <f t="shared" si="63"/>
        <v>4010</v>
      </c>
      <c r="AU103" s="101">
        <f t="shared" si="72"/>
        <v>5060</v>
      </c>
      <c r="AV103" s="101">
        <f t="shared" si="81"/>
        <v>0</v>
      </c>
      <c r="AW103" s="101"/>
      <c r="AX103" s="101"/>
      <c r="AY103" s="101"/>
      <c r="AZ103" s="101">
        <f t="shared" si="60"/>
        <v>4010</v>
      </c>
      <c r="BA103" s="101">
        <v>4010</v>
      </c>
      <c r="BB103" s="101">
        <f>BB104+BB105+BB106</f>
        <v>3468.4794999999999</v>
      </c>
      <c r="BC103" s="101">
        <f>BC104+BC105+BC106</f>
        <v>3468.4794999999999</v>
      </c>
      <c r="BD103" s="101">
        <f t="shared" si="61"/>
        <v>86.495748129675803</v>
      </c>
      <c r="BE103" s="101">
        <f t="shared" si="62"/>
        <v>86.495748129675803</v>
      </c>
      <c r="BF103" s="1"/>
      <c r="BG103" s="1"/>
      <c r="BH103" s="1"/>
      <c r="BI103" s="1"/>
    </row>
    <row r="104" spans="1:61" ht="156" customHeight="1" outlineLevel="1">
      <c r="A104" s="96" t="s">
        <v>150</v>
      </c>
      <c r="B104" s="17" t="s">
        <v>25</v>
      </c>
      <c r="C104" s="17" t="s">
        <v>13</v>
      </c>
      <c r="D104" s="17" t="s">
        <v>6</v>
      </c>
      <c r="E104" s="17" t="s">
        <v>244</v>
      </c>
      <c r="F104" s="17">
        <v>2018</v>
      </c>
      <c r="G104" s="44"/>
      <c r="H104" s="44"/>
      <c r="I104" s="44"/>
      <c r="J104" s="44"/>
      <c r="K104" s="44"/>
      <c r="L104" s="44"/>
      <c r="M104" s="6">
        <v>730</v>
      </c>
      <c r="N104" s="6"/>
      <c r="O104" s="6"/>
      <c r="P104" s="6"/>
      <c r="Q104" s="6">
        <f t="shared" ref="Q104:Q106" si="84">M104+P104</f>
        <v>730</v>
      </c>
      <c r="R104" s="6">
        <v>730</v>
      </c>
      <c r="S104" s="35"/>
      <c r="T104" s="35"/>
      <c r="U104" s="6"/>
      <c r="V104" s="6"/>
      <c r="W104" s="6">
        <v>730</v>
      </c>
      <c r="X104" s="6">
        <f t="shared" ref="X104:X106" si="85">R104+U104</f>
        <v>730</v>
      </c>
      <c r="Y104" s="6"/>
      <c r="Z104" s="6"/>
      <c r="AA104" s="6"/>
      <c r="AB104" s="6"/>
      <c r="AC104" s="6">
        <f t="shared" si="70"/>
        <v>730</v>
      </c>
      <c r="AD104" s="6">
        <f t="shared" ref="AD104:AD121" si="86">X104+AA104</f>
        <v>730</v>
      </c>
      <c r="AE104" s="6">
        <f t="shared" ref="AE104:AE106" si="87">Y104+Z104</f>
        <v>0</v>
      </c>
      <c r="AF104" s="35"/>
      <c r="AG104" s="35"/>
      <c r="AH104" s="35"/>
      <c r="AI104" s="35"/>
      <c r="AJ104" s="35"/>
      <c r="AK104" s="6">
        <f t="shared" si="64"/>
        <v>730</v>
      </c>
      <c r="AL104" s="6">
        <f t="shared" si="71"/>
        <v>730</v>
      </c>
      <c r="AM104" s="6">
        <v>0</v>
      </c>
      <c r="AN104" s="6">
        <f t="shared" si="9"/>
        <v>0</v>
      </c>
      <c r="AO104" s="6"/>
      <c r="AP104" s="6"/>
      <c r="AQ104" s="6"/>
      <c r="AR104" s="6"/>
      <c r="AS104" s="101">
        <f t="shared" si="59"/>
        <v>730</v>
      </c>
      <c r="AT104" s="101">
        <f t="shared" si="63"/>
        <v>730</v>
      </c>
      <c r="AU104" s="101">
        <f t="shared" si="72"/>
        <v>0</v>
      </c>
      <c r="AV104" s="101">
        <f t="shared" si="81"/>
        <v>0</v>
      </c>
      <c r="AW104" s="101"/>
      <c r="AX104" s="101"/>
      <c r="AY104" s="101"/>
      <c r="AZ104" s="101">
        <f t="shared" si="60"/>
        <v>730</v>
      </c>
      <c r="BA104" s="101">
        <v>730</v>
      </c>
      <c r="BB104" s="102">
        <f>193.4795</f>
        <v>193.4795</v>
      </c>
      <c r="BC104" s="102">
        <v>193.4795</v>
      </c>
      <c r="BD104" s="101">
        <f t="shared" si="61"/>
        <v>26.504041095890411</v>
      </c>
      <c r="BE104" s="101">
        <f t="shared" si="62"/>
        <v>26.504041095890411</v>
      </c>
      <c r="BF104" s="1"/>
      <c r="BG104" s="1"/>
      <c r="BH104" s="1"/>
      <c r="BI104" s="1"/>
    </row>
    <row r="105" spans="1:61" ht="150.75" customHeight="1" outlineLevel="1">
      <c r="A105" s="96" t="s">
        <v>135</v>
      </c>
      <c r="B105" s="17" t="s">
        <v>25</v>
      </c>
      <c r="C105" s="17" t="s">
        <v>13</v>
      </c>
      <c r="D105" s="17" t="s">
        <v>6</v>
      </c>
      <c r="E105" s="17" t="s">
        <v>244</v>
      </c>
      <c r="F105" s="17" t="s">
        <v>26</v>
      </c>
      <c r="G105" s="44"/>
      <c r="H105" s="44"/>
      <c r="I105" s="44"/>
      <c r="J105" s="44"/>
      <c r="K105" s="44"/>
      <c r="L105" s="44"/>
      <c r="M105" s="6">
        <v>1070</v>
      </c>
      <c r="N105" s="6"/>
      <c r="O105" s="6"/>
      <c r="P105" s="6"/>
      <c r="Q105" s="6">
        <f t="shared" si="84"/>
        <v>1070</v>
      </c>
      <c r="R105" s="6">
        <v>1070</v>
      </c>
      <c r="S105" s="35"/>
      <c r="T105" s="35"/>
      <c r="U105" s="6"/>
      <c r="V105" s="6"/>
      <c r="W105" s="6">
        <v>1070</v>
      </c>
      <c r="X105" s="6">
        <f t="shared" si="85"/>
        <v>1070</v>
      </c>
      <c r="Y105" s="6"/>
      <c r="Z105" s="6"/>
      <c r="AA105" s="6"/>
      <c r="AB105" s="6"/>
      <c r="AC105" s="6">
        <f t="shared" si="70"/>
        <v>1070</v>
      </c>
      <c r="AD105" s="6">
        <f t="shared" si="86"/>
        <v>1070</v>
      </c>
      <c r="AE105" s="6">
        <f t="shared" si="87"/>
        <v>0</v>
      </c>
      <c r="AF105" s="35"/>
      <c r="AG105" s="35"/>
      <c r="AH105" s="35"/>
      <c r="AI105" s="35"/>
      <c r="AJ105" s="35"/>
      <c r="AK105" s="6">
        <f t="shared" si="64"/>
        <v>1070</v>
      </c>
      <c r="AL105" s="6">
        <f t="shared" si="71"/>
        <v>1070</v>
      </c>
      <c r="AM105" s="6">
        <v>0</v>
      </c>
      <c r="AN105" s="6">
        <f t="shared" si="9"/>
        <v>0</v>
      </c>
      <c r="AO105" s="6"/>
      <c r="AP105" s="6"/>
      <c r="AQ105" s="6"/>
      <c r="AR105" s="6"/>
      <c r="AS105" s="101">
        <f t="shared" si="59"/>
        <v>1070</v>
      </c>
      <c r="AT105" s="101">
        <f t="shared" si="63"/>
        <v>1070</v>
      </c>
      <c r="AU105" s="101">
        <f t="shared" si="72"/>
        <v>0</v>
      </c>
      <c r="AV105" s="101">
        <f t="shared" si="81"/>
        <v>0</v>
      </c>
      <c r="AW105" s="101"/>
      <c r="AX105" s="101"/>
      <c r="AY105" s="101"/>
      <c r="AZ105" s="101">
        <f t="shared" si="60"/>
        <v>1070</v>
      </c>
      <c r="BA105" s="101">
        <v>1070</v>
      </c>
      <c r="BB105" s="102">
        <f>1065</f>
        <v>1065</v>
      </c>
      <c r="BC105" s="102">
        <f>1065</f>
        <v>1065</v>
      </c>
      <c r="BD105" s="101">
        <f t="shared" si="61"/>
        <v>99.532710280373834</v>
      </c>
      <c r="BE105" s="101">
        <f t="shared" si="62"/>
        <v>99.532710280373834</v>
      </c>
      <c r="BF105" s="1"/>
      <c r="BG105" s="1"/>
      <c r="BH105" s="1"/>
      <c r="BI105" s="1"/>
    </row>
    <row r="106" spans="1:61" ht="150.75" customHeight="1" outlineLevel="1">
      <c r="A106" s="96" t="s">
        <v>136</v>
      </c>
      <c r="B106" s="17" t="s">
        <v>25</v>
      </c>
      <c r="C106" s="17" t="s">
        <v>13</v>
      </c>
      <c r="D106" s="17" t="s">
        <v>6</v>
      </c>
      <c r="E106" s="62" t="s">
        <v>244</v>
      </c>
      <c r="F106" s="17" t="s">
        <v>26</v>
      </c>
      <c r="G106" s="44"/>
      <c r="H106" s="44"/>
      <c r="I106" s="44"/>
      <c r="J106" s="44"/>
      <c r="K106" s="44"/>
      <c r="L106" s="44"/>
      <c r="M106" s="6">
        <v>7270</v>
      </c>
      <c r="N106" s="6"/>
      <c r="O106" s="6"/>
      <c r="P106" s="6"/>
      <c r="Q106" s="6">
        <f t="shared" si="84"/>
        <v>7270</v>
      </c>
      <c r="R106" s="6">
        <v>2210</v>
      </c>
      <c r="S106" s="35"/>
      <c r="T106" s="35"/>
      <c r="U106" s="6"/>
      <c r="V106" s="6"/>
      <c r="W106" s="6">
        <v>7270</v>
      </c>
      <c r="X106" s="6">
        <f t="shared" si="85"/>
        <v>2210</v>
      </c>
      <c r="Y106" s="6">
        <v>5060</v>
      </c>
      <c r="Z106" s="6"/>
      <c r="AA106" s="6"/>
      <c r="AB106" s="6"/>
      <c r="AC106" s="6">
        <f t="shared" si="70"/>
        <v>7270</v>
      </c>
      <c r="AD106" s="6">
        <f t="shared" si="86"/>
        <v>2210</v>
      </c>
      <c r="AE106" s="6">
        <f t="shared" si="87"/>
        <v>5060</v>
      </c>
      <c r="AF106" s="35"/>
      <c r="AG106" s="35"/>
      <c r="AH106" s="35"/>
      <c r="AI106" s="35"/>
      <c r="AJ106" s="35"/>
      <c r="AK106" s="6">
        <f t="shared" si="64"/>
        <v>7270</v>
      </c>
      <c r="AL106" s="6">
        <f t="shared" si="71"/>
        <v>2210</v>
      </c>
      <c r="AM106" s="6">
        <v>5060</v>
      </c>
      <c r="AN106" s="6">
        <f t="shared" si="9"/>
        <v>0</v>
      </c>
      <c r="AO106" s="6"/>
      <c r="AP106" s="6"/>
      <c r="AQ106" s="6"/>
      <c r="AR106" s="6"/>
      <c r="AS106" s="101">
        <f t="shared" si="59"/>
        <v>7270</v>
      </c>
      <c r="AT106" s="101">
        <f t="shared" si="63"/>
        <v>2210</v>
      </c>
      <c r="AU106" s="101">
        <f t="shared" si="72"/>
        <v>5060</v>
      </c>
      <c r="AV106" s="101">
        <f t="shared" si="81"/>
        <v>0</v>
      </c>
      <c r="AW106" s="101"/>
      <c r="AX106" s="101"/>
      <c r="AY106" s="101"/>
      <c r="AZ106" s="101">
        <f t="shared" si="60"/>
        <v>2210</v>
      </c>
      <c r="BA106" s="101">
        <v>2210</v>
      </c>
      <c r="BB106" s="102">
        <v>2210</v>
      </c>
      <c r="BC106" s="102">
        <v>2210</v>
      </c>
      <c r="BD106" s="101">
        <f t="shared" si="61"/>
        <v>100</v>
      </c>
      <c r="BE106" s="101">
        <f t="shared" si="62"/>
        <v>100</v>
      </c>
      <c r="BF106" s="1"/>
      <c r="BG106" s="1"/>
      <c r="BH106" s="1"/>
      <c r="BI106" s="1"/>
    </row>
    <row r="107" spans="1:61" s="3" customFormat="1" ht="39.75" customHeight="1">
      <c r="A107" s="85" t="s">
        <v>269</v>
      </c>
      <c r="B107" s="91"/>
      <c r="C107" s="91"/>
      <c r="D107" s="91"/>
      <c r="E107" s="45"/>
      <c r="F107" s="45"/>
      <c r="G107" s="46">
        <f t="shared" ref="G107:J107" si="88">SUM(G108:G110)</f>
        <v>515133</v>
      </c>
      <c r="H107" s="46">
        <f t="shared" si="88"/>
        <v>0</v>
      </c>
      <c r="I107" s="46">
        <f t="shared" si="88"/>
        <v>515133</v>
      </c>
      <c r="J107" s="46">
        <f t="shared" si="88"/>
        <v>-2505</v>
      </c>
      <c r="K107" s="6">
        <f>SUM(K108:K110)</f>
        <v>512635.89999999997</v>
      </c>
      <c r="L107" s="6">
        <f>SUM(L108:L110)</f>
        <v>0</v>
      </c>
      <c r="M107" s="6">
        <f>SUM(M108:M111)</f>
        <v>512635.89999999997</v>
      </c>
      <c r="N107" s="6">
        <f t="shared" ref="N107:P107" si="89">SUM(N108:N111)</f>
        <v>12588</v>
      </c>
      <c r="O107" s="6">
        <f t="shared" si="89"/>
        <v>0</v>
      </c>
      <c r="P107" s="6">
        <f t="shared" si="89"/>
        <v>5586</v>
      </c>
      <c r="Q107" s="6">
        <f>P107+M107</f>
        <v>518221.89999999997</v>
      </c>
      <c r="R107" s="6">
        <f>SUM(R108:R111)</f>
        <v>12588</v>
      </c>
      <c r="S107" s="6">
        <f t="shared" ref="S107:U107" si="90">SUM(S108:S111)</f>
        <v>56789.8</v>
      </c>
      <c r="T107" s="6">
        <f t="shared" si="90"/>
        <v>0</v>
      </c>
      <c r="U107" s="6">
        <f t="shared" si="90"/>
        <v>5586</v>
      </c>
      <c r="V107" s="6"/>
      <c r="W107" s="6">
        <v>518221.89999999997</v>
      </c>
      <c r="X107" s="6">
        <f>R107+U107</f>
        <v>18174</v>
      </c>
      <c r="Y107" s="6">
        <f>SUM(Y108:Y111)</f>
        <v>56789.8</v>
      </c>
      <c r="Z107" s="6">
        <f>Z108+Z109+Z110</f>
        <v>0</v>
      </c>
      <c r="AA107" s="6"/>
      <c r="AB107" s="6"/>
      <c r="AC107" s="6">
        <f t="shared" si="70"/>
        <v>518221.89999999997</v>
      </c>
      <c r="AD107" s="6">
        <f t="shared" si="86"/>
        <v>18174</v>
      </c>
      <c r="AE107" s="6">
        <v>56789.8</v>
      </c>
      <c r="AF107" s="6">
        <f>SUM(AF108:AF111)</f>
        <v>164913.29999999999</v>
      </c>
      <c r="AG107" s="6">
        <f t="shared" ref="AG107" si="91">SUM(AG108:AG110)</f>
        <v>0</v>
      </c>
      <c r="AH107" s="6"/>
      <c r="AI107" s="6"/>
      <c r="AJ107" s="6"/>
      <c r="AK107" s="6">
        <f t="shared" si="64"/>
        <v>518221.89999999997</v>
      </c>
      <c r="AL107" s="6">
        <f t="shared" si="71"/>
        <v>18174</v>
      </c>
      <c r="AM107" s="6">
        <v>56789.8</v>
      </c>
      <c r="AN107" s="6">
        <f t="shared" si="9"/>
        <v>164913.29999999999</v>
      </c>
      <c r="AO107" s="6"/>
      <c r="AP107" s="6"/>
      <c r="AQ107" s="6"/>
      <c r="AR107" s="6"/>
      <c r="AS107" s="101">
        <f t="shared" si="59"/>
        <v>518221.89999999997</v>
      </c>
      <c r="AT107" s="101">
        <f t="shared" si="63"/>
        <v>18174</v>
      </c>
      <c r="AU107" s="101">
        <f t="shared" si="72"/>
        <v>56789.8</v>
      </c>
      <c r="AV107" s="101">
        <f t="shared" si="81"/>
        <v>164913.29999999999</v>
      </c>
      <c r="AW107" s="101"/>
      <c r="AX107" s="101"/>
      <c r="AY107" s="101"/>
      <c r="AZ107" s="101">
        <f t="shared" si="60"/>
        <v>18174</v>
      </c>
      <c r="BA107" s="101">
        <v>18174</v>
      </c>
      <c r="BB107" s="101">
        <f>BB108+BB109+BB110</f>
        <v>8258.0513300000002</v>
      </c>
      <c r="BC107" s="101">
        <f>BC108+BC109+BC110</f>
        <v>6993.5769799999998</v>
      </c>
      <c r="BD107" s="101">
        <f t="shared" si="61"/>
        <v>38.481220314735339</v>
      </c>
      <c r="BE107" s="101">
        <f t="shared" si="62"/>
        <v>38.481220314735339</v>
      </c>
    </row>
    <row r="108" spans="1:61" s="3" customFormat="1" ht="137.25" customHeight="1" outlineLevel="1">
      <c r="A108" s="86" t="s">
        <v>290</v>
      </c>
      <c r="B108" s="40" t="s">
        <v>27</v>
      </c>
      <c r="C108" s="17" t="s">
        <v>5</v>
      </c>
      <c r="D108" s="17" t="s">
        <v>7</v>
      </c>
      <c r="E108" s="17" t="s">
        <v>10</v>
      </c>
      <c r="F108" s="17" t="s">
        <v>52</v>
      </c>
      <c r="G108" s="44">
        <v>345409</v>
      </c>
      <c r="H108" s="44"/>
      <c r="I108" s="44">
        <v>345409</v>
      </c>
      <c r="J108" s="44">
        <v>-1727</v>
      </c>
      <c r="K108" s="44">
        <f>I108+J108</f>
        <v>343682</v>
      </c>
      <c r="L108" s="44"/>
      <c r="M108" s="6">
        <f t="shared" si="23"/>
        <v>343682</v>
      </c>
      <c r="N108" s="6">
        <v>11111.1</v>
      </c>
      <c r="O108" s="6"/>
      <c r="P108" s="6">
        <v>5586</v>
      </c>
      <c r="Q108" s="6">
        <f>M108+P108</f>
        <v>349268</v>
      </c>
      <c r="R108" s="6">
        <f t="shared" si="21"/>
        <v>11111.1</v>
      </c>
      <c r="S108" s="35">
        <v>55508.9</v>
      </c>
      <c r="T108" s="35"/>
      <c r="U108" s="6">
        <v>5586</v>
      </c>
      <c r="V108" s="6"/>
      <c r="W108" s="6">
        <v>349268</v>
      </c>
      <c r="X108" s="6">
        <f t="shared" si="4"/>
        <v>16697.099999999999</v>
      </c>
      <c r="Y108" s="6">
        <f t="shared" si="22"/>
        <v>55508.9</v>
      </c>
      <c r="Z108" s="6"/>
      <c r="AA108" s="6"/>
      <c r="AB108" s="6"/>
      <c r="AC108" s="6">
        <f t="shared" si="70"/>
        <v>349268</v>
      </c>
      <c r="AD108" s="6">
        <f t="shared" si="86"/>
        <v>16697.099999999999</v>
      </c>
      <c r="AE108" s="6">
        <v>55508.9</v>
      </c>
      <c r="AF108" s="35">
        <v>0</v>
      </c>
      <c r="AG108" s="35">
        <v>0</v>
      </c>
      <c r="AH108" s="35"/>
      <c r="AI108" s="35"/>
      <c r="AJ108" s="35"/>
      <c r="AK108" s="6">
        <f t="shared" si="64"/>
        <v>349268</v>
      </c>
      <c r="AL108" s="6">
        <f t="shared" si="71"/>
        <v>16697.099999999999</v>
      </c>
      <c r="AM108" s="6">
        <v>55508.9</v>
      </c>
      <c r="AN108" s="6">
        <f t="shared" si="9"/>
        <v>0</v>
      </c>
      <c r="AO108" s="6"/>
      <c r="AP108" s="6"/>
      <c r="AQ108" s="6"/>
      <c r="AR108" s="6"/>
      <c r="AS108" s="101">
        <f t="shared" si="59"/>
        <v>349268</v>
      </c>
      <c r="AT108" s="101">
        <f t="shared" si="63"/>
        <v>16697.099999999999</v>
      </c>
      <c r="AU108" s="101">
        <f t="shared" si="72"/>
        <v>55508.9</v>
      </c>
      <c r="AV108" s="101">
        <f t="shared" si="81"/>
        <v>0</v>
      </c>
      <c r="AW108" s="101"/>
      <c r="AX108" s="101"/>
      <c r="AY108" s="101"/>
      <c r="AZ108" s="101">
        <f t="shared" si="60"/>
        <v>16697.099999999999</v>
      </c>
      <c r="BA108" s="101">
        <v>16697.099999999999</v>
      </c>
      <c r="BB108" s="102">
        <v>8170.1791599999997</v>
      </c>
      <c r="BC108" s="102">
        <v>6905.7048100000002</v>
      </c>
      <c r="BD108" s="101">
        <f t="shared" si="61"/>
        <v>41.35870785944865</v>
      </c>
      <c r="BE108" s="101">
        <f t="shared" si="62"/>
        <v>41.35870785944865</v>
      </c>
    </row>
    <row r="109" spans="1:61" s="3" customFormat="1" ht="129.75" customHeight="1" outlineLevel="1">
      <c r="A109" s="87" t="s">
        <v>291</v>
      </c>
      <c r="B109" s="47" t="s">
        <v>25</v>
      </c>
      <c r="C109" s="17" t="s">
        <v>5</v>
      </c>
      <c r="D109" s="17" t="s">
        <v>7</v>
      </c>
      <c r="E109" s="17" t="s">
        <v>10</v>
      </c>
      <c r="F109" s="17" t="s">
        <v>56</v>
      </c>
      <c r="G109" s="35">
        <v>167029.29999999999</v>
      </c>
      <c r="H109" s="35"/>
      <c r="I109" s="35">
        <v>167029.29999999999</v>
      </c>
      <c r="J109" s="35">
        <v>-835.2</v>
      </c>
      <c r="K109" s="35">
        <f>S109+AF109</f>
        <v>166194.19999999998</v>
      </c>
      <c r="L109" s="35"/>
      <c r="M109" s="6">
        <f t="shared" si="23"/>
        <v>166194.19999999998</v>
      </c>
      <c r="N109" s="6">
        <v>0</v>
      </c>
      <c r="O109" s="6">
        <v>0</v>
      </c>
      <c r="P109" s="6">
        <f t="shared" ref="P109" si="92">N109+O109</f>
        <v>0</v>
      </c>
      <c r="Q109" s="6">
        <f t="shared" ref="Q109:Q111" si="93">M109+P109</f>
        <v>166194.19999999998</v>
      </c>
      <c r="R109" s="6">
        <f t="shared" si="21"/>
        <v>0</v>
      </c>
      <c r="S109" s="44">
        <v>1280.9000000000001</v>
      </c>
      <c r="T109" s="44"/>
      <c r="U109" s="6"/>
      <c r="V109" s="6"/>
      <c r="W109" s="6">
        <v>166194.19999999998</v>
      </c>
      <c r="X109" s="6">
        <f t="shared" si="4"/>
        <v>0</v>
      </c>
      <c r="Y109" s="6">
        <f t="shared" si="22"/>
        <v>1280.9000000000001</v>
      </c>
      <c r="Z109" s="6"/>
      <c r="AA109" s="6"/>
      <c r="AB109" s="6"/>
      <c r="AC109" s="6">
        <f t="shared" si="70"/>
        <v>166194.19999999998</v>
      </c>
      <c r="AD109" s="6">
        <f t="shared" si="86"/>
        <v>0</v>
      </c>
      <c r="AE109" s="6">
        <v>1280.9000000000001</v>
      </c>
      <c r="AF109" s="44">
        <v>164913.29999999999</v>
      </c>
      <c r="AG109" s="44"/>
      <c r="AH109" s="44"/>
      <c r="AI109" s="44"/>
      <c r="AJ109" s="44"/>
      <c r="AK109" s="6">
        <f t="shared" si="64"/>
        <v>166194.19999999998</v>
      </c>
      <c r="AL109" s="6">
        <f t="shared" si="71"/>
        <v>0</v>
      </c>
      <c r="AM109" s="6">
        <v>1280.9000000000001</v>
      </c>
      <c r="AN109" s="6">
        <f t="shared" si="9"/>
        <v>164913.29999999999</v>
      </c>
      <c r="AO109" s="6"/>
      <c r="AP109" s="6"/>
      <c r="AQ109" s="6"/>
      <c r="AR109" s="6"/>
      <c r="AS109" s="101">
        <f t="shared" si="59"/>
        <v>166194.19999999998</v>
      </c>
      <c r="AT109" s="101">
        <f t="shared" si="63"/>
        <v>0</v>
      </c>
      <c r="AU109" s="101">
        <f t="shared" si="72"/>
        <v>1280.9000000000001</v>
      </c>
      <c r="AV109" s="101">
        <f t="shared" si="81"/>
        <v>164913.29999999999</v>
      </c>
      <c r="AW109" s="101"/>
      <c r="AX109" s="101"/>
      <c r="AY109" s="101"/>
      <c r="AZ109" s="101">
        <f t="shared" si="60"/>
        <v>0</v>
      </c>
      <c r="BA109" s="101">
        <v>0</v>
      </c>
      <c r="BB109" s="101">
        <v>0</v>
      </c>
      <c r="BC109" s="101"/>
      <c r="BD109" s="101">
        <v>0</v>
      </c>
      <c r="BE109" s="101">
        <v>0</v>
      </c>
    </row>
    <row r="110" spans="1:61" s="3" customFormat="1" ht="187.5" customHeight="1" outlineLevel="1">
      <c r="A110" s="87" t="s">
        <v>292</v>
      </c>
      <c r="B110" s="47" t="s">
        <v>25</v>
      </c>
      <c r="C110" s="17" t="s">
        <v>5</v>
      </c>
      <c r="D110" s="17" t="s">
        <v>7</v>
      </c>
      <c r="E110" s="17" t="s">
        <v>10</v>
      </c>
      <c r="F110" s="17" t="s">
        <v>15</v>
      </c>
      <c r="G110" s="35">
        <v>2694.7</v>
      </c>
      <c r="H110" s="35"/>
      <c r="I110" s="35">
        <v>2694.7</v>
      </c>
      <c r="J110" s="35">
        <v>57.2</v>
      </c>
      <c r="K110" s="35">
        <v>2759.7</v>
      </c>
      <c r="L110" s="35"/>
      <c r="M110" s="6">
        <f t="shared" si="23"/>
        <v>2759.7</v>
      </c>
      <c r="N110" s="6">
        <v>1476.9</v>
      </c>
      <c r="O110" s="6"/>
      <c r="P110" s="6"/>
      <c r="Q110" s="6">
        <f t="shared" si="93"/>
        <v>2759.7</v>
      </c>
      <c r="R110" s="6">
        <f t="shared" si="21"/>
        <v>1476.9</v>
      </c>
      <c r="S110" s="35">
        <v>0</v>
      </c>
      <c r="T110" s="35">
        <v>0</v>
      </c>
      <c r="U110" s="6"/>
      <c r="V110" s="6"/>
      <c r="W110" s="6">
        <v>2759.7</v>
      </c>
      <c r="X110" s="6">
        <f>R110+U110</f>
        <v>1476.9</v>
      </c>
      <c r="Y110" s="6">
        <f t="shared" si="22"/>
        <v>0</v>
      </c>
      <c r="Z110" s="6"/>
      <c r="AA110" s="6"/>
      <c r="AB110" s="6"/>
      <c r="AC110" s="6">
        <f t="shared" si="70"/>
        <v>2759.7</v>
      </c>
      <c r="AD110" s="6">
        <f t="shared" si="86"/>
        <v>1476.9</v>
      </c>
      <c r="AE110" s="6">
        <v>0</v>
      </c>
      <c r="AF110" s="35">
        <v>0</v>
      </c>
      <c r="AG110" s="35">
        <v>0</v>
      </c>
      <c r="AH110" s="35"/>
      <c r="AI110" s="35"/>
      <c r="AJ110" s="35"/>
      <c r="AK110" s="6">
        <f t="shared" si="64"/>
        <v>2759.7</v>
      </c>
      <c r="AL110" s="6">
        <f t="shared" si="71"/>
        <v>1476.9</v>
      </c>
      <c r="AM110" s="6">
        <v>0</v>
      </c>
      <c r="AN110" s="6">
        <f t="shared" si="9"/>
        <v>0</v>
      </c>
      <c r="AO110" s="6"/>
      <c r="AP110" s="6"/>
      <c r="AQ110" s="6"/>
      <c r="AR110" s="6"/>
      <c r="AS110" s="101">
        <f t="shared" si="59"/>
        <v>2759.7</v>
      </c>
      <c r="AT110" s="101">
        <f t="shared" si="63"/>
        <v>1476.9</v>
      </c>
      <c r="AU110" s="101">
        <f t="shared" si="72"/>
        <v>0</v>
      </c>
      <c r="AV110" s="101">
        <f t="shared" si="81"/>
        <v>0</v>
      </c>
      <c r="AW110" s="101"/>
      <c r="AX110" s="101"/>
      <c r="AY110" s="101"/>
      <c r="AZ110" s="101">
        <f t="shared" si="60"/>
        <v>1476.9</v>
      </c>
      <c r="BA110" s="101">
        <v>1476.9</v>
      </c>
      <c r="BB110" s="102">
        <v>87.872169999999997</v>
      </c>
      <c r="BC110" s="102">
        <v>87.872169999999997</v>
      </c>
      <c r="BD110" s="101">
        <f t="shared" si="61"/>
        <v>5.94977114225743</v>
      </c>
      <c r="BE110" s="101">
        <f t="shared" si="62"/>
        <v>5.94977114225743</v>
      </c>
    </row>
    <row r="111" spans="1:61" s="3" customFormat="1" ht="36.75" hidden="1" customHeight="1" outlineLevel="1">
      <c r="A111" s="21" t="s">
        <v>142</v>
      </c>
      <c r="B111" s="48" t="s">
        <v>145</v>
      </c>
      <c r="C111" s="17" t="s">
        <v>5</v>
      </c>
      <c r="D111" s="17" t="s">
        <v>7</v>
      </c>
      <c r="E111" s="17" t="s">
        <v>10</v>
      </c>
      <c r="F111" s="17" t="s">
        <v>50</v>
      </c>
      <c r="G111" s="35"/>
      <c r="H111" s="35"/>
      <c r="I111" s="35"/>
      <c r="J111" s="35"/>
      <c r="K111" s="35"/>
      <c r="L111" s="35"/>
      <c r="M111" s="6"/>
      <c r="N111" s="6"/>
      <c r="O111" s="6"/>
      <c r="P111" s="6"/>
      <c r="Q111" s="6">
        <f t="shared" si="93"/>
        <v>0</v>
      </c>
      <c r="R111" s="6"/>
      <c r="S111" s="35"/>
      <c r="T111" s="35"/>
      <c r="U111" s="6"/>
      <c r="V111" s="6"/>
      <c r="W111" s="6">
        <v>0</v>
      </c>
      <c r="X111" s="6">
        <f>R111+U111</f>
        <v>0</v>
      </c>
      <c r="Y111" s="6">
        <v>0</v>
      </c>
      <c r="Z111" s="6"/>
      <c r="AA111" s="6"/>
      <c r="AB111" s="6"/>
      <c r="AC111" s="6">
        <f t="shared" si="70"/>
        <v>0</v>
      </c>
      <c r="AD111" s="6">
        <f t="shared" si="86"/>
        <v>0</v>
      </c>
      <c r="AE111" s="6">
        <v>0</v>
      </c>
      <c r="AF111" s="35">
        <v>0</v>
      </c>
      <c r="AG111" s="35"/>
      <c r="AH111" s="35"/>
      <c r="AI111" s="35"/>
      <c r="AJ111" s="35"/>
      <c r="AK111" s="6">
        <f t="shared" si="64"/>
        <v>0</v>
      </c>
      <c r="AL111" s="6">
        <f t="shared" si="71"/>
        <v>0</v>
      </c>
      <c r="AM111" s="6">
        <v>0</v>
      </c>
      <c r="AN111" s="6"/>
      <c r="AO111" s="6"/>
      <c r="AP111" s="6"/>
      <c r="AQ111" s="6"/>
      <c r="AR111" s="6"/>
      <c r="AS111" s="101">
        <f t="shared" si="59"/>
        <v>0</v>
      </c>
      <c r="AT111" s="101">
        <f t="shared" si="63"/>
        <v>0</v>
      </c>
      <c r="AU111" s="101">
        <f t="shared" si="72"/>
        <v>0</v>
      </c>
      <c r="AV111" s="101">
        <f t="shared" si="81"/>
        <v>0</v>
      </c>
      <c r="AW111" s="101"/>
      <c r="AX111" s="101"/>
      <c r="AY111" s="101"/>
      <c r="AZ111" s="101">
        <f t="shared" si="60"/>
        <v>0</v>
      </c>
      <c r="BA111" s="101">
        <v>0</v>
      </c>
      <c r="BB111" s="101">
        <v>0</v>
      </c>
      <c r="BC111" s="101"/>
      <c r="BD111" s="101" t="e">
        <f t="shared" si="61"/>
        <v>#DIV/0!</v>
      </c>
      <c r="BE111" s="101" t="e">
        <f t="shared" si="62"/>
        <v>#DIV/0!</v>
      </c>
    </row>
    <row r="112" spans="1:61" s="3" customFormat="1" ht="67.5" customHeight="1">
      <c r="A112" s="85" t="s">
        <v>226</v>
      </c>
      <c r="B112" s="91"/>
      <c r="C112" s="91"/>
      <c r="D112" s="91"/>
      <c r="E112" s="45"/>
      <c r="F112" s="45"/>
      <c r="G112" s="46" t="e">
        <f>G113+#REF!</f>
        <v>#REF!</v>
      </c>
      <c r="H112" s="46" t="e">
        <f>H113+#REF!</f>
        <v>#REF!</v>
      </c>
      <c r="I112" s="46" t="e">
        <f>I113+#REF!+I114</f>
        <v>#REF!</v>
      </c>
      <c r="J112" s="46" t="e">
        <f>J113+#REF!+J114</f>
        <v>#REF!</v>
      </c>
      <c r="K112" s="46">
        <f>K113+K114</f>
        <v>192899.20000000001</v>
      </c>
      <c r="L112" s="46">
        <f>L113+L114</f>
        <v>0</v>
      </c>
      <c r="M112" s="6">
        <f t="shared" si="23"/>
        <v>192899.20000000001</v>
      </c>
      <c r="N112" s="46">
        <f>N113+N114</f>
        <v>106045.2</v>
      </c>
      <c r="O112" s="46">
        <f t="shared" ref="O112" si="94">O113+O114</f>
        <v>0</v>
      </c>
      <c r="P112" s="6">
        <f>P113+P114</f>
        <v>0</v>
      </c>
      <c r="Q112" s="46">
        <v>192899.20000000001</v>
      </c>
      <c r="R112" s="6">
        <f t="shared" si="21"/>
        <v>106045.2</v>
      </c>
      <c r="S112" s="46">
        <f>S113+S114</f>
        <v>10000</v>
      </c>
      <c r="T112" s="46">
        <f>T113+T114</f>
        <v>0</v>
      </c>
      <c r="U112" s="6">
        <f>U113+U114</f>
        <v>0</v>
      </c>
      <c r="V112" s="6"/>
      <c r="W112" s="6">
        <v>192899.20000000001</v>
      </c>
      <c r="X112" s="6">
        <f t="shared" si="4"/>
        <v>106045.2</v>
      </c>
      <c r="Y112" s="6">
        <f t="shared" si="22"/>
        <v>10000</v>
      </c>
      <c r="Z112" s="6">
        <f>Z113+Z114</f>
        <v>0</v>
      </c>
      <c r="AA112" s="6"/>
      <c r="AB112" s="6">
        <f>AB113+AB114+AB115</f>
        <v>31478.5</v>
      </c>
      <c r="AC112" s="6">
        <f t="shared" si="70"/>
        <v>224377.7</v>
      </c>
      <c r="AD112" s="6">
        <f t="shared" si="86"/>
        <v>106045.2</v>
      </c>
      <c r="AE112" s="6">
        <v>10000</v>
      </c>
      <c r="AF112" s="46">
        <f>AF113+AF114</f>
        <v>0</v>
      </c>
      <c r="AG112" s="46">
        <f>AG113+AG114</f>
        <v>0</v>
      </c>
      <c r="AH112" s="46"/>
      <c r="AI112" s="6">
        <f>AI113+AI114+AI115</f>
        <v>0</v>
      </c>
      <c r="AJ112" s="6"/>
      <c r="AK112" s="6">
        <f t="shared" si="64"/>
        <v>224377.7</v>
      </c>
      <c r="AL112" s="6">
        <f t="shared" si="71"/>
        <v>106045.2</v>
      </c>
      <c r="AM112" s="6">
        <v>10000</v>
      </c>
      <c r="AN112" s="6">
        <f t="shared" si="9"/>
        <v>0</v>
      </c>
      <c r="AO112" s="6"/>
      <c r="AP112" s="6">
        <f>AP113+AP114+AP115</f>
        <v>14937.1</v>
      </c>
      <c r="AQ112" s="6"/>
      <c r="AR112" s="6"/>
      <c r="AS112" s="101">
        <f t="shared" si="59"/>
        <v>224377.7</v>
      </c>
      <c r="AT112" s="101">
        <f t="shared" si="63"/>
        <v>106045.2</v>
      </c>
      <c r="AU112" s="101">
        <f t="shared" si="72"/>
        <v>24937.1</v>
      </c>
      <c r="AV112" s="101">
        <f t="shared" si="81"/>
        <v>0</v>
      </c>
      <c r="AW112" s="101"/>
      <c r="AX112" s="101"/>
      <c r="AY112" s="101">
        <f>AY114</f>
        <v>-69361.100000000006</v>
      </c>
      <c r="AZ112" s="101">
        <f t="shared" si="60"/>
        <v>36684.099999999991</v>
      </c>
      <c r="BA112" s="101">
        <v>36684.099999999991</v>
      </c>
      <c r="BB112" s="101">
        <f>BB113+BB114+BB115</f>
        <v>36684.1</v>
      </c>
      <c r="BC112" s="101">
        <f>BC113+BC114+BC115</f>
        <v>36684.1</v>
      </c>
      <c r="BD112" s="101">
        <f t="shared" si="61"/>
        <v>100.00000000000003</v>
      </c>
      <c r="BE112" s="101">
        <f t="shared" si="62"/>
        <v>100.00000000000003</v>
      </c>
    </row>
    <row r="113" spans="1:57" s="3" customFormat="1" ht="139.5" customHeight="1" outlineLevel="1">
      <c r="A113" s="86" t="s">
        <v>89</v>
      </c>
      <c r="B113" s="17" t="s">
        <v>218</v>
      </c>
      <c r="C113" s="17" t="s">
        <v>20</v>
      </c>
      <c r="D113" s="17" t="s">
        <v>18</v>
      </c>
      <c r="E113" s="17" t="s">
        <v>38</v>
      </c>
      <c r="F113" s="17" t="s">
        <v>26</v>
      </c>
      <c r="G113" s="35">
        <v>63797.7</v>
      </c>
      <c r="H113" s="35"/>
      <c r="I113" s="35">
        <v>63797.7</v>
      </c>
      <c r="J113" s="35"/>
      <c r="K113" s="35">
        <v>63797.7</v>
      </c>
      <c r="L113" s="35"/>
      <c r="M113" s="6">
        <f t="shared" si="23"/>
        <v>63797.7</v>
      </c>
      <c r="N113" s="6">
        <v>33133.199999999997</v>
      </c>
      <c r="O113" s="6"/>
      <c r="P113" s="6"/>
      <c r="Q113" s="6">
        <v>63797.7</v>
      </c>
      <c r="R113" s="6">
        <f t="shared" si="21"/>
        <v>33133.199999999997</v>
      </c>
      <c r="S113" s="6">
        <v>10000</v>
      </c>
      <c r="T113" s="6"/>
      <c r="U113" s="6"/>
      <c r="V113" s="6"/>
      <c r="W113" s="6">
        <v>63797.7</v>
      </c>
      <c r="X113" s="6">
        <f t="shared" si="4"/>
        <v>33133.199999999997</v>
      </c>
      <c r="Y113" s="6">
        <f t="shared" si="22"/>
        <v>10000</v>
      </c>
      <c r="Z113" s="6"/>
      <c r="AA113" s="6"/>
      <c r="AB113" s="6"/>
      <c r="AC113" s="6">
        <f t="shared" si="70"/>
        <v>63797.7</v>
      </c>
      <c r="AD113" s="6">
        <f t="shared" si="86"/>
        <v>33133.199999999997</v>
      </c>
      <c r="AE113" s="6">
        <v>10000</v>
      </c>
      <c r="AF113" s="35">
        <v>0</v>
      </c>
      <c r="AG113" s="35">
        <v>0</v>
      </c>
      <c r="AH113" s="35"/>
      <c r="AI113" s="35"/>
      <c r="AJ113" s="35"/>
      <c r="AK113" s="6">
        <f t="shared" si="64"/>
        <v>63797.7</v>
      </c>
      <c r="AL113" s="6">
        <f t="shared" si="71"/>
        <v>33133.199999999997</v>
      </c>
      <c r="AM113" s="6">
        <v>10000</v>
      </c>
      <c r="AN113" s="6">
        <f t="shared" si="9"/>
        <v>0</v>
      </c>
      <c r="AO113" s="6"/>
      <c r="AP113" s="6"/>
      <c r="AQ113" s="6"/>
      <c r="AR113" s="6"/>
      <c r="AS113" s="101">
        <f t="shared" si="59"/>
        <v>63797.7</v>
      </c>
      <c r="AT113" s="101">
        <f t="shared" si="63"/>
        <v>33133.199999999997</v>
      </c>
      <c r="AU113" s="101">
        <f t="shared" si="72"/>
        <v>10000</v>
      </c>
      <c r="AV113" s="101">
        <f t="shared" si="81"/>
        <v>0</v>
      </c>
      <c r="AW113" s="101"/>
      <c r="AX113" s="101"/>
      <c r="AY113" s="101"/>
      <c r="AZ113" s="101">
        <f t="shared" si="60"/>
        <v>33133.199999999997</v>
      </c>
      <c r="BA113" s="101">
        <v>33133.199999999997</v>
      </c>
      <c r="BB113" s="102">
        <v>33133.199999999997</v>
      </c>
      <c r="BC113" s="102">
        <v>33133.199999999997</v>
      </c>
      <c r="BD113" s="101">
        <f t="shared" si="61"/>
        <v>100</v>
      </c>
      <c r="BE113" s="101">
        <f t="shared" si="62"/>
        <v>100</v>
      </c>
    </row>
    <row r="114" spans="1:57" s="3" customFormat="1" ht="142.5" customHeight="1" outlineLevel="1">
      <c r="A114" s="86" t="s">
        <v>293</v>
      </c>
      <c r="B114" s="17" t="s">
        <v>219</v>
      </c>
      <c r="C114" s="17" t="s">
        <v>20</v>
      </c>
      <c r="D114" s="17" t="s">
        <v>18</v>
      </c>
      <c r="E114" s="17" t="s">
        <v>46</v>
      </c>
      <c r="F114" s="17" t="s">
        <v>50</v>
      </c>
      <c r="G114" s="35">
        <v>0</v>
      </c>
      <c r="H114" s="35">
        <v>129101.46</v>
      </c>
      <c r="I114" s="35"/>
      <c r="J114" s="35">
        <v>129101.5</v>
      </c>
      <c r="K114" s="35">
        <f>I114+J114</f>
        <v>129101.5</v>
      </c>
      <c r="L114" s="35"/>
      <c r="M114" s="6">
        <f t="shared" si="23"/>
        <v>129101.5</v>
      </c>
      <c r="N114" s="35">
        <v>72912</v>
      </c>
      <c r="O114" s="35"/>
      <c r="P114" s="6"/>
      <c r="Q114" s="35">
        <v>129101.5</v>
      </c>
      <c r="R114" s="6">
        <f t="shared" si="21"/>
        <v>72912</v>
      </c>
      <c r="S114" s="35">
        <v>0</v>
      </c>
      <c r="T114" s="35">
        <v>0</v>
      </c>
      <c r="U114" s="6"/>
      <c r="V114" s="6"/>
      <c r="W114" s="6">
        <v>129101.5</v>
      </c>
      <c r="X114" s="6">
        <f t="shared" si="4"/>
        <v>72912</v>
      </c>
      <c r="Y114" s="6">
        <f t="shared" si="22"/>
        <v>0</v>
      </c>
      <c r="Z114" s="6"/>
      <c r="AA114" s="6"/>
      <c r="AB114" s="6"/>
      <c r="AC114" s="6">
        <f t="shared" si="70"/>
        <v>129101.5</v>
      </c>
      <c r="AD114" s="6">
        <f t="shared" si="86"/>
        <v>72912</v>
      </c>
      <c r="AE114" s="6">
        <v>0</v>
      </c>
      <c r="AF114" s="35">
        <v>0</v>
      </c>
      <c r="AG114" s="35">
        <v>0</v>
      </c>
      <c r="AH114" s="35"/>
      <c r="AI114" s="35"/>
      <c r="AJ114" s="35"/>
      <c r="AK114" s="6">
        <f t="shared" si="64"/>
        <v>129101.5</v>
      </c>
      <c r="AL114" s="6">
        <f t="shared" si="71"/>
        <v>72912</v>
      </c>
      <c r="AM114" s="6">
        <v>0</v>
      </c>
      <c r="AN114" s="6">
        <f t="shared" si="9"/>
        <v>0</v>
      </c>
      <c r="AO114" s="6"/>
      <c r="AP114" s="6"/>
      <c r="AQ114" s="6"/>
      <c r="AR114" s="6"/>
      <c r="AS114" s="101">
        <f t="shared" si="59"/>
        <v>129101.5</v>
      </c>
      <c r="AT114" s="101">
        <f t="shared" si="63"/>
        <v>72912</v>
      </c>
      <c r="AU114" s="101">
        <f t="shared" si="72"/>
        <v>0</v>
      </c>
      <c r="AV114" s="101">
        <f t="shared" si="81"/>
        <v>0</v>
      </c>
      <c r="AW114" s="101"/>
      <c r="AX114" s="101"/>
      <c r="AY114" s="101">
        <v>-69361.100000000006</v>
      </c>
      <c r="AZ114" s="101">
        <f t="shared" si="60"/>
        <v>3550.8999999999942</v>
      </c>
      <c r="BA114" s="101">
        <v>3550.8999999999942</v>
      </c>
      <c r="BB114" s="102">
        <v>3550.9</v>
      </c>
      <c r="BC114" s="102">
        <v>3550.9</v>
      </c>
      <c r="BD114" s="101">
        <f t="shared" si="61"/>
        <v>100.00000000000016</v>
      </c>
      <c r="BE114" s="101">
        <f t="shared" si="62"/>
        <v>100.00000000000016</v>
      </c>
    </row>
    <row r="115" spans="1:57" s="3" customFormat="1" ht="139.5" customHeight="1" outlineLevel="1">
      <c r="A115" s="86" t="s">
        <v>197</v>
      </c>
      <c r="B115" s="17" t="s">
        <v>220</v>
      </c>
      <c r="C115" s="17" t="s">
        <v>20</v>
      </c>
      <c r="D115" s="17" t="s">
        <v>18</v>
      </c>
      <c r="E115" s="17" t="s">
        <v>46</v>
      </c>
      <c r="F115" s="17">
        <v>2019</v>
      </c>
      <c r="G115" s="35"/>
      <c r="H115" s="35"/>
      <c r="I115" s="35"/>
      <c r="J115" s="35"/>
      <c r="K115" s="35"/>
      <c r="L115" s="35"/>
      <c r="M115" s="6"/>
      <c r="N115" s="35"/>
      <c r="O115" s="35"/>
      <c r="P115" s="6"/>
      <c r="Q115" s="35"/>
      <c r="R115" s="6"/>
      <c r="S115" s="35"/>
      <c r="T115" s="35"/>
      <c r="U115" s="6"/>
      <c r="V115" s="6"/>
      <c r="W115" s="6"/>
      <c r="X115" s="6"/>
      <c r="Y115" s="6"/>
      <c r="Z115" s="6"/>
      <c r="AA115" s="6"/>
      <c r="AB115" s="6">
        <v>31478.5</v>
      </c>
      <c r="AC115" s="6">
        <f t="shared" si="70"/>
        <v>31478.5</v>
      </c>
      <c r="AD115" s="6"/>
      <c r="AE115" s="6"/>
      <c r="AF115" s="35"/>
      <c r="AG115" s="35"/>
      <c r="AH115" s="35"/>
      <c r="AI115" s="35"/>
      <c r="AJ115" s="35"/>
      <c r="AK115" s="6">
        <f t="shared" si="64"/>
        <v>31478.5</v>
      </c>
      <c r="AL115" s="6">
        <f t="shared" si="71"/>
        <v>0</v>
      </c>
      <c r="AM115" s="6"/>
      <c r="AN115" s="6"/>
      <c r="AO115" s="6"/>
      <c r="AP115" s="6">
        <v>14937.1</v>
      </c>
      <c r="AQ115" s="6"/>
      <c r="AR115" s="6"/>
      <c r="AS115" s="101">
        <f t="shared" si="59"/>
        <v>31478.5</v>
      </c>
      <c r="AT115" s="101">
        <f t="shared" si="63"/>
        <v>0</v>
      </c>
      <c r="AU115" s="101">
        <f t="shared" si="72"/>
        <v>14937.1</v>
      </c>
      <c r="AV115" s="101"/>
      <c r="AW115" s="101"/>
      <c r="AX115" s="101"/>
      <c r="AY115" s="101"/>
      <c r="AZ115" s="101">
        <f t="shared" si="60"/>
        <v>0</v>
      </c>
      <c r="BA115" s="101">
        <v>0</v>
      </c>
      <c r="BB115" s="101">
        <v>0</v>
      </c>
      <c r="BC115" s="101"/>
      <c r="BD115" s="101">
        <v>0</v>
      </c>
      <c r="BE115" s="101">
        <v>0</v>
      </c>
    </row>
    <row r="116" spans="1:57" s="3" customFormat="1" ht="47.25" customHeight="1">
      <c r="A116" s="85" t="s">
        <v>270</v>
      </c>
      <c r="B116" s="91"/>
      <c r="C116" s="91"/>
      <c r="D116" s="91"/>
      <c r="E116" s="45"/>
      <c r="F116" s="45"/>
      <c r="G116" s="46">
        <f>G117</f>
        <v>82464.67</v>
      </c>
      <c r="H116" s="46">
        <f>H117</f>
        <v>0</v>
      </c>
      <c r="I116" s="46">
        <f>G116+H116</f>
        <v>82464.67</v>
      </c>
      <c r="J116" s="46">
        <f>J117</f>
        <v>0</v>
      </c>
      <c r="K116" s="46">
        <f>K117</f>
        <v>98595.09</v>
      </c>
      <c r="L116" s="46">
        <f>L117</f>
        <v>0</v>
      </c>
      <c r="M116" s="6">
        <f t="shared" si="23"/>
        <v>98595.09</v>
      </c>
      <c r="N116" s="46">
        <f>N117</f>
        <v>2310</v>
      </c>
      <c r="O116" s="46">
        <f t="shared" ref="O116" si="95">O117</f>
        <v>0</v>
      </c>
      <c r="P116" s="6">
        <f>P117</f>
        <v>0</v>
      </c>
      <c r="Q116" s="46">
        <v>98595.09</v>
      </c>
      <c r="R116" s="6">
        <f t="shared" si="21"/>
        <v>2310</v>
      </c>
      <c r="S116" s="46">
        <f>S117</f>
        <v>3840</v>
      </c>
      <c r="T116" s="46">
        <f>T117</f>
        <v>0</v>
      </c>
      <c r="U116" s="6">
        <f>U117</f>
        <v>0</v>
      </c>
      <c r="V116" s="6"/>
      <c r="W116" s="6">
        <v>98595.09</v>
      </c>
      <c r="X116" s="6">
        <f t="shared" si="4"/>
        <v>2310</v>
      </c>
      <c r="Y116" s="6">
        <f t="shared" si="22"/>
        <v>3840</v>
      </c>
      <c r="Z116" s="6">
        <f>Z117</f>
        <v>0</v>
      </c>
      <c r="AA116" s="6"/>
      <c r="AB116" s="6">
        <f>AB118</f>
        <v>6439.3</v>
      </c>
      <c r="AC116" s="6">
        <f t="shared" si="70"/>
        <v>105034.39</v>
      </c>
      <c r="AD116" s="6">
        <f t="shared" si="86"/>
        <v>2310</v>
      </c>
      <c r="AE116" s="6">
        <v>3840</v>
      </c>
      <c r="AF116" s="46">
        <f>AF117</f>
        <v>0</v>
      </c>
      <c r="AG116" s="46">
        <f>AG117</f>
        <v>0</v>
      </c>
      <c r="AH116" s="46"/>
      <c r="AI116" s="6">
        <f>AI118</f>
        <v>6289.1</v>
      </c>
      <c r="AJ116" s="6"/>
      <c r="AK116" s="6">
        <f t="shared" si="64"/>
        <v>105034.39</v>
      </c>
      <c r="AL116" s="6">
        <f t="shared" si="71"/>
        <v>8599.1</v>
      </c>
      <c r="AM116" s="6">
        <v>3840</v>
      </c>
      <c r="AN116" s="6">
        <f t="shared" si="9"/>
        <v>0</v>
      </c>
      <c r="AO116" s="6"/>
      <c r="AP116" s="6"/>
      <c r="AQ116" s="6"/>
      <c r="AR116" s="6"/>
      <c r="AS116" s="101">
        <f t="shared" si="59"/>
        <v>105034.39</v>
      </c>
      <c r="AT116" s="101">
        <f t="shared" si="63"/>
        <v>8599.1</v>
      </c>
      <c r="AU116" s="101">
        <f t="shared" si="72"/>
        <v>3840</v>
      </c>
      <c r="AV116" s="101">
        <f t="shared" si="81"/>
        <v>0</v>
      </c>
      <c r="AW116" s="101"/>
      <c r="AX116" s="101"/>
      <c r="AY116" s="101"/>
      <c r="AZ116" s="101">
        <f t="shared" si="60"/>
        <v>8599.1</v>
      </c>
      <c r="BA116" s="101">
        <v>8599.1</v>
      </c>
      <c r="BB116" s="101">
        <f>BB117+BB118</f>
        <v>8594.6555599999992</v>
      </c>
      <c r="BC116" s="101">
        <f>BC117+BC118</f>
        <v>8594.6255600000004</v>
      </c>
      <c r="BD116" s="101">
        <f t="shared" si="61"/>
        <v>99.947966182507471</v>
      </c>
      <c r="BE116" s="101">
        <f t="shared" si="62"/>
        <v>99.947966182507471</v>
      </c>
    </row>
    <row r="117" spans="1:57" s="3" customFormat="1" ht="153.75" customHeight="1">
      <c r="A117" s="63" t="s">
        <v>124</v>
      </c>
      <c r="B117" s="17" t="s">
        <v>59</v>
      </c>
      <c r="C117" s="17" t="s">
        <v>20</v>
      </c>
      <c r="D117" s="17" t="s">
        <v>11</v>
      </c>
      <c r="E117" s="17" t="s">
        <v>78</v>
      </c>
      <c r="F117" s="17" t="s">
        <v>84</v>
      </c>
      <c r="G117" s="35">
        <v>82464.67</v>
      </c>
      <c r="H117" s="35"/>
      <c r="I117" s="35">
        <v>82464.67</v>
      </c>
      <c r="J117" s="35"/>
      <c r="K117" s="35">
        <v>98595.09</v>
      </c>
      <c r="L117" s="35"/>
      <c r="M117" s="6">
        <f t="shared" si="23"/>
        <v>98595.09</v>
      </c>
      <c r="N117" s="6">
        <v>2310</v>
      </c>
      <c r="O117" s="6"/>
      <c r="P117" s="6"/>
      <c r="Q117" s="6">
        <v>98595.09</v>
      </c>
      <c r="R117" s="6">
        <f t="shared" si="21"/>
        <v>2310</v>
      </c>
      <c r="S117" s="6">
        <v>3840</v>
      </c>
      <c r="T117" s="6"/>
      <c r="U117" s="6"/>
      <c r="V117" s="6"/>
      <c r="W117" s="6">
        <v>98595.09</v>
      </c>
      <c r="X117" s="6">
        <f t="shared" ref="X117:X121" si="96">R117+U117</f>
        <v>2310</v>
      </c>
      <c r="Y117" s="6">
        <f t="shared" si="22"/>
        <v>3840</v>
      </c>
      <c r="Z117" s="6"/>
      <c r="AA117" s="6"/>
      <c r="AB117" s="6"/>
      <c r="AC117" s="6">
        <f t="shared" si="70"/>
        <v>98595.09</v>
      </c>
      <c r="AD117" s="6">
        <f t="shared" si="86"/>
        <v>2310</v>
      </c>
      <c r="AE117" s="6">
        <v>3840</v>
      </c>
      <c r="AF117" s="35">
        <v>0</v>
      </c>
      <c r="AG117" s="35">
        <v>0</v>
      </c>
      <c r="AH117" s="35"/>
      <c r="AI117" s="35"/>
      <c r="AJ117" s="35"/>
      <c r="AK117" s="6">
        <f t="shared" si="64"/>
        <v>98595.09</v>
      </c>
      <c r="AL117" s="6">
        <f t="shared" si="71"/>
        <v>2310</v>
      </c>
      <c r="AM117" s="6">
        <v>3840</v>
      </c>
      <c r="AN117" s="6">
        <f t="shared" si="9"/>
        <v>0</v>
      </c>
      <c r="AO117" s="6"/>
      <c r="AP117" s="6"/>
      <c r="AQ117" s="6"/>
      <c r="AR117" s="6"/>
      <c r="AS117" s="101">
        <f t="shared" si="59"/>
        <v>98595.09</v>
      </c>
      <c r="AT117" s="101">
        <f t="shared" si="63"/>
        <v>2310</v>
      </c>
      <c r="AU117" s="101">
        <f t="shared" si="72"/>
        <v>3840</v>
      </c>
      <c r="AV117" s="101">
        <f t="shared" si="81"/>
        <v>0</v>
      </c>
      <c r="AW117" s="101"/>
      <c r="AX117" s="101"/>
      <c r="AY117" s="101"/>
      <c r="AZ117" s="101">
        <f t="shared" si="60"/>
        <v>2310</v>
      </c>
      <c r="BA117" s="101">
        <v>2310</v>
      </c>
      <c r="BB117" s="102">
        <v>2305.5555599999998</v>
      </c>
      <c r="BC117" s="102">
        <v>2305.5555599999998</v>
      </c>
      <c r="BD117" s="101">
        <f t="shared" si="61"/>
        <v>99.807599999999979</v>
      </c>
      <c r="BE117" s="101">
        <f t="shared" si="62"/>
        <v>99.807599999999979</v>
      </c>
    </row>
    <row r="118" spans="1:57" s="3" customFormat="1" ht="153.75" customHeight="1">
      <c r="A118" s="63" t="s">
        <v>200</v>
      </c>
      <c r="B118" s="17" t="s">
        <v>201</v>
      </c>
      <c r="C118" s="17" t="s">
        <v>204</v>
      </c>
      <c r="D118" s="17" t="s">
        <v>202</v>
      </c>
      <c r="E118" s="17" t="s">
        <v>203</v>
      </c>
      <c r="F118" s="17" t="s">
        <v>26</v>
      </c>
      <c r="G118" s="35"/>
      <c r="H118" s="35"/>
      <c r="I118" s="35"/>
      <c r="J118" s="35"/>
      <c r="K118" s="35"/>
      <c r="L118" s="35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>
        <v>6439.3</v>
      </c>
      <c r="AC118" s="6">
        <f t="shared" si="70"/>
        <v>6439.3</v>
      </c>
      <c r="AD118" s="6"/>
      <c r="AE118" s="6"/>
      <c r="AF118" s="35"/>
      <c r="AG118" s="35"/>
      <c r="AH118" s="35"/>
      <c r="AI118" s="6">
        <v>6289.1</v>
      </c>
      <c r="AJ118" s="6"/>
      <c r="AK118" s="6">
        <f t="shared" si="64"/>
        <v>6439.3</v>
      </c>
      <c r="AL118" s="6">
        <f t="shared" si="71"/>
        <v>6289.1</v>
      </c>
      <c r="AM118" s="6"/>
      <c r="AN118" s="6"/>
      <c r="AO118" s="6"/>
      <c r="AP118" s="6"/>
      <c r="AQ118" s="6"/>
      <c r="AR118" s="6"/>
      <c r="AS118" s="101">
        <f t="shared" si="59"/>
        <v>6439.3</v>
      </c>
      <c r="AT118" s="101">
        <f t="shared" si="63"/>
        <v>6289.1</v>
      </c>
      <c r="AU118" s="101">
        <v>0</v>
      </c>
      <c r="AV118" s="101"/>
      <c r="AW118" s="101"/>
      <c r="AX118" s="101"/>
      <c r="AY118" s="101"/>
      <c r="AZ118" s="101">
        <f t="shared" si="60"/>
        <v>6289.1</v>
      </c>
      <c r="BA118" s="101">
        <v>6289.1</v>
      </c>
      <c r="BB118" s="102">
        <v>6289.1</v>
      </c>
      <c r="BC118" s="102">
        <v>6289.07</v>
      </c>
      <c r="BD118" s="101">
        <f t="shared" si="61"/>
        <v>99.99952298421077</v>
      </c>
      <c r="BE118" s="101">
        <f t="shared" si="62"/>
        <v>99.99952298421077</v>
      </c>
    </row>
    <row r="119" spans="1:57" s="3" customFormat="1" ht="38.25" customHeight="1">
      <c r="A119" s="79" t="s">
        <v>271</v>
      </c>
      <c r="B119" s="79"/>
      <c r="C119" s="79"/>
      <c r="D119" s="79"/>
      <c r="E119" s="17"/>
      <c r="F119" s="17"/>
      <c r="G119" s="35"/>
      <c r="H119" s="35"/>
      <c r="I119" s="35"/>
      <c r="J119" s="35"/>
      <c r="K119" s="35">
        <f>K120</f>
        <v>0</v>
      </c>
      <c r="L119" s="35">
        <f t="shared" ref="L119:O119" si="97">L120</f>
        <v>295051.8</v>
      </c>
      <c r="M119" s="35">
        <f>M120+M121</f>
        <v>489978.3</v>
      </c>
      <c r="N119" s="35">
        <f t="shared" si="97"/>
        <v>0</v>
      </c>
      <c r="O119" s="35">
        <f t="shared" si="97"/>
        <v>122307.8</v>
      </c>
      <c r="P119" s="35">
        <f>P120+P121</f>
        <v>0</v>
      </c>
      <c r="Q119" s="35">
        <v>489978.3</v>
      </c>
      <c r="R119" s="35">
        <f>R120+R121</f>
        <v>122307.8</v>
      </c>
      <c r="S119" s="35">
        <f t="shared" ref="S119:AF119" si="98">S120+S121</f>
        <v>0</v>
      </c>
      <c r="T119" s="35">
        <f t="shared" si="98"/>
        <v>0</v>
      </c>
      <c r="U119" s="35">
        <f>U120+U121</f>
        <v>0</v>
      </c>
      <c r="V119" s="35"/>
      <c r="W119" s="35">
        <v>489978.3</v>
      </c>
      <c r="X119" s="6">
        <f t="shared" si="96"/>
        <v>122307.8</v>
      </c>
      <c r="Y119" s="35">
        <f t="shared" si="98"/>
        <v>0</v>
      </c>
      <c r="Z119" s="35">
        <f>Z120+Z121</f>
        <v>0</v>
      </c>
      <c r="AA119" s="35"/>
      <c r="AB119" s="35"/>
      <c r="AC119" s="6">
        <f t="shared" si="70"/>
        <v>489978.3</v>
      </c>
      <c r="AD119" s="6">
        <f t="shared" si="86"/>
        <v>122307.8</v>
      </c>
      <c r="AE119" s="35">
        <v>0</v>
      </c>
      <c r="AF119" s="35">
        <f t="shared" si="98"/>
        <v>0</v>
      </c>
      <c r="AG119" s="35">
        <f>AG120+AG121</f>
        <v>0</v>
      </c>
      <c r="AH119" s="35"/>
      <c r="AI119" s="35"/>
      <c r="AJ119" s="35"/>
      <c r="AK119" s="6">
        <f t="shared" si="64"/>
        <v>489978.3</v>
      </c>
      <c r="AL119" s="6">
        <f t="shared" si="71"/>
        <v>122307.8</v>
      </c>
      <c r="AM119" s="35">
        <v>0</v>
      </c>
      <c r="AN119" s="6">
        <f t="shared" si="9"/>
        <v>0</v>
      </c>
      <c r="AO119" s="6"/>
      <c r="AP119" s="6"/>
      <c r="AQ119" s="6"/>
      <c r="AR119" s="6"/>
      <c r="AS119" s="101">
        <f t="shared" si="59"/>
        <v>489978.3</v>
      </c>
      <c r="AT119" s="101">
        <f t="shared" si="63"/>
        <v>122307.8</v>
      </c>
      <c r="AU119" s="101">
        <f t="shared" si="72"/>
        <v>0</v>
      </c>
      <c r="AV119" s="101">
        <f t="shared" si="81"/>
        <v>0</v>
      </c>
      <c r="AW119" s="101"/>
      <c r="AX119" s="101"/>
      <c r="AY119" s="101"/>
      <c r="AZ119" s="101">
        <f>AZ120+AZ121+AZ122</f>
        <v>93200.300000000017</v>
      </c>
      <c r="BA119" s="101">
        <v>93200.300000000017</v>
      </c>
      <c r="BB119" s="101">
        <f>BB120+BB121+BB122</f>
        <v>87979.192519999997</v>
      </c>
      <c r="BC119" s="101">
        <f>BC120+BC121+BC122</f>
        <v>87388.217749999996</v>
      </c>
      <c r="BD119" s="101">
        <f t="shared" si="61"/>
        <v>93.763880320127697</v>
      </c>
      <c r="BE119" s="101">
        <f t="shared" si="62"/>
        <v>93.763880320127697</v>
      </c>
    </row>
    <row r="120" spans="1:57" s="3" customFormat="1" ht="146.25" customHeight="1">
      <c r="A120" s="89" t="s">
        <v>114</v>
      </c>
      <c r="B120" s="26" t="s">
        <v>115</v>
      </c>
      <c r="C120" s="26" t="s">
        <v>112</v>
      </c>
      <c r="D120" s="26" t="s">
        <v>11</v>
      </c>
      <c r="E120" s="26" t="s">
        <v>113</v>
      </c>
      <c r="F120" s="26" t="s">
        <v>50</v>
      </c>
      <c r="G120" s="35"/>
      <c r="H120" s="35"/>
      <c r="I120" s="35"/>
      <c r="J120" s="35"/>
      <c r="K120" s="35"/>
      <c r="L120" s="35">
        <f>122307.8+172744</f>
        <v>295051.8</v>
      </c>
      <c r="M120" s="6">
        <f t="shared" si="23"/>
        <v>295051.8</v>
      </c>
      <c r="N120" s="6"/>
      <c r="O120" s="6">
        <f>64616.5+57691.3</f>
        <v>122307.8</v>
      </c>
      <c r="P120" s="6"/>
      <c r="Q120" s="6">
        <v>295051.8</v>
      </c>
      <c r="R120" s="6">
        <v>57691.3</v>
      </c>
      <c r="S120" s="6"/>
      <c r="T120" s="6"/>
      <c r="U120" s="6"/>
      <c r="V120" s="6"/>
      <c r="W120" s="6">
        <v>295051.8</v>
      </c>
      <c r="X120" s="6">
        <f t="shared" si="96"/>
        <v>57691.3</v>
      </c>
      <c r="Y120" s="6">
        <v>0</v>
      </c>
      <c r="Z120" s="6"/>
      <c r="AA120" s="6"/>
      <c r="AB120" s="6"/>
      <c r="AC120" s="6">
        <f t="shared" si="70"/>
        <v>295051.8</v>
      </c>
      <c r="AD120" s="6">
        <f t="shared" si="86"/>
        <v>57691.3</v>
      </c>
      <c r="AE120" s="6">
        <v>0</v>
      </c>
      <c r="AF120" s="35">
        <v>0</v>
      </c>
      <c r="AG120" s="35"/>
      <c r="AH120" s="35"/>
      <c r="AI120" s="35"/>
      <c r="AJ120" s="35"/>
      <c r="AK120" s="6">
        <f t="shared" si="64"/>
        <v>295051.8</v>
      </c>
      <c r="AL120" s="6">
        <f t="shared" si="71"/>
        <v>57691.3</v>
      </c>
      <c r="AM120" s="6">
        <v>0</v>
      </c>
      <c r="AN120" s="6">
        <f t="shared" ref="AN120:AN121" si="99">AF120+AG120</f>
        <v>0</v>
      </c>
      <c r="AO120" s="6"/>
      <c r="AP120" s="6"/>
      <c r="AQ120" s="6"/>
      <c r="AR120" s="6"/>
      <c r="AS120" s="101">
        <f t="shared" si="59"/>
        <v>295051.8</v>
      </c>
      <c r="AT120" s="101">
        <f t="shared" si="63"/>
        <v>57691.3</v>
      </c>
      <c r="AU120" s="101">
        <f t="shared" si="72"/>
        <v>0</v>
      </c>
      <c r="AV120" s="101">
        <f t="shared" si="81"/>
        <v>0</v>
      </c>
      <c r="AW120" s="101"/>
      <c r="AX120" s="101"/>
      <c r="AY120" s="101"/>
      <c r="AZ120" s="101">
        <f>AT120+AY120-29107.5</f>
        <v>28583.800000000003</v>
      </c>
      <c r="BA120" s="101">
        <v>27383.9</v>
      </c>
      <c r="BB120" s="102">
        <v>22432.31839</v>
      </c>
      <c r="BC120" s="102">
        <v>22432.31839</v>
      </c>
      <c r="BD120" s="101">
        <f t="shared" si="61"/>
        <v>78.47913290045409</v>
      </c>
      <c r="BE120" s="101">
        <f t="shared" si="62"/>
        <v>81.917909392015005</v>
      </c>
    </row>
    <row r="121" spans="1:57" s="3" customFormat="1" ht="152.25" customHeight="1">
      <c r="A121" s="89" t="s">
        <v>125</v>
      </c>
      <c r="B121" s="26" t="s">
        <v>126</v>
      </c>
      <c r="C121" s="26" t="s">
        <v>127</v>
      </c>
      <c r="D121" s="26" t="s">
        <v>7</v>
      </c>
      <c r="E121" s="26" t="s">
        <v>10</v>
      </c>
      <c r="F121" s="26" t="s">
        <v>50</v>
      </c>
      <c r="G121" s="35"/>
      <c r="H121" s="35"/>
      <c r="I121" s="35"/>
      <c r="J121" s="35"/>
      <c r="K121" s="35"/>
      <c r="L121" s="35"/>
      <c r="M121" s="6">
        <v>194926.5</v>
      </c>
      <c r="N121" s="6"/>
      <c r="O121" s="6"/>
      <c r="P121" s="6"/>
      <c r="Q121" s="6">
        <v>194926.5</v>
      </c>
      <c r="R121" s="6">
        <v>64616.5</v>
      </c>
      <c r="S121" s="6"/>
      <c r="T121" s="6"/>
      <c r="U121" s="6"/>
      <c r="V121" s="6"/>
      <c r="W121" s="6">
        <v>194926.5</v>
      </c>
      <c r="X121" s="6">
        <f t="shared" si="96"/>
        <v>64616.5</v>
      </c>
      <c r="Y121" s="6">
        <v>0</v>
      </c>
      <c r="Z121" s="6"/>
      <c r="AA121" s="6"/>
      <c r="AB121" s="6"/>
      <c r="AC121" s="6">
        <f t="shared" si="70"/>
        <v>194926.5</v>
      </c>
      <c r="AD121" s="6">
        <f t="shared" si="86"/>
        <v>64616.5</v>
      </c>
      <c r="AE121" s="6">
        <v>0</v>
      </c>
      <c r="AF121" s="35">
        <v>0</v>
      </c>
      <c r="AG121" s="35"/>
      <c r="AH121" s="35"/>
      <c r="AI121" s="35"/>
      <c r="AJ121" s="6">
        <v>-2776.1</v>
      </c>
      <c r="AK121" s="6">
        <f t="shared" si="64"/>
        <v>192150.39999999999</v>
      </c>
      <c r="AL121" s="6">
        <f t="shared" si="71"/>
        <v>64616.5</v>
      </c>
      <c r="AM121" s="6">
        <v>0</v>
      </c>
      <c r="AN121" s="6">
        <f t="shared" si="99"/>
        <v>0</v>
      </c>
      <c r="AO121" s="6"/>
      <c r="AP121" s="6"/>
      <c r="AQ121" s="6">
        <v>-2776.1</v>
      </c>
      <c r="AR121" s="6"/>
      <c r="AS121" s="101">
        <f t="shared" si="59"/>
        <v>192150.39999999999</v>
      </c>
      <c r="AT121" s="101">
        <f t="shared" si="63"/>
        <v>61840.4</v>
      </c>
      <c r="AU121" s="101">
        <f t="shared" si="72"/>
        <v>0</v>
      </c>
      <c r="AV121" s="101">
        <f t="shared" si="81"/>
        <v>0</v>
      </c>
      <c r="AW121" s="101"/>
      <c r="AX121" s="101"/>
      <c r="AY121" s="101"/>
      <c r="AZ121" s="101">
        <f t="shared" si="60"/>
        <v>61840.4</v>
      </c>
      <c r="BA121" s="101">
        <v>63040.4</v>
      </c>
      <c r="BB121" s="102">
        <v>63040.43118</v>
      </c>
      <c r="BC121" s="102">
        <v>62449.456409999999</v>
      </c>
      <c r="BD121" s="101">
        <f t="shared" si="61"/>
        <v>100.98488433127856</v>
      </c>
      <c r="BE121" s="101">
        <f t="shared" si="62"/>
        <v>99.062595430866551</v>
      </c>
    </row>
    <row r="122" spans="1:57" s="3" customFormat="1" ht="139.5" customHeight="1">
      <c r="A122" s="89" t="s">
        <v>224</v>
      </c>
      <c r="B122" s="17" t="s">
        <v>25</v>
      </c>
      <c r="C122" s="26" t="s">
        <v>64</v>
      </c>
      <c r="D122" s="26" t="s">
        <v>7</v>
      </c>
      <c r="E122" s="17" t="s">
        <v>75</v>
      </c>
      <c r="F122" s="26">
        <v>2018</v>
      </c>
      <c r="G122" s="35"/>
      <c r="H122" s="35"/>
      <c r="I122" s="35"/>
      <c r="J122" s="35"/>
      <c r="K122" s="35"/>
      <c r="L122" s="35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35"/>
      <c r="AG122" s="35"/>
      <c r="AH122" s="35"/>
      <c r="AI122" s="35"/>
      <c r="AJ122" s="6">
        <v>2776.1</v>
      </c>
      <c r="AK122" s="6">
        <f t="shared" si="64"/>
        <v>2776.1</v>
      </c>
      <c r="AL122" s="6"/>
      <c r="AM122" s="6"/>
      <c r="AN122" s="6"/>
      <c r="AO122" s="6"/>
      <c r="AP122" s="6"/>
      <c r="AQ122" s="6">
        <v>2776.1</v>
      </c>
      <c r="AR122" s="6"/>
      <c r="AS122" s="101">
        <f t="shared" si="59"/>
        <v>2776.1</v>
      </c>
      <c r="AT122" s="101">
        <f t="shared" si="63"/>
        <v>2776.1</v>
      </c>
      <c r="AU122" s="101"/>
      <c r="AV122" s="101"/>
      <c r="AW122" s="101"/>
      <c r="AX122" s="101"/>
      <c r="AY122" s="101"/>
      <c r="AZ122" s="101">
        <f t="shared" si="60"/>
        <v>2776.1</v>
      </c>
      <c r="BA122" s="101">
        <v>2776.1</v>
      </c>
      <c r="BB122" s="102">
        <f>2506.44295</f>
        <v>2506.4429500000001</v>
      </c>
      <c r="BC122" s="102">
        <f>2506.44295</f>
        <v>2506.4429500000001</v>
      </c>
      <c r="BD122" s="101">
        <f t="shared" si="61"/>
        <v>90.286479233457015</v>
      </c>
      <c r="BE122" s="101">
        <f t="shared" si="62"/>
        <v>90.286479233457015</v>
      </c>
    </row>
    <row r="123" spans="1:57" s="3" customFormat="1" ht="59.25" customHeight="1">
      <c r="A123" s="97" t="s">
        <v>228</v>
      </c>
      <c r="B123" s="97"/>
      <c r="C123" s="97"/>
      <c r="D123" s="97"/>
      <c r="E123" s="17"/>
      <c r="F123" s="17"/>
      <c r="G123" s="35"/>
      <c r="H123" s="35"/>
      <c r="I123" s="35"/>
      <c r="J123" s="35"/>
      <c r="K123" s="35"/>
      <c r="L123" s="35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>
        <f>W124</f>
        <v>0</v>
      </c>
      <c r="X123" s="6"/>
      <c r="Y123" s="6"/>
      <c r="Z123" s="6"/>
      <c r="AA123" s="6"/>
      <c r="AB123" s="6">
        <f t="shared" ref="AB123:AW123" si="100">AB124</f>
        <v>383183.4</v>
      </c>
      <c r="AC123" s="6">
        <f t="shared" si="100"/>
        <v>383183.4</v>
      </c>
      <c r="AD123" s="6">
        <f t="shared" si="100"/>
        <v>0</v>
      </c>
      <c r="AE123" s="6">
        <f t="shared" si="100"/>
        <v>0</v>
      </c>
      <c r="AF123" s="6">
        <f t="shared" si="100"/>
        <v>0</v>
      </c>
      <c r="AG123" s="6">
        <f t="shared" si="100"/>
        <v>0</v>
      </c>
      <c r="AH123" s="6">
        <f t="shared" si="100"/>
        <v>0</v>
      </c>
      <c r="AI123" s="6">
        <f t="shared" si="100"/>
        <v>123.6</v>
      </c>
      <c r="AJ123" s="6"/>
      <c r="AK123" s="6">
        <f t="shared" si="64"/>
        <v>383183.4</v>
      </c>
      <c r="AL123" s="6">
        <f t="shared" si="100"/>
        <v>123.6</v>
      </c>
      <c r="AM123" s="6">
        <f t="shared" si="100"/>
        <v>0</v>
      </c>
      <c r="AN123" s="6">
        <f t="shared" si="100"/>
        <v>0</v>
      </c>
      <c r="AO123" s="6">
        <f t="shared" si="100"/>
        <v>0</v>
      </c>
      <c r="AP123" s="6">
        <f>AP124</f>
        <v>0</v>
      </c>
      <c r="AQ123" s="6"/>
      <c r="AR123" s="6"/>
      <c r="AS123" s="101">
        <f t="shared" si="59"/>
        <v>383183.4</v>
      </c>
      <c r="AT123" s="101">
        <f t="shared" si="63"/>
        <v>123.6</v>
      </c>
      <c r="AU123" s="101">
        <f t="shared" si="100"/>
        <v>0</v>
      </c>
      <c r="AV123" s="101">
        <f t="shared" si="100"/>
        <v>0</v>
      </c>
      <c r="AW123" s="101">
        <f t="shared" si="100"/>
        <v>0</v>
      </c>
      <c r="AX123" s="101"/>
      <c r="AY123" s="101"/>
      <c r="AZ123" s="101">
        <f t="shared" si="60"/>
        <v>123.6</v>
      </c>
      <c r="BA123" s="101">
        <v>123.6</v>
      </c>
      <c r="BB123" s="101">
        <f>BB124</f>
        <v>0</v>
      </c>
      <c r="BC123" s="101">
        <f>BC124</f>
        <v>0</v>
      </c>
      <c r="BD123" s="101">
        <f t="shared" si="61"/>
        <v>0</v>
      </c>
      <c r="BE123" s="101">
        <f t="shared" si="62"/>
        <v>0</v>
      </c>
    </row>
    <row r="124" spans="1:57" s="3" customFormat="1" ht="153" customHeight="1">
      <c r="A124" s="89" t="s">
        <v>221</v>
      </c>
      <c r="B124" s="26" t="s">
        <v>198</v>
      </c>
      <c r="C124" s="17" t="s">
        <v>13</v>
      </c>
      <c r="D124" s="17" t="s">
        <v>7</v>
      </c>
      <c r="E124" s="17" t="s">
        <v>10</v>
      </c>
      <c r="F124" s="26" t="s">
        <v>199</v>
      </c>
      <c r="G124" s="35"/>
      <c r="H124" s="35"/>
      <c r="I124" s="35"/>
      <c r="J124" s="35"/>
      <c r="K124" s="35"/>
      <c r="L124" s="35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>
        <v>383183.4</v>
      </c>
      <c r="AC124" s="6">
        <f t="shared" si="70"/>
        <v>383183.4</v>
      </c>
      <c r="AD124" s="6"/>
      <c r="AE124" s="6"/>
      <c r="AF124" s="35"/>
      <c r="AG124" s="35"/>
      <c r="AH124" s="35"/>
      <c r="AI124" s="35">
        <v>123.6</v>
      </c>
      <c r="AJ124" s="35"/>
      <c r="AK124" s="6">
        <f t="shared" si="64"/>
        <v>383183.4</v>
      </c>
      <c r="AL124" s="6">
        <f t="shared" si="71"/>
        <v>123.6</v>
      </c>
      <c r="AM124" s="6"/>
      <c r="AN124" s="6"/>
      <c r="AO124" s="6"/>
      <c r="AP124" s="6"/>
      <c r="AQ124" s="6"/>
      <c r="AR124" s="6"/>
      <c r="AS124" s="101">
        <f t="shared" si="59"/>
        <v>383183.4</v>
      </c>
      <c r="AT124" s="101">
        <f t="shared" si="63"/>
        <v>123.6</v>
      </c>
      <c r="AU124" s="101">
        <v>0</v>
      </c>
      <c r="AV124" s="101"/>
      <c r="AW124" s="101"/>
      <c r="AX124" s="101"/>
      <c r="AY124" s="101"/>
      <c r="AZ124" s="101">
        <f t="shared" si="60"/>
        <v>123.6</v>
      </c>
      <c r="BA124" s="101">
        <v>123.6</v>
      </c>
      <c r="BB124" s="101"/>
      <c r="BC124" s="101"/>
      <c r="BD124" s="101">
        <f t="shared" si="61"/>
        <v>0</v>
      </c>
      <c r="BE124" s="101">
        <f t="shared" si="62"/>
        <v>0</v>
      </c>
    </row>
    <row r="125" spans="1:57" s="3" customFormat="1" ht="44.25" customHeight="1">
      <c r="A125" s="97" t="s">
        <v>294</v>
      </c>
      <c r="B125" s="97"/>
      <c r="C125" s="97"/>
      <c r="D125" s="97"/>
      <c r="E125" s="17"/>
      <c r="F125" s="26"/>
      <c r="G125" s="35"/>
      <c r="H125" s="35"/>
      <c r="I125" s="35"/>
      <c r="J125" s="35"/>
      <c r="K125" s="35"/>
      <c r="L125" s="35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>
        <f>AB126</f>
        <v>25000</v>
      </c>
      <c r="AC125" s="6">
        <f t="shared" si="70"/>
        <v>25000</v>
      </c>
      <c r="AD125" s="6">
        <f t="shared" ref="AD125:AW125" si="101">AD126</f>
        <v>0</v>
      </c>
      <c r="AE125" s="6">
        <f t="shared" si="101"/>
        <v>0</v>
      </c>
      <c r="AF125" s="6">
        <f t="shared" si="101"/>
        <v>0</v>
      </c>
      <c r="AG125" s="6">
        <f t="shared" si="101"/>
        <v>0</v>
      </c>
      <c r="AH125" s="6">
        <f t="shared" si="101"/>
        <v>0</v>
      </c>
      <c r="AI125" s="6">
        <f t="shared" si="101"/>
        <v>25000</v>
      </c>
      <c r="AJ125" s="6"/>
      <c r="AK125" s="6">
        <f t="shared" si="64"/>
        <v>25000</v>
      </c>
      <c r="AL125" s="6">
        <f t="shared" si="71"/>
        <v>25000</v>
      </c>
      <c r="AM125" s="6">
        <f t="shared" si="101"/>
        <v>0</v>
      </c>
      <c r="AN125" s="6">
        <f t="shared" si="101"/>
        <v>0</v>
      </c>
      <c r="AO125" s="6">
        <f t="shared" si="101"/>
        <v>0</v>
      </c>
      <c r="AP125" s="6">
        <f t="shared" si="101"/>
        <v>0</v>
      </c>
      <c r="AQ125" s="6"/>
      <c r="AR125" s="6"/>
      <c r="AS125" s="101">
        <f t="shared" si="59"/>
        <v>25000</v>
      </c>
      <c r="AT125" s="101">
        <f t="shared" si="63"/>
        <v>25000</v>
      </c>
      <c r="AU125" s="101">
        <f t="shared" si="101"/>
        <v>0</v>
      </c>
      <c r="AV125" s="101">
        <f t="shared" si="101"/>
        <v>0</v>
      </c>
      <c r="AW125" s="101">
        <f t="shared" si="101"/>
        <v>0</v>
      </c>
      <c r="AX125" s="101"/>
      <c r="AY125" s="101"/>
      <c r="AZ125" s="101">
        <f t="shared" si="60"/>
        <v>25000</v>
      </c>
      <c r="BA125" s="101">
        <v>25000</v>
      </c>
      <c r="BB125" s="101">
        <f>BB126</f>
        <v>0</v>
      </c>
      <c r="BC125" s="101">
        <f>BC126</f>
        <v>0</v>
      </c>
      <c r="BD125" s="101">
        <f t="shared" si="61"/>
        <v>0</v>
      </c>
      <c r="BE125" s="101">
        <f t="shared" si="62"/>
        <v>0</v>
      </c>
    </row>
    <row r="126" spans="1:57" s="3" customFormat="1" ht="175.5" customHeight="1">
      <c r="A126" s="89" t="s">
        <v>222</v>
      </c>
      <c r="B126" s="26" t="s">
        <v>211</v>
      </c>
      <c r="C126" s="17" t="s">
        <v>206</v>
      </c>
      <c r="D126" s="17" t="s">
        <v>223</v>
      </c>
      <c r="E126" s="49" t="s">
        <v>259</v>
      </c>
      <c r="F126" s="26">
        <v>2018</v>
      </c>
      <c r="G126" s="35"/>
      <c r="H126" s="35"/>
      <c r="I126" s="35"/>
      <c r="J126" s="35"/>
      <c r="K126" s="35"/>
      <c r="L126" s="35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>
        <v>25000</v>
      </c>
      <c r="AC126" s="6">
        <f t="shared" si="70"/>
        <v>25000</v>
      </c>
      <c r="AD126" s="6"/>
      <c r="AE126" s="6"/>
      <c r="AF126" s="35"/>
      <c r="AG126" s="35"/>
      <c r="AH126" s="35"/>
      <c r="AI126" s="6">
        <f t="shared" ref="AI126" si="102">AC126+AH126</f>
        <v>25000</v>
      </c>
      <c r="AJ126" s="6"/>
      <c r="AK126" s="6">
        <f t="shared" si="64"/>
        <v>25000</v>
      </c>
      <c r="AL126" s="6">
        <f t="shared" si="71"/>
        <v>25000</v>
      </c>
      <c r="AM126" s="6"/>
      <c r="AN126" s="6"/>
      <c r="AO126" s="6"/>
      <c r="AP126" s="6"/>
      <c r="AQ126" s="6"/>
      <c r="AR126" s="6"/>
      <c r="AS126" s="101">
        <f t="shared" si="59"/>
        <v>25000</v>
      </c>
      <c r="AT126" s="101">
        <f t="shared" si="63"/>
        <v>25000</v>
      </c>
      <c r="AU126" s="101">
        <v>0</v>
      </c>
      <c r="AV126" s="101"/>
      <c r="AW126" s="101"/>
      <c r="AX126" s="101"/>
      <c r="AY126" s="101"/>
      <c r="AZ126" s="101">
        <f t="shared" si="60"/>
        <v>25000</v>
      </c>
      <c r="BA126" s="101">
        <v>25000</v>
      </c>
      <c r="BB126" s="101"/>
      <c r="BC126" s="101"/>
      <c r="BD126" s="101">
        <f t="shared" si="61"/>
        <v>0</v>
      </c>
      <c r="BE126" s="101">
        <f t="shared" si="62"/>
        <v>0</v>
      </c>
    </row>
    <row r="127" spans="1:57" s="3" customFormat="1" ht="8.25" hidden="1" customHeight="1">
      <c r="A127" s="50"/>
      <c r="B127" s="51"/>
      <c r="C127" s="52"/>
      <c r="D127" s="52"/>
      <c r="E127" s="53"/>
      <c r="F127" s="51"/>
      <c r="G127" s="54"/>
      <c r="H127" s="54"/>
      <c r="I127" s="54"/>
      <c r="J127" s="54"/>
      <c r="K127" s="54"/>
      <c r="L127" s="54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4"/>
      <c r="AG127" s="54"/>
      <c r="AH127" s="54"/>
      <c r="AI127" s="55"/>
      <c r="AJ127" s="55"/>
      <c r="AK127" s="55"/>
      <c r="AL127" s="55"/>
      <c r="AM127" s="55"/>
      <c r="AN127" s="55"/>
      <c r="AO127" s="55"/>
      <c r="AP127" s="55"/>
      <c r="AQ127" s="55"/>
      <c r="AR127" s="55"/>
      <c r="AS127" s="55"/>
      <c r="AT127" s="55"/>
      <c r="AU127" s="55"/>
      <c r="AV127" s="55"/>
      <c r="AW127" s="55"/>
      <c r="AX127" s="55"/>
      <c r="AY127" s="55"/>
      <c r="AZ127" s="55"/>
      <c r="BA127" s="13"/>
      <c r="BB127" s="13"/>
      <c r="BC127" s="13"/>
      <c r="BD127" s="13"/>
      <c r="BE127" s="4"/>
    </row>
    <row r="128" spans="1:57" s="3" customFormat="1" ht="18.75" hidden="1" customHeight="1">
      <c r="A128" s="56" t="s">
        <v>233</v>
      </c>
      <c r="B128" s="57"/>
      <c r="C128" s="58"/>
      <c r="D128" s="58"/>
      <c r="E128" s="59"/>
      <c r="F128" s="57"/>
      <c r="G128" s="60"/>
      <c r="H128" s="60"/>
      <c r="I128" s="60"/>
      <c r="J128" s="60"/>
      <c r="K128" s="60"/>
      <c r="L128" s="60"/>
      <c r="M128" s="61"/>
      <c r="N128" s="61"/>
      <c r="O128" s="61"/>
      <c r="P128" s="61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  <c r="AE128" s="61"/>
      <c r="AF128" s="60"/>
      <c r="AG128" s="60"/>
      <c r="AH128" s="60"/>
      <c r="AI128" s="61"/>
      <c r="AJ128" s="61"/>
      <c r="AK128" s="61"/>
      <c r="AL128" s="61"/>
      <c r="AM128" s="61"/>
      <c r="AN128" s="61"/>
      <c r="AO128" s="61"/>
      <c r="AP128" s="61"/>
      <c r="AQ128" s="61"/>
      <c r="AR128" s="61"/>
      <c r="AS128" s="61"/>
      <c r="AT128" s="61"/>
      <c r="AU128" s="61"/>
      <c r="AV128" s="61"/>
      <c r="AW128" s="61"/>
      <c r="AX128" s="61"/>
      <c r="AY128" s="61"/>
      <c r="AZ128" s="61"/>
      <c r="BA128" s="13"/>
      <c r="BB128" s="13"/>
      <c r="BC128" s="13"/>
      <c r="BD128" s="13"/>
      <c r="BE128" s="4"/>
    </row>
    <row r="129" spans="1:57" s="3" customFormat="1" ht="38.25" customHeight="1">
      <c r="A129" s="98" t="s">
        <v>262</v>
      </c>
      <c r="B129" s="98"/>
      <c r="C129" s="98"/>
      <c r="D129" s="98"/>
      <c r="E129" s="98"/>
      <c r="F129" s="98"/>
      <c r="G129" s="98"/>
      <c r="H129" s="98"/>
      <c r="I129" s="98"/>
      <c r="J129" s="98"/>
      <c r="K129" s="98"/>
      <c r="L129" s="98"/>
      <c r="M129" s="98"/>
      <c r="N129" s="98"/>
      <c r="O129" s="98"/>
      <c r="P129" s="98"/>
      <c r="Q129" s="98"/>
      <c r="R129" s="98"/>
      <c r="S129" s="98"/>
      <c r="T129" s="98"/>
      <c r="U129" s="98"/>
      <c r="V129" s="98"/>
      <c r="W129" s="98"/>
      <c r="X129" s="98"/>
      <c r="Y129" s="98"/>
      <c r="Z129" s="98"/>
      <c r="AA129" s="98"/>
      <c r="AB129" s="98"/>
      <c r="AC129" s="98"/>
      <c r="AD129" s="98"/>
      <c r="AE129" s="98"/>
      <c r="AF129" s="98"/>
      <c r="AG129" s="99"/>
      <c r="AH129" s="99"/>
      <c r="AI129" s="99"/>
      <c r="AJ129" s="99"/>
      <c r="AK129" s="99"/>
      <c r="AL129" s="99"/>
      <c r="AM129" s="99"/>
      <c r="AN129" s="99"/>
      <c r="AO129" s="99"/>
      <c r="AP129" s="99"/>
      <c r="AQ129" s="99"/>
      <c r="AR129" s="99"/>
      <c r="AS129" s="99"/>
      <c r="AT129" s="99"/>
      <c r="AU129" s="99"/>
      <c r="AV129" s="99"/>
      <c r="AW129" s="99"/>
      <c r="AX129" s="99"/>
      <c r="AY129" s="99"/>
      <c r="AZ129" s="99"/>
      <c r="BA129" s="100"/>
      <c r="BB129" s="100"/>
      <c r="BC129" s="100"/>
      <c r="BD129" s="100"/>
      <c r="BE129" s="100"/>
    </row>
    <row r="130" spans="1:57" s="3" customFormat="1" ht="17.25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13"/>
      <c r="BB130" s="13"/>
      <c r="BC130" s="13"/>
      <c r="BD130" s="13"/>
      <c r="BE130" s="4"/>
    </row>
    <row r="131" spans="1:57" s="3" customForma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13"/>
      <c r="BB131" s="13"/>
      <c r="BC131" s="13"/>
      <c r="BD131" s="13"/>
      <c r="BE131" s="4"/>
    </row>
    <row r="132" spans="1:57" s="3" customFormat="1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13"/>
      <c r="BB132" s="13"/>
      <c r="BC132" s="13"/>
      <c r="BD132" s="13"/>
      <c r="BE132" s="4"/>
    </row>
    <row r="133" spans="1:57" s="3" customFormat="1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13"/>
      <c r="BB133" s="13"/>
      <c r="BC133" s="13"/>
      <c r="BD133" s="13"/>
      <c r="BE133" s="4"/>
    </row>
    <row r="134" spans="1:57" s="3" customFormat="1" ht="36.75" customHeight="1">
      <c r="A134" s="78"/>
      <c r="B134" s="78"/>
      <c r="C134" s="78"/>
      <c r="D134" s="78"/>
      <c r="E134" s="78"/>
      <c r="F134" s="78"/>
      <c r="G134" s="78"/>
      <c r="H134" s="78"/>
      <c r="I134" s="78"/>
      <c r="J134" s="78"/>
      <c r="K134" s="78"/>
      <c r="L134" s="78"/>
      <c r="M134" s="78"/>
      <c r="N134" s="78"/>
      <c r="O134" s="78"/>
      <c r="P134" s="78"/>
      <c r="Q134" s="78"/>
      <c r="R134" s="78"/>
      <c r="S134" s="78"/>
      <c r="T134" s="78"/>
      <c r="U134" s="78"/>
      <c r="V134" s="78"/>
      <c r="W134" s="78"/>
      <c r="X134" s="78"/>
      <c r="Y134" s="78"/>
      <c r="Z134" s="78"/>
      <c r="AA134" s="78"/>
      <c r="AB134" s="78"/>
      <c r="AC134" s="78"/>
      <c r="AD134" s="78"/>
      <c r="AE134" s="78"/>
      <c r="AF134" s="7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13"/>
      <c r="BB134" s="13"/>
      <c r="BC134" s="13"/>
      <c r="BD134" s="13"/>
      <c r="BE134" s="4"/>
    </row>
    <row r="135" spans="1:57" s="3" customFormat="1" ht="30" customHeight="1">
      <c r="A135" s="78"/>
      <c r="B135" s="78"/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8"/>
      <c r="AA135" s="78"/>
      <c r="AB135" s="78"/>
      <c r="AC135" s="78"/>
      <c r="AD135" s="78"/>
      <c r="AE135" s="78"/>
      <c r="AF135" s="7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13"/>
      <c r="BB135" s="13"/>
      <c r="BC135" s="13"/>
      <c r="BD135" s="13"/>
      <c r="BE135" s="4"/>
    </row>
    <row r="136" spans="1:57" s="3" customFormat="1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13"/>
      <c r="BB136" s="13"/>
      <c r="BC136" s="13"/>
      <c r="BD136" s="13"/>
      <c r="BE136" s="4"/>
    </row>
    <row r="137" spans="1:57" s="3" customFormat="1" ht="16.5" customHeight="1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13"/>
      <c r="BB137" s="13"/>
      <c r="BC137" s="13"/>
      <c r="BD137" s="13"/>
      <c r="BE137" s="4"/>
    </row>
    <row r="138" spans="1:57" s="3" customFormat="1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13"/>
      <c r="BB138" s="13"/>
      <c r="BC138" s="13"/>
      <c r="BD138" s="13"/>
      <c r="BE138" s="4"/>
    </row>
    <row r="139" spans="1:57" s="3" customFormat="1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13"/>
      <c r="BB139" s="13"/>
      <c r="BC139" s="13"/>
      <c r="BD139" s="13"/>
      <c r="BE139" s="4"/>
    </row>
    <row r="140" spans="1:57" s="3" customFormat="1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13"/>
      <c r="BB140" s="13"/>
      <c r="BC140" s="13"/>
      <c r="BD140" s="13"/>
      <c r="BE140" s="4"/>
    </row>
    <row r="141" spans="1:57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</row>
    <row r="142" spans="1:57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11"/>
      <c r="BB142" s="11"/>
      <c r="BC142" s="11"/>
      <c r="BD142" s="11"/>
    </row>
    <row r="143" spans="1:57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11"/>
      <c r="BB143" s="11"/>
      <c r="BC143" s="11"/>
      <c r="BD143" s="11"/>
    </row>
  </sheetData>
  <mergeCells count="87">
    <mergeCell ref="AQ5:AQ6"/>
    <mergeCell ref="A4:BE4"/>
    <mergeCell ref="A3:BE3"/>
    <mergeCell ref="BA1:BE1"/>
    <mergeCell ref="A129:BE129"/>
    <mergeCell ref="AR5:AR6"/>
    <mergeCell ref="AY5:AY6"/>
    <mergeCell ref="AS5:AS6"/>
    <mergeCell ref="AZ5:AZ6"/>
    <mergeCell ref="AB5:AB6"/>
    <mergeCell ref="AI5:AI6"/>
    <mergeCell ref="AP5:AP6"/>
    <mergeCell ref="AC5:AC6"/>
    <mergeCell ref="AL5:AL6"/>
    <mergeCell ref="AU5:AU6"/>
    <mergeCell ref="AO5:AO6"/>
    <mergeCell ref="M5:M6"/>
    <mergeCell ref="V5:V6"/>
    <mergeCell ref="Z5:Z6"/>
    <mergeCell ref="AE5:AE6"/>
    <mergeCell ref="U5:U6"/>
    <mergeCell ref="T5:T6"/>
    <mergeCell ref="W5:W6"/>
    <mergeCell ref="P5:P6"/>
    <mergeCell ref="Q5:Q6"/>
    <mergeCell ref="N5:N6"/>
    <mergeCell ref="O5:O6"/>
    <mergeCell ref="R5:R6"/>
    <mergeCell ref="Y5:Y6"/>
    <mergeCell ref="AM5:AM6"/>
    <mergeCell ref="AH5:AH6"/>
    <mergeCell ref="AF5:AF6"/>
    <mergeCell ref="AA5:AA6"/>
    <mergeCell ref="AD5:AD6"/>
    <mergeCell ref="AK5:AK6"/>
    <mergeCell ref="AJ5:AJ6"/>
    <mergeCell ref="AG5:AG6"/>
    <mergeCell ref="A94:D94"/>
    <mergeCell ref="A86:D86"/>
    <mergeCell ref="A83:D83"/>
    <mergeCell ref="A29:D29"/>
    <mergeCell ref="A28:D28"/>
    <mergeCell ref="A48:D48"/>
    <mergeCell ref="A78:D78"/>
    <mergeCell ref="A39:D39"/>
    <mergeCell ref="A55:D55"/>
    <mergeCell ref="A58:D58"/>
    <mergeCell ref="A24:D24"/>
    <mergeCell ref="F5:F6"/>
    <mergeCell ref="D5:D6"/>
    <mergeCell ref="E5:E6"/>
    <mergeCell ref="A135:AF135"/>
    <mergeCell ref="A112:D112"/>
    <mergeCell ref="A116:D116"/>
    <mergeCell ref="A134:AF134"/>
    <mergeCell ref="A95:D95"/>
    <mergeCell ref="A107:D107"/>
    <mergeCell ref="A119:D119"/>
    <mergeCell ref="A103:E103"/>
    <mergeCell ref="A101:D101"/>
    <mergeCell ref="A97:D97"/>
    <mergeCell ref="A123:D123"/>
    <mergeCell ref="A125:D125"/>
    <mergeCell ref="AN5:AN6"/>
    <mergeCell ref="A8:D8"/>
    <mergeCell ref="A22:D22"/>
    <mergeCell ref="B5:B6"/>
    <mergeCell ref="C5:C6"/>
    <mergeCell ref="A5:A6"/>
    <mergeCell ref="A11:D11"/>
    <mergeCell ref="A12:D12"/>
    <mergeCell ref="I5:I6"/>
    <mergeCell ref="S5:S6"/>
    <mergeCell ref="G5:G6"/>
    <mergeCell ref="X5:X6"/>
    <mergeCell ref="J5:J6"/>
    <mergeCell ref="K5:K6"/>
    <mergeCell ref="H5:H6"/>
    <mergeCell ref="L5:L6"/>
    <mergeCell ref="BC5:BC6"/>
    <mergeCell ref="BD5:BE5"/>
    <mergeCell ref="AX5:AX6"/>
    <mergeCell ref="BB5:BB6"/>
    <mergeCell ref="AT5:AT6"/>
    <mergeCell ref="BA5:BA6"/>
    <mergeCell ref="AW5:AW6"/>
    <mergeCell ref="AV5:AV6"/>
  </mergeCells>
  <phoneticPr fontId="4" type="noConversion"/>
  <printOptions horizontalCentered="1"/>
  <pageMargins left="0.78740157480314965" right="0.43307086614173229" top="0.78740157480314965" bottom="0.78740157480314965" header="0.31496062992125984" footer="0.31496062992125984"/>
  <pageSetup paperSize="9" scale="45" fitToHeight="25" orientation="landscape" r:id="rId1"/>
  <headerFooter>
    <oddFooter>&amp;C&amp;P</oddFooter>
  </headerFooter>
  <rowBreaks count="1" manualBreakCount="1">
    <brk id="115" max="5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Долгопольский Александр Олегович</dc:creator>
  <cp:lastModifiedBy>Pavlenko</cp:lastModifiedBy>
  <cp:lastPrinted>2019-03-22T08:42:30Z</cp:lastPrinted>
  <dcterms:created xsi:type="dcterms:W3CDTF">2014-05-08T06:25:05Z</dcterms:created>
  <dcterms:modified xsi:type="dcterms:W3CDTF">2019-03-22T08:42:31Z</dcterms:modified>
</cp:coreProperties>
</file>