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050" yWindow="7350" windowWidth="15150" windowHeight="7125"/>
  </bookViews>
  <sheets>
    <sheet name="2019" sheetId="12" r:id="rId1"/>
    <sheet name="2020" sheetId="13" state="hidden" r:id="rId2"/>
    <sheet name="2021" sheetId="14" state="hidden" r:id="rId3"/>
  </sheets>
  <definedNames>
    <definedName name="_xlnm._FilterDatabase" localSheetId="0" hidden="1">'2019'!$B$7:$W$230</definedName>
    <definedName name="_xlnm._FilterDatabase" localSheetId="1" hidden="1">'2020'!$A$7:$T$229</definedName>
    <definedName name="_xlnm._FilterDatabase" localSheetId="2" hidden="1">'2021'!$A$7:$T$229</definedName>
    <definedName name="_xlnm.Print_Titles" localSheetId="0">'2019'!$B:$D,'2019'!$5:$6</definedName>
    <definedName name="_xlnm.Print_Titles" localSheetId="1">'2020'!$A:$C,'2020'!$5:$6</definedName>
    <definedName name="_xlnm.Print_Titles" localSheetId="2">'2021'!$A:$C,'2021'!$5:$6</definedName>
  </definedNames>
  <calcPr calcId="125725"/>
</workbook>
</file>

<file path=xl/calcChain.xml><?xml version="1.0" encoding="utf-8"?>
<calcChain xmlns="http://schemas.openxmlformats.org/spreadsheetml/2006/main">
  <c r="P15" i="14"/>
  <c r="P17"/>
  <c r="P25"/>
  <c r="P27"/>
  <c r="P28"/>
  <c r="P29"/>
  <c r="P33"/>
  <c r="P43"/>
  <c r="P47"/>
  <c r="P49"/>
  <c r="P50"/>
  <c r="P51"/>
  <c r="P55"/>
  <c r="P67"/>
  <c r="P70"/>
  <c r="P72"/>
  <c r="P74"/>
  <c r="P81"/>
  <c r="P83"/>
  <c r="P86"/>
  <c r="P89"/>
  <c r="P95"/>
  <c r="P107"/>
  <c r="P111"/>
  <c r="P119"/>
  <c r="P125"/>
  <c r="P137"/>
  <c r="P138"/>
  <c r="P148"/>
  <c r="P149"/>
  <c r="P154"/>
  <c r="P156"/>
  <c r="P168"/>
  <c r="P170"/>
  <c r="P187"/>
  <c r="P195"/>
  <c r="P196"/>
  <c r="P197"/>
  <c r="P199"/>
  <c r="P202"/>
  <c r="P216"/>
  <c r="P219"/>
  <c r="P225"/>
  <c r="P227"/>
  <c r="O10"/>
  <c r="O11"/>
  <c r="O12"/>
  <c r="O13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7"/>
  <c r="O38"/>
  <c r="O39"/>
  <c r="O40"/>
  <c r="O41"/>
  <c r="O42"/>
  <c r="O43"/>
  <c r="O44"/>
  <c r="O45"/>
  <c r="O46"/>
  <c r="O47"/>
  <c r="O48"/>
  <c r="O49"/>
  <c r="O50"/>
  <c r="O51"/>
  <c r="O52"/>
  <c r="O55"/>
  <c r="O56"/>
  <c r="O57"/>
  <c r="O58"/>
  <c r="O59"/>
  <c r="O60"/>
  <c r="O61"/>
  <c r="O62"/>
  <c r="O66"/>
  <c r="O67"/>
  <c r="O68"/>
  <c r="O70"/>
  <c r="O71"/>
  <c r="O72"/>
  <c r="O74"/>
  <c r="O75"/>
  <c r="O76"/>
  <c r="O77"/>
  <c r="O78"/>
  <c r="O80"/>
  <c r="O81"/>
  <c r="O82"/>
  <c r="O83"/>
  <c r="O84"/>
  <c r="O86"/>
  <c r="O87"/>
  <c r="O89"/>
  <c r="O90"/>
  <c r="O91"/>
  <c r="O92"/>
  <c r="O94"/>
  <c r="O95"/>
  <c r="O96"/>
  <c r="O97"/>
  <c r="O98"/>
  <c r="O99"/>
  <c r="O100"/>
  <c r="O101"/>
  <c r="O102"/>
  <c r="O103"/>
  <c r="O104"/>
  <c r="O107"/>
  <c r="O108"/>
  <c r="O109"/>
  <c r="O110"/>
  <c r="O111"/>
  <c r="O112"/>
  <c r="O113"/>
  <c r="O114"/>
  <c r="O115"/>
  <c r="O116"/>
  <c r="O117"/>
  <c r="O118"/>
  <c r="O119"/>
  <c r="O120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8"/>
  <c r="O149"/>
  <c r="O150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5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5"/>
  <c r="O227"/>
  <c r="N15"/>
  <c r="N25"/>
  <c r="N33"/>
  <c r="N43"/>
  <c r="N55"/>
  <c r="N67"/>
  <c r="N70"/>
  <c r="N74"/>
  <c r="N78"/>
  <c r="N81"/>
  <c r="N83"/>
  <c r="N86"/>
  <c r="N89"/>
  <c r="N95"/>
  <c r="N104"/>
  <c r="N107"/>
  <c r="N125"/>
  <c r="N149"/>
  <c r="N154"/>
  <c r="N168"/>
  <c r="N187"/>
  <c r="N195"/>
  <c r="N199"/>
  <c r="N202"/>
  <c r="N225"/>
  <c r="N227"/>
  <c r="M10"/>
  <c r="M11"/>
  <c r="M12"/>
  <c r="M13"/>
  <c r="M15"/>
  <c r="M16"/>
  <c r="M17"/>
  <c r="M18"/>
  <c r="M19"/>
  <c r="M20"/>
  <c r="M21"/>
  <c r="M22"/>
  <c r="M23"/>
  <c r="M24"/>
  <c r="M25"/>
  <c r="M26"/>
  <c r="M30"/>
  <c r="M31"/>
  <c r="M32"/>
  <c r="M33"/>
  <c r="M34"/>
  <c r="M35"/>
  <c r="M37"/>
  <c r="M38"/>
  <c r="M39"/>
  <c r="M40"/>
  <c r="M41"/>
  <c r="M42"/>
  <c r="M43"/>
  <c r="M44"/>
  <c r="M45"/>
  <c r="M46"/>
  <c r="M47"/>
  <c r="M48"/>
  <c r="M49"/>
  <c r="M50"/>
  <c r="M51"/>
  <c r="M52"/>
  <c r="M55"/>
  <c r="M56"/>
  <c r="M57"/>
  <c r="M58"/>
  <c r="M59"/>
  <c r="M60"/>
  <c r="M61"/>
  <c r="M62"/>
  <c r="M66"/>
  <c r="M67"/>
  <c r="M68"/>
  <c r="M70"/>
  <c r="M71"/>
  <c r="M72"/>
  <c r="M74"/>
  <c r="M75"/>
  <c r="M76"/>
  <c r="M77"/>
  <c r="M78"/>
  <c r="M80"/>
  <c r="M81"/>
  <c r="M82"/>
  <c r="M83"/>
  <c r="M84"/>
  <c r="M86"/>
  <c r="M89"/>
  <c r="M90"/>
  <c r="M91"/>
  <c r="M92"/>
  <c r="M94"/>
  <c r="M95"/>
  <c r="M96"/>
  <c r="M97"/>
  <c r="M98"/>
  <c r="M99"/>
  <c r="M100"/>
  <c r="M101"/>
  <c r="M102"/>
  <c r="M103"/>
  <c r="M104"/>
  <c r="M107"/>
  <c r="M108"/>
  <c r="M109"/>
  <c r="M110"/>
  <c r="M111"/>
  <c r="M112"/>
  <c r="M113"/>
  <c r="M114"/>
  <c r="M115"/>
  <c r="M116"/>
  <c r="M117"/>
  <c r="M118"/>
  <c r="M119"/>
  <c r="M120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8"/>
  <c r="M149"/>
  <c r="M150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80"/>
  <c r="M181"/>
  <c r="M182"/>
  <c r="M183"/>
  <c r="M185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7"/>
  <c r="M218"/>
  <c r="M219"/>
  <c r="M220"/>
  <c r="M221"/>
  <c r="M222"/>
  <c r="M223"/>
  <c r="M225"/>
  <c r="M227"/>
  <c r="P9"/>
  <c r="O9"/>
  <c r="M9"/>
  <c r="P15" i="13"/>
  <c r="P17"/>
  <c r="P25"/>
  <c r="P27"/>
  <c r="P28"/>
  <c r="P29"/>
  <c r="P33"/>
  <c r="P43"/>
  <c r="P47"/>
  <c r="P49"/>
  <c r="P50"/>
  <c r="P51"/>
  <c r="P55"/>
  <c r="P67"/>
  <c r="P70"/>
  <c r="P72"/>
  <c r="P74"/>
  <c r="P81"/>
  <c r="P83"/>
  <c r="P86"/>
  <c r="P89"/>
  <c r="P95"/>
  <c r="P107"/>
  <c r="P111"/>
  <c r="P119"/>
  <c r="P125"/>
  <c r="P137"/>
  <c r="P138"/>
  <c r="P148"/>
  <c r="P149"/>
  <c r="P154"/>
  <c r="P156"/>
  <c r="P168"/>
  <c r="P170"/>
  <c r="P187"/>
  <c r="P195"/>
  <c r="P196"/>
  <c r="P197"/>
  <c r="P199"/>
  <c r="P202"/>
  <c r="P216"/>
  <c r="P219"/>
  <c r="P225"/>
  <c r="P227"/>
  <c r="P9"/>
  <c r="O10"/>
  <c r="O11"/>
  <c r="O12"/>
  <c r="O13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7"/>
  <c r="O38"/>
  <c r="O39"/>
  <c r="O40"/>
  <c r="O41"/>
  <c r="O42"/>
  <c r="O43"/>
  <c r="O44"/>
  <c r="O45"/>
  <c r="O46"/>
  <c r="O47"/>
  <c r="O48"/>
  <c r="O49"/>
  <c r="O50"/>
  <c r="O51"/>
  <c r="O52"/>
  <c r="O55"/>
  <c r="O56"/>
  <c r="O57"/>
  <c r="O58"/>
  <c r="O59"/>
  <c r="O60"/>
  <c r="O61"/>
  <c r="O62"/>
  <c r="O66"/>
  <c r="O67"/>
  <c r="O68"/>
  <c r="O70"/>
  <c r="O71"/>
  <c r="O72"/>
  <c r="O74"/>
  <c r="O75"/>
  <c r="O76"/>
  <c r="O77"/>
  <c r="O78"/>
  <c r="O80"/>
  <c r="O81"/>
  <c r="O82"/>
  <c r="O83"/>
  <c r="O84"/>
  <c r="O86"/>
  <c r="O87"/>
  <c r="O89"/>
  <c r="O90"/>
  <c r="O91"/>
  <c r="O92"/>
  <c r="O94"/>
  <c r="O95"/>
  <c r="O96"/>
  <c r="O97"/>
  <c r="O98"/>
  <c r="O99"/>
  <c r="O100"/>
  <c r="O101"/>
  <c r="O102"/>
  <c r="O103"/>
  <c r="O104"/>
  <c r="O107"/>
  <c r="O108"/>
  <c r="O109"/>
  <c r="O110"/>
  <c r="O111"/>
  <c r="O112"/>
  <c r="O113"/>
  <c r="O114"/>
  <c r="O115"/>
  <c r="O116"/>
  <c r="O117"/>
  <c r="O118"/>
  <c r="O119"/>
  <c r="O120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8"/>
  <c r="O149"/>
  <c r="O150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5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5"/>
  <c r="O227"/>
  <c r="O9"/>
  <c r="N15"/>
  <c r="N25"/>
  <c r="N33"/>
  <c r="N43"/>
  <c r="N55"/>
  <c r="N67"/>
  <c r="N70"/>
  <c r="N74"/>
  <c r="N78"/>
  <c r="N81"/>
  <c r="N83"/>
  <c r="N86"/>
  <c r="N89"/>
  <c r="N95"/>
  <c r="N104"/>
  <c r="N107"/>
  <c r="N125"/>
  <c r="N149"/>
  <c r="N154"/>
  <c r="N168"/>
  <c r="N187"/>
  <c r="N195"/>
  <c r="N199"/>
  <c r="N202"/>
  <c r="N225"/>
  <c r="N227"/>
  <c r="M10"/>
  <c r="M11"/>
  <c r="M12"/>
  <c r="M13"/>
  <c r="M15"/>
  <c r="M16"/>
  <c r="M17"/>
  <c r="M18"/>
  <c r="M19"/>
  <c r="M20"/>
  <c r="M21"/>
  <c r="M22"/>
  <c r="M23"/>
  <c r="M24"/>
  <c r="M25"/>
  <c r="M26"/>
  <c r="M30"/>
  <c r="M31"/>
  <c r="M32"/>
  <c r="M33"/>
  <c r="M34"/>
  <c r="M35"/>
  <c r="M37"/>
  <c r="M38"/>
  <c r="M39"/>
  <c r="M40"/>
  <c r="M41"/>
  <c r="M42"/>
  <c r="M43"/>
  <c r="M44"/>
  <c r="M45"/>
  <c r="M46"/>
  <c r="M47"/>
  <c r="M48"/>
  <c r="M49"/>
  <c r="M50"/>
  <c r="M51"/>
  <c r="M52"/>
  <c r="M55"/>
  <c r="M56"/>
  <c r="M57"/>
  <c r="M58"/>
  <c r="M59"/>
  <c r="M60"/>
  <c r="M61"/>
  <c r="M62"/>
  <c r="M66"/>
  <c r="M67"/>
  <c r="M68"/>
  <c r="M70"/>
  <c r="M71"/>
  <c r="M72"/>
  <c r="M74"/>
  <c r="M75"/>
  <c r="M76"/>
  <c r="M77"/>
  <c r="M78"/>
  <c r="M80"/>
  <c r="M81"/>
  <c r="M82"/>
  <c r="M83"/>
  <c r="M84"/>
  <c r="M86"/>
  <c r="M89"/>
  <c r="M90"/>
  <c r="M91"/>
  <c r="M92"/>
  <c r="M94"/>
  <c r="M95"/>
  <c r="M96"/>
  <c r="M97"/>
  <c r="M98"/>
  <c r="M99"/>
  <c r="M100"/>
  <c r="M101"/>
  <c r="M102"/>
  <c r="M103"/>
  <c r="M104"/>
  <c r="M107"/>
  <c r="M108"/>
  <c r="M109"/>
  <c r="M110"/>
  <c r="M111"/>
  <c r="M112"/>
  <c r="M113"/>
  <c r="M114"/>
  <c r="M115"/>
  <c r="M116"/>
  <c r="M117"/>
  <c r="M118"/>
  <c r="M119"/>
  <c r="M120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8"/>
  <c r="M149"/>
  <c r="M150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80"/>
  <c r="M181"/>
  <c r="M182"/>
  <c r="M183"/>
  <c r="M185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7"/>
  <c r="M218"/>
  <c r="M219"/>
  <c r="M220"/>
  <c r="M221"/>
  <c r="M222"/>
  <c r="M223"/>
  <c r="M225"/>
  <c r="M227"/>
  <c r="M9"/>
  <c r="S15" i="12"/>
  <c r="S17"/>
  <c r="S25"/>
  <c r="S27"/>
  <c r="S28"/>
  <c r="S29"/>
  <c r="S33"/>
  <c r="S43"/>
  <c r="S47"/>
  <c r="S49"/>
  <c r="S50"/>
  <c r="S51"/>
  <c r="S55"/>
  <c r="S67"/>
  <c r="S70"/>
  <c r="S72"/>
  <c r="S74"/>
  <c r="S81"/>
  <c r="S83"/>
  <c r="S86"/>
  <c r="S89"/>
  <c r="S95"/>
  <c r="S107"/>
  <c r="S111"/>
  <c r="S119"/>
  <c r="S125"/>
  <c r="S137"/>
  <c r="S138"/>
  <c r="S148"/>
  <c r="S149"/>
  <c r="S154"/>
  <c r="S156"/>
  <c r="S168"/>
  <c r="S170"/>
  <c r="S187"/>
  <c r="S195"/>
  <c r="S196"/>
  <c r="S197"/>
  <c r="S199"/>
  <c r="S202"/>
  <c r="S216"/>
  <c r="S219"/>
  <c r="S225"/>
  <c r="S227"/>
  <c r="S9"/>
  <c r="R10"/>
  <c r="R11"/>
  <c r="R12"/>
  <c r="R13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7"/>
  <c r="R38"/>
  <c r="R39"/>
  <c r="R40"/>
  <c r="R41"/>
  <c r="R42"/>
  <c r="R43"/>
  <c r="R44"/>
  <c r="R45"/>
  <c r="R46"/>
  <c r="R47"/>
  <c r="R48"/>
  <c r="R49"/>
  <c r="R50"/>
  <c r="R51"/>
  <c r="R52"/>
  <c r="R55"/>
  <c r="R56"/>
  <c r="R57"/>
  <c r="R58"/>
  <c r="R59"/>
  <c r="R60"/>
  <c r="R61"/>
  <c r="R62"/>
  <c r="R66"/>
  <c r="R67"/>
  <c r="R68"/>
  <c r="R70"/>
  <c r="R71"/>
  <c r="R72"/>
  <c r="R74"/>
  <c r="R75"/>
  <c r="R76"/>
  <c r="R77"/>
  <c r="R78"/>
  <c r="R80"/>
  <c r="R81"/>
  <c r="R82"/>
  <c r="R83"/>
  <c r="R84"/>
  <c r="R86"/>
  <c r="R87"/>
  <c r="R89"/>
  <c r="R90"/>
  <c r="R91"/>
  <c r="R92"/>
  <c r="R94"/>
  <c r="R95"/>
  <c r="R96"/>
  <c r="R97"/>
  <c r="R98"/>
  <c r="R99"/>
  <c r="R100"/>
  <c r="R101"/>
  <c r="R102"/>
  <c r="R103"/>
  <c r="R104"/>
  <c r="R107"/>
  <c r="R108"/>
  <c r="R109"/>
  <c r="R110"/>
  <c r="R111"/>
  <c r="R112"/>
  <c r="R113"/>
  <c r="R114"/>
  <c r="R115"/>
  <c r="R116"/>
  <c r="R117"/>
  <c r="R118"/>
  <c r="R119"/>
  <c r="R120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8"/>
  <c r="R149"/>
  <c r="R150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5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5"/>
  <c r="R227"/>
  <c r="R9"/>
  <c r="Q15"/>
  <c r="Q25"/>
  <c r="Q33"/>
  <c r="Q43"/>
  <c r="Q55"/>
  <c r="Q67"/>
  <c r="Q70"/>
  <c r="Q74"/>
  <c r="Q78"/>
  <c r="Q81"/>
  <c r="Q83"/>
  <c r="Q86"/>
  <c r="Q89"/>
  <c r="Q95"/>
  <c r="Q104"/>
  <c r="Q107"/>
  <c r="Q125"/>
  <c r="Q149"/>
  <c r="Q154"/>
  <c r="Q168"/>
  <c r="Q187"/>
  <c r="Q195"/>
  <c r="Q199"/>
  <c r="Q202"/>
  <c r="Q225"/>
  <c r="Q227"/>
  <c r="P10"/>
  <c r="P11"/>
  <c r="P12"/>
  <c r="P13"/>
  <c r="P15"/>
  <c r="T15" s="1"/>
  <c r="P16"/>
  <c r="P17"/>
  <c r="P18"/>
  <c r="P19"/>
  <c r="P20"/>
  <c r="P21"/>
  <c r="P22"/>
  <c r="P23"/>
  <c r="P24"/>
  <c r="P25"/>
  <c r="T25" s="1"/>
  <c r="P26"/>
  <c r="P30"/>
  <c r="P31"/>
  <c r="P32"/>
  <c r="P33"/>
  <c r="P34"/>
  <c r="P35"/>
  <c r="P37"/>
  <c r="P38"/>
  <c r="P39"/>
  <c r="P40"/>
  <c r="P41"/>
  <c r="P42"/>
  <c r="P43"/>
  <c r="T43" s="1"/>
  <c r="P44"/>
  <c r="P45"/>
  <c r="P46"/>
  <c r="P47"/>
  <c r="P48"/>
  <c r="P49"/>
  <c r="P50"/>
  <c r="P51"/>
  <c r="P52"/>
  <c r="P55"/>
  <c r="T55" s="1"/>
  <c r="P56"/>
  <c r="P57"/>
  <c r="P58"/>
  <c r="P59"/>
  <c r="P60"/>
  <c r="P61"/>
  <c r="P62"/>
  <c r="P66"/>
  <c r="P67"/>
  <c r="P68"/>
  <c r="P70"/>
  <c r="P71"/>
  <c r="P72"/>
  <c r="P74"/>
  <c r="T74" s="1"/>
  <c r="P75"/>
  <c r="P76"/>
  <c r="P77"/>
  <c r="P78"/>
  <c r="P80"/>
  <c r="P81"/>
  <c r="T81" s="1"/>
  <c r="P82"/>
  <c r="P83"/>
  <c r="T83" s="1"/>
  <c r="P84"/>
  <c r="P86"/>
  <c r="T86" s="1"/>
  <c r="P89"/>
  <c r="P90"/>
  <c r="P91"/>
  <c r="P92"/>
  <c r="P94"/>
  <c r="P95"/>
  <c r="T95" s="1"/>
  <c r="P96"/>
  <c r="P97"/>
  <c r="P98"/>
  <c r="P99"/>
  <c r="P100"/>
  <c r="P101"/>
  <c r="P102"/>
  <c r="P103"/>
  <c r="P104"/>
  <c r="P107"/>
  <c r="T107" s="1"/>
  <c r="P108"/>
  <c r="P109"/>
  <c r="P110"/>
  <c r="P111"/>
  <c r="P112"/>
  <c r="P113"/>
  <c r="P114"/>
  <c r="P115"/>
  <c r="P116"/>
  <c r="P117"/>
  <c r="P118"/>
  <c r="P119"/>
  <c r="P120"/>
  <c r="P125"/>
  <c r="T125" s="1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8"/>
  <c r="P149"/>
  <c r="P150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T168" s="1"/>
  <c r="P169"/>
  <c r="P170"/>
  <c r="P171"/>
  <c r="P172"/>
  <c r="P173"/>
  <c r="P174"/>
  <c r="P175"/>
  <c r="P176"/>
  <c r="P177"/>
  <c r="P178"/>
  <c r="P180"/>
  <c r="P181"/>
  <c r="P182"/>
  <c r="P183"/>
  <c r="P185"/>
  <c r="P187"/>
  <c r="P188"/>
  <c r="P189"/>
  <c r="P190"/>
  <c r="P191"/>
  <c r="P192"/>
  <c r="P193"/>
  <c r="P194"/>
  <c r="P195"/>
  <c r="P196"/>
  <c r="P197"/>
  <c r="P198"/>
  <c r="P199"/>
  <c r="P200"/>
  <c r="P201"/>
  <c r="P202"/>
  <c r="T202" s="1"/>
  <c r="P203"/>
  <c r="P204"/>
  <c r="P205"/>
  <c r="P206"/>
  <c r="P207"/>
  <c r="P208"/>
  <c r="P209"/>
  <c r="P210"/>
  <c r="P211"/>
  <c r="P212"/>
  <c r="P213"/>
  <c r="P214"/>
  <c r="P215"/>
  <c r="P217"/>
  <c r="P218"/>
  <c r="P219"/>
  <c r="P220"/>
  <c r="P221"/>
  <c r="P222"/>
  <c r="P223"/>
  <c r="P225"/>
  <c r="P227"/>
  <c r="T227" s="1"/>
  <c r="T225" l="1"/>
  <c r="T199"/>
  <c r="T195"/>
  <c r="T187"/>
  <c r="T154"/>
  <c r="T149"/>
  <c r="T89"/>
  <c r="T70"/>
  <c r="T67"/>
  <c r="T33"/>
  <c r="J229"/>
  <c r="Q15" i="14"/>
  <c r="Q25"/>
  <c r="Q33"/>
  <c r="Q43"/>
  <c r="Q55"/>
  <c r="Q67"/>
  <c r="Q70"/>
  <c r="Q74"/>
  <c r="Q81"/>
  <c r="Q83"/>
  <c r="Q86"/>
  <c r="Q89"/>
  <c r="Q95"/>
  <c r="Q107"/>
  <c r="Q125"/>
  <c r="Q149"/>
  <c r="Q154"/>
  <c r="Q168"/>
  <c r="Q187"/>
  <c r="Q195"/>
  <c r="Q199"/>
  <c r="Q202"/>
  <c r="Q225"/>
  <c r="Q227"/>
  <c r="H199"/>
  <c r="G228"/>
  <c r="P228" s="1"/>
  <c r="F228"/>
  <c r="O228" s="1"/>
  <c r="E228"/>
  <c r="N228" s="1"/>
  <c r="D228"/>
  <c r="G226"/>
  <c r="P226" s="1"/>
  <c r="F226"/>
  <c r="O226" s="1"/>
  <c r="E226"/>
  <c r="N226" s="1"/>
  <c r="D226"/>
  <c r="G224"/>
  <c r="P224" s="1"/>
  <c r="F224"/>
  <c r="O224" s="1"/>
  <c r="E224"/>
  <c r="N224" s="1"/>
  <c r="D224"/>
  <c r="G186"/>
  <c r="P186" s="1"/>
  <c r="F186"/>
  <c r="O186" s="1"/>
  <c r="E186"/>
  <c r="N186" s="1"/>
  <c r="D186"/>
  <c r="G184"/>
  <c r="P184" s="1"/>
  <c r="F184"/>
  <c r="O184" s="1"/>
  <c r="E184"/>
  <c r="N184" s="1"/>
  <c r="D184"/>
  <c r="G151"/>
  <c r="P151" s="1"/>
  <c r="F151"/>
  <c r="O151" s="1"/>
  <c r="E151"/>
  <c r="N151" s="1"/>
  <c r="D151"/>
  <c r="G147"/>
  <c r="P147" s="1"/>
  <c r="F147"/>
  <c r="O147" s="1"/>
  <c r="E147"/>
  <c r="D147"/>
  <c r="M147" s="1"/>
  <c r="G146"/>
  <c r="P146" s="1"/>
  <c r="F146"/>
  <c r="O146" s="1"/>
  <c r="E146"/>
  <c r="N146" s="1"/>
  <c r="D146"/>
  <c r="G145"/>
  <c r="P145" s="1"/>
  <c r="F145"/>
  <c r="O145" s="1"/>
  <c r="E145"/>
  <c r="D145"/>
  <c r="M145" s="1"/>
  <c r="G124"/>
  <c r="P124" s="1"/>
  <c r="F124"/>
  <c r="O124" s="1"/>
  <c r="E124"/>
  <c r="N124" s="1"/>
  <c r="D124"/>
  <c r="G123"/>
  <c r="P123" s="1"/>
  <c r="F123"/>
  <c r="O123" s="1"/>
  <c r="E123"/>
  <c r="N123" s="1"/>
  <c r="D123"/>
  <c r="G122"/>
  <c r="P122" s="1"/>
  <c r="F122"/>
  <c r="O122" s="1"/>
  <c r="E122"/>
  <c r="N122" s="1"/>
  <c r="D122"/>
  <c r="G121"/>
  <c r="P121" s="1"/>
  <c r="F121"/>
  <c r="O121" s="1"/>
  <c r="E121"/>
  <c r="N121" s="1"/>
  <c r="D121"/>
  <c r="G106"/>
  <c r="P106" s="1"/>
  <c r="F106"/>
  <c r="O106" s="1"/>
  <c r="E106"/>
  <c r="N106" s="1"/>
  <c r="D106"/>
  <c r="G105"/>
  <c r="P105" s="1"/>
  <c r="F105"/>
  <c r="O105" s="1"/>
  <c r="E105"/>
  <c r="N105" s="1"/>
  <c r="D105"/>
  <c r="G93"/>
  <c r="P93" s="1"/>
  <c r="F93"/>
  <c r="O93" s="1"/>
  <c r="E93"/>
  <c r="N93" s="1"/>
  <c r="D93"/>
  <c r="G88"/>
  <c r="P88" s="1"/>
  <c r="F88"/>
  <c r="O88" s="1"/>
  <c r="E88"/>
  <c r="N88" s="1"/>
  <c r="D88"/>
  <c r="G85"/>
  <c r="P85" s="1"/>
  <c r="F85"/>
  <c r="O85" s="1"/>
  <c r="E85"/>
  <c r="N85" s="1"/>
  <c r="D85"/>
  <c r="G79"/>
  <c r="P79" s="1"/>
  <c r="F79"/>
  <c r="O79" s="1"/>
  <c r="E79"/>
  <c r="N79" s="1"/>
  <c r="D79"/>
  <c r="G73"/>
  <c r="P73" s="1"/>
  <c r="F73"/>
  <c r="O73" s="1"/>
  <c r="E73"/>
  <c r="N73" s="1"/>
  <c r="D73"/>
  <c r="G69"/>
  <c r="P69" s="1"/>
  <c r="F69"/>
  <c r="O69" s="1"/>
  <c r="E69"/>
  <c r="N69" s="1"/>
  <c r="D69"/>
  <c r="G65"/>
  <c r="P65" s="1"/>
  <c r="F65"/>
  <c r="O65" s="1"/>
  <c r="E65"/>
  <c r="N65" s="1"/>
  <c r="D65"/>
  <c r="G64"/>
  <c r="P64" s="1"/>
  <c r="F64"/>
  <c r="O64" s="1"/>
  <c r="E64"/>
  <c r="N64" s="1"/>
  <c r="D64"/>
  <c r="G63"/>
  <c r="P63" s="1"/>
  <c r="F63"/>
  <c r="O63" s="1"/>
  <c r="E63"/>
  <c r="N63" s="1"/>
  <c r="D63"/>
  <c r="G54"/>
  <c r="P54" s="1"/>
  <c r="F54"/>
  <c r="O54" s="1"/>
  <c r="E54"/>
  <c r="N54" s="1"/>
  <c r="D54"/>
  <c r="G53"/>
  <c r="P53" s="1"/>
  <c r="F53"/>
  <c r="O53" s="1"/>
  <c r="E53"/>
  <c r="N53" s="1"/>
  <c r="D53"/>
  <c r="G36"/>
  <c r="P36" s="1"/>
  <c r="F36"/>
  <c r="O36" s="1"/>
  <c r="E36"/>
  <c r="N36" s="1"/>
  <c r="D36"/>
  <c r="F14"/>
  <c r="D14"/>
  <c r="Q15" i="13"/>
  <c r="Q25"/>
  <c r="Q33"/>
  <c r="Q43"/>
  <c r="Q55"/>
  <c r="Q67"/>
  <c r="Q70"/>
  <c r="Q74"/>
  <c r="Q81"/>
  <c r="Q83"/>
  <c r="Q86"/>
  <c r="Q89"/>
  <c r="Q95"/>
  <c r="Q107"/>
  <c r="Q125"/>
  <c r="Q149"/>
  <c r="Q154"/>
  <c r="Q168"/>
  <c r="Q187"/>
  <c r="Q195"/>
  <c r="Q199"/>
  <c r="Q202"/>
  <c r="Q225"/>
  <c r="Q227"/>
  <c r="I15" i="12"/>
  <c r="I25"/>
  <c r="I33"/>
  <c r="I43"/>
  <c r="I55"/>
  <c r="I67"/>
  <c r="I70"/>
  <c r="I74"/>
  <c r="I81"/>
  <c r="I83"/>
  <c r="I86"/>
  <c r="I89"/>
  <c r="I95"/>
  <c r="I107"/>
  <c r="I125"/>
  <c r="I149"/>
  <c r="I154"/>
  <c r="I168"/>
  <c r="I187"/>
  <c r="I195"/>
  <c r="I199"/>
  <c r="I202"/>
  <c r="I225"/>
  <c r="I227"/>
  <c r="H15" i="13"/>
  <c r="H25"/>
  <c r="H33"/>
  <c r="H43"/>
  <c r="H55"/>
  <c r="H67"/>
  <c r="H70"/>
  <c r="H74"/>
  <c r="H81"/>
  <c r="H83"/>
  <c r="H86"/>
  <c r="H89"/>
  <c r="H95"/>
  <c r="H107"/>
  <c r="H125"/>
  <c r="H149"/>
  <c r="H154"/>
  <c r="H168"/>
  <c r="H187"/>
  <c r="H195"/>
  <c r="H199"/>
  <c r="H202"/>
  <c r="H225"/>
  <c r="H227"/>
  <c r="G228"/>
  <c r="P228" s="1"/>
  <c r="F228"/>
  <c r="O228" s="1"/>
  <c r="E228"/>
  <c r="N228" s="1"/>
  <c r="D228"/>
  <c r="G226"/>
  <c r="P226" s="1"/>
  <c r="F226"/>
  <c r="O226" s="1"/>
  <c r="E226"/>
  <c r="N226" s="1"/>
  <c r="D226"/>
  <c r="G224"/>
  <c r="P224" s="1"/>
  <c r="F224"/>
  <c r="O224" s="1"/>
  <c r="E224"/>
  <c r="N224" s="1"/>
  <c r="D224"/>
  <c r="G186"/>
  <c r="P186" s="1"/>
  <c r="F186"/>
  <c r="O186" s="1"/>
  <c r="E186"/>
  <c r="N186" s="1"/>
  <c r="D186"/>
  <c r="G184"/>
  <c r="P184" s="1"/>
  <c r="F184"/>
  <c r="O184" s="1"/>
  <c r="E184"/>
  <c r="N184" s="1"/>
  <c r="D184"/>
  <c r="G151"/>
  <c r="P151" s="1"/>
  <c r="F151"/>
  <c r="O151" s="1"/>
  <c r="E151"/>
  <c r="N151" s="1"/>
  <c r="D151"/>
  <c r="G147"/>
  <c r="P147" s="1"/>
  <c r="F147"/>
  <c r="O147" s="1"/>
  <c r="E147"/>
  <c r="N147" s="1"/>
  <c r="D147"/>
  <c r="G146"/>
  <c r="P146" s="1"/>
  <c r="F146"/>
  <c r="O146" s="1"/>
  <c r="E146"/>
  <c r="N146" s="1"/>
  <c r="D146"/>
  <c r="G145"/>
  <c r="P145" s="1"/>
  <c r="F145"/>
  <c r="O145" s="1"/>
  <c r="E145"/>
  <c r="N145" s="1"/>
  <c r="D145"/>
  <c r="G124"/>
  <c r="P124" s="1"/>
  <c r="F124"/>
  <c r="O124" s="1"/>
  <c r="E124"/>
  <c r="N124" s="1"/>
  <c r="D124"/>
  <c r="G123"/>
  <c r="P123" s="1"/>
  <c r="F123"/>
  <c r="O123" s="1"/>
  <c r="E123"/>
  <c r="N123" s="1"/>
  <c r="D123"/>
  <c r="G122"/>
  <c r="P122" s="1"/>
  <c r="F122"/>
  <c r="O122" s="1"/>
  <c r="E122"/>
  <c r="N122" s="1"/>
  <c r="D122"/>
  <c r="G121"/>
  <c r="P121" s="1"/>
  <c r="F121"/>
  <c r="O121" s="1"/>
  <c r="E121"/>
  <c r="N121" s="1"/>
  <c r="D121"/>
  <c r="G106"/>
  <c r="P106" s="1"/>
  <c r="F106"/>
  <c r="O106" s="1"/>
  <c r="E106"/>
  <c r="N106" s="1"/>
  <c r="D106"/>
  <c r="G105"/>
  <c r="P105" s="1"/>
  <c r="F105"/>
  <c r="O105" s="1"/>
  <c r="E105"/>
  <c r="N105" s="1"/>
  <c r="D105"/>
  <c r="G93"/>
  <c r="P93" s="1"/>
  <c r="F93"/>
  <c r="O93" s="1"/>
  <c r="E93"/>
  <c r="N93" s="1"/>
  <c r="D93"/>
  <c r="G88"/>
  <c r="P88" s="1"/>
  <c r="F88"/>
  <c r="O88" s="1"/>
  <c r="E88"/>
  <c r="N88" s="1"/>
  <c r="D88"/>
  <c r="G85"/>
  <c r="P85" s="1"/>
  <c r="F85"/>
  <c r="O85" s="1"/>
  <c r="E85"/>
  <c r="N85" s="1"/>
  <c r="D85"/>
  <c r="G79"/>
  <c r="P79" s="1"/>
  <c r="F79"/>
  <c r="O79" s="1"/>
  <c r="E79"/>
  <c r="N79" s="1"/>
  <c r="D79"/>
  <c r="G73"/>
  <c r="P73" s="1"/>
  <c r="F73"/>
  <c r="O73" s="1"/>
  <c r="E73"/>
  <c r="N73" s="1"/>
  <c r="D73"/>
  <c r="G69"/>
  <c r="P69" s="1"/>
  <c r="F69"/>
  <c r="O69" s="1"/>
  <c r="E69"/>
  <c r="N69" s="1"/>
  <c r="D69"/>
  <c r="G65"/>
  <c r="P65" s="1"/>
  <c r="F65"/>
  <c r="O65" s="1"/>
  <c r="E65"/>
  <c r="N65" s="1"/>
  <c r="D65"/>
  <c r="G64"/>
  <c r="P64" s="1"/>
  <c r="F64"/>
  <c r="O64" s="1"/>
  <c r="E64"/>
  <c r="N64" s="1"/>
  <c r="D64"/>
  <c r="G63"/>
  <c r="P63" s="1"/>
  <c r="F63"/>
  <c r="O63" s="1"/>
  <c r="E63"/>
  <c r="N63" s="1"/>
  <c r="D63"/>
  <c r="G54"/>
  <c r="P54" s="1"/>
  <c r="F54"/>
  <c r="O54" s="1"/>
  <c r="E54"/>
  <c r="N54" s="1"/>
  <c r="D54"/>
  <c r="G53"/>
  <c r="P53" s="1"/>
  <c r="F53"/>
  <c r="O53" s="1"/>
  <c r="E53"/>
  <c r="N53" s="1"/>
  <c r="D53"/>
  <c r="G36"/>
  <c r="P36" s="1"/>
  <c r="F36"/>
  <c r="O36" s="1"/>
  <c r="E36"/>
  <c r="N36" s="1"/>
  <c r="D36"/>
  <c r="F14"/>
  <c r="O14" s="1"/>
  <c r="D14"/>
  <c r="M14" s="1"/>
  <c r="P9" i="12"/>
  <c r="H228"/>
  <c r="S228" s="1"/>
  <c r="G228"/>
  <c r="R228" s="1"/>
  <c r="F228"/>
  <c r="Q228" s="1"/>
  <c r="E228"/>
  <c r="P228" s="1"/>
  <c r="T228" s="1"/>
  <c r="H226"/>
  <c r="S226" s="1"/>
  <c r="G226"/>
  <c r="R226" s="1"/>
  <c r="F226"/>
  <c r="Q226" s="1"/>
  <c r="E226"/>
  <c r="P226" s="1"/>
  <c r="T226" s="1"/>
  <c r="H224"/>
  <c r="S224" s="1"/>
  <c r="G224"/>
  <c r="R224" s="1"/>
  <c r="F224"/>
  <c r="Q224" s="1"/>
  <c r="E224"/>
  <c r="P224" s="1"/>
  <c r="T224" s="1"/>
  <c r="H186"/>
  <c r="S186" s="1"/>
  <c r="G186"/>
  <c r="R186" s="1"/>
  <c r="E186"/>
  <c r="F186"/>
  <c r="Q186" s="1"/>
  <c r="H184"/>
  <c r="S184" s="1"/>
  <c r="G184"/>
  <c r="R184" s="1"/>
  <c r="F184"/>
  <c r="Q184" s="1"/>
  <c r="E184"/>
  <c r="P184" s="1"/>
  <c r="T184" s="1"/>
  <c r="H151"/>
  <c r="S151" s="1"/>
  <c r="G151"/>
  <c r="R151" s="1"/>
  <c r="F151"/>
  <c r="Q151" s="1"/>
  <c r="E151"/>
  <c r="P151" s="1"/>
  <c r="T151" s="1"/>
  <c r="H147"/>
  <c r="S147" s="1"/>
  <c r="G147"/>
  <c r="R147" s="1"/>
  <c r="H146"/>
  <c r="S146" s="1"/>
  <c r="G146"/>
  <c r="R146" s="1"/>
  <c r="H145"/>
  <c r="S145" s="1"/>
  <c r="G145"/>
  <c r="R145" s="1"/>
  <c r="F147"/>
  <c r="Q147" s="1"/>
  <c r="E147"/>
  <c r="P147" s="1"/>
  <c r="T147" s="1"/>
  <c r="F146"/>
  <c r="Q146" s="1"/>
  <c r="E146"/>
  <c r="P146" s="1"/>
  <c r="T146" s="1"/>
  <c r="F145"/>
  <c r="Q145" s="1"/>
  <c r="E145"/>
  <c r="P145" s="1"/>
  <c r="T145" s="1"/>
  <c r="H124"/>
  <c r="S124" s="1"/>
  <c r="G124"/>
  <c r="R124" s="1"/>
  <c r="H123"/>
  <c r="S123" s="1"/>
  <c r="G123"/>
  <c r="R123" s="1"/>
  <c r="H122"/>
  <c r="S122" s="1"/>
  <c r="G122"/>
  <c r="R122" s="1"/>
  <c r="H121"/>
  <c r="S121" s="1"/>
  <c r="G121"/>
  <c r="R121" s="1"/>
  <c r="F124"/>
  <c r="Q124" s="1"/>
  <c r="E124"/>
  <c r="P124" s="1"/>
  <c r="T124" s="1"/>
  <c r="F123"/>
  <c r="Q123" s="1"/>
  <c r="E123"/>
  <c r="P123" s="1"/>
  <c r="T123" s="1"/>
  <c r="E122"/>
  <c r="F122"/>
  <c r="Q122" s="1"/>
  <c r="E121"/>
  <c r="F121"/>
  <c r="Q121" s="1"/>
  <c r="G106"/>
  <c r="R106" s="1"/>
  <c r="H106"/>
  <c r="S106" s="1"/>
  <c r="F106"/>
  <c r="Q106" s="1"/>
  <c r="E106"/>
  <c r="P106" s="1"/>
  <c r="T106" s="1"/>
  <c r="H105"/>
  <c r="S105" s="1"/>
  <c r="G105"/>
  <c r="R105" s="1"/>
  <c r="F105"/>
  <c r="Q105" s="1"/>
  <c r="E105"/>
  <c r="P105" s="1"/>
  <c r="T105" s="1"/>
  <c r="G93"/>
  <c r="R93" s="1"/>
  <c r="H93"/>
  <c r="S93" s="1"/>
  <c r="E93"/>
  <c r="F93"/>
  <c r="Q93" s="1"/>
  <c r="H88"/>
  <c r="S88" s="1"/>
  <c r="G88"/>
  <c r="R88" s="1"/>
  <c r="E88"/>
  <c r="F88"/>
  <c r="Q88" s="1"/>
  <c r="H85"/>
  <c r="S85" s="1"/>
  <c r="G85"/>
  <c r="R85" s="1"/>
  <c r="E85"/>
  <c r="F85"/>
  <c r="Q85" s="1"/>
  <c r="E14" i="13" l="1"/>
  <c r="N14" s="1"/>
  <c r="M36"/>
  <c r="Q36" s="1"/>
  <c r="M53"/>
  <c r="Q53" s="1"/>
  <c r="M54"/>
  <c r="Q54" s="1"/>
  <c r="M63"/>
  <c r="Q63" s="1"/>
  <c r="M64"/>
  <c r="Q64" s="1"/>
  <c r="M65"/>
  <c r="Q65" s="1"/>
  <c r="M69"/>
  <c r="Q69" s="1"/>
  <c r="M73"/>
  <c r="Q73" s="1"/>
  <c r="M79"/>
  <c r="Q79" s="1"/>
  <c r="M85"/>
  <c r="Q85" s="1"/>
  <c r="M88"/>
  <c r="Q88" s="1"/>
  <c r="M93"/>
  <c r="Q93" s="1"/>
  <c r="M105"/>
  <c r="Q105" s="1"/>
  <c r="M106"/>
  <c r="Q106" s="1"/>
  <c r="M121"/>
  <c r="Q121" s="1"/>
  <c r="M122"/>
  <c r="Q122" s="1"/>
  <c r="M123"/>
  <c r="Q123" s="1"/>
  <c r="M124"/>
  <c r="Q124" s="1"/>
  <c r="M145"/>
  <c r="Q145" s="1"/>
  <c r="M146"/>
  <c r="Q146" s="1"/>
  <c r="M147"/>
  <c r="Q147" s="1"/>
  <c r="M151"/>
  <c r="Q151" s="1"/>
  <c r="M184"/>
  <c r="Q184" s="1"/>
  <c r="M186"/>
  <c r="Q186" s="1"/>
  <c r="M224"/>
  <c r="Q224" s="1"/>
  <c r="M226"/>
  <c r="Q226" s="1"/>
  <c r="M228"/>
  <c r="Q228" s="1"/>
  <c r="E14" i="14"/>
  <c r="N14" s="1"/>
  <c r="M14"/>
  <c r="H36"/>
  <c r="M36"/>
  <c r="M53"/>
  <c r="Q53" s="1"/>
  <c r="H54"/>
  <c r="M54"/>
  <c r="M63"/>
  <c r="Q63" s="1"/>
  <c r="H64"/>
  <c r="M64"/>
  <c r="M65"/>
  <c r="Q65" s="1"/>
  <c r="M69"/>
  <c r="Q69" s="1"/>
  <c r="M73"/>
  <c r="Q73" s="1"/>
  <c r="M79"/>
  <c r="Q79" s="1"/>
  <c r="M85"/>
  <c r="Q85" s="1"/>
  <c r="H88"/>
  <c r="M88"/>
  <c r="M93"/>
  <c r="Q93" s="1"/>
  <c r="M105"/>
  <c r="Q105" s="1"/>
  <c r="M106"/>
  <c r="Q106" s="1"/>
  <c r="M121"/>
  <c r="Q121" s="1"/>
  <c r="M122"/>
  <c r="Q122" s="1"/>
  <c r="M123"/>
  <c r="Q123" s="1"/>
  <c r="M124"/>
  <c r="Q124" s="1"/>
  <c r="M146"/>
  <c r="Q146" s="1"/>
  <c r="M151"/>
  <c r="Q151" s="1"/>
  <c r="M184"/>
  <c r="Q184" s="1"/>
  <c r="M186"/>
  <c r="Q186" s="1"/>
  <c r="M224"/>
  <c r="Q224" s="1"/>
  <c r="M226"/>
  <c r="Q226" s="1"/>
  <c r="M228"/>
  <c r="Q228" s="1"/>
  <c r="I85" i="12"/>
  <c r="P85"/>
  <c r="T85" s="1"/>
  <c r="I88"/>
  <c r="P88"/>
  <c r="T88" s="1"/>
  <c r="I93"/>
  <c r="P93"/>
  <c r="T93" s="1"/>
  <c r="I121"/>
  <c r="P121"/>
  <c r="T121" s="1"/>
  <c r="I122"/>
  <c r="P122"/>
  <c r="T122" s="1"/>
  <c r="I186"/>
  <c r="P186"/>
  <c r="T186" s="1"/>
  <c r="G14" i="14"/>
  <c r="P14" s="1"/>
  <c r="O14"/>
  <c r="O229" s="1"/>
  <c r="H145"/>
  <c r="N145"/>
  <c r="H147"/>
  <c r="N147"/>
  <c r="Q147" s="1"/>
  <c r="I105" i="12"/>
  <c r="I106"/>
  <c r="I123"/>
  <c r="I124"/>
  <c r="I145"/>
  <c r="I146"/>
  <c r="I147"/>
  <c r="I151"/>
  <c r="I184"/>
  <c r="I224"/>
  <c r="I226"/>
  <c r="I228"/>
  <c r="G14" i="13"/>
  <c r="P14" s="1"/>
  <c r="H228"/>
  <c r="H226"/>
  <c r="H224"/>
  <c r="H186"/>
  <c r="H184"/>
  <c r="H146"/>
  <c r="H124"/>
  <c r="H122"/>
  <c r="H106"/>
  <c r="H88"/>
  <c r="H64"/>
  <c r="H54"/>
  <c r="H36"/>
  <c r="H151"/>
  <c r="H147"/>
  <c r="H145"/>
  <c r="H123"/>
  <c r="H121"/>
  <c r="H105"/>
  <c r="H93"/>
  <c r="H85"/>
  <c r="H79"/>
  <c r="H73"/>
  <c r="H69"/>
  <c r="H65"/>
  <c r="H63"/>
  <c r="H53"/>
  <c r="O229"/>
  <c r="Q145" i="14"/>
  <c r="H228"/>
  <c r="H224"/>
  <c r="H186"/>
  <c r="H151"/>
  <c r="H146"/>
  <c r="H124"/>
  <c r="H122"/>
  <c r="H106"/>
  <c r="H93"/>
  <c r="H85"/>
  <c r="H73"/>
  <c r="H65"/>
  <c r="H63"/>
  <c r="H53"/>
  <c r="F229"/>
  <c r="Q88"/>
  <c r="Q64"/>
  <c r="Q36"/>
  <c r="H226"/>
  <c r="H184"/>
  <c r="H123"/>
  <c r="H121"/>
  <c r="H105"/>
  <c r="H79"/>
  <c r="H69"/>
  <c r="Q54"/>
  <c r="H14" l="1"/>
  <c r="Q14" i="13"/>
  <c r="Q14" i="14"/>
  <c r="H14" i="13"/>
  <c r="G79" i="12"/>
  <c r="R79" s="1"/>
  <c r="H79"/>
  <c r="S79" s="1"/>
  <c r="F79"/>
  <c r="Q79" s="1"/>
  <c r="E79"/>
  <c r="P79" s="1"/>
  <c r="T79" s="1"/>
  <c r="H73"/>
  <c r="S73" s="1"/>
  <c r="G73"/>
  <c r="R73" s="1"/>
  <c r="E73"/>
  <c r="P73" s="1"/>
  <c r="F73"/>
  <c r="Q73" s="1"/>
  <c r="G69"/>
  <c r="R69" s="1"/>
  <c r="H69"/>
  <c r="S69" s="1"/>
  <c r="E69"/>
  <c r="P69" s="1"/>
  <c r="T69" s="1"/>
  <c r="F69"/>
  <c r="Q69" s="1"/>
  <c r="T73" l="1"/>
  <c r="I79"/>
  <c r="I69"/>
  <c r="I73"/>
  <c r="H65"/>
  <c r="S65" s="1"/>
  <c r="G65"/>
  <c r="R65" s="1"/>
  <c r="F65"/>
  <c r="Q65" s="1"/>
  <c r="E65"/>
  <c r="P65" s="1"/>
  <c r="T65" s="1"/>
  <c r="H64"/>
  <c r="S64" s="1"/>
  <c r="G64"/>
  <c r="R64" s="1"/>
  <c r="F64"/>
  <c r="Q64" s="1"/>
  <c r="E64"/>
  <c r="P64" s="1"/>
  <c r="T64" s="1"/>
  <c r="F63"/>
  <c r="Q63" s="1"/>
  <c r="E63"/>
  <c r="P63" s="1"/>
  <c r="H63"/>
  <c r="S63" s="1"/>
  <c r="G63"/>
  <c r="R63" s="1"/>
  <c r="F54"/>
  <c r="Q54" s="1"/>
  <c r="H54"/>
  <c r="S54" s="1"/>
  <c r="G54"/>
  <c r="R54" s="1"/>
  <c r="E54"/>
  <c r="P54" s="1"/>
  <c r="T54" s="1"/>
  <c r="G53"/>
  <c r="R53" s="1"/>
  <c r="H53"/>
  <c r="S53" s="1"/>
  <c r="F53"/>
  <c r="Q53" s="1"/>
  <c r="E53"/>
  <c r="P53" s="1"/>
  <c r="T53" s="1"/>
  <c r="H36"/>
  <c r="S36" s="1"/>
  <c r="G36"/>
  <c r="R36" s="1"/>
  <c r="E36"/>
  <c r="P36" s="1"/>
  <c r="F36"/>
  <c r="Q36" s="1"/>
  <c r="E14"/>
  <c r="P14" s="1"/>
  <c r="G14"/>
  <c r="R14" s="1"/>
  <c r="R229" s="1"/>
  <c r="F14"/>
  <c r="Q14" s="1"/>
  <c r="T63" l="1"/>
  <c r="T36"/>
  <c r="I36"/>
  <c r="H14"/>
  <c r="S14" s="1"/>
  <c r="T14" s="1"/>
  <c r="G229"/>
  <c r="I53"/>
  <c r="I54"/>
  <c r="I63"/>
  <c r="I64"/>
  <c r="I65"/>
  <c r="O36"/>
  <c r="I14" l="1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9"/>
  <c r="E66" i="13" l="1"/>
  <c r="N66" s="1"/>
  <c r="G66"/>
  <c r="P66" s="1"/>
  <c r="Q66" l="1"/>
  <c r="H66"/>
  <c r="G223" i="14"/>
  <c r="P223" s="1"/>
  <c r="E223"/>
  <c r="N223" s="1"/>
  <c r="G222"/>
  <c r="P222" s="1"/>
  <c r="E222"/>
  <c r="N222" s="1"/>
  <c r="G221"/>
  <c r="P221" s="1"/>
  <c r="E221"/>
  <c r="N221" s="1"/>
  <c r="G220"/>
  <c r="P220" s="1"/>
  <c r="E220"/>
  <c r="N220" s="1"/>
  <c r="E219"/>
  <c r="N219" s="1"/>
  <c r="G218"/>
  <c r="P218" s="1"/>
  <c r="E218"/>
  <c r="N218" s="1"/>
  <c r="G217"/>
  <c r="P217" s="1"/>
  <c r="E217"/>
  <c r="N217" s="1"/>
  <c r="D216"/>
  <c r="M216" s="1"/>
  <c r="G215"/>
  <c r="P215" s="1"/>
  <c r="E215"/>
  <c r="N215" s="1"/>
  <c r="G214"/>
  <c r="P214" s="1"/>
  <c r="E214"/>
  <c r="N214" s="1"/>
  <c r="G213"/>
  <c r="P213" s="1"/>
  <c r="E213"/>
  <c r="N213" s="1"/>
  <c r="G212"/>
  <c r="P212" s="1"/>
  <c r="E212"/>
  <c r="N212" s="1"/>
  <c r="G211"/>
  <c r="P211" s="1"/>
  <c r="E211"/>
  <c r="N211" s="1"/>
  <c r="G210"/>
  <c r="P210" s="1"/>
  <c r="E210"/>
  <c r="N210" s="1"/>
  <c r="G209"/>
  <c r="P209" s="1"/>
  <c r="E209"/>
  <c r="N209" s="1"/>
  <c r="G208"/>
  <c r="P208" s="1"/>
  <c r="E208"/>
  <c r="N208" s="1"/>
  <c r="G207"/>
  <c r="P207" s="1"/>
  <c r="E207"/>
  <c r="N207" s="1"/>
  <c r="G206"/>
  <c r="P206" s="1"/>
  <c r="E206"/>
  <c r="N206" s="1"/>
  <c r="G205"/>
  <c r="P205" s="1"/>
  <c r="E205"/>
  <c r="N205" s="1"/>
  <c r="G204"/>
  <c r="P204" s="1"/>
  <c r="E204"/>
  <c r="N204" s="1"/>
  <c r="G203"/>
  <c r="P203" s="1"/>
  <c r="E203"/>
  <c r="N203" s="1"/>
  <c r="G201"/>
  <c r="P201" s="1"/>
  <c r="E201"/>
  <c r="N201" s="1"/>
  <c r="G200"/>
  <c r="P200" s="1"/>
  <c r="E200"/>
  <c r="N200" s="1"/>
  <c r="G198"/>
  <c r="P198" s="1"/>
  <c r="E198"/>
  <c r="N198" s="1"/>
  <c r="E197"/>
  <c r="N197" s="1"/>
  <c r="E196"/>
  <c r="N196" s="1"/>
  <c r="G194"/>
  <c r="P194" s="1"/>
  <c r="E194"/>
  <c r="N194" s="1"/>
  <c r="G193"/>
  <c r="P193" s="1"/>
  <c r="E193"/>
  <c r="N193" s="1"/>
  <c r="G192"/>
  <c r="P192" s="1"/>
  <c r="E192"/>
  <c r="N192" s="1"/>
  <c r="G191"/>
  <c r="P191" s="1"/>
  <c r="E191"/>
  <c r="N191" s="1"/>
  <c r="G190"/>
  <c r="P190" s="1"/>
  <c r="E190"/>
  <c r="N190" s="1"/>
  <c r="G189"/>
  <c r="P189" s="1"/>
  <c r="E189"/>
  <c r="N189" s="1"/>
  <c r="G188"/>
  <c r="P188" s="1"/>
  <c r="E188"/>
  <c r="N188" s="1"/>
  <c r="G185"/>
  <c r="P185" s="1"/>
  <c r="E185"/>
  <c r="N185" s="1"/>
  <c r="G183"/>
  <c r="P183" s="1"/>
  <c r="E183"/>
  <c r="N183" s="1"/>
  <c r="G182"/>
  <c r="P182" s="1"/>
  <c r="E182"/>
  <c r="N182" s="1"/>
  <c r="G181"/>
  <c r="P181" s="1"/>
  <c r="E181"/>
  <c r="N181" s="1"/>
  <c r="G180"/>
  <c r="P180" s="1"/>
  <c r="E180"/>
  <c r="N180" s="1"/>
  <c r="G179"/>
  <c r="P179" s="1"/>
  <c r="D179"/>
  <c r="M179" s="1"/>
  <c r="G178"/>
  <c r="P178" s="1"/>
  <c r="E178"/>
  <c r="N178" s="1"/>
  <c r="G177"/>
  <c r="P177" s="1"/>
  <c r="E177"/>
  <c r="N177" s="1"/>
  <c r="G176"/>
  <c r="P176" s="1"/>
  <c r="E176"/>
  <c r="N176" s="1"/>
  <c r="G175"/>
  <c r="P175" s="1"/>
  <c r="E175"/>
  <c r="N175" s="1"/>
  <c r="G174"/>
  <c r="P174" s="1"/>
  <c r="E174"/>
  <c r="N174" s="1"/>
  <c r="G173"/>
  <c r="P173" s="1"/>
  <c r="E173"/>
  <c r="N173" s="1"/>
  <c r="G172"/>
  <c r="P172" s="1"/>
  <c r="E172"/>
  <c r="N172" s="1"/>
  <c r="G171"/>
  <c r="P171" s="1"/>
  <c r="E171"/>
  <c r="N171" s="1"/>
  <c r="E170"/>
  <c r="N170" s="1"/>
  <c r="G169"/>
  <c r="P169" s="1"/>
  <c r="E169"/>
  <c r="N169" s="1"/>
  <c r="G167"/>
  <c r="P167" s="1"/>
  <c r="E167"/>
  <c r="N167" s="1"/>
  <c r="G166"/>
  <c r="P166" s="1"/>
  <c r="E166"/>
  <c r="N166" s="1"/>
  <c r="G165"/>
  <c r="P165" s="1"/>
  <c r="E165"/>
  <c r="N165" s="1"/>
  <c r="G164"/>
  <c r="P164" s="1"/>
  <c r="E164"/>
  <c r="N164" s="1"/>
  <c r="G163"/>
  <c r="P163" s="1"/>
  <c r="E163"/>
  <c r="N163" s="1"/>
  <c r="G162"/>
  <c r="P162" s="1"/>
  <c r="E162"/>
  <c r="N162" s="1"/>
  <c r="G161"/>
  <c r="P161" s="1"/>
  <c r="E161"/>
  <c r="N161" s="1"/>
  <c r="G160"/>
  <c r="P160" s="1"/>
  <c r="E160"/>
  <c r="N160" s="1"/>
  <c r="G159"/>
  <c r="P159" s="1"/>
  <c r="E159"/>
  <c r="N159" s="1"/>
  <c r="G158"/>
  <c r="P158" s="1"/>
  <c r="E158"/>
  <c r="N158" s="1"/>
  <c r="G157"/>
  <c r="P157" s="1"/>
  <c r="E157"/>
  <c r="N157" s="1"/>
  <c r="E156"/>
  <c r="N156" s="1"/>
  <c r="G155"/>
  <c r="P155" s="1"/>
  <c r="E155"/>
  <c r="N155" s="1"/>
  <c r="G153"/>
  <c r="P153" s="1"/>
  <c r="E153"/>
  <c r="N153" s="1"/>
  <c r="G152"/>
  <c r="P152" s="1"/>
  <c r="E152"/>
  <c r="N152" s="1"/>
  <c r="G150"/>
  <c r="P150" s="1"/>
  <c r="E150"/>
  <c r="N150" s="1"/>
  <c r="E148"/>
  <c r="N148" s="1"/>
  <c r="G144"/>
  <c r="P144" s="1"/>
  <c r="E144"/>
  <c r="N144" s="1"/>
  <c r="G143"/>
  <c r="P143" s="1"/>
  <c r="E143"/>
  <c r="N143" s="1"/>
  <c r="G142"/>
  <c r="P142" s="1"/>
  <c r="E142"/>
  <c r="N142" s="1"/>
  <c r="G141"/>
  <c r="P141" s="1"/>
  <c r="E141"/>
  <c r="N141" s="1"/>
  <c r="G140"/>
  <c r="P140" s="1"/>
  <c r="E140"/>
  <c r="N140" s="1"/>
  <c r="G139"/>
  <c r="P139" s="1"/>
  <c r="E139"/>
  <c r="N139" s="1"/>
  <c r="E138"/>
  <c r="N138" s="1"/>
  <c r="E137"/>
  <c r="N137" s="1"/>
  <c r="G136"/>
  <c r="P136" s="1"/>
  <c r="E136"/>
  <c r="N136" s="1"/>
  <c r="G135"/>
  <c r="P135" s="1"/>
  <c r="E135"/>
  <c r="N135" s="1"/>
  <c r="G134"/>
  <c r="P134" s="1"/>
  <c r="E134"/>
  <c r="N134" s="1"/>
  <c r="G133"/>
  <c r="P133" s="1"/>
  <c r="E133"/>
  <c r="N133" s="1"/>
  <c r="G132"/>
  <c r="P132" s="1"/>
  <c r="E132"/>
  <c r="N132" s="1"/>
  <c r="G131"/>
  <c r="P131" s="1"/>
  <c r="E131"/>
  <c r="N131" s="1"/>
  <c r="G130"/>
  <c r="P130" s="1"/>
  <c r="E130"/>
  <c r="N130" s="1"/>
  <c r="G129"/>
  <c r="P129" s="1"/>
  <c r="E129"/>
  <c r="N129" s="1"/>
  <c r="G128"/>
  <c r="P128" s="1"/>
  <c r="E128"/>
  <c r="N128" s="1"/>
  <c r="G127"/>
  <c r="P127" s="1"/>
  <c r="E127"/>
  <c r="N127" s="1"/>
  <c r="G126"/>
  <c r="P126" s="1"/>
  <c r="E126"/>
  <c r="N126" s="1"/>
  <c r="G120"/>
  <c r="P120" s="1"/>
  <c r="E120"/>
  <c r="N120" s="1"/>
  <c r="E119"/>
  <c r="N119" s="1"/>
  <c r="G118"/>
  <c r="P118" s="1"/>
  <c r="E118"/>
  <c r="N118" s="1"/>
  <c r="G117"/>
  <c r="P117" s="1"/>
  <c r="E117"/>
  <c r="N117" s="1"/>
  <c r="G116"/>
  <c r="P116" s="1"/>
  <c r="E116"/>
  <c r="N116" s="1"/>
  <c r="G115"/>
  <c r="P115" s="1"/>
  <c r="E115"/>
  <c r="N115" s="1"/>
  <c r="G114"/>
  <c r="P114" s="1"/>
  <c r="E114"/>
  <c r="N114" s="1"/>
  <c r="G113"/>
  <c r="P113" s="1"/>
  <c r="E113"/>
  <c r="N113" s="1"/>
  <c r="G112"/>
  <c r="P112" s="1"/>
  <c r="E112"/>
  <c r="N112" s="1"/>
  <c r="E111"/>
  <c r="N111" s="1"/>
  <c r="G110"/>
  <c r="P110" s="1"/>
  <c r="E110"/>
  <c r="N110" s="1"/>
  <c r="G109"/>
  <c r="P109" s="1"/>
  <c r="E109"/>
  <c r="N109" s="1"/>
  <c r="G108"/>
  <c r="P108" s="1"/>
  <c r="E108"/>
  <c r="N108" s="1"/>
  <c r="G104"/>
  <c r="P104" s="1"/>
  <c r="G103"/>
  <c r="P103" s="1"/>
  <c r="E103"/>
  <c r="N103" s="1"/>
  <c r="G102"/>
  <c r="P102" s="1"/>
  <c r="E102"/>
  <c r="N102" s="1"/>
  <c r="G101"/>
  <c r="P101" s="1"/>
  <c r="E101"/>
  <c r="N101" s="1"/>
  <c r="G100"/>
  <c r="P100" s="1"/>
  <c r="E100"/>
  <c r="N100" s="1"/>
  <c r="G99"/>
  <c r="P99" s="1"/>
  <c r="E99"/>
  <c r="N99" s="1"/>
  <c r="G98"/>
  <c r="P98" s="1"/>
  <c r="E98"/>
  <c r="N98" s="1"/>
  <c r="G97"/>
  <c r="P97" s="1"/>
  <c r="E97"/>
  <c r="N97" s="1"/>
  <c r="G96"/>
  <c r="P96" s="1"/>
  <c r="E96"/>
  <c r="N96" s="1"/>
  <c r="G94"/>
  <c r="P94" s="1"/>
  <c r="E94"/>
  <c r="N94" s="1"/>
  <c r="G92"/>
  <c r="P92" s="1"/>
  <c r="E92"/>
  <c r="N92" s="1"/>
  <c r="G91"/>
  <c r="P91" s="1"/>
  <c r="E91"/>
  <c r="N91" s="1"/>
  <c r="G90"/>
  <c r="P90" s="1"/>
  <c r="E90"/>
  <c r="N90" s="1"/>
  <c r="G87"/>
  <c r="P87" s="1"/>
  <c r="D87"/>
  <c r="M87" s="1"/>
  <c r="G84"/>
  <c r="P84" s="1"/>
  <c r="E84"/>
  <c r="N84" s="1"/>
  <c r="G82"/>
  <c r="P82" s="1"/>
  <c r="E82"/>
  <c r="N82" s="1"/>
  <c r="G80"/>
  <c r="P80" s="1"/>
  <c r="E80"/>
  <c r="N80" s="1"/>
  <c r="G78"/>
  <c r="P78" s="1"/>
  <c r="G77"/>
  <c r="P77" s="1"/>
  <c r="E77"/>
  <c r="N77" s="1"/>
  <c r="G76"/>
  <c r="P76" s="1"/>
  <c r="E76"/>
  <c r="N76" s="1"/>
  <c r="G75"/>
  <c r="P75" s="1"/>
  <c r="E75"/>
  <c r="N75" s="1"/>
  <c r="E72"/>
  <c r="N72" s="1"/>
  <c r="G71"/>
  <c r="P71" s="1"/>
  <c r="E71"/>
  <c r="N71" s="1"/>
  <c r="G68"/>
  <c r="P68" s="1"/>
  <c r="E68"/>
  <c r="N68" s="1"/>
  <c r="R67"/>
  <c r="G66"/>
  <c r="P66" s="1"/>
  <c r="E66"/>
  <c r="N66" s="1"/>
  <c r="G62"/>
  <c r="P62" s="1"/>
  <c r="E62"/>
  <c r="N62" s="1"/>
  <c r="G61"/>
  <c r="P61" s="1"/>
  <c r="E61"/>
  <c r="N61" s="1"/>
  <c r="G60"/>
  <c r="P60" s="1"/>
  <c r="E60"/>
  <c r="N60" s="1"/>
  <c r="G59"/>
  <c r="P59" s="1"/>
  <c r="E59"/>
  <c r="N59" s="1"/>
  <c r="G58"/>
  <c r="P58" s="1"/>
  <c r="E58"/>
  <c r="N58" s="1"/>
  <c r="G57"/>
  <c r="P57" s="1"/>
  <c r="E57"/>
  <c r="N57" s="1"/>
  <c r="G56"/>
  <c r="P56" s="1"/>
  <c r="E56"/>
  <c r="N56" s="1"/>
  <c r="G52"/>
  <c r="P52" s="1"/>
  <c r="E52"/>
  <c r="N52" s="1"/>
  <c r="E51"/>
  <c r="N51" s="1"/>
  <c r="E50"/>
  <c r="N50" s="1"/>
  <c r="E49"/>
  <c r="N49" s="1"/>
  <c r="G48"/>
  <c r="P48" s="1"/>
  <c r="E48"/>
  <c r="N48" s="1"/>
  <c r="E47"/>
  <c r="N47" s="1"/>
  <c r="G46"/>
  <c r="P46" s="1"/>
  <c r="E46"/>
  <c r="N46" s="1"/>
  <c r="G45"/>
  <c r="P45" s="1"/>
  <c r="E45"/>
  <c r="N45" s="1"/>
  <c r="G44"/>
  <c r="P44" s="1"/>
  <c r="E44"/>
  <c r="N44" s="1"/>
  <c r="G42"/>
  <c r="P42" s="1"/>
  <c r="E42"/>
  <c r="N42" s="1"/>
  <c r="G41"/>
  <c r="P41" s="1"/>
  <c r="E41"/>
  <c r="N41" s="1"/>
  <c r="G40"/>
  <c r="P40" s="1"/>
  <c r="E40"/>
  <c r="N40" s="1"/>
  <c r="G39"/>
  <c r="P39" s="1"/>
  <c r="E39"/>
  <c r="N39" s="1"/>
  <c r="G38"/>
  <c r="P38" s="1"/>
  <c r="E38"/>
  <c r="N38" s="1"/>
  <c r="G37"/>
  <c r="P37" s="1"/>
  <c r="E37"/>
  <c r="N37" s="1"/>
  <c r="G35"/>
  <c r="P35" s="1"/>
  <c r="E35"/>
  <c r="N35" s="1"/>
  <c r="G34"/>
  <c r="P34" s="1"/>
  <c r="E34"/>
  <c r="N34" s="1"/>
  <c r="G32"/>
  <c r="P32" s="1"/>
  <c r="E32"/>
  <c r="N32" s="1"/>
  <c r="G31"/>
  <c r="P31" s="1"/>
  <c r="E31"/>
  <c r="N31" s="1"/>
  <c r="G30"/>
  <c r="P30" s="1"/>
  <c r="E30"/>
  <c r="N30" s="1"/>
  <c r="D29"/>
  <c r="M29" s="1"/>
  <c r="D28"/>
  <c r="M28" s="1"/>
  <c r="E27"/>
  <c r="N27" s="1"/>
  <c r="D27"/>
  <c r="M27" s="1"/>
  <c r="G26"/>
  <c r="P26" s="1"/>
  <c r="E26"/>
  <c r="N26" s="1"/>
  <c r="G24"/>
  <c r="P24" s="1"/>
  <c r="E24"/>
  <c r="N24" s="1"/>
  <c r="G23"/>
  <c r="P23" s="1"/>
  <c r="E23"/>
  <c r="N23" s="1"/>
  <c r="G22"/>
  <c r="P22" s="1"/>
  <c r="E22"/>
  <c r="N22" s="1"/>
  <c r="G21"/>
  <c r="P21" s="1"/>
  <c r="E21"/>
  <c r="N21" s="1"/>
  <c r="G20"/>
  <c r="P20" s="1"/>
  <c r="E20"/>
  <c r="N20" s="1"/>
  <c r="G19"/>
  <c r="P19" s="1"/>
  <c r="E19"/>
  <c r="N19" s="1"/>
  <c r="G18"/>
  <c r="P18" s="1"/>
  <c r="E18"/>
  <c r="N18" s="1"/>
  <c r="E17"/>
  <c r="N17" s="1"/>
  <c r="G16"/>
  <c r="P16" s="1"/>
  <c r="E16"/>
  <c r="N16" s="1"/>
  <c r="G13"/>
  <c r="P13" s="1"/>
  <c r="E13"/>
  <c r="N13" s="1"/>
  <c r="G12"/>
  <c r="P12" s="1"/>
  <c r="E12"/>
  <c r="N12" s="1"/>
  <c r="G11"/>
  <c r="P11" s="1"/>
  <c r="E11"/>
  <c r="N11" s="1"/>
  <c r="G10"/>
  <c r="P10" s="1"/>
  <c r="E10"/>
  <c r="N10" s="1"/>
  <c r="E9"/>
  <c r="N9" s="1"/>
  <c r="F229" i="13"/>
  <c r="G223"/>
  <c r="P223" s="1"/>
  <c r="E223"/>
  <c r="N223" s="1"/>
  <c r="G222"/>
  <c r="P222" s="1"/>
  <c r="E222"/>
  <c r="N222" s="1"/>
  <c r="G221"/>
  <c r="P221" s="1"/>
  <c r="E221"/>
  <c r="N221" s="1"/>
  <c r="G220"/>
  <c r="P220" s="1"/>
  <c r="E220"/>
  <c r="N220" s="1"/>
  <c r="E219"/>
  <c r="N219" s="1"/>
  <c r="G218"/>
  <c r="P218" s="1"/>
  <c r="E218"/>
  <c r="N218" s="1"/>
  <c r="G217"/>
  <c r="P217" s="1"/>
  <c r="E217"/>
  <c r="N217" s="1"/>
  <c r="D216"/>
  <c r="M216" s="1"/>
  <c r="G215"/>
  <c r="P215" s="1"/>
  <c r="E215"/>
  <c r="N215" s="1"/>
  <c r="G214"/>
  <c r="P214" s="1"/>
  <c r="E214"/>
  <c r="N214" s="1"/>
  <c r="G213"/>
  <c r="P213" s="1"/>
  <c r="E213"/>
  <c r="N213" s="1"/>
  <c r="G212"/>
  <c r="P212" s="1"/>
  <c r="E212"/>
  <c r="N212" s="1"/>
  <c r="G211"/>
  <c r="P211" s="1"/>
  <c r="E211"/>
  <c r="N211" s="1"/>
  <c r="G210"/>
  <c r="P210" s="1"/>
  <c r="E210"/>
  <c r="N210" s="1"/>
  <c r="G209"/>
  <c r="P209" s="1"/>
  <c r="E209"/>
  <c r="N209" s="1"/>
  <c r="G208"/>
  <c r="P208" s="1"/>
  <c r="E208"/>
  <c r="N208" s="1"/>
  <c r="G207"/>
  <c r="P207" s="1"/>
  <c r="E207"/>
  <c r="N207" s="1"/>
  <c r="G206"/>
  <c r="P206" s="1"/>
  <c r="E206"/>
  <c r="N206" s="1"/>
  <c r="G205"/>
  <c r="P205" s="1"/>
  <c r="E205"/>
  <c r="N205" s="1"/>
  <c r="G204"/>
  <c r="P204" s="1"/>
  <c r="E204"/>
  <c r="N204" s="1"/>
  <c r="G203"/>
  <c r="P203" s="1"/>
  <c r="E203"/>
  <c r="N203" s="1"/>
  <c r="G201"/>
  <c r="P201" s="1"/>
  <c r="E201"/>
  <c r="N201" s="1"/>
  <c r="G200"/>
  <c r="P200" s="1"/>
  <c r="E200"/>
  <c r="N200" s="1"/>
  <c r="G198"/>
  <c r="P198" s="1"/>
  <c r="E198"/>
  <c r="N198" s="1"/>
  <c r="E197"/>
  <c r="N197" s="1"/>
  <c r="E196"/>
  <c r="N196" s="1"/>
  <c r="G194"/>
  <c r="P194" s="1"/>
  <c r="E194"/>
  <c r="N194" s="1"/>
  <c r="G193"/>
  <c r="P193" s="1"/>
  <c r="E193"/>
  <c r="N193" s="1"/>
  <c r="G192"/>
  <c r="P192" s="1"/>
  <c r="E192"/>
  <c r="N192" s="1"/>
  <c r="G191"/>
  <c r="P191" s="1"/>
  <c r="E191"/>
  <c r="N191" s="1"/>
  <c r="G190"/>
  <c r="P190" s="1"/>
  <c r="E190"/>
  <c r="N190" s="1"/>
  <c r="G189"/>
  <c r="P189" s="1"/>
  <c r="E189"/>
  <c r="N189" s="1"/>
  <c r="G188"/>
  <c r="P188" s="1"/>
  <c r="E188"/>
  <c r="N188" s="1"/>
  <c r="G185"/>
  <c r="P185" s="1"/>
  <c r="E185"/>
  <c r="N185" s="1"/>
  <c r="G183"/>
  <c r="P183" s="1"/>
  <c r="E183"/>
  <c r="N183" s="1"/>
  <c r="G182"/>
  <c r="P182" s="1"/>
  <c r="E182"/>
  <c r="N182" s="1"/>
  <c r="G181"/>
  <c r="P181" s="1"/>
  <c r="E181"/>
  <c r="N181" s="1"/>
  <c r="G180"/>
  <c r="P180" s="1"/>
  <c r="E180"/>
  <c r="N180" s="1"/>
  <c r="G179"/>
  <c r="P179" s="1"/>
  <c r="D179"/>
  <c r="M179" s="1"/>
  <c r="G178"/>
  <c r="P178" s="1"/>
  <c r="E178"/>
  <c r="N178" s="1"/>
  <c r="G177"/>
  <c r="P177" s="1"/>
  <c r="E177"/>
  <c r="N177" s="1"/>
  <c r="G176"/>
  <c r="P176" s="1"/>
  <c r="E176"/>
  <c r="N176" s="1"/>
  <c r="G175"/>
  <c r="P175" s="1"/>
  <c r="E175"/>
  <c r="N175" s="1"/>
  <c r="G174"/>
  <c r="P174" s="1"/>
  <c r="E174"/>
  <c r="N174" s="1"/>
  <c r="G173"/>
  <c r="P173" s="1"/>
  <c r="E173"/>
  <c r="N173" s="1"/>
  <c r="G172"/>
  <c r="P172" s="1"/>
  <c r="E172"/>
  <c r="N172" s="1"/>
  <c r="G171"/>
  <c r="P171" s="1"/>
  <c r="E171"/>
  <c r="N171" s="1"/>
  <c r="E170"/>
  <c r="N170" s="1"/>
  <c r="G169"/>
  <c r="P169" s="1"/>
  <c r="E169"/>
  <c r="N169" s="1"/>
  <c r="G167"/>
  <c r="P167" s="1"/>
  <c r="E167"/>
  <c r="N167" s="1"/>
  <c r="G166"/>
  <c r="P166" s="1"/>
  <c r="E166"/>
  <c r="N166" s="1"/>
  <c r="G165"/>
  <c r="P165" s="1"/>
  <c r="E165"/>
  <c r="N165" s="1"/>
  <c r="G164"/>
  <c r="P164" s="1"/>
  <c r="E164"/>
  <c r="N164" s="1"/>
  <c r="G163"/>
  <c r="P163" s="1"/>
  <c r="E163"/>
  <c r="N163" s="1"/>
  <c r="G162"/>
  <c r="P162" s="1"/>
  <c r="E162"/>
  <c r="N162" s="1"/>
  <c r="G161"/>
  <c r="P161" s="1"/>
  <c r="E161"/>
  <c r="N161" s="1"/>
  <c r="G160"/>
  <c r="P160" s="1"/>
  <c r="E160"/>
  <c r="N160" s="1"/>
  <c r="G159"/>
  <c r="P159" s="1"/>
  <c r="E159"/>
  <c r="N159" s="1"/>
  <c r="G158"/>
  <c r="P158" s="1"/>
  <c r="E158"/>
  <c r="N158" s="1"/>
  <c r="G157"/>
  <c r="P157" s="1"/>
  <c r="E157"/>
  <c r="N157" s="1"/>
  <c r="E156"/>
  <c r="N156" s="1"/>
  <c r="G155"/>
  <c r="P155" s="1"/>
  <c r="E155"/>
  <c r="N155" s="1"/>
  <c r="G153"/>
  <c r="P153" s="1"/>
  <c r="E153"/>
  <c r="N153" s="1"/>
  <c r="G152"/>
  <c r="P152" s="1"/>
  <c r="E152"/>
  <c r="N152" s="1"/>
  <c r="G150"/>
  <c r="P150" s="1"/>
  <c r="E150"/>
  <c r="N150" s="1"/>
  <c r="E148"/>
  <c r="N148" s="1"/>
  <c r="G144"/>
  <c r="P144" s="1"/>
  <c r="E144"/>
  <c r="N144" s="1"/>
  <c r="G143"/>
  <c r="P143" s="1"/>
  <c r="E143"/>
  <c r="N143" s="1"/>
  <c r="G142"/>
  <c r="P142" s="1"/>
  <c r="E142"/>
  <c r="N142" s="1"/>
  <c r="G141"/>
  <c r="P141" s="1"/>
  <c r="E141"/>
  <c r="N141" s="1"/>
  <c r="G140"/>
  <c r="P140" s="1"/>
  <c r="E140"/>
  <c r="N140" s="1"/>
  <c r="G139"/>
  <c r="P139" s="1"/>
  <c r="E139"/>
  <c r="N139" s="1"/>
  <c r="E138"/>
  <c r="N138" s="1"/>
  <c r="E137"/>
  <c r="N137" s="1"/>
  <c r="G136"/>
  <c r="P136" s="1"/>
  <c r="E136"/>
  <c r="N136" s="1"/>
  <c r="G135"/>
  <c r="P135" s="1"/>
  <c r="E135"/>
  <c r="N135" s="1"/>
  <c r="G134"/>
  <c r="P134" s="1"/>
  <c r="E134"/>
  <c r="N134" s="1"/>
  <c r="G133"/>
  <c r="P133" s="1"/>
  <c r="E133"/>
  <c r="N133" s="1"/>
  <c r="G132"/>
  <c r="P132" s="1"/>
  <c r="E132"/>
  <c r="N132" s="1"/>
  <c r="G131"/>
  <c r="P131" s="1"/>
  <c r="E131"/>
  <c r="N131" s="1"/>
  <c r="G130"/>
  <c r="P130" s="1"/>
  <c r="E130"/>
  <c r="N130" s="1"/>
  <c r="G129"/>
  <c r="P129" s="1"/>
  <c r="E129"/>
  <c r="N129" s="1"/>
  <c r="G128"/>
  <c r="P128" s="1"/>
  <c r="E128"/>
  <c r="N128" s="1"/>
  <c r="G127"/>
  <c r="P127" s="1"/>
  <c r="E127"/>
  <c r="N127" s="1"/>
  <c r="G126"/>
  <c r="P126" s="1"/>
  <c r="E126"/>
  <c r="N126" s="1"/>
  <c r="G120"/>
  <c r="P120" s="1"/>
  <c r="E120"/>
  <c r="N120" s="1"/>
  <c r="E119"/>
  <c r="N119" s="1"/>
  <c r="G118"/>
  <c r="P118" s="1"/>
  <c r="E118"/>
  <c r="N118" s="1"/>
  <c r="G117"/>
  <c r="P117" s="1"/>
  <c r="E117"/>
  <c r="N117" s="1"/>
  <c r="G116"/>
  <c r="P116" s="1"/>
  <c r="E116"/>
  <c r="N116" s="1"/>
  <c r="G115"/>
  <c r="P115" s="1"/>
  <c r="E115"/>
  <c r="N115" s="1"/>
  <c r="G114"/>
  <c r="P114" s="1"/>
  <c r="E114"/>
  <c r="N114" s="1"/>
  <c r="G113"/>
  <c r="P113" s="1"/>
  <c r="E113"/>
  <c r="N113" s="1"/>
  <c r="G112"/>
  <c r="P112" s="1"/>
  <c r="E112"/>
  <c r="N112" s="1"/>
  <c r="E111"/>
  <c r="N111" s="1"/>
  <c r="G110"/>
  <c r="P110" s="1"/>
  <c r="E110"/>
  <c r="N110" s="1"/>
  <c r="G109"/>
  <c r="P109" s="1"/>
  <c r="E109"/>
  <c r="N109" s="1"/>
  <c r="G108"/>
  <c r="P108" s="1"/>
  <c r="E108"/>
  <c r="N108" s="1"/>
  <c r="G104"/>
  <c r="P104" s="1"/>
  <c r="G103"/>
  <c r="P103" s="1"/>
  <c r="E103"/>
  <c r="N103" s="1"/>
  <c r="G102"/>
  <c r="P102" s="1"/>
  <c r="E102"/>
  <c r="N102" s="1"/>
  <c r="G101"/>
  <c r="P101" s="1"/>
  <c r="E101"/>
  <c r="N101" s="1"/>
  <c r="G100"/>
  <c r="P100" s="1"/>
  <c r="E100"/>
  <c r="N100" s="1"/>
  <c r="G99"/>
  <c r="P99" s="1"/>
  <c r="E99"/>
  <c r="N99" s="1"/>
  <c r="G98"/>
  <c r="P98" s="1"/>
  <c r="E98"/>
  <c r="N98" s="1"/>
  <c r="G97"/>
  <c r="P97" s="1"/>
  <c r="E97"/>
  <c r="N97" s="1"/>
  <c r="G96"/>
  <c r="P96" s="1"/>
  <c r="E96"/>
  <c r="N96" s="1"/>
  <c r="G94"/>
  <c r="P94" s="1"/>
  <c r="E94"/>
  <c r="N94" s="1"/>
  <c r="G92"/>
  <c r="P92" s="1"/>
  <c r="E92"/>
  <c r="N92" s="1"/>
  <c r="G91"/>
  <c r="P91" s="1"/>
  <c r="E91"/>
  <c r="N91" s="1"/>
  <c r="G90"/>
  <c r="P90" s="1"/>
  <c r="E90"/>
  <c r="N90" s="1"/>
  <c r="G87"/>
  <c r="P87" s="1"/>
  <c r="D87"/>
  <c r="M87" s="1"/>
  <c r="G84"/>
  <c r="P84" s="1"/>
  <c r="E84"/>
  <c r="N84" s="1"/>
  <c r="G82"/>
  <c r="P82" s="1"/>
  <c r="E82"/>
  <c r="N82" s="1"/>
  <c r="G80"/>
  <c r="P80" s="1"/>
  <c r="E80"/>
  <c r="N80" s="1"/>
  <c r="G78"/>
  <c r="P78" s="1"/>
  <c r="G77"/>
  <c r="P77" s="1"/>
  <c r="E77"/>
  <c r="N77" s="1"/>
  <c r="G76"/>
  <c r="P76" s="1"/>
  <c r="E76"/>
  <c r="N76" s="1"/>
  <c r="G75"/>
  <c r="P75" s="1"/>
  <c r="E75"/>
  <c r="N75" s="1"/>
  <c r="E72"/>
  <c r="N72" s="1"/>
  <c r="G71"/>
  <c r="P71" s="1"/>
  <c r="E71"/>
  <c r="N71" s="1"/>
  <c r="G68"/>
  <c r="P68" s="1"/>
  <c r="E68"/>
  <c r="N68" s="1"/>
  <c r="R67"/>
  <c r="G62"/>
  <c r="P62" s="1"/>
  <c r="E62"/>
  <c r="N62" s="1"/>
  <c r="G61"/>
  <c r="P61" s="1"/>
  <c r="E61"/>
  <c r="N61" s="1"/>
  <c r="G60"/>
  <c r="P60" s="1"/>
  <c r="E60"/>
  <c r="N60" s="1"/>
  <c r="G59"/>
  <c r="P59" s="1"/>
  <c r="E59"/>
  <c r="N59" s="1"/>
  <c r="G58"/>
  <c r="P58" s="1"/>
  <c r="E58"/>
  <c r="N58" s="1"/>
  <c r="G57"/>
  <c r="P57" s="1"/>
  <c r="E57"/>
  <c r="N57" s="1"/>
  <c r="G56"/>
  <c r="P56" s="1"/>
  <c r="E56"/>
  <c r="N56" s="1"/>
  <c r="G52"/>
  <c r="P52" s="1"/>
  <c r="E52"/>
  <c r="N52" s="1"/>
  <c r="E51"/>
  <c r="N51" s="1"/>
  <c r="E50"/>
  <c r="N50" s="1"/>
  <c r="E49"/>
  <c r="N49" s="1"/>
  <c r="G48"/>
  <c r="P48" s="1"/>
  <c r="E48"/>
  <c r="N48" s="1"/>
  <c r="E47"/>
  <c r="N47" s="1"/>
  <c r="G46"/>
  <c r="P46" s="1"/>
  <c r="E46"/>
  <c r="N46" s="1"/>
  <c r="G45"/>
  <c r="P45" s="1"/>
  <c r="E45"/>
  <c r="N45" s="1"/>
  <c r="G44"/>
  <c r="P44" s="1"/>
  <c r="E44"/>
  <c r="N44" s="1"/>
  <c r="G42"/>
  <c r="P42" s="1"/>
  <c r="E42"/>
  <c r="N42" s="1"/>
  <c r="G41"/>
  <c r="P41" s="1"/>
  <c r="E41"/>
  <c r="N41" s="1"/>
  <c r="G40"/>
  <c r="P40" s="1"/>
  <c r="E40"/>
  <c r="N40" s="1"/>
  <c r="G39"/>
  <c r="P39" s="1"/>
  <c r="E39"/>
  <c r="N39" s="1"/>
  <c r="G38"/>
  <c r="P38" s="1"/>
  <c r="E38"/>
  <c r="N38" s="1"/>
  <c r="G37"/>
  <c r="P37" s="1"/>
  <c r="E37"/>
  <c r="N37" s="1"/>
  <c r="G35"/>
  <c r="P35" s="1"/>
  <c r="E35"/>
  <c r="N35" s="1"/>
  <c r="G34"/>
  <c r="P34" s="1"/>
  <c r="E34"/>
  <c r="N34" s="1"/>
  <c r="G32"/>
  <c r="P32" s="1"/>
  <c r="E32"/>
  <c r="N32" s="1"/>
  <c r="G31"/>
  <c r="P31" s="1"/>
  <c r="E31"/>
  <c r="N31" s="1"/>
  <c r="G30"/>
  <c r="P30" s="1"/>
  <c r="E30"/>
  <c r="N30" s="1"/>
  <c r="D29"/>
  <c r="M29" s="1"/>
  <c r="D28"/>
  <c r="M28" s="1"/>
  <c r="E27"/>
  <c r="N27" s="1"/>
  <c r="D27"/>
  <c r="M27" s="1"/>
  <c r="M229" s="1"/>
  <c r="G26"/>
  <c r="P26" s="1"/>
  <c r="E26"/>
  <c r="N26" s="1"/>
  <c r="G24"/>
  <c r="P24" s="1"/>
  <c r="E24"/>
  <c r="N24" s="1"/>
  <c r="G23"/>
  <c r="P23" s="1"/>
  <c r="E23"/>
  <c r="N23" s="1"/>
  <c r="G22"/>
  <c r="P22" s="1"/>
  <c r="E22"/>
  <c r="N22" s="1"/>
  <c r="G21"/>
  <c r="P21" s="1"/>
  <c r="E21"/>
  <c r="N21" s="1"/>
  <c r="G20"/>
  <c r="P20" s="1"/>
  <c r="E20"/>
  <c r="N20" s="1"/>
  <c r="G19"/>
  <c r="P19" s="1"/>
  <c r="E19"/>
  <c r="N19" s="1"/>
  <c r="G18"/>
  <c r="P18" s="1"/>
  <c r="E18"/>
  <c r="N18" s="1"/>
  <c r="E17"/>
  <c r="N17" s="1"/>
  <c r="G16"/>
  <c r="P16" s="1"/>
  <c r="E16"/>
  <c r="N16" s="1"/>
  <c r="G13"/>
  <c r="P13" s="1"/>
  <c r="E13"/>
  <c r="N13" s="1"/>
  <c r="G12"/>
  <c r="P12" s="1"/>
  <c r="E12"/>
  <c r="N12" s="1"/>
  <c r="G11"/>
  <c r="P11" s="1"/>
  <c r="E11"/>
  <c r="N11" s="1"/>
  <c r="G10"/>
  <c r="P10" s="1"/>
  <c r="E10"/>
  <c r="N10" s="1"/>
  <c r="E9"/>
  <c r="N9" s="1"/>
  <c r="Q12" l="1"/>
  <c r="H12"/>
  <c r="Q13"/>
  <c r="H13"/>
  <c r="Q17"/>
  <c r="H17"/>
  <c r="Q48"/>
  <c r="H48"/>
  <c r="Q49"/>
  <c r="H49"/>
  <c r="Q51"/>
  <c r="H51"/>
  <c r="Q68"/>
  <c r="H68"/>
  <c r="Q71"/>
  <c r="H71"/>
  <c r="Q72"/>
  <c r="H72"/>
  <c r="Q80"/>
  <c r="H80"/>
  <c r="Q82"/>
  <c r="H82"/>
  <c r="Q84"/>
  <c r="H84"/>
  <c r="Q90"/>
  <c r="H90"/>
  <c r="Q91"/>
  <c r="H91"/>
  <c r="Q92"/>
  <c r="H92"/>
  <c r="Q94"/>
  <c r="H94"/>
  <c r="Q96"/>
  <c r="H96"/>
  <c r="Q97"/>
  <c r="H97"/>
  <c r="Q98"/>
  <c r="H98"/>
  <c r="Q99"/>
  <c r="H99"/>
  <c r="Q100"/>
  <c r="H100"/>
  <c r="Q101"/>
  <c r="H101"/>
  <c r="Q102"/>
  <c r="H102"/>
  <c r="Q103"/>
  <c r="H103"/>
  <c r="Q104"/>
  <c r="H104"/>
  <c r="Q112"/>
  <c r="H112"/>
  <c r="Q113"/>
  <c r="H113"/>
  <c r="Q114"/>
  <c r="H114"/>
  <c r="Q115"/>
  <c r="H115"/>
  <c r="Q116"/>
  <c r="H116"/>
  <c r="Q117"/>
  <c r="H117"/>
  <c r="Q118"/>
  <c r="H118"/>
  <c r="Q119"/>
  <c r="H119"/>
  <c r="Q138"/>
  <c r="H138"/>
  <c r="Q150"/>
  <c r="H150"/>
  <c r="Q152"/>
  <c r="H152"/>
  <c r="Q153"/>
  <c r="H153"/>
  <c r="Q155"/>
  <c r="H155"/>
  <c r="Q156"/>
  <c r="H156"/>
  <c r="Q171"/>
  <c r="H171"/>
  <c r="Q172"/>
  <c r="H172"/>
  <c r="Q173"/>
  <c r="H173"/>
  <c r="Q174"/>
  <c r="H174"/>
  <c r="Q175"/>
  <c r="H175"/>
  <c r="Q176"/>
  <c r="H176"/>
  <c r="Q177"/>
  <c r="H177"/>
  <c r="Q178"/>
  <c r="H178"/>
  <c r="Q180"/>
  <c r="H180"/>
  <c r="Q181"/>
  <c r="H181"/>
  <c r="Q182"/>
  <c r="H182"/>
  <c r="Q183"/>
  <c r="H183"/>
  <c r="Q185"/>
  <c r="H185"/>
  <c r="Q188"/>
  <c r="H188"/>
  <c r="Q189"/>
  <c r="H189"/>
  <c r="Q190"/>
  <c r="H190"/>
  <c r="Q191"/>
  <c r="H191"/>
  <c r="Q192"/>
  <c r="H192"/>
  <c r="Q193"/>
  <c r="H193"/>
  <c r="Q194"/>
  <c r="H194"/>
  <c r="Q196"/>
  <c r="H196"/>
  <c r="Q198"/>
  <c r="H198"/>
  <c r="Q200"/>
  <c r="H200"/>
  <c r="Q201"/>
  <c r="H201"/>
  <c r="Q203"/>
  <c r="H203"/>
  <c r="Q204"/>
  <c r="H204"/>
  <c r="Q205"/>
  <c r="H205"/>
  <c r="Q206"/>
  <c r="H206"/>
  <c r="Q207"/>
  <c r="H207"/>
  <c r="Q208"/>
  <c r="H208"/>
  <c r="Q209"/>
  <c r="H209"/>
  <c r="Q210"/>
  <c r="H210"/>
  <c r="Q211"/>
  <c r="H211"/>
  <c r="Q212"/>
  <c r="H212"/>
  <c r="Q213"/>
  <c r="H213"/>
  <c r="Q214"/>
  <c r="H214"/>
  <c r="Q215"/>
  <c r="H215"/>
  <c r="Q220"/>
  <c r="H220"/>
  <c r="Q221"/>
  <c r="H221"/>
  <c r="Q222"/>
  <c r="H222"/>
  <c r="Q223"/>
  <c r="H223"/>
  <c r="Q10"/>
  <c r="H10"/>
  <c r="Q11"/>
  <c r="H11"/>
  <c r="Q16"/>
  <c r="H16"/>
  <c r="H9"/>
  <c r="Q18"/>
  <c r="H18"/>
  <c r="Q19"/>
  <c r="H19"/>
  <c r="Q20"/>
  <c r="H20"/>
  <c r="Q21"/>
  <c r="H21"/>
  <c r="Q22"/>
  <c r="H22"/>
  <c r="Q23"/>
  <c r="H23"/>
  <c r="Q24"/>
  <c r="H24"/>
  <c r="Q26"/>
  <c r="H26"/>
  <c r="H27"/>
  <c r="D229"/>
  <c r="Q30"/>
  <c r="H30"/>
  <c r="Q31"/>
  <c r="H31"/>
  <c r="Q32"/>
  <c r="H32"/>
  <c r="Q34"/>
  <c r="H34"/>
  <c r="Q35"/>
  <c r="H35"/>
  <c r="Q37"/>
  <c r="H37"/>
  <c r="Q38"/>
  <c r="H38"/>
  <c r="Q39"/>
  <c r="H39"/>
  <c r="Q40"/>
  <c r="H40"/>
  <c r="Q41"/>
  <c r="H41"/>
  <c r="Q42"/>
  <c r="H42"/>
  <c r="Q44"/>
  <c r="H44"/>
  <c r="Q45"/>
  <c r="H45"/>
  <c r="Q46"/>
  <c r="H46"/>
  <c r="Q47"/>
  <c r="H47"/>
  <c r="Q50"/>
  <c r="H50"/>
  <c r="Q52"/>
  <c r="H52"/>
  <c r="Q56"/>
  <c r="H56"/>
  <c r="Q57"/>
  <c r="H57"/>
  <c r="Q58"/>
  <c r="H58"/>
  <c r="Q59"/>
  <c r="H59"/>
  <c r="Q60"/>
  <c r="H60"/>
  <c r="Q61"/>
  <c r="H61"/>
  <c r="Q62"/>
  <c r="H62"/>
  <c r="Q75"/>
  <c r="H75"/>
  <c r="Q76"/>
  <c r="H76"/>
  <c r="Q77"/>
  <c r="H77"/>
  <c r="Q78"/>
  <c r="H78"/>
  <c r="Q108"/>
  <c r="H108"/>
  <c r="Q109"/>
  <c r="H109"/>
  <c r="Q110"/>
  <c r="H110"/>
  <c r="Q111"/>
  <c r="H111"/>
  <c r="Q120"/>
  <c r="H120"/>
  <c r="Q126"/>
  <c r="H126"/>
  <c r="Q127"/>
  <c r="H127"/>
  <c r="Q128"/>
  <c r="H128"/>
  <c r="Q129"/>
  <c r="H129"/>
  <c r="Q130"/>
  <c r="H130"/>
  <c r="Q131"/>
  <c r="H131"/>
  <c r="Q132"/>
  <c r="H132"/>
  <c r="Q133"/>
  <c r="H133"/>
  <c r="Q134"/>
  <c r="H134"/>
  <c r="Q135"/>
  <c r="H135"/>
  <c r="Q136"/>
  <c r="H136"/>
  <c r="Q137"/>
  <c r="H137"/>
  <c r="Q139"/>
  <c r="H139"/>
  <c r="Q140"/>
  <c r="H140"/>
  <c r="Q141"/>
  <c r="H141"/>
  <c r="Q142"/>
  <c r="H142"/>
  <c r="Q143"/>
  <c r="H143"/>
  <c r="Q144"/>
  <c r="H144"/>
  <c r="Q148"/>
  <c r="H148"/>
  <c r="Q157"/>
  <c r="H157"/>
  <c r="Q158"/>
  <c r="H158"/>
  <c r="Q159"/>
  <c r="H159"/>
  <c r="Q160"/>
  <c r="H160"/>
  <c r="Q161"/>
  <c r="H161"/>
  <c r="Q162"/>
  <c r="H162"/>
  <c r="Q163"/>
  <c r="H163"/>
  <c r="Q164"/>
  <c r="H164"/>
  <c r="Q165"/>
  <c r="H165"/>
  <c r="Q166"/>
  <c r="H166"/>
  <c r="Q167"/>
  <c r="H167"/>
  <c r="Q169"/>
  <c r="H169"/>
  <c r="Q170"/>
  <c r="H170"/>
  <c r="H197"/>
  <c r="Q217"/>
  <c r="H217"/>
  <c r="Q218"/>
  <c r="H218"/>
  <c r="Q219"/>
  <c r="H219"/>
  <c r="H27" i="14"/>
  <c r="D229"/>
  <c r="Q9"/>
  <c r="H9"/>
  <c r="G229"/>
  <c r="Q18"/>
  <c r="H18"/>
  <c r="Q19"/>
  <c r="H19"/>
  <c r="Q20"/>
  <c r="H20"/>
  <c r="Q21"/>
  <c r="H21"/>
  <c r="Q22"/>
  <c r="H22"/>
  <c r="Q23"/>
  <c r="H23"/>
  <c r="Q24"/>
  <c r="H24"/>
  <c r="Q26"/>
  <c r="H26"/>
  <c r="Q30"/>
  <c r="H30"/>
  <c r="Q31"/>
  <c r="H31"/>
  <c r="Q32"/>
  <c r="H32"/>
  <c r="Q34"/>
  <c r="H34"/>
  <c r="Q35"/>
  <c r="H35"/>
  <c r="Q37"/>
  <c r="H37"/>
  <c r="Q38"/>
  <c r="H38"/>
  <c r="Q39"/>
  <c r="H39"/>
  <c r="Q40"/>
  <c r="H40"/>
  <c r="Q41"/>
  <c r="H41"/>
  <c r="Q42"/>
  <c r="H42"/>
  <c r="Q44"/>
  <c r="H44"/>
  <c r="Q45"/>
  <c r="H45"/>
  <c r="Q46"/>
  <c r="H46"/>
  <c r="Q47"/>
  <c r="H47"/>
  <c r="Q50"/>
  <c r="H50"/>
  <c r="Q52"/>
  <c r="H52"/>
  <c r="Q56"/>
  <c r="H56"/>
  <c r="Q57"/>
  <c r="H57"/>
  <c r="Q58"/>
  <c r="H58"/>
  <c r="Q59"/>
  <c r="H59"/>
  <c r="Q60"/>
  <c r="H60"/>
  <c r="Q61"/>
  <c r="H61"/>
  <c r="Q62"/>
  <c r="H62"/>
  <c r="Q66"/>
  <c r="H66"/>
  <c r="Q71"/>
  <c r="H71"/>
  <c r="Q72"/>
  <c r="H72"/>
  <c r="Q80"/>
  <c r="H80"/>
  <c r="Q82"/>
  <c r="H82"/>
  <c r="Q84"/>
  <c r="H84"/>
  <c r="Q90"/>
  <c r="H90"/>
  <c r="Q91"/>
  <c r="H91"/>
  <c r="Q92"/>
  <c r="H92"/>
  <c r="Q94"/>
  <c r="H94"/>
  <c r="Q96"/>
  <c r="H96"/>
  <c r="Q97"/>
  <c r="H97"/>
  <c r="Q98"/>
  <c r="H98"/>
  <c r="Q99"/>
  <c r="H99"/>
  <c r="Q100"/>
  <c r="H100"/>
  <c r="Q101"/>
  <c r="H101"/>
  <c r="Q102"/>
  <c r="H102"/>
  <c r="Q103"/>
  <c r="H103"/>
  <c r="Q104"/>
  <c r="H104"/>
  <c r="Q112"/>
  <c r="H112"/>
  <c r="Q113"/>
  <c r="H113"/>
  <c r="Q114"/>
  <c r="H114"/>
  <c r="Q115"/>
  <c r="H115"/>
  <c r="Q116"/>
  <c r="H116"/>
  <c r="Q117"/>
  <c r="H117"/>
  <c r="Q118"/>
  <c r="H118"/>
  <c r="Q119"/>
  <c r="H119"/>
  <c r="Q138"/>
  <c r="H138"/>
  <c r="Q150"/>
  <c r="H150"/>
  <c r="Q152"/>
  <c r="H152"/>
  <c r="Q153"/>
  <c r="H153"/>
  <c r="Q155"/>
  <c r="H155"/>
  <c r="Q156"/>
  <c r="H156"/>
  <c r="Q171"/>
  <c r="H171"/>
  <c r="Q172"/>
  <c r="H172"/>
  <c r="Q173"/>
  <c r="H173"/>
  <c r="Q174"/>
  <c r="H174"/>
  <c r="Q175"/>
  <c r="H175"/>
  <c r="Q176"/>
  <c r="H176"/>
  <c r="Q177"/>
  <c r="H177"/>
  <c r="Q178"/>
  <c r="H178"/>
  <c r="Q180"/>
  <c r="H180"/>
  <c r="Q181"/>
  <c r="H181"/>
  <c r="Q182"/>
  <c r="H182"/>
  <c r="Q183"/>
  <c r="H183"/>
  <c r="Q185"/>
  <c r="H185"/>
  <c r="Q188"/>
  <c r="H188"/>
  <c r="Q189"/>
  <c r="H189"/>
  <c r="Q190"/>
  <c r="H190"/>
  <c r="Q191"/>
  <c r="H191"/>
  <c r="Q192"/>
  <c r="H192"/>
  <c r="Q193"/>
  <c r="H193"/>
  <c r="Q194"/>
  <c r="H194"/>
  <c r="Q196"/>
  <c r="H196"/>
  <c r="Q198"/>
  <c r="H198"/>
  <c r="Q200"/>
  <c r="H200"/>
  <c r="Q201"/>
  <c r="H201"/>
  <c r="Q203"/>
  <c r="H203"/>
  <c r="Q204"/>
  <c r="H204"/>
  <c r="Q205"/>
  <c r="H205"/>
  <c r="Q206"/>
  <c r="H206"/>
  <c r="Q207"/>
  <c r="H207"/>
  <c r="Q208"/>
  <c r="H208"/>
  <c r="Q209"/>
  <c r="H209"/>
  <c r="Q210"/>
  <c r="H210"/>
  <c r="Q211"/>
  <c r="H211"/>
  <c r="Q212"/>
  <c r="H212"/>
  <c r="Q213"/>
  <c r="H213"/>
  <c r="Q214"/>
  <c r="H214"/>
  <c r="Q215"/>
  <c r="H215"/>
  <c r="Q220"/>
  <c r="H220"/>
  <c r="Q221"/>
  <c r="H221"/>
  <c r="Q222"/>
  <c r="H222"/>
  <c r="Q223"/>
  <c r="H223"/>
  <c r="Q10"/>
  <c r="H10"/>
  <c r="Q11"/>
  <c r="H11"/>
  <c r="Q12"/>
  <c r="H12"/>
  <c r="Q13"/>
  <c r="H13"/>
  <c r="Q16"/>
  <c r="H16"/>
  <c r="Q17"/>
  <c r="H17"/>
  <c r="Q48"/>
  <c r="H48"/>
  <c r="Q49"/>
  <c r="H49"/>
  <c r="Q51"/>
  <c r="H51"/>
  <c r="Q68"/>
  <c r="H68"/>
  <c r="Q75"/>
  <c r="H75"/>
  <c r="Q76"/>
  <c r="H76"/>
  <c r="Q77"/>
  <c r="H77"/>
  <c r="Q78"/>
  <c r="H78"/>
  <c r="Q108"/>
  <c r="H108"/>
  <c r="Q109"/>
  <c r="H109"/>
  <c r="Q110"/>
  <c r="H110"/>
  <c r="Q111"/>
  <c r="H111"/>
  <c r="Q120"/>
  <c r="H120"/>
  <c r="Q126"/>
  <c r="H126"/>
  <c r="Q127"/>
  <c r="H127"/>
  <c r="Q128"/>
  <c r="H128"/>
  <c r="Q129"/>
  <c r="H129"/>
  <c r="Q130"/>
  <c r="H130"/>
  <c r="Q131"/>
  <c r="H131"/>
  <c r="Q132"/>
  <c r="H132"/>
  <c r="Q133"/>
  <c r="H133"/>
  <c r="Q134"/>
  <c r="H134"/>
  <c r="Q135"/>
  <c r="H135"/>
  <c r="Q136"/>
  <c r="H136"/>
  <c r="Q137"/>
  <c r="H137"/>
  <c r="Q139"/>
  <c r="H139"/>
  <c r="Q140"/>
  <c r="H140"/>
  <c r="Q141"/>
  <c r="H141"/>
  <c r="Q142"/>
  <c r="H142"/>
  <c r="Q143"/>
  <c r="H143"/>
  <c r="Q144"/>
  <c r="H144"/>
  <c r="Q148"/>
  <c r="H148"/>
  <c r="Q157"/>
  <c r="H157"/>
  <c r="Q158"/>
  <c r="H158"/>
  <c r="Q159"/>
  <c r="H159"/>
  <c r="Q160"/>
  <c r="H160"/>
  <c r="Q161"/>
  <c r="H161"/>
  <c r="Q162"/>
  <c r="H162"/>
  <c r="Q163"/>
  <c r="H163"/>
  <c r="Q164"/>
  <c r="H164"/>
  <c r="Q165"/>
  <c r="H165"/>
  <c r="Q166"/>
  <c r="H166"/>
  <c r="Q167"/>
  <c r="H167"/>
  <c r="Q169"/>
  <c r="H169"/>
  <c r="Q170"/>
  <c r="H170"/>
  <c r="Q197"/>
  <c r="H197"/>
  <c r="Q217"/>
  <c r="H217"/>
  <c r="Q218"/>
  <c r="H218"/>
  <c r="Q219"/>
  <c r="H219"/>
  <c r="E216"/>
  <c r="N216" s="1"/>
  <c r="Q9" i="13"/>
  <c r="E28"/>
  <c r="N28" s="1"/>
  <c r="E179" i="14"/>
  <c r="N179" s="1"/>
  <c r="E28"/>
  <c r="N28" s="1"/>
  <c r="E87"/>
  <c r="N87" s="1"/>
  <c r="E29"/>
  <c r="N29" s="1"/>
  <c r="G229" i="13"/>
  <c r="E29"/>
  <c r="N29" s="1"/>
  <c r="E87"/>
  <c r="N87" s="1"/>
  <c r="E179"/>
  <c r="N179" s="1"/>
  <c r="E216"/>
  <c r="N216" s="1"/>
  <c r="N229" l="1"/>
  <c r="H28"/>
  <c r="Q27"/>
  <c r="H216"/>
  <c r="H179"/>
  <c r="H87"/>
  <c r="H29"/>
  <c r="H229" s="1"/>
  <c r="Q27" i="14"/>
  <c r="M229"/>
  <c r="Q197" i="13"/>
  <c r="Q28"/>
  <c r="P229"/>
  <c r="S229" s="1"/>
  <c r="R229" i="14" s="1"/>
  <c r="Q216" i="13"/>
  <c r="Q179"/>
  <c r="Q87"/>
  <c r="Q29"/>
  <c r="Q28" i="14"/>
  <c r="H28"/>
  <c r="Q87"/>
  <c r="H87"/>
  <c r="Q179"/>
  <c r="H179"/>
  <c r="Q29"/>
  <c r="H29"/>
  <c r="Q216"/>
  <c r="H216"/>
  <c r="P229"/>
  <c r="S229" s="1"/>
  <c r="E229"/>
  <c r="E229" i="13"/>
  <c r="H229" i="14" l="1"/>
  <c r="Q229"/>
  <c r="Q229" i="13"/>
  <c r="N229" i="14"/>
  <c r="T229"/>
  <c r="F193" i="12"/>
  <c r="Q193" s="1"/>
  <c r="F192"/>
  <c r="Q192" s="1"/>
  <c r="F191"/>
  <c r="Q191" s="1"/>
  <c r="F194"/>
  <c r="Q194" s="1"/>
  <c r="F32"/>
  <c r="Q32" s="1"/>
  <c r="F31"/>
  <c r="Q31" s="1"/>
  <c r="F169"/>
  <c r="Q169" s="1"/>
  <c r="F170"/>
  <c r="Q170" s="1"/>
  <c r="T170" s="1"/>
  <c r="F171"/>
  <c r="Q171" s="1"/>
  <c r="F178"/>
  <c r="Q178" s="1"/>
  <c r="F183"/>
  <c r="Q183" s="1"/>
  <c r="F172"/>
  <c r="Q172" s="1"/>
  <c r="F182"/>
  <c r="Q182" s="1"/>
  <c r="F181"/>
  <c r="Q181" s="1"/>
  <c r="F180"/>
  <c r="Q180" s="1"/>
  <c r="F173"/>
  <c r="Q173" s="1"/>
  <c r="F174"/>
  <c r="Q174" s="1"/>
  <c r="F117"/>
  <c r="Q117" s="1"/>
  <c r="F115"/>
  <c r="Q115" s="1"/>
  <c r="F116"/>
  <c r="Q116" s="1"/>
  <c r="F118"/>
  <c r="Q118" s="1"/>
  <c r="F120"/>
  <c r="Q120" s="1"/>
  <c r="F119"/>
  <c r="Q119" s="1"/>
  <c r="T119" s="1"/>
  <c r="F198"/>
  <c r="Q198" s="1"/>
  <c r="F190"/>
  <c r="Q190" s="1"/>
  <c r="F189"/>
  <c r="Q189" s="1"/>
  <c r="F167"/>
  <c r="Q167" s="1"/>
  <c r="F163"/>
  <c r="Q163" s="1"/>
  <c r="F161"/>
  <c r="Q161" s="1"/>
  <c r="F162"/>
  <c r="Q162" s="1"/>
  <c r="F159"/>
  <c r="Q159" s="1"/>
  <c r="F158"/>
  <c r="Q158" s="1"/>
  <c r="F68"/>
  <c r="Q68" s="1"/>
  <c r="F152"/>
  <c r="Q152" s="1"/>
  <c r="F153"/>
  <c r="Q153" s="1"/>
  <c r="F136"/>
  <c r="Q136" s="1"/>
  <c r="F135"/>
  <c r="Q135" s="1"/>
  <c r="F150"/>
  <c r="Q150" s="1"/>
  <c r="F128"/>
  <c r="Q128" s="1"/>
  <c r="F127"/>
  <c r="Q127" s="1"/>
  <c r="F126"/>
  <c r="Q126" s="1"/>
  <c r="F129"/>
  <c r="Q129" s="1"/>
  <c r="F130"/>
  <c r="Q130" s="1"/>
  <c r="F131"/>
  <c r="Q131" s="1"/>
  <c r="F134"/>
  <c r="Q134" s="1"/>
  <c r="F110"/>
  <c r="Q110" s="1"/>
  <c r="F96"/>
  <c r="Q96" s="1"/>
  <c r="F103"/>
  <c r="Q103" s="1"/>
  <c r="F160"/>
  <c r="Q160" s="1"/>
  <c r="F185"/>
  <c r="Q185" s="1"/>
  <c r="F188"/>
  <c r="Q188" s="1"/>
  <c r="F156"/>
  <c r="Q156" s="1"/>
  <c r="T156" s="1"/>
  <c r="F155"/>
  <c r="Q155" s="1"/>
  <c r="F138"/>
  <c r="Q138" s="1"/>
  <c r="T138" s="1"/>
  <c r="F10"/>
  <c r="Q10" s="1"/>
  <c r="F148"/>
  <c r="Q148" s="1"/>
  <c r="T148" s="1"/>
  <c r="F175"/>
  <c r="Q175" s="1"/>
  <c r="F26"/>
  <c r="Q26" s="1"/>
  <c r="F45"/>
  <c r="Q45" s="1"/>
  <c r="F157"/>
  <c r="Q157" s="1"/>
  <c r="F51"/>
  <c r="Q51" s="1"/>
  <c r="T51" s="1"/>
  <c r="F50"/>
  <c r="Q50" s="1"/>
  <c r="T50" s="1"/>
  <c r="F49"/>
  <c r="Q49" s="1"/>
  <c r="T49" s="1"/>
  <c r="F223"/>
  <c r="Q223" s="1"/>
  <c r="F27"/>
  <c r="Q27" s="1"/>
  <c r="E27"/>
  <c r="P27" s="1"/>
  <c r="T27" l="1"/>
  <c r="I49"/>
  <c r="I51"/>
  <c r="I119"/>
  <c r="I27"/>
  <c r="I50"/>
  <c r="I148"/>
  <c r="I138"/>
  <c r="I156"/>
  <c r="I170"/>
  <c r="F221"/>
  <c r="Q221" s="1"/>
  <c r="F220"/>
  <c r="Q220" s="1"/>
  <c r="F213"/>
  <c r="Q213" s="1"/>
  <c r="F211"/>
  <c r="Q211" s="1"/>
  <c r="F208"/>
  <c r="Q208" s="1"/>
  <c r="F207"/>
  <c r="Q207" s="1"/>
  <c r="F204"/>
  <c r="Q204" s="1"/>
  <c r="F203"/>
  <c r="Q203" s="1"/>
  <c r="F215"/>
  <c r="Q215" s="1"/>
  <c r="F209"/>
  <c r="Q209" s="1"/>
  <c r="F206"/>
  <c r="Q206" s="1"/>
  <c r="F109" l="1"/>
  <c r="Q109" s="1"/>
  <c r="F137"/>
  <c r="Q137" s="1"/>
  <c r="T137" s="1"/>
  <c r="F13"/>
  <c r="Q13" s="1"/>
  <c r="F18"/>
  <c r="Q18" s="1"/>
  <c r="F17"/>
  <c r="Q17" s="1"/>
  <c r="T17" s="1"/>
  <c r="F72"/>
  <c r="Q72" s="1"/>
  <c r="T72" s="1"/>
  <c r="F35"/>
  <c r="Q35" s="1"/>
  <c r="F34"/>
  <c r="Q34" s="1"/>
  <c r="I17" l="1"/>
  <c r="I72"/>
  <c r="I137"/>
  <c r="F11"/>
  <c r="Q11" s="1"/>
  <c r="F9"/>
  <c r="F114"/>
  <c r="Q114" s="1"/>
  <c r="F113"/>
  <c r="Q113" s="1"/>
  <c r="F112"/>
  <c r="Q112" s="1"/>
  <c r="F133"/>
  <c r="Q133" s="1"/>
  <c r="F132"/>
  <c r="Q132" s="1"/>
  <c r="F76"/>
  <c r="Q76" s="1"/>
  <c r="F99"/>
  <c r="Q99" s="1"/>
  <c r="F100"/>
  <c r="Q100" s="1"/>
  <c r="F98"/>
  <c r="Q98" s="1"/>
  <c r="F101"/>
  <c r="Q101" s="1"/>
  <c r="F102"/>
  <c r="Q102" s="1"/>
  <c r="F97"/>
  <c r="Q97" s="1"/>
  <c r="F90"/>
  <c r="Q90" s="1"/>
  <c r="F91"/>
  <c r="Q91" s="1"/>
  <c r="F92"/>
  <c r="Q92" s="1"/>
  <c r="F200"/>
  <c r="Q200" s="1"/>
  <c r="I9" l="1"/>
  <c r="Q9"/>
  <c r="T9" s="1"/>
  <c r="F177"/>
  <c r="Q177" s="1"/>
  <c r="F176"/>
  <c r="Q176" s="1"/>
  <c r="F165"/>
  <c r="Q165" s="1"/>
  <c r="F48"/>
  <c r="Q48" s="1"/>
  <c r="F166"/>
  <c r="Q166" s="1"/>
  <c r="F75"/>
  <c r="Q75" s="1"/>
  <c r="F77"/>
  <c r="Q77" s="1"/>
  <c r="F80"/>
  <c r="Q80" s="1"/>
  <c r="F71"/>
  <c r="Q71" s="1"/>
  <c r="F56"/>
  <c r="Q56" s="1"/>
  <c r="F66"/>
  <c r="Q66" s="1"/>
  <c r="F52" l="1"/>
  <c r="Q52" s="1"/>
  <c r="F47"/>
  <c r="Q47" s="1"/>
  <c r="T47" s="1"/>
  <c r="F46"/>
  <c r="Q46" s="1"/>
  <c r="F42"/>
  <c r="Q42" s="1"/>
  <c r="F38"/>
  <c r="Q38" s="1"/>
  <c r="F40"/>
  <c r="Q40" s="1"/>
  <c r="F41"/>
  <c r="Q41" s="1"/>
  <c r="F37"/>
  <c r="Q37" s="1"/>
  <c r="F39"/>
  <c r="Q39" s="1"/>
  <c r="F201"/>
  <c r="Q201" s="1"/>
  <c r="F108"/>
  <c r="Q108" s="1"/>
  <c r="F94"/>
  <c r="Q94" s="1"/>
  <c r="F44"/>
  <c r="Q44" s="1"/>
  <c r="F164"/>
  <c r="Q164" s="1"/>
  <c r="F30"/>
  <c r="Q30" s="1"/>
  <c r="F23"/>
  <c r="Q23" s="1"/>
  <c r="F19"/>
  <c r="Q19" s="1"/>
  <c r="F21"/>
  <c r="Q21" s="1"/>
  <c r="F20"/>
  <c r="Q20" s="1"/>
  <c r="F16"/>
  <c r="Q16" s="1"/>
  <c r="F24"/>
  <c r="Q24" s="1"/>
  <c r="F205"/>
  <c r="Q205" s="1"/>
  <c r="F212"/>
  <c r="Q212" s="1"/>
  <c r="F210"/>
  <c r="Q210" s="1"/>
  <c r="F217"/>
  <c r="Q217" s="1"/>
  <c r="I47" l="1"/>
  <c r="F214"/>
  <c r="Q214" s="1"/>
  <c r="F218" l="1"/>
  <c r="Q218" s="1"/>
  <c r="F222"/>
  <c r="Q222" s="1"/>
  <c r="F219"/>
  <c r="Q219" s="1"/>
  <c r="T219" s="1"/>
  <c r="F140"/>
  <c r="Q140" s="1"/>
  <c r="F139"/>
  <c r="Q139" s="1"/>
  <c r="F111"/>
  <c r="Q111" s="1"/>
  <c r="T111" s="1"/>
  <c r="F197"/>
  <c r="Q197" s="1"/>
  <c r="T197" s="1"/>
  <c r="F196"/>
  <c r="Q196" s="1"/>
  <c r="T196" s="1"/>
  <c r="F84"/>
  <c r="Q84" s="1"/>
  <c r="F82"/>
  <c r="Q82" s="1"/>
  <c r="F62"/>
  <c r="Q62" s="1"/>
  <c r="F61"/>
  <c r="Q61" s="1"/>
  <c r="F60"/>
  <c r="Q60" s="1"/>
  <c r="F59"/>
  <c r="Q59" s="1"/>
  <c r="I196" l="1"/>
  <c r="I111"/>
  <c r="I197"/>
  <c r="I219"/>
  <c r="F58"/>
  <c r="Q58" s="1"/>
  <c r="F57"/>
  <c r="Q57" s="1"/>
  <c r="F22"/>
  <c r="Q22" s="1"/>
  <c r="F12"/>
  <c r="Q12" s="1"/>
  <c r="F144"/>
  <c r="Q144" s="1"/>
  <c r="F143"/>
  <c r="Q143" s="1"/>
  <c r="F142"/>
  <c r="Q142" s="1"/>
  <c r="F141"/>
  <c r="Q141" s="1"/>
  <c r="H45" l="1"/>
  <c r="S45" s="1"/>
  <c r="T45" s="1"/>
  <c r="H134"/>
  <c r="S134" s="1"/>
  <c r="T134" s="1"/>
  <c r="H150"/>
  <c r="S150" s="1"/>
  <c r="T150" s="1"/>
  <c r="H103"/>
  <c r="S103" s="1"/>
  <c r="T103" s="1"/>
  <c r="H78"/>
  <c r="S78" s="1"/>
  <c r="T78" s="1"/>
  <c r="H164"/>
  <c r="S164" s="1"/>
  <c r="T164" s="1"/>
  <c r="H179"/>
  <c r="S179" s="1"/>
  <c r="H75"/>
  <c r="S75" s="1"/>
  <c r="T75" s="1"/>
  <c r="H169"/>
  <c r="S169" s="1"/>
  <c r="T169" s="1"/>
  <c r="H160"/>
  <c r="S160" s="1"/>
  <c r="T160" s="1"/>
  <c r="H171"/>
  <c r="S171" s="1"/>
  <c r="T171" s="1"/>
  <c r="H185"/>
  <c r="S185" s="1"/>
  <c r="T185" s="1"/>
  <c r="H188"/>
  <c r="S188" s="1"/>
  <c r="T188" s="1"/>
  <c r="H115"/>
  <c r="S115" s="1"/>
  <c r="T115" s="1"/>
  <c r="H198"/>
  <c r="S198" s="1"/>
  <c r="T198" s="1"/>
  <c r="H120"/>
  <c r="S120" s="1"/>
  <c r="T120" s="1"/>
  <c r="H118"/>
  <c r="S118" s="1"/>
  <c r="T118" s="1"/>
  <c r="H117"/>
  <c r="S117" s="1"/>
  <c r="T117" s="1"/>
  <c r="H116"/>
  <c r="S116" s="1"/>
  <c r="T116" s="1"/>
  <c r="I116" l="1"/>
  <c r="I118"/>
  <c r="I198"/>
  <c r="I188"/>
  <c r="I171"/>
  <c r="I169"/>
  <c r="I78"/>
  <c r="I150"/>
  <c r="I45"/>
  <c r="I117"/>
  <c r="I120"/>
  <c r="I115"/>
  <c r="I185"/>
  <c r="I160"/>
  <c r="I75"/>
  <c r="I164"/>
  <c r="I103"/>
  <c r="I134"/>
  <c r="H155"/>
  <c r="S155" s="1"/>
  <c r="T155" s="1"/>
  <c r="H23"/>
  <c r="S23" s="1"/>
  <c r="T23" s="1"/>
  <c r="H56"/>
  <c r="S56" s="1"/>
  <c r="T56" s="1"/>
  <c r="H190"/>
  <c r="S190" s="1"/>
  <c r="T190" s="1"/>
  <c r="H189"/>
  <c r="S189" s="1"/>
  <c r="T189" s="1"/>
  <c r="H191"/>
  <c r="S191" s="1"/>
  <c r="T191" s="1"/>
  <c r="I191" l="1"/>
  <c r="I190"/>
  <c r="I189"/>
  <c r="I56"/>
  <c r="I155"/>
  <c r="I23"/>
  <c r="H192"/>
  <c r="S192" s="1"/>
  <c r="T192" s="1"/>
  <c r="H193"/>
  <c r="S193" s="1"/>
  <c r="T193" s="1"/>
  <c r="H194"/>
  <c r="S194" s="1"/>
  <c r="T194" s="1"/>
  <c r="H32"/>
  <c r="S32" s="1"/>
  <c r="T32" s="1"/>
  <c r="H31"/>
  <c r="S31" s="1"/>
  <c r="T31" s="1"/>
  <c r="H66"/>
  <c r="S66" s="1"/>
  <c r="T66" s="1"/>
  <c r="H10"/>
  <c r="S10" s="1"/>
  <c r="T10" s="1"/>
  <c r="H175"/>
  <c r="S175" s="1"/>
  <c r="T175" s="1"/>
  <c r="H26"/>
  <c r="S26" s="1"/>
  <c r="T26" s="1"/>
  <c r="H210"/>
  <c r="S210" s="1"/>
  <c r="T210" s="1"/>
  <c r="H157"/>
  <c r="S157" s="1"/>
  <c r="T157" s="1"/>
  <c r="H128"/>
  <c r="S128" s="1"/>
  <c r="T128" s="1"/>
  <c r="H127"/>
  <c r="S127" s="1"/>
  <c r="T127" s="1"/>
  <c r="H223"/>
  <c r="S223" s="1"/>
  <c r="T223" s="1"/>
  <c r="I127" l="1"/>
  <c r="I157"/>
  <c r="I26"/>
  <c r="I10"/>
  <c r="I31"/>
  <c r="I194"/>
  <c r="I192"/>
  <c r="I223"/>
  <c r="I128"/>
  <c r="I210"/>
  <c r="I175"/>
  <c r="I66"/>
  <c r="I32"/>
  <c r="I193"/>
  <c r="H204"/>
  <c r="S204" s="1"/>
  <c r="T204" s="1"/>
  <c r="H211"/>
  <c r="S211" s="1"/>
  <c r="T211" s="1"/>
  <c r="H203"/>
  <c r="S203" s="1"/>
  <c r="T203" s="1"/>
  <c r="H221"/>
  <c r="S221" s="1"/>
  <c r="T221" s="1"/>
  <c r="H207"/>
  <c r="S207" s="1"/>
  <c r="T207" s="1"/>
  <c r="H208"/>
  <c r="S208" s="1"/>
  <c r="T208" s="1"/>
  <c r="H213"/>
  <c r="S213" s="1"/>
  <c r="T213" s="1"/>
  <c r="H220"/>
  <c r="S220" s="1"/>
  <c r="T220" s="1"/>
  <c r="H215"/>
  <c r="S215" s="1"/>
  <c r="T215" s="1"/>
  <c r="H209"/>
  <c r="S209" s="1"/>
  <c r="T209" s="1"/>
  <c r="H206"/>
  <c r="S206" s="1"/>
  <c r="T206" s="1"/>
  <c r="I209" l="1"/>
  <c r="I220"/>
  <c r="I208"/>
  <c r="I221"/>
  <c r="I211"/>
  <c r="I206"/>
  <c r="I215"/>
  <c r="I213"/>
  <c r="I207"/>
  <c r="I203"/>
  <c r="I204"/>
  <c r="H96"/>
  <c r="S96" s="1"/>
  <c r="T96" s="1"/>
  <c r="H109"/>
  <c r="S109" s="1"/>
  <c r="T109" s="1"/>
  <c r="H178"/>
  <c r="S178" s="1"/>
  <c r="T178" s="1"/>
  <c r="H126"/>
  <c r="S126" s="1"/>
  <c r="T126" s="1"/>
  <c r="H131"/>
  <c r="S131" s="1"/>
  <c r="T131" s="1"/>
  <c r="H130"/>
  <c r="S130" s="1"/>
  <c r="T130" s="1"/>
  <c r="H129"/>
  <c r="S129" s="1"/>
  <c r="T129" s="1"/>
  <c r="H90"/>
  <c r="S90" s="1"/>
  <c r="T90" s="1"/>
  <c r="H104"/>
  <c r="S104" s="1"/>
  <c r="T104" s="1"/>
  <c r="H183"/>
  <c r="S183" s="1"/>
  <c r="T183" s="1"/>
  <c r="H110"/>
  <c r="S110" s="1"/>
  <c r="T110" s="1"/>
  <c r="H19"/>
  <c r="S19" s="1"/>
  <c r="T19" s="1"/>
  <c r="H13"/>
  <c r="S13" s="1"/>
  <c r="T13" s="1"/>
  <c r="H18"/>
  <c r="S18" s="1"/>
  <c r="T18" s="1"/>
  <c r="H217"/>
  <c r="S217" s="1"/>
  <c r="T217" s="1"/>
  <c r="H35"/>
  <c r="S35" s="1"/>
  <c r="T35" s="1"/>
  <c r="H34"/>
  <c r="S34" s="1"/>
  <c r="T34" s="1"/>
  <c r="H52"/>
  <c r="S52" s="1"/>
  <c r="T52" s="1"/>
  <c r="H11"/>
  <c r="S11" s="1"/>
  <c r="T11" s="1"/>
  <c r="H172"/>
  <c r="S172" s="1"/>
  <c r="T172" s="1"/>
  <c r="H21"/>
  <c r="S21" s="1"/>
  <c r="T21" s="1"/>
  <c r="H20"/>
  <c r="S20" s="1"/>
  <c r="T20" s="1"/>
  <c r="H16"/>
  <c r="S16" s="1"/>
  <c r="T16" s="1"/>
  <c r="H161"/>
  <c r="S161" s="1"/>
  <c r="T161" s="1"/>
  <c r="H214"/>
  <c r="S214" s="1"/>
  <c r="T214" s="1"/>
  <c r="H181"/>
  <c r="S181" s="1"/>
  <c r="T181" s="1"/>
  <c r="H180"/>
  <c r="S180" s="1"/>
  <c r="T180" s="1"/>
  <c r="H182"/>
  <c r="S182" s="1"/>
  <c r="T182" s="1"/>
  <c r="H174"/>
  <c r="S174" s="1"/>
  <c r="T174" s="1"/>
  <c r="H173"/>
  <c r="S173" s="1"/>
  <c r="T173" s="1"/>
  <c r="H80"/>
  <c r="S80" s="1"/>
  <c r="T80" s="1"/>
  <c r="H113"/>
  <c r="S113" s="1"/>
  <c r="T113" s="1"/>
  <c r="H112"/>
  <c r="S112" s="1"/>
  <c r="T112" s="1"/>
  <c r="H114"/>
  <c r="S114" s="1"/>
  <c r="T114" s="1"/>
  <c r="H132"/>
  <c r="S132" s="1"/>
  <c r="T132" s="1"/>
  <c r="H133"/>
  <c r="S133" s="1"/>
  <c r="T133" s="1"/>
  <c r="H24"/>
  <c r="S24" s="1"/>
  <c r="T24" s="1"/>
  <c r="H222"/>
  <c r="S222" s="1"/>
  <c r="T222" s="1"/>
  <c r="H30"/>
  <c r="S30" s="1"/>
  <c r="T30" s="1"/>
  <c r="H159"/>
  <c r="S159" s="1"/>
  <c r="T159" s="1"/>
  <c r="H158"/>
  <c r="S158" s="1"/>
  <c r="T158" s="1"/>
  <c r="H141"/>
  <c r="S141" s="1"/>
  <c r="T141" s="1"/>
  <c r="H142"/>
  <c r="S142" s="1"/>
  <c r="T142" s="1"/>
  <c r="H143"/>
  <c r="S143" s="1"/>
  <c r="T143" s="1"/>
  <c r="H144"/>
  <c r="S144" s="1"/>
  <c r="T144" s="1"/>
  <c r="H101"/>
  <c r="S101" s="1"/>
  <c r="T101" s="1"/>
  <c r="H100"/>
  <c r="S100" s="1"/>
  <c r="T100" s="1"/>
  <c r="H99"/>
  <c r="S99" s="1"/>
  <c r="T99" s="1"/>
  <c r="H98"/>
  <c r="S98" s="1"/>
  <c r="T98" s="1"/>
  <c r="H102"/>
  <c r="S102" s="1"/>
  <c r="T102" s="1"/>
  <c r="H97"/>
  <c r="S97" s="1"/>
  <c r="T97" s="1"/>
  <c r="H76"/>
  <c r="S76" s="1"/>
  <c r="T76" s="1"/>
  <c r="H68"/>
  <c r="S68" s="1"/>
  <c r="T68" s="1"/>
  <c r="H108"/>
  <c r="S108" s="1"/>
  <c r="T108" s="1"/>
  <c r="H94"/>
  <c r="S94" s="1"/>
  <c r="T94" s="1"/>
  <c r="H201"/>
  <c r="S201" s="1"/>
  <c r="T201" s="1"/>
  <c r="H44"/>
  <c r="S44" s="1"/>
  <c r="T44" s="1"/>
  <c r="H91"/>
  <c r="S91" s="1"/>
  <c r="T91" s="1"/>
  <c r="H42"/>
  <c r="S42" s="1"/>
  <c r="T42" s="1"/>
  <c r="H38"/>
  <c r="S38" s="1"/>
  <c r="T38" s="1"/>
  <c r="H40"/>
  <c r="S40" s="1"/>
  <c r="T40" s="1"/>
  <c r="H41"/>
  <c r="S41" s="1"/>
  <c r="T41" s="1"/>
  <c r="H37"/>
  <c r="S37" s="1"/>
  <c r="T37" s="1"/>
  <c r="H39"/>
  <c r="S39" s="1"/>
  <c r="T39" s="1"/>
  <c r="H200"/>
  <c r="S200" s="1"/>
  <c r="T200" s="1"/>
  <c r="H205"/>
  <c r="S205" s="1"/>
  <c r="T205" s="1"/>
  <c r="H177"/>
  <c r="S177" s="1"/>
  <c r="T177" s="1"/>
  <c r="H176"/>
  <c r="S176" s="1"/>
  <c r="T176" s="1"/>
  <c r="H212"/>
  <c r="S212" s="1"/>
  <c r="T212" s="1"/>
  <c r="H165"/>
  <c r="S165" s="1"/>
  <c r="T165" s="1"/>
  <c r="I165" l="1"/>
  <c r="I176"/>
  <c r="I205"/>
  <c r="I39"/>
  <c r="I41"/>
  <c r="I38"/>
  <c r="I91"/>
  <c r="I201"/>
  <c r="I108"/>
  <c r="I76"/>
  <c r="I102"/>
  <c r="I99"/>
  <c r="I101"/>
  <c r="I143"/>
  <c r="I141"/>
  <c r="I159"/>
  <c r="I222"/>
  <c r="I133"/>
  <c r="I114"/>
  <c r="I113"/>
  <c r="I173"/>
  <c r="I182"/>
  <c r="I181"/>
  <c r="I161"/>
  <c r="I20"/>
  <c r="I172"/>
  <c r="I52"/>
  <c r="I35"/>
  <c r="I18"/>
  <c r="I19"/>
  <c r="I183"/>
  <c r="I90"/>
  <c r="I130"/>
  <c r="I126"/>
  <c r="I109"/>
  <c r="I212"/>
  <c r="I177"/>
  <c r="I200"/>
  <c r="I37"/>
  <c r="I40"/>
  <c r="I42"/>
  <c r="I44"/>
  <c r="I94"/>
  <c r="I68"/>
  <c r="I97"/>
  <c r="I98"/>
  <c r="I100"/>
  <c r="I144"/>
  <c r="I142"/>
  <c r="I158"/>
  <c r="I30"/>
  <c r="I24"/>
  <c r="I132"/>
  <c r="I112"/>
  <c r="I80"/>
  <c r="I174"/>
  <c r="I180"/>
  <c r="I214"/>
  <c r="I16"/>
  <c r="I21"/>
  <c r="I11"/>
  <c r="I34"/>
  <c r="I217"/>
  <c r="I13"/>
  <c r="I110"/>
  <c r="I104"/>
  <c r="I129"/>
  <c r="I131"/>
  <c r="I178"/>
  <c r="I96"/>
  <c r="H167"/>
  <c r="S167" s="1"/>
  <c r="T167" s="1"/>
  <c r="H48"/>
  <c r="S48" s="1"/>
  <c r="T48" s="1"/>
  <c r="H163"/>
  <c r="S163" s="1"/>
  <c r="T163" s="1"/>
  <c r="H87"/>
  <c r="S87" s="1"/>
  <c r="H46"/>
  <c r="S46" s="1"/>
  <c r="T46" s="1"/>
  <c r="H166"/>
  <c r="S166" s="1"/>
  <c r="T166" s="1"/>
  <c r="H162"/>
  <c r="S162" s="1"/>
  <c r="T162" s="1"/>
  <c r="H71"/>
  <c r="S71" s="1"/>
  <c r="T71" s="1"/>
  <c r="H77"/>
  <c r="S77" s="1"/>
  <c r="T77" s="1"/>
  <c r="H92"/>
  <c r="S92" s="1"/>
  <c r="T92" s="1"/>
  <c r="H136"/>
  <c r="S136" s="1"/>
  <c r="T136" s="1"/>
  <c r="H135"/>
  <c r="S135" s="1"/>
  <c r="T135" s="1"/>
  <c r="H218"/>
  <c r="S218" s="1"/>
  <c r="T218" s="1"/>
  <c r="H153"/>
  <c r="S153" s="1"/>
  <c r="T153" s="1"/>
  <c r="H152"/>
  <c r="S152" s="1"/>
  <c r="T152" s="1"/>
  <c r="H140"/>
  <c r="S140" s="1"/>
  <c r="T140" s="1"/>
  <c r="H139"/>
  <c r="S139" s="1"/>
  <c r="T139" s="1"/>
  <c r="H84"/>
  <c r="S84" s="1"/>
  <c r="T84" s="1"/>
  <c r="H82"/>
  <c r="S82" s="1"/>
  <c r="T82" s="1"/>
  <c r="H62"/>
  <c r="S62" s="1"/>
  <c r="T62" s="1"/>
  <c r="H60"/>
  <c r="S60" s="1"/>
  <c r="T60" s="1"/>
  <c r="H59"/>
  <c r="S59" s="1"/>
  <c r="T59" s="1"/>
  <c r="H61"/>
  <c r="S61" s="1"/>
  <c r="T61" s="1"/>
  <c r="H58"/>
  <c r="S58" s="1"/>
  <c r="T58" s="1"/>
  <c r="H57"/>
  <c r="S57" s="1"/>
  <c r="T57" s="1"/>
  <c r="I58" l="1"/>
  <c r="I59"/>
  <c r="I62"/>
  <c r="I84"/>
  <c r="I140"/>
  <c r="I153"/>
  <c r="I135"/>
  <c r="I92"/>
  <c r="I71"/>
  <c r="I166"/>
  <c r="I48"/>
  <c r="I57"/>
  <c r="I61"/>
  <c r="I60"/>
  <c r="I82"/>
  <c r="I139"/>
  <c r="I152"/>
  <c r="I218"/>
  <c r="I136"/>
  <c r="I77"/>
  <c r="I162"/>
  <c r="I46"/>
  <c r="I163"/>
  <c r="I167"/>
  <c r="H22"/>
  <c r="S22" s="1"/>
  <c r="T22" s="1"/>
  <c r="I22" l="1"/>
  <c r="H12"/>
  <c r="S12" s="1"/>
  <c r="T12" s="1"/>
  <c r="I12" l="1"/>
  <c r="H229"/>
  <c r="E28"/>
  <c r="P28" s="1"/>
  <c r="E29"/>
  <c r="P29" s="1"/>
  <c r="S229" l="1"/>
  <c r="V229" s="1"/>
  <c r="R229" i="13" s="1"/>
  <c r="T229" s="1"/>
  <c r="F29" i="12"/>
  <c r="Q29" s="1"/>
  <c r="T29" s="1"/>
  <c r="F28"/>
  <c r="Q28" s="1"/>
  <c r="T28" s="1"/>
  <c r="I28" l="1"/>
  <c r="I29"/>
  <c r="E179"/>
  <c r="P179" s="1"/>
  <c r="F179" l="1"/>
  <c r="Q179" s="1"/>
  <c r="T179" s="1"/>
  <c r="I179" l="1"/>
  <c r="E87"/>
  <c r="P87" s="1"/>
  <c r="P229" l="1"/>
  <c r="F87"/>
  <c r="Q87" s="1"/>
  <c r="E216"/>
  <c r="P216" s="1"/>
  <c r="I87" l="1"/>
  <c r="T87"/>
  <c r="E229"/>
  <c r="F216"/>
  <c r="Q216" s="1"/>
  <c r="Q229" s="1"/>
  <c r="U67"/>
  <c r="F229" l="1"/>
  <c r="T216"/>
  <c r="T229" s="1"/>
  <c r="I216"/>
  <c r="I229" s="1"/>
  <c r="U68"/>
  <c r="W229" l="1"/>
</calcChain>
</file>

<file path=xl/comments1.xml><?xml version="1.0" encoding="utf-8"?>
<comments xmlns="http://schemas.openxmlformats.org/spreadsheetml/2006/main">
  <authors>
    <author>lubovtsova</author>
    <author>Андреева Анна Васильевна</author>
  </authors>
  <commentList>
    <comment ref="G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1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2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J27" authorId="1">
      <text>
        <r>
          <rPr>
            <b/>
            <sz val="9"/>
            <color indexed="81"/>
            <rFont val="Tahoma"/>
            <family val="2"/>
            <charset val="204"/>
          </rPr>
          <t>в тарифе нет разбивки ПО по МО. Указываю общий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2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2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2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4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4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4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4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5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5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5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5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72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72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G104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H1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1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11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2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3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13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3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13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4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14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5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15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7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17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9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H19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9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H19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E19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факт 2017</t>
        </r>
      </text>
    </comment>
    <comment ref="F19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lubovtsova:
</t>
        </r>
        <r>
          <rPr>
            <sz val="8"/>
            <color indexed="81"/>
            <rFont val="Tahoma"/>
            <family val="2"/>
            <charset val="204"/>
          </rPr>
          <t>факт 2017</t>
        </r>
      </text>
    </comment>
    <comment ref="G19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факт 2017</t>
        </r>
      </text>
    </comment>
    <comment ref="H19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факт 2017</t>
        </r>
      </text>
    </comment>
    <comment ref="G21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H21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H21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</commentList>
</comments>
</file>

<file path=xl/comments2.xml><?xml version="1.0" encoding="utf-8"?>
<comments xmlns="http://schemas.openxmlformats.org/spreadsheetml/2006/main">
  <authors>
    <author>lubovtsova</author>
  </authors>
  <commentList>
    <comment ref="F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2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2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4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4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4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4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5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5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5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5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72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72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F104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G1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1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1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2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3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3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3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3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4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4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5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5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7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7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9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G19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9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G19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D19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факт 2017</t>
        </r>
      </text>
    </comment>
    <comment ref="E19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lubovtsova:
</t>
        </r>
        <r>
          <rPr>
            <sz val="8"/>
            <color indexed="81"/>
            <rFont val="Tahoma"/>
            <family val="2"/>
            <charset val="204"/>
          </rPr>
          <t>факт 2017</t>
        </r>
      </text>
    </comment>
    <comment ref="F19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факт 2017</t>
        </r>
      </text>
    </comment>
    <comment ref="G19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факт 2017</t>
        </r>
      </text>
    </comment>
    <comment ref="F21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G21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21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</commentList>
</comments>
</file>

<file path=xl/comments3.xml><?xml version="1.0" encoding="utf-8"?>
<comments xmlns="http://schemas.openxmlformats.org/spreadsheetml/2006/main">
  <authors>
    <author>lubovtsova</author>
  </authors>
  <commentList>
    <comment ref="F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2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2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4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4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4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4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5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5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5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5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72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72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F104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G11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1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1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2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3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3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3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3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4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48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5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5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7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170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9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G19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F19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G19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D19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факт 2017</t>
        </r>
      </text>
    </comment>
    <comment ref="E19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lubovtsova:
</t>
        </r>
        <r>
          <rPr>
            <sz val="8"/>
            <color indexed="81"/>
            <rFont val="Tahoma"/>
            <family val="2"/>
            <charset val="204"/>
          </rPr>
          <t>факт 2017</t>
        </r>
      </text>
    </comment>
    <comment ref="F19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факт 2017</t>
        </r>
      </text>
    </comment>
    <comment ref="G19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факт 2017</t>
        </r>
      </text>
    </comment>
    <comment ref="F21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
</t>
        </r>
      </text>
    </comment>
    <comment ref="G216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  <comment ref="G219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</t>
        </r>
      </text>
    </comment>
  </commentList>
</comments>
</file>

<file path=xl/sharedStrings.xml><?xml version="1.0" encoding="utf-8"?>
<sst xmlns="http://schemas.openxmlformats.org/spreadsheetml/2006/main" count="1877" uniqueCount="431">
  <si>
    <t>ИНН</t>
  </si>
  <si>
    <t>2901200792</t>
  </si>
  <si>
    <t>2901179251</t>
  </si>
  <si>
    <t>2921000738</t>
  </si>
  <si>
    <t>2922007775</t>
  </si>
  <si>
    <t>2910004882</t>
  </si>
  <si>
    <t>2907000246</t>
  </si>
  <si>
    <t>2909003034</t>
  </si>
  <si>
    <t>2923006012</t>
  </si>
  <si>
    <t>2923006245</t>
  </si>
  <si>
    <t>2907013799</t>
  </si>
  <si>
    <t>2922007704</t>
  </si>
  <si>
    <t>2909003010</t>
  </si>
  <si>
    <t>2909002320</t>
  </si>
  <si>
    <t>2911005649</t>
  </si>
  <si>
    <t>7802312751</t>
  </si>
  <si>
    <t>2906006277</t>
  </si>
  <si>
    <t>2909002440</t>
  </si>
  <si>
    <t>2920012988</t>
  </si>
  <si>
    <t>2919004990</t>
  </si>
  <si>
    <t>2906006238</t>
  </si>
  <si>
    <t>7708503727</t>
  </si>
  <si>
    <t>2921012050</t>
  </si>
  <si>
    <t>2919006299</t>
  </si>
  <si>
    <t>2918009770</t>
  </si>
  <si>
    <t>2921011754</t>
  </si>
  <si>
    <t>2924005075</t>
  </si>
  <si>
    <t>2909001076</t>
  </si>
  <si>
    <t>2904022749</t>
  </si>
  <si>
    <t>2924005220</t>
  </si>
  <si>
    <t>2920011448</t>
  </si>
  <si>
    <t>2923006541</t>
  </si>
  <si>
    <t>2902046374</t>
  </si>
  <si>
    <t>2922007013</t>
  </si>
  <si>
    <t>2912006155</t>
  </si>
  <si>
    <t>2925003747</t>
  </si>
  <si>
    <t>2922006997</t>
  </si>
  <si>
    <t>2915003297</t>
  </si>
  <si>
    <t>2911004356</t>
  </si>
  <si>
    <t>2911004405</t>
  </si>
  <si>
    <t>2911004420</t>
  </si>
  <si>
    <t>2911004363</t>
  </si>
  <si>
    <t>2911004349</t>
  </si>
  <si>
    <t>Пинежское МП ЖКХ</t>
  </si>
  <si>
    <t>2919000794</t>
  </si>
  <si>
    <t>2914003174</t>
  </si>
  <si>
    <t>2907010396</t>
  </si>
  <si>
    <t>2907010220</t>
  </si>
  <si>
    <t>с. Ненокса</t>
  </si>
  <si>
    <t>Всего</t>
  </si>
  <si>
    <t>Предприятие</t>
  </si>
  <si>
    <t>Поселение</t>
  </si>
  <si>
    <t>Потребность в средствах субсидии, руб.</t>
  </si>
  <si>
    <t>3 кв.</t>
  </si>
  <si>
    <t>год</t>
  </si>
  <si>
    <t>1 полугодие</t>
  </si>
  <si>
    <t>2 полугодие</t>
  </si>
  <si>
    <t>1 кв.</t>
  </si>
  <si>
    <t>2 кв.</t>
  </si>
  <si>
    <t>4 кв.</t>
  </si>
  <si>
    <t>ВСЕГО</t>
  </si>
  <si>
    <t>МО "Верхнетоемский муниципальный район"</t>
  </si>
  <si>
    <t>ООО "Т-Сервис"</t>
  </si>
  <si>
    <t>МО "Пучужское"</t>
  </si>
  <si>
    <t>ООО "МПМК"</t>
  </si>
  <si>
    <t>МО "Верхнетоемское"</t>
  </si>
  <si>
    <t>ООО "Кондратовское"</t>
  </si>
  <si>
    <t>МО "Афанасьевское"</t>
  </si>
  <si>
    <t>ООО "Удар"</t>
  </si>
  <si>
    <t>МО "Двинское"</t>
  </si>
  <si>
    <t>АО "АрхоблЭнерго"</t>
  </si>
  <si>
    <t>МО "Вилегодский муниципальный район"</t>
  </si>
  <si>
    <t>ООО "Ильинск ЖКХ"</t>
  </si>
  <si>
    <t>МО "Ильинское"</t>
  </si>
  <si>
    <t>ООО "Управдом" (Вилегодский район)</t>
  </si>
  <si>
    <t>МО "Никольское"</t>
  </si>
  <si>
    <t>ООО "ЖКХ Регион"</t>
  </si>
  <si>
    <t>МО "Селянское"</t>
  </si>
  <si>
    <t>ООО "Лето"</t>
  </si>
  <si>
    <t>ООО "Вилегодск ЖКХ"</t>
  </si>
  <si>
    <t>МО "Вилегодское"</t>
  </si>
  <si>
    <t>ООО "Павловск ЖКХ"</t>
  </si>
  <si>
    <t>МО "Павловское"</t>
  </si>
  <si>
    <t>МО "Виноградовский муниципальный район"</t>
  </si>
  <si>
    <t>МО "Шидровское"</t>
  </si>
  <si>
    <t>МО "Березниковское"</t>
  </si>
  <si>
    <t>ООО "Трансавто"</t>
  </si>
  <si>
    <t>ООО "УК "Весна"</t>
  </si>
  <si>
    <t>МО "Рочегодское"</t>
  </si>
  <si>
    <t>МО "Борецкое"</t>
  </si>
  <si>
    <t>ООО "Березниковское ТСП"</t>
  </si>
  <si>
    <t>ООО ПК "Энергия Севера"</t>
  </si>
  <si>
    <t>МО "Моржегорское"</t>
  </si>
  <si>
    <t>МО "Каргопольский муниципальный район"</t>
  </si>
  <si>
    <t>МУП МО "Каргопольский муниципальный район" "Печниково"</t>
  </si>
  <si>
    <t>МО "Печниковское"</t>
  </si>
  <si>
    <t>МУП МО "Каргопольский муниципальный район" "Архангело"</t>
  </si>
  <si>
    <t>МО "Приозерное"</t>
  </si>
  <si>
    <t>МО "Каргопольское"</t>
  </si>
  <si>
    <t>МУП МО "Каргопольский муниципальный район" "Усачево"</t>
  </si>
  <si>
    <t>МУП МО "Каргопольский муниципальный район" "Ошевенское"</t>
  </si>
  <si>
    <t>МО "Ошевенское"</t>
  </si>
  <si>
    <t>МУП МО "Каргопольский муниципальный район" "Казаково"</t>
  </si>
  <si>
    <t>МУП МО "Каргопольский муниципальный район" "Тихманьга"</t>
  </si>
  <si>
    <t>МО "Ухотское"</t>
  </si>
  <si>
    <t>МО "Коношский муниципальный район"</t>
  </si>
  <si>
    <t>МО "Волошское"</t>
  </si>
  <si>
    <t>МУП "Ерцевские теплосети"</t>
  </si>
  <si>
    <t>МО "Ерцевское"</t>
  </si>
  <si>
    <t>ООО "Коношский хлебозавод"</t>
  </si>
  <si>
    <t>МО "Коношское"</t>
  </si>
  <si>
    <t>МУП "Коношское благоустройство"</t>
  </si>
  <si>
    <t>МО "Тавреньгское"</t>
  </si>
  <si>
    <t>ООО "Теплоэнерго"</t>
  </si>
  <si>
    <t>МО "Мирный"</t>
  </si>
  <si>
    <t>МО "Подюжское"</t>
  </si>
  <si>
    <t>ОАО "РЖД" (Исакогорский участок)</t>
  </si>
  <si>
    <t>МО "Котлас"</t>
  </si>
  <si>
    <t>ОАО "РЖД" (Сольвычегодский участок)</t>
  </si>
  <si>
    <t>МО "Котласский муниципальный район"</t>
  </si>
  <si>
    <t>МО "Приводинское"</t>
  </si>
  <si>
    <t>МО "Черемушское"</t>
  </si>
  <si>
    <t>МО "Шипицынское"</t>
  </si>
  <si>
    <t>ООО "Управдом Сервис"</t>
  </si>
  <si>
    <t>МО "Красноборский муниципальный район"</t>
  </si>
  <si>
    <t>МП "Телеговское ЖКХ"</t>
  </si>
  <si>
    <t>МО "Телеговское"</t>
  </si>
  <si>
    <t>МО "Алексеевское"</t>
  </si>
  <si>
    <t>МО "Ленский муниципальный район"</t>
  </si>
  <si>
    <t>ООО "Энергосфера"</t>
  </si>
  <si>
    <t>МО "Урдомское"</t>
  </si>
  <si>
    <t>Козьминское МУППЖКХ</t>
  </si>
  <si>
    <t>МО "Козьминское"</t>
  </si>
  <si>
    <t>ООО "АГТС"</t>
  </si>
  <si>
    <t>МО "Сафроновское"</t>
  </si>
  <si>
    <t>ПАО "МРСК Северо-Запада"</t>
  </si>
  <si>
    <t>ООО "Газпром энерго"</t>
  </si>
  <si>
    <t>МО "Лешуконский муниципальный район"</t>
  </si>
  <si>
    <t>МО "Мезенский муниципальный район"</t>
  </si>
  <si>
    <t>МУП "ЖЭУ"</t>
  </si>
  <si>
    <t>МО "Онежский муниципальный район"</t>
  </si>
  <si>
    <t>ОАО "Онега-Энергия"</t>
  </si>
  <si>
    <t>МО "Онежское"</t>
  </si>
  <si>
    <t>ИП Попов Михаил Александрович</t>
  </si>
  <si>
    <t>МО "Чекуевское"</t>
  </si>
  <si>
    <t>ООО "ПКТС"</t>
  </si>
  <si>
    <t>МО "Пинежский муниципальный район"</t>
  </si>
  <si>
    <t>ООО "Сийское"</t>
  </si>
  <si>
    <t>МО "Сийское"</t>
  </si>
  <si>
    <t>ООО "АльянсТеплоЭнерго"</t>
  </si>
  <si>
    <t>МО "Карпогорское"</t>
  </si>
  <si>
    <t>МО "Междуреченское"</t>
  </si>
  <si>
    <t>МО "Шилегское"</t>
  </si>
  <si>
    <t>МО "Сосновское"</t>
  </si>
  <si>
    <t>МО "Лавельское"</t>
  </si>
  <si>
    <t>МО "Кушкопальское"</t>
  </si>
  <si>
    <t>МО "Пинежское"</t>
  </si>
  <si>
    <t>ООО "Пинежьелес"</t>
  </si>
  <si>
    <t>МО "Плесецкий муниципальный район"</t>
  </si>
  <si>
    <t>ООО "Уют-2"</t>
  </si>
  <si>
    <t>МО "Североонежское"</t>
  </si>
  <si>
    <t>МО "Оксовское"</t>
  </si>
  <si>
    <t>МО "Ярнемское"</t>
  </si>
  <si>
    <t>МО "Обозерское"</t>
  </si>
  <si>
    <t>ООО "Газпром теплоэнерго Плесецк"</t>
  </si>
  <si>
    <t>МО "Плесецкое"</t>
  </si>
  <si>
    <t>МО "Коневское"</t>
  </si>
  <si>
    <t>ООО "ПЖКХ"</t>
  </si>
  <si>
    <t>МО "Савинское"</t>
  </si>
  <si>
    <t>ООО "Северо-западная консалтинговая компания"</t>
  </si>
  <si>
    <t>МО "Приморский муниципальный район"</t>
  </si>
  <si>
    <t>МО "Боброво-Лявленское"</t>
  </si>
  <si>
    <t>ООО "Газпром теплоэнерго Архангельск"</t>
  </si>
  <si>
    <t>МО "Уемское"</t>
  </si>
  <si>
    <t>МО "Приморское"</t>
  </si>
  <si>
    <t>МО "Заостровское"</t>
  </si>
  <si>
    <t>МО "Катунинское"</t>
  </si>
  <si>
    <t>ООО "Помор"</t>
  </si>
  <si>
    <t>ООО "Теплоснаб" (Приморский район)</t>
  </si>
  <si>
    <t>УЧРЕЖДЕНИЕ "БАЗОВЫЙ САНАТОРИЙ "БЕЛОМОРЬЕ"</t>
  </si>
  <si>
    <t>ООО "РЭП "СФЕРА"</t>
  </si>
  <si>
    <t>МО "Лисестровское"</t>
  </si>
  <si>
    <t>ООО "Архбиоэнерго"</t>
  </si>
  <si>
    <t>ИП Звягина Александра Владимировна</t>
  </si>
  <si>
    <t>МО "Соловецкое"</t>
  </si>
  <si>
    <t>МО "Северодвинск"</t>
  </si>
  <si>
    <t>СМУП "Белое озеро"</t>
  </si>
  <si>
    <t>АО "ПЖРЭП"</t>
  </si>
  <si>
    <t>п. Водогон</t>
  </si>
  <si>
    <t>МО "Устьянский муниципальный район"</t>
  </si>
  <si>
    <t>ООО "УТК"</t>
  </si>
  <si>
    <t>МО "Октябрьское"</t>
  </si>
  <si>
    <t>ООО "ЖКХ Малодоры"</t>
  </si>
  <si>
    <t>МО "Малодорское"</t>
  </si>
  <si>
    <t>ООО УК "Жилуправление"</t>
  </si>
  <si>
    <t>МО "Ростовско-Минское"</t>
  </si>
  <si>
    <t>ООО "Шангальский ЖКС"</t>
  </si>
  <si>
    <t>МО "Шангальское"</t>
  </si>
  <si>
    <t>МУП "Бестужевское"</t>
  </si>
  <si>
    <t>МО "Бестужевское"</t>
  </si>
  <si>
    <t>ООО "Березник"</t>
  </si>
  <si>
    <t>МО "Березницкое"</t>
  </si>
  <si>
    <t>МО "Орловское"</t>
  </si>
  <si>
    <t>МО "Синицкое"</t>
  </si>
  <si>
    <t>МУП "Илезское"</t>
  </si>
  <si>
    <t>МО "Илезское"</t>
  </si>
  <si>
    <t>ООО "ТеплоСнаб" (Устьянский район)</t>
  </si>
  <si>
    <t>МО "Киземское"</t>
  </si>
  <si>
    <t>МУП "Плосское"</t>
  </si>
  <si>
    <t>МО "Плосское"</t>
  </si>
  <si>
    <t>МУП "Дмитриевское"</t>
  </si>
  <si>
    <t>МО "Дмитриевское"</t>
  </si>
  <si>
    <t>МО "Холмогорский муниципальный район"</t>
  </si>
  <si>
    <t>ООО "Северная Энергетическая Компания"</t>
  </si>
  <si>
    <t>МО "Луковецкое"</t>
  </si>
  <si>
    <t>ООО "КМ ТЭР"</t>
  </si>
  <si>
    <t>МО "Светлозерское"</t>
  </si>
  <si>
    <t>ООО "ТСП Холмогоры"</t>
  </si>
  <si>
    <t>МО "Холмогорское"</t>
  </si>
  <si>
    <t>ООО "Двина" (Холмогорский район)</t>
  </si>
  <si>
    <t>МО "Емецкое"</t>
  </si>
  <si>
    <t>ООО "Емецкое ТСП"</t>
  </si>
  <si>
    <t>МО "Ракульское"</t>
  </si>
  <si>
    <t>МУП "Холмогорский ВОДОКАНАЛ"</t>
  </si>
  <si>
    <t>ООО "Пинега"</t>
  </si>
  <si>
    <t>МО "Белогорское"</t>
  </si>
  <si>
    <t>ООО "Холмогорское ТСП"</t>
  </si>
  <si>
    <t>ООО "Штиль"</t>
  </si>
  <si>
    <t>ООО "Фарватер"</t>
  </si>
  <si>
    <t>МО "Матигорское"</t>
  </si>
  <si>
    <t>МО "Шенкурский муниципальный район"</t>
  </si>
  <si>
    <t>ООО "Уютный город"</t>
  </si>
  <si>
    <t>МО "Шенкурское"</t>
  </si>
  <si>
    <t>ООО "УК "Уютный город"</t>
  </si>
  <si>
    <t>МО "Федорогорское"</t>
  </si>
  <si>
    <t>МО "Ровдинское"</t>
  </si>
  <si>
    <t>МО "Няндомский муниципальный район"</t>
  </si>
  <si>
    <t>МО "Няндомское"</t>
  </si>
  <si>
    <t>МО "Шалакушское"</t>
  </si>
  <si>
    <t>МО "Мошинское"</t>
  </si>
  <si>
    <t>ООО "Стройсервис"</t>
  </si>
  <si>
    <t>МУП "ШЛИТ" МО "Шалакушское"</t>
  </si>
  <si>
    <t>МО "Вельский муниципальный район"</t>
  </si>
  <si>
    <t>ООО "Теплоресурс"</t>
  </si>
  <si>
    <t>МО "Попонаволоцкое"</t>
  </si>
  <si>
    <t>МО "Тегринское"</t>
  </si>
  <si>
    <t>МУП "Шадреньгское"</t>
  </si>
  <si>
    <t>МО "Шадреньгское"</t>
  </si>
  <si>
    <t>ООО "Теплодом"</t>
  </si>
  <si>
    <t>МО "Верхнеустькулойское"</t>
  </si>
  <si>
    <t>МО "Липовское"</t>
  </si>
  <si>
    <t>МО "Верхнешоношское"</t>
  </si>
  <si>
    <t>МО "Пуйское"</t>
  </si>
  <si>
    <t>ООО "Теплострой"</t>
  </si>
  <si>
    <t>МО "Низовское"</t>
  </si>
  <si>
    <t>МО "Солгинское"</t>
  </si>
  <si>
    <t>МУП "Хозьминское"</t>
  </si>
  <si>
    <t>МО "Хозьминское"</t>
  </si>
  <si>
    <t>МО "Благовещенское"</t>
  </si>
  <si>
    <t>ООО "ЖКХ Кокшеньга"</t>
  </si>
  <si>
    <t>МО "Ракуло-Кокшеньгское"</t>
  </si>
  <si>
    <t>МО "Судромское"</t>
  </si>
  <si>
    <t>МО "Муравьевское"</t>
  </si>
  <si>
    <t>МО "Кулойское"</t>
  </si>
  <si>
    <t>Вельское ГОРПО</t>
  </si>
  <si>
    <t>МО "Вельское"</t>
  </si>
  <si>
    <t>МО "Аргуновское"</t>
  </si>
  <si>
    <t>МО "Пакшеньгское"</t>
  </si>
  <si>
    <t>ООО "ВГС"</t>
  </si>
  <si>
    <t>ООО "Теплосервис"</t>
  </si>
  <si>
    <t>2907015570</t>
  </si>
  <si>
    <t>2907016905</t>
  </si>
  <si>
    <t>2907016013</t>
  </si>
  <si>
    <t>2907014383</t>
  </si>
  <si>
    <t>2907017176</t>
  </si>
  <si>
    <t>2907016020</t>
  </si>
  <si>
    <t>2907015524</t>
  </si>
  <si>
    <t>2907010540</t>
  </si>
  <si>
    <t>2907010325</t>
  </si>
  <si>
    <t>2918002171</t>
  </si>
  <si>
    <t>2921012042</t>
  </si>
  <si>
    <t>2924005452</t>
  </si>
  <si>
    <t>2901248674</t>
  </si>
  <si>
    <t>2901230116</t>
  </si>
  <si>
    <t>2923007217</t>
  </si>
  <si>
    <t>2923007104</t>
  </si>
  <si>
    <t>2923007288</t>
  </si>
  <si>
    <t>2923007344</t>
  </si>
  <si>
    <t>2923007175</t>
  </si>
  <si>
    <t>2901192407</t>
  </si>
  <si>
    <t>2922007180</t>
  </si>
  <si>
    <t>2922008063</t>
  </si>
  <si>
    <t>2922007060</t>
  </si>
  <si>
    <t>2922008803</t>
  </si>
  <si>
    <t>2922009317</t>
  </si>
  <si>
    <t>2922009194</t>
  </si>
  <si>
    <t>2922008497</t>
  </si>
  <si>
    <t>2902065289</t>
  </si>
  <si>
    <t>290222043671</t>
  </si>
  <si>
    <t>2921126730</t>
  </si>
  <si>
    <t>2901252021</t>
  </si>
  <si>
    <t>2920013847</t>
  </si>
  <si>
    <t>2920015594</t>
  </si>
  <si>
    <t>2901249879</t>
  </si>
  <si>
    <t>290604109003</t>
  </si>
  <si>
    <t>7736186950</t>
  </si>
  <si>
    <t>2901265172</t>
  </si>
  <si>
    <t>2915004011</t>
  </si>
  <si>
    <t>2912006620</t>
  </si>
  <si>
    <t>2912004817</t>
  </si>
  <si>
    <t>2912006268</t>
  </si>
  <si>
    <t>2911004331</t>
  </si>
  <si>
    <t>2910004650</t>
  </si>
  <si>
    <t>2910005075</t>
  </si>
  <si>
    <t>2909003179</t>
  </si>
  <si>
    <t>2908004966</t>
  </si>
  <si>
    <t>2908003698</t>
  </si>
  <si>
    <t>2908004701</t>
  </si>
  <si>
    <t>2901286856</t>
  </si>
  <si>
    <t>ООО "Каскад"</t>
  </si>
  <si>
    <t>ООО "КТС"(Каргопольский район)</t>
  </si>
  <si>
    <t>2912006814</t>
  </si>
  <si>
    <t>ООО "Теплоснаб" (Коношский район)</t>
  </si>
  <si>
    <t>2914003625</t>
  </si>
  <si>
    <t>ООО "КТС"(Красноборский район)</t>
  </si>
  <si>
    <t>МО "Кенозерское"</t>
  </si>
  <si>
    <t>2921010743</t>
  </si>
  <si>
    <t>ООО "Управляющая жилищная компания"</t>
  </si>
  <si>
    <t>пос. Двинской, ул. Лесная, д. 62</t>
  </si>
  <si>
    <t>МО "Усть-Пинежское"</t>
  </si>
  <si>
    <t>2901283870</t>
  </si>
  <si>
    <t>ООО "ТЭВОС"</t>
  </si>
  <si>
    <t>МУП "Лихачевское"</t>
  </si>
  <si>
    <t>МО "Лихачёвское"</t>
  </si>
  <si>
    <t>МО Лешуконский район</t>
  </si>
  <si>
    <t>МО Мезенский район</t>
  </si>
  <si>
    <t>МО Малошуйское</t>
  </si>
  <si>
    <t>МО Коношское</t>
  </si>
  <si>
    <t>МО Обозерское</t>
  </si>
  <si>
    <t>МО "Островное", д. Пустошь</t>
  </si>
  <si>
    <t>МО "Островное", д. Ластола</t>
  </si>
  <si>
    <t>МО "Островное", с Вознесенье, д. Кяростров</t>
  </si>
  <si>
    <t>МО "Емецкое", ул. Почтовая</t>
  </si>
  <si>
    <t>МО "Емецкое", ул. Жолобова</t>
  </si>
  <si>
    <t>МО "Шеговарское",(с. Шеговары, ул. Центральная, д.68 а)</t>
  </si>
  <si>
    <t>МО "Шеговарское" (с. Шеговары, ул. Садовая, д.1)</t>
  </si>
  <si>
    <t xml:space="preserve">Плановый расчет потребности в средствах субсидии
 на возмещение недополученных доходов, возникающих в результате государственного регулирования тарифов на тепловую энергию,поставляемую населению и потребителям, приравненным к населению на нужды теплоснабжения 
в 2019 году </t>
  </si>
  <si>
    <t>МО "Приводинское", д. Курцево</t>
  </si>
  <si>
    <t>МО "Приводинское", д. Куимиха</t>
  </si>
  <si>
    <t>МО "Сольвычегодское", г. Сольвычегодск</t>
  </si>
  <si>
    <t>МО "Сольвычегодское", д. Григорово</t>
  </si>
  <si>
    <t>МО "Сольвычегодское", пос. Харитоново</t>
  </si>
  <si>
    <t>МО "Холмогорское", д. Анашкино</t>
  </si>
  <si>
    <t>МО "Холмогорское", д. Красное село</t>
  </si>
  <si>
    <t>МО "Ильинское", ул. Мелиоративная, д.7</t>
  </si>
  <si>
    <t>МО "Ильинское", дер. Кошкино</t>
  </si>
  <si>
    <t>МО "Ильинское", ул. Советская, д.1</t>
  </si>
  <si>
    <t>МО "Ильинское",ул. Кедрова, д.21</t>
  </si>
  <si>
    <t>МО "Холмогорское", с. Холмогоры, ул. Племзаводская</t>
  </si>
  <si>
    <t>Запланированный объем ресурса на 2019 год</t>
  </si>
  <si>
    <t xml:space="preserve">Дебиторская (-), кредиторская (+) задолженность
 на 01.01.2019 г. </t>
  </si>
  <si>
    <t>декабрь 2019 г., руб. (36 % от объемов отпуска 4 квартала)</t>
  </si>
  <si>
    <t xml:space="preserve">Плановый расчет потребности в средствах субсидии
 на возмещение недополученных доходов, возникающих в результате государственного регулирования тарифов на тепловую энергию,поставляемую населению и потребителям, приравненным к населению на нужды теплоснабжения 
в 2020 году </t>
  </si>
  <si>
    <t>Запланированный объем ресурса на 2020 год</t>
  </si>
  <si>
    <t xml:space="preserve">1 кв.
 </t>
  </si>
  <si>
    <t xml:space="preserve">2 кв.
</t>
  </si>
  <si>
    <t xml:space="preserve">3 кв.
 </t>
  </si>
  <si>
    <t xml:space="preserve">4 кв. 
</t>
  </si>
  <si>
    <t xml:space="preserve">Дебиторская (-), кредиторская (+) задолженность
 на 01.01.2020 г. </t>
  </si>
  <si>
    <t>декабрь 2020 г., руб. (36 % от объемов отпуска 4 квартала)</t>
  </si>
  <si>
    <t>Потребность в средствах субсидии 2020 года с учетом дебиторской, кредиторской задолженности без учета декабря, руб.</t>
  </si>
  <si>
    <t>Потребность в средствах субсидии 2019 года с учетом дебиторской, кредиторской задолженности без учета декабря, руб.</t>
  </si>
  <si>
    <t xml:space="preserve">Плановый расчет потребности в средствах субсидии
 на возмещение недополученных доходов, возникающих в результате государственного регулирования тарифов на тепловую энергию,поставляемую населению и потребителям, приравненным к населению на нужды теплоснабжения 
в 2021 году </t>
  </si>
  <si>
    <t>Запланированный объем ресурса на 2021 год</t>
  </si>
  <si>
    <t xml:space="preserve">Дебиторская (-), кредиторская (+) задолженность
 на 01.01.2021 г. </t>
  </si>
  <si>
    <t>декабрь 2021 г., руб. (36 % от объемов отпуска 4 квартала)</t>
  </si>
  <si>
    <t>Потребность в средствах субсидии 2021 года с учетом дебиторской, кредиторской задолженности без учета декабря, руб.</t>
  </si>
  <si>
    <t>Справочно: объем отпуска тепловой энергии населению, учтенный в тарифах на 2018 год</t>
  </si>
  <si>
    <t>2901221143</t>
  </si>
  <si>
    <t>ООО "Тельмица"</t>
  </si>
  <si>
    <t>Чекуевское</t>
  </si>
  <si>
    <t>ГБУЗ АО «Санаторий имени М.Н. Фаворской»</t>
  </si>
  <si>
    <t>3525369837</t>
  </si>
  <si>
    <t>Примечание</t>
  </si>
  <si>
    <t>2913002410</t>
  </si>
  <si>
    <t>ГБПОУ АО «ШАТ»</t>
  </si>
  <si>
    <t>МО «Шипицынское»</t>
  </si>
  <si>
    <t>бюджет</t>
  </si>
  <si>
    <t>2904012719</t>
  </si>
  <si>
    <t>АО "Котласское ДРСУ"</t>
  </si>
  <si>
    <t>МО "Город Архангельск"</t>
  </si>
  <si>
    <t>ФГБУ "ЦЖКУ" МО РФ</t>
  </si>
  <si>
    <t>МО "Мезенское"</t>
  </si>
  <si>
    <t>МО "Новая Земля"</t>
  </si>
  <si>
    <t>МО "Пертоминское"</t>
  </si>
  <si>
    <t>МО "Талажское"</t>
  </si>
  <si>
    <t>МО "Ухтостровское"</t>
  </si>
  <si>
    <t>МБОУ "Тавреньгская СШ"</t>
  </si>
  <si>
    <t>2912003404</t>
  </si>
  <si>
    <t>ФКУ ИК-12 УФСИН России по Архангельской области</t>
  </si>
  <si>
    <t>2923002226</t>
  </si>
  <si>
    <t>ФКУ ИК-14 УФСИН России по Архангельской области</t>
  </si>
  <si>
    <t>2907001458</t>
  </si>
  <si>
    <t>МБОУ "Авнюгская СОШ"</t>
  </si>
  <si>
    <t>МО "Федьковское"</t>
  </si>
  <si>
    <t>2908002905</t>
  </si>
  <si>
    <t>МБОУ  "Кеврольская ООШ  № 18 имени М.Ф. Теплова"</t>
  </si>
  <si>
    <t>МБОУ "Сурская СОШ  № 2"</t>
  </si>
  <si>
    <t>МО "Кеврольское"</t>
  </si>
  <si>
    <t>МО "Сурское"</t>
  </si>
  <si>
    <t>ФКУ ЛИУ-8 УФСИН России по Архангельской области</t>
  </si>
  <si>
    <t>ФКУ ИК-29 УФСИН России по Архангельской области</t>
  </si>
  <si>
    <t>МБОУ "Коневская школа"</t>
  </si>
  <si>
    <t>ФКУ ОИУ ОУХД-2 УФСИН России по Архангельской области</t>
  </si>
  <si>
    <t>2920003694</t>
  </si>
  <si>
    <t>2920003609</t>
  </si>
  <si>
    <t>2900150929</t>
  </si>
  <si>
    <t>2920008068</t>
  </si>
  <si>
    <t>МО "Североонежское",                          МО "Ундозерское"</t>
  </si>
  <si>
    <t>ЭКОНОМИЧЕСКИ ОБОСНОВАННЫЙ одноставочный тариф тепловую энергию, отпускаемую потребителям, в случае отутствия дифференциации тарифов по схеме подключения (без НДС),руб./Гкал</t>
  </si>
  <si>
    <t>ЛЬГОТНЫЙ                              одноставочный тариф на тепловую энергию, поставляемую населению на нужды теплоснабжения (без НДС), руб./Гкал</t>
  </si>
  <si>
    <t>2911001370</t>
  </si>
  <si>
    <t>ГАПОУ АО «Каргопольский индустриальный техникум»</t>
  </si>
  <si>
    <t>ООО "Удар" (ООО "Удима")</t>
  </si>
  <si>
    <t>ООО "ФинансГрупп" (ООО "Кулой ЖКХ")</t>
  </si>
  <si>
    <t xml:space="preserve">ООО "Удар" </t>
  </si>
  <si>
    <t>МО "Чекуевское", д. Анциферовский Бор</t>
  </si>
  <si>
    <t>МО "Чекуевское", Шомокша</t>
  </si>
  <si>
    <t>к пояснительной записке</t>
  </si>
  <si>
    <t>Приложение № 21</t>
  </si>
  <si>
    <t>ЛЬГОТНЫЙ                                                                               одноставочный тариф на тепловую энергию, поставляемую населению на нужды теплоснабжения (без НДС), руб./Гкал</t>
  </si>
</sst>
</file>

<file path=xl/styles.xml><?xml version="1.0" encoding="utf-8"?>
<styleSheet xmlns="http://schemas.openxmlformats.org/spreadsheetml/2006/main">
  <numFmts count="56">
    <numFmt numFmtId="43" formatCode="_-* #,##0.00\ _₽_-;\-* #,##0.00\ _₽_-;_-* &quot;-&quot;??\ _₽_-;_-@_-"/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0"/>
    <numFmt numFmtId="169" formatCode="#,##0.00_ ;\-#,##0.00\ "/>
    <numFmt numFmtId="170" formatCode="0.0"/>
    <numFmt numFmtId="171" formatCode="_(* #,##0.00_);_(* \(\ #,##0.00\ \);_(* &quot;-&quot;??_);_(\ @_ \)"/>
    <numFmt numFmtId="172" formatCode="_(* #,##0.000_);_(* \(\ #,##0.000\ \);_(* &quot;-&quot;??_);_(\ @_ \)"/>
    <numFmt numFmtId="173" formatCode="_-* #,##0.00[$€-1]_-;\-* #,##0.00[$€-1]_-;_-* &quot;-&quot;??[$€-1]_-"/>
    <numFmt numFmtId="174" formatCode="0.0%"/>
    <numFmt numFmtId="175" formatCode="0.0%_);\(0.0%\)"/>
    <numFmt numFmtId="176" formatCode="#,##0_);[Red]\(#,##0\)"/>
    <numFmt numFmtId="177" formatCode="#,##0;\(#,##0\)"/>
    <numFmt numFmtId="178" formatCode="_-* #,##0.00\ _$_-;\-* #,##0.00\ _$_-;_-* &quot;-&quot;??\ _$_-;_-@_-"/>
    <numFmt numFmtId="179" formatCode="#.##0\.00"/>
    <numFmt numFmtId="180" formatCode="#\.00"/>
    <numFmt numFmtId="181" formatCode="#\."/>
    <numFmt numFmtId="182" formatCode="_-* #,##0\ &quot;руб&quot;_-;\-* #,##0\ &quot;руб&quot;_-;_-* &quot;-&quot;\ &quot;руб&quot;_-;_-@_-"/>
    <numFmt numFmtId="183" formatCode="General_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&quot;$&quot;#,##0_);[Red]\(&quot;$&quot;#,##0\)"/>
    <numFmt numFmtId="187" formatCode="\$#,##0\ ;\(\$#,##0\)"/>
    <numFmt numFmtId="188" formatCode="#,##0.0"/>
    <numFmt numFmtId="189" formatCode="#,##0.0000"/>
    <numFmt numFmtId="190" formatCode="#,##0.000[$р.-419];\-#,##0.000[$р.-419]"/>
    <numFmt numFmtId="191" formatCode="_-* #,##0.0\ _$_-;\-* #,##0.0\ _$_-;_-* &quot;-&quot;??\ _$_-;_-@_-"/>
    <numFmt numFmtId="192" formatCode="#,##0.0_);\(#,##0.0\)"/>
    <numFmt numFmtId="193" formatCode="#,##0_ ;[Red]\-#,##0\ "/>
    <numFmt numFmtId="194" formatCode="#,##0_);[Blue]\(#,##0\)"/>
    <numFmt numFmtId="195" formatCode="_-* #,##0_-;\-* #,##0_-;_-* &quot;-&quot;_-;_-@_-"/>
    <numFmt numFmtId="196" formatCode="_-* #,##0.00_-;\-* #,##0.00_-;_-* &quot;-&quot;??_-;_-@_-"/>
    <numFmt numFmtId="197" formatCode="_ * #,##0_ ;_ * \-#,##0_ ;_ * &quot;-&quot;_ ;_ @_ "/>
    <numFmt numFmtId="198" formatCode="_ * #,##0.00_ ;_ * \-#,##0.00_ ;_ * &quot;-&quot;??_ ;_ @_ "/>
    <numFmt numFmtId="199" formatCode="#,##0__\ \ \ \ "/>
    <numFmt numFmtId="200" formatCode="_-&quot;£&quot;* #,##0_-;\-&quot;£&quot;* #,##0_-;_-&quot;£&quot;* &quot;-&quot;_-;_-@_-"/>
    <numFmt numFmtId="201" formatCode="_-&quot;£&quot;* #,##0.00_-;\-&quot;£&quot;* #,##0.00_-;_-&quot;£&quot;* &quot;-&quot;??_-;_-@_-"/>
    <numFmt numFmtId="202" formatCode="#,##0.00&quot;т.р.&quot;;\-#,##0.00&quot;т.р.&quot;"/>
    <numFmt numFmtId="203" formatCode="#,##0.0;[Red]#,##0.0"/>
    <numFmt numFmtId="204" formatCode="_-* #,##0_đ_._-;\-* #,##0_đ_._-;_-* &quot;-&quot;_đ_._-;_-@_-"/>
    <numFmt numFmtId="205" formatCode="_-* #,##0.00_đ_._-;\-* #,##0.00_đ_._-;_-* &quot;-&quot;??_đ_._-;_-@_-"/>
    <numFmt numFmtId="206" formatCode="\(#,##0.0\)"/>
    <numFmt numFmtId="207" formatCode="#,##0\ &quot;?.&quot;;\-#,##0\ &quot;?.&quot;"/>
    <numFmt numFmtId="208" formatCode="#,##0______;;&quot;------------      &quot;"/>
    <numFmt numFmtId="209" formatCode="&quot;$&quot;#,##0"/>
    <numFmt numFmtId="210" formatCode="#,##0.000_ ;\-#,##0.000\ "/>
    <numFmt numFmtId="211" formatCode="#,##0.00_ ;[Red]\-#,##0.00\ "/>
    <numFmt numFmtId="212" formatCode="_(&quot;$&quot;* #,##0.00_);_(&quot;$&quot;* \(#,##0.00\);_(&quot;$&quot;* &quot;-&quot;??_);_(@_)"/>
    <numFmt numFmtId="213" formatCode="0_)"/>
    <numFmt numFmtId="214" formatCode="0.000"/>
    <numFmt numFmtId="215" formatCode="_(* #,##0_);_(* \(#,##0\);_(* &quot;-&quot;_);_(@_)"/>
    <numFmt numFmtId="216" formatCode="_(* #,##0.00_);_(* \(#,##0.00\);_(* &quot;-&quot;??_);_(@_)"/>
    <numFmt numFmtId="217" formatCode="_-* #,##0.00\ _р_._-;\-* #,##0.00\ _р_._-;_-* &quot;-&quot;??\ _р_._-;_-@_-"/>
    <numFmt numFmtId="218" formatCode="_-* #,##0\ _$_-;\-* #,##0\ _$_-;_-* &quot;-&quot;\ _$_-;_-@_-"/>
  </numFmts>
  <fonts count="19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Tahoma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4"/>
      <name val="Times New Roman"/>
      <family val="1"/>
      <charset val="204"/>
    </font>
    <font>
      <b/>
      <sz val="8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color indexed="8"/>
      <name val="Verdana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3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3"/>
      <color indexed="9"/>
      <name val="Times New Roman"/>
      <family val="2"/>
      <charset val="204"/>
    </font>
    <font>
      <u/>
      <sz val="10"/>
      <color indexed="12"/>
      <name val="Courier"/>
      <family val="3"/>
    </font>
    <font>
      <b/>
      <sz val="10"/>
      <color indexed="62"/>
      <name val="Tahoma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sz val="10"/>
      <name val="SimSun"/>
      <family val="2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b/>
      <sz val="10"/>
      <name val="SvobodaFWF"/>
    </font>
    <font>
      <sz val="6"/>
      <color indexed="16"/>
      <name val="Palatino"/>
      <family val="1"/>
    </font>
    <font>
      <b/>
      <sz val="12"/>
      <name val="NTHelvetica/Cyrillic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sz val="10"/>
      <name val="NTHelvetica/Cyrillic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3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3"/>
      <color indexed="63"/>
      <name val="Times New Roman"/>
      <family val="2"/>
      <charset val="204"/>
    </font>
    <font>
      <b/>
      <sz val="13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8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name val="Arial Cyr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3"/>
      <color indexed="8"/>
      <name val="Times New Roman"/>
      <family val="2"/>
      <charset val="204"/>
    </font>
    <font>
      <b/>
      <sz val="13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3"/>
      <color indexed="60"/>
      <name val="Times New Roman"/>
      <family val="2"/>
      <charset val="204"/>
    </font>
    <font>
      <sz val="12"/>
      <name val="Arial Cyr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sz val="9"/>
      <color indexed="11"/>
      <name val="Tahoma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2"/>
      <charset val="204"/>
    </font>
    <font>
      <sz val="11"/>
      <color indexed="8"/>
      <name val="Calibri"/>
      <family val="2"/>
    </font>
    <font>
      <b/>
      <i/>
      <sz val="10"/>
      <color indexed="10"/>
      <name val="Arial Cyr"/>
      <family val="2"/>
      <charset val="204"/>
    </font>
    <font>
      <sz val="13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3"/>
      <color indexed="23"/>
      <name val="Times New Roman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3"/>
      <color indexed="52"/>
      <name val="Times New Roman"/>
      <family val="2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sz val="13"/>
      <color indexed="10"/>
      <name val="Times New Roman"/>
      <family val="2"/>
      <charset val="204"/>
    </font>
    <font>
      <sz val="9"/>
      <name val="Arial Cyr"/>
      <charset val="204"/>
    </font>
    <font>
      <sz val="13"/>
      <color indexed="17"/>
      <name val="Times New Roman"/>
      <family val="2"/>
      <charset val="204"/>
    </font>
    <font>
      <sz val="10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ahoma"/>
      <family val="2"/>
      <charset val="204"/>
    </font>
    <font>
      <b/>
      <sz val="10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2"/>
      <name val="Tahoma"/>
      <family val="2"/>
      <charset val="204"/>
    </font>
    <font>
      <b/>
      <sz val="12"/>
      <color theme="3" tint="0.39997558519241921"/>
      <name val="Tahoma"/>
      <family val="2"/>
      <charset val="204"/>
    </font>
    <font>
      <b/>
      <sz val="12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ahoma"/>
      <family val="2"/>
      <charset val="204"/>
    </font>
    <font>
      <sz val="12"/>
      <color theme="3" tint="0.39997558519241921"/>
      <name val="Tahoma"/>
      <family val="2"/>
      <charset val="204"/>
    </font>
    <font>
      <sz val="12"/>
      <color rgb="FFFF0000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Down">
        <fgColor indexed="4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fgColor indexed="8"/>
        <bgColor indexed="11"/>
      </patternFill>
    </fill>
    <fill>
      <patternFill patternType="solid">
        <fgColor indexed="32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16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0" fontId="9" fillId="0" borderId="0"/>
    <xf numFmtId="0" fontId="6" fillId="0" borderId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6" fillId="0" borderId="0"/>
    <xf numFmtId="173" fontId="16" fillId="0" borderId="0"/>
    <xf numFmtId="0" fontId="17" fillId="0" borderId="0"/>
    <xf numFmtId="0" fontId="18" fillId="0" borderId="0"/>
    <xf numFmtId="174" fontId="19" fillId="0" borderId="0">
      <alignment vertical="top"/>
    </xf>
    <xf numFmtId="174" fontId="20" fillId="0" borderId="0">
      <alignment vertical="top"/>
    </xf>
    <xf numFmtId="175" fontId="20" fillId="2" borderId="0">
      <alignment vertical="top"/>
    </xf>
    <xf numFmtId="175" fontId="20" fillId="2" borderId="0">
      <alignment vertical="top"/>
    </xf>
    <xf numFmtId="175" fontId="20" fillId="2" borderId="0">
      <alignment vertical="top"/>
    </xf>
    <xf numFmtId="175" fontId="20" fillId="2" borderId="0">
      <alignment vertical="top"/>
    </xf>
    <xf numFmtId="174" fontId="20" fillId="3" borderId="0">
      <alignment vertical="top"/>
    </xf>
    <xf numFmtId="174" fontId="20" fillId="3" borderId="0">
      <alignment vertical="top"/>
    </xf>
    <xf numFmtId="174" fontId="20" fillId="3" borderId="0">
      <alignment vertical="top"/>
    </xf>
    <xf numFmtId="174" fontId="20" fillId="3" borderId="0">
      <alignment vertical="top"/>
    </xf>
    <xf numFmtId="0" fontId="3" fillId="0" borderId="0"/>
    <xf numFmtId="40" fontId="21" fillId="0" borderId="0" applyFont="0" applyFill="0" applyBorder="0" applyAlignment="0" applyProtection="0"/>
    <xf numFmtId="0" fontId="22" fillId="0" borderId="0"/>
    <xf numFmtId="0" fontId="18" fillId="0" borderId="0"/>
    <xf numFmtId="0" fontId="18" fillId="0" borderId="0"/>
    <xf numFmtId="0" fontId="17" fillId="0" borderId="0"/>
    <xf numFmtId="0" fontId="3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76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6" fontId="19" fillId="0" borderId="0">
      <alignment vertical="top"/>
    </xf>
    <xf numFmtId="176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6" fontId="19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7" fontId="18" fillId="4" borderId="5">
      <alignment wrapText="1"/>
      <protection locked="0"/>
    </xf>
    <xf numFmtId="177" fontId="18" fillId="4" borderId="5">
      <alignment wrapText="1"/>
      <protection locked="0"/>
    </xf>
    <xf numFmtId="177" fontId="18" fillId="4" borderId="5">
      <alignment wrapText="1"/>
      <protection locked="0"/>
    </xf>
    <xf numFmtId="177" fontId="18" fillId="4" borderId="5">
      <alignment wrapText="1"/>
      <protection locked="0"/>
    </xf>
    <xf numFmtId="177" fontId="18" fillId="4" borderId="5">
      <alignment wrapText="1"/>
      <protection locked="0"/>
    </xf>
    <xf numFmtId="0" fontId="23" fillId="5" borderId="6" applyNumberFormat="0">
      <alignment readingOrder="1"/>
      <protection locked="0"/>
    </xf>
    <xf numFmtId="0" fontId="16" fillId="0" borderId="0"/>
    <xf numFmtId="0" fontId="16" fillId="0" borderId="0"/>
    <xf numFmtId="0" fontId="16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173" fontId="17" fillId="0" borderId="0"/>
    <xf numFmtId="0" fontId="17" fillId="0" borderId="0"/>
    <xf numFmtId="173" fontId="17" fillId="0" borderId="0"/>
    <xf numFmtId="0" fontId="17" fillId="0" borderId="0"/>
    <xf numFmtId="173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3" fontId="17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73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6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6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6" fontId="19" fillId="0" borderId="0">
      <alignment vertical="top"/>
    </xf>
    <xf numFmtId="0" fontId="16" fillId="0" borderId="0"/>
    <xf numFmtId="173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3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173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3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6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6" fontId="19" fillId="0" borderId="0">
      <alignment vertical="top"/>
    </xf>
    <xf numFmtId="0" fontId="16" fillId="0" borderId="0"/>
    <xf numFmtId="0" fontId="16" fillId="0" borderId="0"/>
    <xf numFmtId="0" fontId="16" fillId="0" borderId="0"/>
    <xf numFmtId="0" fontId="17" fillId="0" borderId="0"/>
    <xf numFmtId="173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3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3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6" fontId="19" fillId="0" borderId="0">
      <alignment vertical="top"/>
    </xf>
    <xf numFmtId="176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6" fontId="19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6" fillId="0" borderId="0"/>
    <xf numFmtId="0" fontId="17" fillId="0" borderId="0"/>
    <xf numFmtId="0" fontId="17" fillId="0" borderId="0"/>
    <xf numFmtId="173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173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3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3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6" fillId="0" borderId="0"/>
    <xf numFmtId="173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3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7" fillId="0" borderId="0"/>
    <xf numFmtId="173" fontId="17" fillId="0" borderId="0"/>
    <xf numFmtId="178" fontId="26" fillId="0" borderId="0" applyFont="0" applyFill="0" applyBorder="0" applyAlignment="0" applyProtection="0"/>
    <xf numFmtId="0" fontId="27" fillId="0" borderId="7">
      <protection locked="0"/>
    </xf>
    <xf numFmtId="179" fontId="28" fillId="0" borderId="0">
      <protection locked="0"/>
    </xf>
    <xf numFmtId="180" fontId="28" fillId="0" borderId="0">
      <protection locked="0"/>
    </xf>
    <xf numFmtId="166" fontId="27" fillId="0" borderId="0">
      <protection locked="0"/>
    </xf>
    <xf numFmtId="166" fontId="27" fillId="0" borderId="0">
      <protection locked="0"/>
    </xf>
    <xf numFmtId="166" fontId="27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81" fontId="28" fillId="0" borderId="7">
      <protection locked="0"/>
    </xf>
    <xf numFmtId="182" fontId="26" fillId="0" borderId="0">
      <alignment horizontal="center"/>
    </xf>
    <xf numFmtId="182" fontId="26" fillId="0" borderId="0">
      <alignment horizontal="center"/>
    </xf>
    <xf numFmtId="182" fontId="26" fillId="0" borderId="0">
      <alignment horizontal="center"/>
    </xf>
    <xf numFmtId="182" fontId="26" fillId="0" borderId="0">
      <alignment horizontal="center"/>
    </xf>
    <xf numFmtId="0" fontId="30" fillId="6" borderId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7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2" borderId="0" applyNumberFormat="0" applyBorder="0" applyAlignment="0" applyProtection="0"/>
    <xf numFmtId="0" fontId="33" fillId="18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4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4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4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4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4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4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5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26" borderId="6" applyNumberFormat="0" applyAlignment="0"/>
    <xf numFmtId="0" fontId="25" fillId="0" borderId="0"/>
    <xf numFmtId="183" fontId="24" fillId="0" borderId="8">
      <protection locked="0"/>
    </xf>
    <xf numFmtId="184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0" fontId="37" fillId="8" borderId="0" applyNumberFormat="0" applyBorder="0" applyAlignment="0" applyProtection="0"/>
    <xf numFmtId="10" fontId="38" fillId="0" borderId="0" applyNumberFormat="0" applyFill="0" applyBorder="0" applyAlignment="0"/>
    <xf numFmtId="0" fontId="39" fillId="0" borderId="0"/>
    <xf numFmtId="0" fontId="40" fillId="17" borderId="6" applyNumberFormat="0" applyAlignment="0" applyProtection="0"/>
    <xf numFmtId="0" fontId="6" fillId="0" borderId="6" applyNumberFormat="0" applyAlignment="0">
      <protection locked="0"/>
    </xf>
    <xf numFmtId="0" fontId="6" fillId="0" borderId="6" applyNumberFormat="0" applyAlignment="0">
      <protection locked="0"/>
    </xf>
    <xf numFmtId="0" fontId="6" fillId="0" borderId="6" applyNumberFormat="0" applyAlignment="0">
      <protection locked="0"/>
    </xf>
    <xf numFmtId="0" fontId="6" fillId="0" borderId="6" applyNumberFormat="0" applyAlignment="0">
      <protection locked="0"/>
    </xf>
    <xf numFmtId="0" fontId="41" fillId="27" borderId="9" applyNumberFormat="0" applyAlignment="0" applyProtection="0"/>
    <xf numFmtId="0" fontId="42" fillId="0" borderId="2">
      <alignment horizontal="left" vertical="center"/>
    </xf>
    <xf numFmtId="165" fontId="18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ont="0" applyFill="0" applyBorder="0" applyAlignment="0" applyProtection="0"/>
    <xf numFmtId="167" fontId="18" fillId="0" borderId="0" applyFont="0" applyFill="0" applyBorder="0" applyAlignment="0" applyProtection="0"/>
    <xf numFmtId="3" fontId="44" fillId="0" borderId="0" applyFont="0" applyFill="0" applyBorder="0" applyAlignment="0" applyProtection="0"/>
    <xf numFmtId="183" fontId="45" fillId="28" borderId="8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ont="0" applyFill="0" applyBorder="0" applyAlignment="0" applyProtection="0">
      <alignment horizontal="right"/>
    </xf>
    <xf numFmtId="166" fontId="18" fillId="0" borderId="0" applyFont="0" applyFill="0" applyBorder="0" applyAlignment="0" applyProtection="0"/>
    <xf numFmtId="187" fontId="44" fillId="0" borderId="0" applyFont="0" applyFill="0" applyBorder="0" applyAlignment="0" applyProtection="0"/>
    <xf numFmtId="188" fontId="14" fillId="4" borderId="0">
      <protection locked="0"/>
    </xf>
    <xf numFmtId="0" fontId="43" fillId="0" borderId="0" applyFill="0" applyBorder="0" applyProtection="0">
      <alignment vertical="center"/>
    </xf>
    <xf numFmtId="168" fontId="14" fillId="4" borderId="0">
      <protection locked="0"/>
    </xf>
    <xf numFmtId="189" fontId="14" fillId="4" borderId="0">
      <protection locked="0"/>
    </xf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14" fontId="46" fillId="0" borderId="0">
      <alignment vertical="top"/>
    </xf>
    <xf numFmtId="0" fontId="6" fillId="29" borderId="6" applyAlignment="0">
      <alignment horizontal="left" vertical="center"/>
    </xf>
    <xf numFmtId="0" fontId="6" fillId="29" borderId="6" applyAlignment="0">
      <alignment horizontal="left" vertical="center"/>
    </xf>
    <xf numFmtId="19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43" fillId="0" borderId="10" applyNumberFormat="0" applyFont="0" applyFill="0" applyAlignment="0" applyProtection="0"/>
    <xf numFmtId="0" fontId="47" fillId="0" borderId="0" applyNumberFormat="0" applyFill="0" applyBorder="0" applyAlignment="0" applyProtection="0"/>
    <xf numFmtId="176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173" fontId="1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37" fontId="18" fillId="0" borderId="0"/>
    <xf numFmtId="0" fontId="31" fillId="0" borderId="0"/>
    <xf numFmtId="0" fontId="49" fillId="0" borderId="0"/>
    <xf numFmtId="0" fontId="50" fillId="0" borderId="0"/>
    <xf numFmtId="0" fontId="51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19" fillId="0" borderId="0" applyFill="0" applyBorder="0" applyAlignment="0" applyProtection="0"/>
    <xf numFmtId="170" fontId="53" fillId="0" borderId="0" applyFill="0" applyBorder="0" applyAlignment="0" applyProtection="0"/>
    <xf numFmtId="170" fontId="54" fillId="0" borderId="0" applyFill="0" applyBorder="0" applyAlignment="0" applyProtection="0"/>
    <xf numFmtId="170" fontId="55" fillId="0" borderId="0" applyFill="0" applyBorder="0" applyAlignment="0" applyProtection="0"/>
    <xf numFmtId="170" fontId="56" fillId="0" borderId="0" applyFill="0" applyBorder="0" applyAlignment="0" applyProtection="0"/>
    <xf numFmtId="170" fontId="57" fillId="0" borderId="0" applyFill="0" applyBorder="0" applyAlignment="0" applyProtection="0"/>
    <xf numFmtId="2" fontId="44" fillId="0" borderId="0" applyFont="0" applyFill="0" applyBorder="0" applyAlignment="0" applyProtection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" fillId="9" borderId="6" applyNumberFormat="0" applyAlignment="0"/>
    <xf numFmtId="0" fontId="6" fillId="9" borderId="6" applyNumberFormat="0" applyAlignment="0"/>
    <xf numFmtId="0" fontId="61" fillId="9" borderId="0" applyNumberFormat="0" applyBorder="0" applyAlignment="0" applyProtection="0"/>
    <xf numFmtId="174" fontId="62" fillId="3" borderId="2" applyNumberFormat="0" applyFont="0" applyBorder="0" applyAlignment="0" applyProtection="0"/>
    <xf numFmtId="0" fontId="43" fillId="0" borderId="0" applyFont="0" applyFill="0" applyBorder="0" applyAlignment="0" applyProtection="0">
      <alignment horizontal="right"/>
    </xf>
    <xf numFmtId="192" fontId="63" fillId="3" borderId="0" applyNumberFormat="0" applyFont="0" applyAlignment="0"/>
    <xf numFmtId="0" fontId="64" fillId="0" borderId="11" applyNumberFormat="0" applyBorder="0">
      <alignment horizontal="centerContinuous"/>
    </xf>
    <xf numFmtId="0" fontId="65" fillId="0" borderId="0" applyProtection="0">
      <alignment horizontal="right"/>
    </xf>
    <xf numFmtId="0" fontId="6" fillId="17" borderId="6" applyNumberFormat="0" applyAlignment="0"/>
    <xf numFmtId="0" fontId="6" fillId="17" borderId="6" applyNumberFormat="0" applyAlignment="0"/>
    <xf numFmtId="0" fontId="66" fillId="0" borderId="0">
      <alignment horizontal="center"/>
    </xf>
    <xf numFmtId="0" fontId="66" fillId="30" borderId="0">
      <alignment horizontal="center"/>
    </xf>
    <xf numFmtId="0" fontId="67" fillId="0" borderId="0">
      <alignment vertical="top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2" fontId="71" fillId="31" borderId="0" applyAlignment="0">
      <alignment horizontal="right"/>
      <protection locked="0"/>
    </xf>
    <xf numFmtId="176" fontId="72" fillId="0" borderId="0">
      <alignment vertical="top"/>
    </xf>
    <xf numFmtId="38" fontId="72" fillId="0" borderId="0">
      <alignment vertical="top"/>
    </xf>
    <xf numFmtId="38" fontId="72" fillId="0" borderId="0">
      <alignment vertical="top"/>
    </xf>
    <xf numFmtId="0" fontId="73" fillId="32" borderId="0"/>
    <xf numFmtId="0" fontId="74" fillId="33" borderId="0"/>
    <xf numFmtId="0" fontId="11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26" fillId="0" borderId="0"/>
    <xf numFmtId="183" fontId="76" fillId="0" borderId="0"/>
    <xf numFmtId="0" fontId="18" fillId="0" borderId="0"/>
    <xf numFmtId="0" fontId="77" fillId="0" borderId="0" applyNumberFormat="0" applyFill="0" applyBorder="0" applyAlignment="0" applyProtection="0">
      <alignment vertical="top"/>
      <protection locked="0"/>
    </xf>
    <xf numFmtId="193" fontId="78" fillId="0" borderId="2">
      <alignment horizontal="center" vertical="center" wrapText="1"/>
    </xf>
    <xf numFmtId="0" fontId="79" fillId="12" borderId="6" applyNumberFormat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6" fontId="20" fillId="0" borderId="0">
      <alignment vertical="top"/>
    </xf>
    <xf numFmtId="176" fontId="20" fillId="2" borderId="0">
      <alignment vertical="top"/>
    </xf>
    <xf numFmtId="38" fontId="20" fillId="2" borderId="0">
      <alignment vertical="top"/>
    </xf>
    <xf numFmtId="38" fontId="20" fillId="2" borderId="0">
      <alignment vertical="top"/>
    </xf>
    <xf numFmtId="38" fontId="20" fillId="0" borderId="0">
      <alignment vertical="top"/>
    </xf>
    <xf numFmtId="194" fontId="20" fillId="3" borderId="0">
      <alignment vertical="top"/>
    </xf>
    <xf numFmtId="38" fontId="20" fillId="0" borderId="0">
      <alignment vertical="top"/>
    </xf>
    <xf numFmtId="0" fontId="81" fillId="0" borderId="13" applyNumberFormat="0" applyFill="0" applyAlignment="0" applyProtection="0"/>
    <xf numFmtId="195" fontId="82" fillId="0" borderId="0" applyFont="0" applyFill="0" applyBorder="0" applyAlignment="0" applyProtection="0"/>
    <xf numFmtId="196" fontId="82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9" fontId="83" fillId="0" borderId="2">
      <alignment horizontal="right"/>
      <protection locked="0"/>
    </xf>
    <xf numFmtId="200" fontId="82" fillId="0" borderId="0" applyFont="0" applyFill="0" applyBorder="0" applyAlignment="0" applyProtection="0"/>
    <xf numFmtId="201" fontId="82" fillId="0" borderId="0" applyFont="0" applyFill="0" applyBorder="0" applyAlignment="0" applyProtection="0"/>
    <xf numFmtId="200" fontId="82" fillId="0" borderId="0" applyFont="0" applyFill="0" applyBorder="0" applyAlignment="0" applyProtection="0"/>
    <xf numFmtId="201" fontId="82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ill="0" applyBorder="0" applyProtection="0">
      <alignment vertical="center"/>
    </xf>
    <xf numFmtId="0" fontId="43" fillId="0" borderId="0" applyFont="0" applyFill="0" applyBorder="0" applyAlignment="0" applyProtection="0">
      <alignment horizontal="right"/>
    </xf>
    <xf numFmtId="3" fontId="26" fillId="0" borderId="14" applyFont="0" applyBorder="0">
      <alignment horizontal="center" vertical="center"/>
    </xf>
    <xf numFmtId="0" fontId="84" fillId="34" borderId="0" applyNumberFormat="0" applyBorder="0" applyAlignment="0" applyProtection="0"/>
    <xf numFmtId="0" fontId="30" fillId="0" borderId="1"/>
    <xf numFmtId="0" fontId="85" fillId="0" borderId="0" applyNumberFormat="0" applyFill="0" applyBorder="0" applyAlignment="0" applyProtection="0"/>
    <xf numFmtId="202" fontId="26" fillId="0" borderId="0"/>
    <xf numFmtId="0" fontId="85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>
      <alignment horizontal="right"/>
    </xf>
    <xf numFmtId="0" fontId="26" fillId="0" borderId="0"/>
    <xf numFmtId="0" fontId="87" fillId="0" borderId="0"/>
    <xf numFmtId="0" fontId="43" fillId="0" borderId="0" applyFill="0" applyBorder="0" applyProtection="0">
      <alignment vertical="center"/>
    </xf>
    <xf numFmtId="0" fontId="88" fillId="0" borderId="0"/>
    <xf numFmtId="0" fontId="18" fillId="0" borderId="0"/>
    <xf numFmtId="0" fontId="16" fillId="0" borderId="0"/>
    <xf numFmtId="0" fontId="14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203" fontId="26" fillId="0" borderId="0" applyFont="0" applyAlignment="0">
      <alignment horizontal="center"/>
    </xf>
    <xf numFmtId="204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0" fontId="62" fillId="0" borderId="0"/>
    <xf numFmtId="206" fontId="62" fillId="0" borderId="0" applyFont="0" applyFill="0" applyBorder="0" applyAlignment="0" applyProtection="0"/>
    <xf numFmtId="207" fontId="62" fillId="0" borderId="0" applyFont="0" applyFill="0" applyBorder="0" applyAlignment="0" applyProtection="0"/>
    <xf numFmtId="0" fontId="89" fillId="17" borderId="16" applyNumberFormat="0" applyAlignment="0" applyProtection="0"/>
    <xf numFmtId="1" fontId="90" fillId="0" borderId="0" applyProtection="0">
      <alignment horizontal="right" vertical="center"/>
    </xf>
    <xf numFmtId="49" fontId="91" fillId="0" borderId="17" applyFill="0" applyProtection="0">
      <alignment vertical="center"/>
    </xf>
    <xf numFmtId="9" fontId="18" fillId="0" borderId="0" applyFont="0" applyFill="0" applyBorder="0" applyAlignment="0" applyProtection="0"/>
    <xf numFmtId="0" fontId="43" fillId="0" borderId="0" applyFill="0" applyBorder="0" applyProtection="0">
      <alignment vertical="center"/>
    </xf>
    <xf numFmtId="37" fontId="92" fillId="4" borderId="18"/>
    <xf numFmtId="37" fontId="92" fillId="4" borderId="18"/>
    <xf numFmtId="0" fontId="93" fillId="0" borderId="0" applyNumberFormat="0">
      <alignment horizontal="left"/>
    </xf>
    <xf numFmtId="208" fontId="94" fillId="0" borderId="19" applyBorder="0">
      <alignment horizontal="right"/>
      <protection locked="0"/>
    </xf>
    <xf numFmtId="49" fontId="95" fillId="0" borderId="2" applyNumberFormat="0">
      <alignment horizontal="left" vertical="center"/>
    </xf>
    <xf numFmtId="0" fontId="96" fillId="0" borderId="20">
      <alignment vertical="center"/>
    </xf>
    <xf numFmtId="4" fontId="97" fillId="4" borderId="16" applyNumberFormat="0" applyProtection="0">
      <alignment vertical="center"/>
    </xf>
    <xf numFmtId="4" fontId="98" fillId="4" borderId="16" applyNumberFormat="0" applyProtection="0">
      <alignment vertical="center"/>
    </xf>
    <xf numFmtId="4" fontId="97" fillId="4" borderId="16" applyNumberFormat="0" applyProtection="0">
      <alignment horizontal="left" vertical="center" indent="1"/>
    </xf>
    <xf numFmtId="4" fontId="97" fillId="4" borderId="16" applyNumberFormat="0" applyProtection="0">
      <alignment horizontal="left" vertical="center" indent="1"/>
    </xf>
    <xf numFmtId="0" fontId="18" fillId="5" borderId="16" applyNumberFormat="0" applyProtection="0">
      <alignment horizontal="left" vertical="center" indent="1"/>
    </xf>
    <xf numFmtId="4" fontId="97" fillId="36" borderId="16" applyNumberFormat="0" applyProtection="0">
      <alignment horizontal="right" vertical="center"/>
    </xf>
    <xf numFmtId="4" fontId="97" fillId="37" borderId="16" applyNumberFormat="0" applyProtection="0">
      <alignment horizontal="right" vertical="center"/>
    </xf>
    <xf numFmtId="4" fontId="97" fillId="38" borderId="16" applyNumberFormat="0" applyProtection="0">
      <alignment horizontal="right" vertical="center"/>
    </xf>
    <xf numFmtId="4" fontId="97" fillId="39" borderId="16" applyNumberFormat="0" applyProtection="0">
      <alignment horizontal="right" vertical="center"/>
    </xf>
    <xf numFmtId="4" fontId="97" fillId="40" borderId="16" applyNumberFormat="0" applyProtection="0">
      <alignment horizontal="right" vertical="center"/>
    </xf>
    <xf numFmtId="4" fontId="97" fillId="41" borderId="16" applyNumberFormat="0" applyProtection="0">
      <alignment horizontal="right" vertical="center"/>
    </xf>
    <xf numFmtId="4" fontId="97" fillId="42" borderId="16" applyNumberFormat="0" applyProtection="0">
      <alignment horizontal="right" vertical="center"/>
    </xf>
    <xf numFmtId="4" fontId="97" fillId="43" borderId="16" applyNumberFormat="0" applyProtection="0">
      <alignment horizontal="right" vertical="center"/>
    </xf>
    <xf numFmtId="4" fontId="97" fillId="44" borderId="16" applyNumberFormat="0" applyProtection="0">
      <alignment horizontal="right" vertical="center"/>
    </xf>
    <xf numFmtId="4" fontId="99" fillId="45" borderId="16" applyNumberFormat="0" applyProtection="0">
      <alignment horizontal="left" vertical="center" indent="1"/>
    </xf>
    <xf numFmtId="4" fontId="97" fillId="46" borderId="21" applyNumberFormat="0" applyProtection="0">
      <alignment horizontal="left" vertical="center" indent="1"/>
    </xf>
    <xf numFmtId="4" fontId="100" fillId="47" borderId="0" applyNumberFormat="0" applyProtection="0">
      <alignment horizontal="left" vertical="center" indent="1"/>
    </xf>
    <xf numFmtId="0" fontId="18" fillId="5" borderId="16" applyNumberFormat="0" applyProtection="0">
      <alignment horizontal="left" vertical="center" indent="1"/>
    </xf>
    <xf numFmtId="4" fontId="3" fillId="46" borderId="16" applyNumberFormat="0" applyProtection="0">
      <alignment horizontal="left" vertical="center" indent="1"/>
    </xf>
    <xf numFmtId="4" fontId="3" fillId="48" borderId="16" applyNumberFormat="0" applyProtection="0">
      <alignment horizontal="left" vertical="center" indent="1"/>
    </xf>
    <xf numFmtId="0" fontId="18" fillId="48" borderId="16" applyNumberFormat="0" applyProtection="0">
      <alignment horizontal="left" vertical="center" indent="1"/>
    </xf>
    <xf numFmtId="0" fontId="18" fillId="48" borderId="16" applyNumberFormat="0" applyProtection="0">
      <alignment horizontal="left" vertical="center" indent="1"/>
    </xf>
    <xf numFmtId="0" fontId="18" fillId="49" borderId="16" applyNumberFormat="0" applyProtection="0">
      <alignment horizontal="left" vertical="center" indent="1"/>
    </xf>
    <xf numFmtId="0" fontId="18" fillId="49" borderId="16" applyNumberFormat="0" applyProtection="0">
      <alignment horizontal="left" vertical="center" indent="1"/>
    </xf>
    <xf numFmtId="0" fontId="18" fillId="2" borderId="16" applyNumberFormat="0" applyProtection="0">
      <alignment horizontal="left" vertical="center" indent="1"/>
    </xf>
    <xf numFmtId="0" fontId="18" fillId="2" borderId="16" applyNumberFormat="0" applyProtection="0">
      <alignment horizontal="left" vertical="center" indent="1"/>
    </xf>
    <xf numFmtId="0" fontId="18" fillId="5" borderId="16" applyNumberFormat="0" applyProtection="0">
      <alignment horizontal="left" vertical="center" indent="1"/>
    </xf>
    <xf numFmtId="0" fontId="18" fillId="5" borderId="16" applyNumberFormat="0" applyProtection="0">
      <alignment horizontal="left" vertical="center" indent="1"/>
    </xf>
    <xf numFmtId="0" fontId="26" fillId="0" borderId="0"/>
    <xf numFmtId="4" fontId="97" fillId="50" borderId="16" applyNumberFormat="0" applyProtection="0">
      <alignment vertical="center"/>
    </xf>
    <xf numFmtId="4" fontId="98" fillId="50" borderId="16" applyNumberFormat="0" applyProtection="0">
      <alignment vertical="center"/>
    </xf>
    <xf numFmtId="4" fontId="97" fillId="50" borderId="16" applyNumberFormat="0" applyProtection="0">
      <alignment horizontal="left" vertical="center" indent="1"/>
    </xf>
    <xf numFmtId="4" fontId="97" fillId="50" borderId="16" applyNumberFormat="0" applyProtection="0">
      <alignment horizontal="left" vertical="center" indent="1"/>
    </xf>
    <xf numFmtId="4" fontId="97" fillId="46" borderId="16" applyNumberFormat="0" applyProtection="0">
      <alignment horizontal="right" vertical="center"/>
    </xf>
    <xf numFmtId="4" fontId="98" fillId="46" borderId="16" applyNumberFormat="0" applyProtection="0">
      <alignment horizontal="right" vertical="center"/>
    </xf>
    <xf numFmtId="0" fontId="18" fillId="5" borderId="16" applyNumberFormat="0" applyProtection="0">
      <alignment horizontal="left" vertical="center" indent="1"/>
    </xf>
    <xf numFmtId="0" fontId="18" fillId="5" borderId="16" applyNumberFormat="0" applyProtection="0">
      <alignment horizontal="left" vertical="center" indent="1"/>
    </xf>
    <xf numFmtId="0" fontId="101" fillId="0" borderId="0"/>
    <xf numFmtId="4" fontId="102" fillId="46" borderId="16" applyNumberFormat="0" applyProtection="0">
      <alignment horizontal="right" vertical="center"/>
    </xf>
    <xf numFmtId="0" fontId="103" fillId="0" borderId="0">
      <alignment horizontal="left" vertical="center" wrapText="1"/>
    </xf>
    <xf numFmtId="209" fontId="104" fillId="0" borderId="2">
      <alignment horizontal="left" vertical="center"/>
      <protection locked="0"/>
    </xf>
    <xf numFmtId="0" fontId="18" fillId="0" borderId="0"/>
    <xf numFmtId="0" fontId="16" fillId="0" borderId="0"/>
    <xf numFmtId="2" fontId="105" fillId="51" borderId="22" applyProtection="0"/>
    <xf numFmtId="2" fontId="105" fillId="51" borderId="22" applyProtection="0"/>
    <xf numFmtId="2" fontId="106" fillId="0" borderId="0" applyFill="0" applyBorder="0" applyProtection="0"/>
    <xf numFmtId="2" fontId="23" fillId="0" borderId="0" applyFill="0" applyBorder="0" applyProtection="0"/>
    <xf numFmtId="2" fontId="23" fillId="52" borderId="22" applyProtection="0"/>
    <xf numFmtId="2" fontId="23" fillId="53" borderId="22" applyProtection="0"/>
    <xf numFmtId="2" fontId="23" fillId="54" borderId="22" applyProtection="0"/>
    <xf numFmtId="2" fontId="23" fillId="54" borderId="22" applyProtection="0">
      <alignment horizontal="center"/>
    </xf>
    <xf numFmtId="2" fontId="23" fillId="53" borderId="22" applyProtection="0">
      <alignment horizontal="center"/>
    </xf>
    <xf numFmtId="0" fontId="107" fillId="0" borderId="0" applyBorder="0" applyProtection="0">
      <alignment vertical="center"/>
    </xf>
    <xf numFmtId="0" fontId="107" fillId="0" borderId="17" applyBorder="0" applyProtection="0">
      <alignment horizontal="right" vertical="center"/>
    </xf>
    <xf numFmtId="0" fontId="108" fillId="55" borderId="0" applyBorder="0" applyProtection="0">
      <alignment horizontal="centerContinuous" vertical="center"/>
    </xf>
    <xf numFmtId="0" fontId="108" fillId="56" borderId="17" applyBorder="0" applyProtection="0">
      <alignment horizontal="centerContinuous" vertical="center"/>
    </xf>
    <xf numFmtId="0" fontId="109" fillId="0" borderId="0"/>
    <xf numFmtId="176" fontId="110" fillId="57" borderId="0">
      <alignment horizontal="right" vertical="top"/>
    </xf>
    <xf numFmtId="38" fontId="110" fillId="57" borderId="0">
      <alignment horizontal="right" vertical="top"/>
    </xf>
    <xf numFmtId="38" fontId="110" fillId="57" borderId="0">
      <alignment horizontal="right" vertical="top"/>
    </xf>
    <xf numFmtId="0" fontId="88" fillId="0" borderId="0"/>
    <xf numFmtId="0" fontId="111" fillId="0" borderId="0" applyFill="0" applyBorder="0" applyProtection="0">
      <alignment horizontal="left"/>
    </xf>
    <xf numFmtId="0" fontId="60" fillId="0" borderId="23" applyFill="0" applyBorder="0" applyProtection="0">
      <alignment horizontal="left" vertical="top"/>
    </xf>
    <xf numFmtId="0" fontId="112" fillId="0" borderId="0">
      <alignment horizontal="centerContinuous"/>
    </xf>
    <xf numFmtId="4" fontId="31" fillId="58" borderId="0">
      <alignment horizontal="right"/>
    </xf>
    <xf numFmtId="4" fontId="31" fillId="58" borderId="0">
      <alignment horizontal="right"/>
    </xf>
    <xf numFmtId="0" fontId="113" fillId="0" borderId="23" applyFill="0" applyBorder="0" applyProtection="0"/>
    <xf numFmtId="0" fontId="113" fillId="0" borderId="0"/>
    <xf numFmtId="0" fontId="114" fillId="0" borderId="0" applyFill="0" applyBorder="0" applyProtection="0"/>
    <xf numFmtId="0" fontId="115" fillId="0" borderId="0"/>
    <xf numFmtId="0" fontId="116" fillId="0" borderId="0" applyNumberFormat="0" applyFill="0" applyBorder="0" applyAlignment="0" applyProtection="0"/>
    <xf numFmtId="0" fontId="117" fillId="59" borderId="24" applyNumberFormat="0">
      <alignment horizontal="center" vertical="center"/>
    </xf>
    <xf numFmtId="49" fontId="118" fillId="49" borderId="25" applyNumberFormat="0">
      <alignment horizontal="center" vertical="center"/>
    </xf>
    <xf numFmtId="0" fontId="44" fillId="0" borderId="26" applyNumberFormat="0" applyFont="0" applyFill="0" applyAlignment="0" applyProtection="0"/>
    <xf numFmtId="0" fontId="44" fillId="0" borderId="26" applyNumberFormat="0" applyFont="0" applyFill="0" applyAlignment="0" applyProtection="0"/>
    <xf numFmtId="0" fontId="119" fillId="0" borderId="10" applyFill="0" applyBorder="0" applyProtection="0">
      <alignment vertical="center"/>
    </xf>
    <xf numFmtId="0" fontId="120" fillId="0" borderId="0">
      <alignment horizontal="fill"/>
    </xf>
    <xf numFmtId="0" fontId="62" fillId="0" borderId="0"/>
    <xf numFmtId="0" fontId="121" fillId="0" borderId="0" applyNumberFormat="0" applyFill="0" applyBorder="0" applyAlignment="0" applyProtection="0"/>
    <xf numFmtId="0" fontId="122" fillId="0" borderId="17" applyBorder="0" applyProtection="0">
      <alignment horizontal="right"/>
    </xf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4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4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4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4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4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4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183" fontId="24" fillId="0" borderId="8">
      <protection locked="0"/>
    </xf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123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123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123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123" fillId="12" borderId="6" applyNumberFormat="0" applyAlignment="0" applyProtection="0"/>
    <xf numFmtId="0" fontId="79" fillId="12" borderId="6" applyNumberFormat="0" applyAlignment="0" applyProtection="0"/>
    <xf numFmtId="0" fontId="123" fillId="12" borderId="6" applyNumberFormat="0" applyAlignment="0" applyProtection="0"/>
    <xf numFmtId="0" fontId="79" fillId="12" borderId="6" applyNumberFormat="0" applyAlignment="0" applyProtection="0"/>
    <xf numFmtId="0" fontId="123" fillId="12" borderId="6" applyNumberFormat="0" applyAlignment="0" applyProtection="0"/>
    <xf numFmtId="0" fontId="79" fillId="12" borderId="6" applyNumberFormat="0" applyAlignment="0" applyProtection="0"/>
    <xf numFmtId="0" fontId="123" fillId="12" borderId="6" applyNumberFormat="0" applyAlignment="0" applyProtection="0"/>
    <xf numFmtId="0" fontId="79" fillId="12" borderId="6" applyNumberFormat="0" applyAlignment="0" applyProtection="0"/>
    <xf numFmtId="0" fontId="123" fillId="12" borderId="6" applyNumberFormat="0" applyAlignment="0" applyProtection="0"/>
    <xf numFmtId="0" fontId="79" fillId="12" borderId="6" applyNumberFormat="0" applyAlignment="0" applyProtection="0"/>
    <xf numFmtId="0" fontId="123" fillId="12" borderId="6" applyNumberFormat="0" applyAlignment="0" applyProtection="0"/>
    <xf numFmtId="0" fontId="79" fillId="12" borderId="6" applyNumberFormat="0" applyAlignment="0" applyProtection="0"/>
    <xf numFmtId="0" fontId="123" fillId="12" borderId="6" applyNumberFormat="0" applyAlignment="0" applyProtection="0"/>
    <xf numFmtId="0" fontId="79" fillId="12" borderId="6" applyNumberFormat="0" applyAlignment="0" applyProtection="0"/>
    <xf numFmtId="0" fontId="123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0" fontId="79" fillId="12" borderId="6" applyNumberFormat="0" applyAlignment="0" applyProtection="0"/>
    <xf numFmtId="3" fontId="124" fillId="0" borderId="0">
      <alignment horizontal="center" vertical="center" textRotation="90" wrapText="1"/>
    </xf>
    <xf numFmtId="210" fontId="24" fillId="0" borderId="2">
      <alignment vertical="top" wrapText="1"/>
    </xf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125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125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125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125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125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125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89" fillId="17" borderId="1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126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126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126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126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126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126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49" fontId="128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211" fontId="131" fillId="0" borderId="2">
      <alignment vertical="top" wrapText="1"/>
    </xf>
    <xf numFmtId="4" fontId="132" fillId="0" borderId="2">
      <alignment horizontal="left" vertical="center"/>
    </xf>
    <xf numFmtId="4" fontId="132" fillId="0" borderId="2"/>
    <xf numFmtId="4" fontId="132" fillId="60" borderId="2"/>
    <xf numFmtId="4" fontId="132" fillId="61" borderId="2"/>
    <xf numFmtId="4" fontId="133" fillId="62" borderId="2"/>
    <xf numFmtId="4" fontId="134" fillId="2" borderId="2"/>
    <xf numFmtId="4" fontId="135" fillId="0" borderId="2">
      <alignment horizontal="center" wrapText="1"/>
    </xf>
    <xf numFmtId="211" fontId="132" fillId="0" borderId="2"/>
    <xf numFmtId="211" fontId="131" fillId="0" borderId="2">
      <alignment horizontal="center" vertical="center" wrapText="1"/>
    </xf>
    <xf numFmtId="211" fontId="131" fillId="0" borderId="2">
      <alignment vertical="top" wrapText="1"/>
    </xf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212" fontId="18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18" fillId="0" borderId="0"/>
    <xf numFmtId="0" fontId="18" fillId="0" borderId="0"/>
    <xf numFmtId="0" fontId="136" fillId="0" borderId="0" applyBorder="0">
      <alignment horizontal="center" vertical="center" wrapText="1"/>
    </xf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8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8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8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8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8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8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7" fillId="0" borderId="27" applyNumberFormat="0" applyFill="0" applyAlignment="0" applyProtection="0"/>
    <xf numFmtId="0" fontId="139" fillId="0" borderId="28" applyNumberFormat="0" applyFill="0" applyAlignment="0" applyProtection="0"/>
    <xf numFmtId="0" fontId="7" fillId="0" borderId="3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40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40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40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40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40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40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139" fillId="0" borderId="28" applyNumberFormat="0" applyFill="0" applyAlignment="0" applyProtection="0"/>
    <xf numFmtId="0" fontId="70" fillId="0" borderId="12" applyNumberFormat="0" applyFill="0" applyAlignment="0" applyProtection="0"/>
    <xf numFmtId="0" fontId="8" fillId="0" borderId="4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41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41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41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41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41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41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36" fillId="0" borderId="0" applyBorder="0">
      <alignment horizontal="center" vertical="center" wrapText="1"/>
    </xf>
    <xf numFmtId="209" fontId="142" fillId="0" borderId="0" applyProtection="0">
      <alignment horizontal="center"/>
    </xf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3" fillId="0" borderId="29" applyBorder="0">
      <alignment horizontal="center" vertical="center" wrapText="1"/>
    </xf>
    <xf numFmtId="183" fontId="45" fillId="28" borderId="8"/>
    <xf numFmtId="4" fontId="14" fillId="4" borderId="2" applyBorder="0">
      <alignment horizontal="right"/>
    </xf>
    <xf numFmtId="49" fontId="145" fillId="0" borderId="0" applyBorder="0">
      <alignment vertical="center"/>
    </xf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7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7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7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7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7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7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3" fontId="45" fillId="0" borderId="2" applyBorder="0">
      <alignment vertical="center"/>
    </xf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148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148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148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148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148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148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41" fillId="27" borderId="9" applyNumberFormat="0" applyAlignment="0" applyProtection="0"/>
    <xf numFmtId="0" fontId="26" fillId="0" borderId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0" fontId="85" fillId="3" borderId="0" applyFill="0">
      <alignment wrapText="1"/>
    </xf>
    <xf numFmtId="173" fontId="85" fillId="3" borderId="0" applyFill="0">
      <alignment wrapText="1"/>
    </xf>
    <xf numFmtId="0" fontId="144" fillId="0" borderId="0">
      <alignment horizontal="center" vertical="top" wrapText="1"/>
    </xf>
    <xf numFmtId="0" fontId="149" fillId="0" borderId="0">
      <alignment horizontal="center" vertical="center" wrapText="1"/>
    </xf>
    <xf numFmtId="0" fontId="149" fillId="0" borderId="0">
      <alignment horizontal="center" vertical="center" wrapText="1"/>
    </xf>
    <xf numFmtId="173" fontId="144" fillId="0" borderId="0">
      <alignment horizontal="center" vertical="top" wrapText="1"/>
    </xf>
    <xf numFmtId="168" fontId="150" fillId="3" borderId="2">
      <alignment wrapText="1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164" fontId="151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152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152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152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152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152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152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49" fontId="124" fillId="0" borderId="2">
      <alignment horizontal="right" vertical="top" wrapText="1"/>
    </xf>
    <xf numFmtId="170" fontId="153" fillId="0" borderId="0">
      <alignment horizontal="right" vertical="top" wrapText="1"/>
    </xf>
    <xf numFmtId="0" fontId="6" fillId="0" borderId="0"/>
    <xf numFmtId="0" fontId="1" fillId="0" borderId="0"/>
    <xf numFmtId="0" fontId="1" fillId="0" borderId="0"/>
    <xf numFmtId="49" fontId="14" fillId="0" borderId="0" applyBorder="0">
      <alignment vertical="top"/>
    </xf>
    <xf numFmtId="0" fontId="6" fillId="0" borderId="0"/>
    <xf numFmtId="0" fontId="6" fillId="0" borderId="0"/>
    <xf numFmtId="0" fontId="154" fillId="0" borderId="0"/>
    <xf numFmtId="0" fontId="18" fillId="0" borderId="0"/>
    <xf numFmtId="0" fontId="18" fillId="0" borderId="0"/>
    <xf numFmtId="0" fontId="1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1" fillId="0" borderId="0"/>
    <xf numFmtId="0" fontId="6" fillId="0" borderId="0"/>
    <xf numFmtId="0" fontId="156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9" fontId="14" fillId="0" borderId="0" applyBorder="0">
      <alignment vertical="top"/>
    </xf>
    <xf numFmtId="0" fontId="31" fillId="0" borderId="0"/>
    <xf numFmtId="0" fontId="31" fillId="0" borderId="0"/>
    <xf numFmtId="49" fontId="14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55" fillId="0" borderId="0"/>
    <xf numFmtId="0" fontId="26" fillId="0" borderId="0"/>
    <xf numFmtId="0" fontId="19" fillId="0" borderId="0">
      <alignment horizontal="left"/>
    </xf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7" fillId="44" borderId="0" applyNumberFormat="0" applyBorder="0" applyAlignment="0">
      <alignment horizontal="left" vertical="center"/>
    </xf>
    <xf numFmtId="0" fontId="26" fillId="0" borderId="0"/>
    <xf numFmtId="0" fontId="158" fillId="0" borderId="0"/>
    <xf numFmtId="0" fontId="26" fillId="0" borderId="0"/>
    <xf numFmtId="0" fontId="18" fillId="0" borderId="0"/>
    <xf numFmtId="0" fontId="26" fillId="0" borderId="0"/>
    <xf numFmtId="0" fontId="155" fillId="0" borderId="0"/>
    <xf numFmtId="0" fontId="155" fillId="0" borderId="0"/>
    <xf numFmtId="49" fontId="14" fillId="0" borderId="0" applyBorder="0">
      <alignment vertical="top"/>
    </xf>
    <xf numFmtId="0" fontId="155" fillId="0" borderId="0"/>
    <xf numFmtId="0" fontId="26" fillId="0" borderId="0"/>
    <xf numFmtId="0" fontId="18" fillId="0" borderId="0" applyNumberFormat="0" applyFont="0" applyFill="0" applyBorder="0" applyAlignment="0" applyProtection="0">
      <alignment vertical="top"/>
    </xf>
    <xf numFmtId="0" fontId="158" fillId="0" borderId="0"/>
    <xf numFmtId="0" fontId="18" fillId="0" borderId="0"/>
    <xf numFmtId="0" fontId="31" fillId="0" borderId="0"/>
    <xf numFmtId="0" fontId="31" fillId="0" borderId="0"/>
    <xf numFmtId="0" fontId="26" fillId="0" borderId="0"/>
    <xf numFmtId="0" fontId="157" fillId="44" borderId="0" applyNumberFormat="0" applyBorder="0" applyAlignment="0">
      <alignment horizontal="left" vertical="center"/>
    </xf>
    <xf numFmtId="0" fontId="157" fillId="44" borderId="0" applyNumberFormat="0" applyBorder="0" applyAlignment="0">
      <alignment horizontal="left" vertical="center"/>
    </xf>
    <xf numFmtId="0" fontId="159" fillId="0" borderId="0"/>
    <xf numFmtId="0" fontId="24" fillId="0" borderId="0"/>
    <xf numFmtId="0" fontId="26" fillId="0" borderId="0"/>
    <xf numFmtId="0" fontId="158" fillId="0" borderId="0"/>
    <xf numFmtId="0" fontId="31" fillId="0" borderId="0"/>
    <xf numFmtId="0" fontId="31" fillId="0" borderId="0"/>
    <xf numFmtId="0" fontId="26" fillId="0" borderId="0"/>
    <xf numFmtId="0" fontId="1" fillId="0" borderId="0"/>
    <xf numFmtId="0" fontId="1" fillId="0" borderId="0"/>
    <xf numFmtId="0" fontId="158" fillId="0" borderId="0"/>
    <xf numFmtId="0" fontId="31" fillId="0" borderId="0"/>
    <xf numFmtId="0" fontId="26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31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1" fillId="0" borderId="0"/>
    <xf numFmtId="0" fontId="1" fillId="0" borderId="0"/>
    <xf numFmtId="0" fontId="31" fillId="0" borderId="0"/>
    <xf numFmtId="0" fontId="26" fillId="0" borderId="0"/>
    <xf numFmtId="0" fontId="18" fillId="0" borderId="0"/>
    <xf numFmtId="0" fontId="26" fillId="0" borderId="0"/>
    <xf numFmtId="0" fontId="18" fillId="0" borderId="0"/>
    <xf numFmtId="0" fontId="26" fillId="0" borderId="0"/>
    <xf numFmtId="0" fontId="6" fillId="0" borderId="0">
      <alignment wrapText="1"/>
    </xf>
    <xf numFmtId="0" fontId="26" fillId="0" borderId="0"/>
    <xf numFmtId="0" fontId="6" fillId="0" borderId="0">
      <alignment wrapText="1"/>
    </xf>
    <xf numFmtId="0" fontId="6" fillId="0" borderId="0">
      <alignment wrapText="1"/>
    </xf>
    <xf numFmtId="0" fontId="26" fillId="0" borderId="0"/>
    <xf numFmtId="0" fontId="6" fillId="0" borderId="0">
      <alignment wrapText="1"/>
    </xf>
    <xf numFmtId="0" fontId="6" fillId="0" borderId="0">
      <alignment wrapText="1"/>
    </xf>
    <xf numFmtId="0" fontId="26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26" fillId="0" borderId="0"/>
    <xf numFmtId="0" fontId="18" fillId="0" borderId="0"/>
    <xf numFmtId="0" fontId="26" fillId="0" borderId="0"/>
    <xf numFmtId="0" fontId="18" fillId="0" borderId="0"/>
    <xf numFmtId="0" fontId="26" fillId="0" borderId="0"/>
    <xf numFmtId="0" fontId="26" fillId="0" borderId="0"/>
    <xf numFmtId="49" fontId="14" fillId="44" borderId="0" applyBorder="0">
      <alignment vertical="top"/>
    </xf>
    <xf numFmtId="0" fontId="18" fillId="0" borderId="0"/>
    <xf numFmtId="0" fontId="26" fillId="0" borderId="0"/>
    <xf numFmtId="0" fontId="31" fillId="0" borderId="0"/>
    <xf numFmtId="0" fontId="31" fillId="0" borderId="0"/>
    <xf numFmtId="0" fontId="26" fillId="0" borderId="0"/>
    <xf numFmtId="0" fontId="18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59" fillId="0" borderId="0"/>
    <xf numFmtId="0" fontId="18" fillId="0" borderId="0"/>
    <xf numFmtId="0" fontId="26" fillId="0" borderId="0"/>
    <xf numFmtId="0" fontId="26" fillId="0" borderId="0"/>
    <xf numFmtId="0" fontId="160" fillId="0" borderId="0"/>
    <xf numFmtId="0" fontId="1" fillId="0" borderId="0"/>
    <xf numFmtId="0" fontId="1" fillId="0" borderId="0"/>
    <xf numFmtId="0" fontId="26" fillId="0" borderId="0"/>
    <xf numFmtId="213" fontId="5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213" fontId="58" fillId="0" borderId="0"/>
    <xf numFmtId="0" fontId="31" fillId="0" borderId="0"/>
    <xf numFmtId="0" fontId="26" fillId="0" borderId="0"/>
    <xf numFmtId="0" fontId="18" fillId="0" borderId="0"/>
    <xf numFmtId="0" fontId="26" fillId="0" borderId="0"/>
    <xf numFmtId="0" fontId="18" fillId="0" borderId="0"/>
    <xf numFmtId="0" fontId="2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26" fillId="0" borderId="0"/>
    <xf numFmtId="0" fontId="6" fillId="0" borderId="0"/>
    <xf numFmtId="0" fontId="26" fillId="0" borderId="0"/>
    <xf numFmtId="0" fontId="26" fillId="0" borderId="0"/>
    <xf numFmtId="0" fontId="6" fillId="0" borderId="0"/>
    <xf numFmtId="0" fontId="2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3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9" fontId="14" fillId="0" borderId="0" applyBorder="0">
      <alignment vertical="top"/>
    </xf>
    <xf numFmtId="0" fontId="6" fillId="0" borderId="0"/>
    <xf numFmtId="0" fontId="15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1" fontId="161" fillId="0" borderId="2">
      <alignment horizontal="left" vertical="center"/>
    </xf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62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62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62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62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62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62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26" fillId="0" borderId="0" applyFont="0" applyFill="0" applyBorder="0" applyProtection="0">
      <alignment horizontal="center" vertical="center" wrapText="1"/>
    </xf>
    <xf numFmtId="0" fontId="26" fillId="0" borderId="0" applyNumberFormat="0" applyFont="0" applyFill="0" applyBorder="0" applyProtection="0">
      <alignment horizontal="justify" vertical="center" wrapText="1"/>
    </xf>
    <xf numFmtId="211" fontId="142" fillId="0" borderId="2">
      <alignment vertical="top"/>
    </xf>
    <xf numFmtId="170" fontId="163" fillId="4" borderId="18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26" fillId="35" borderId="15" applyNumberFormat="0" applyFont="0" applyAlignment="0" applyProtection="0"/>
    <xf numFmtId="0" fontId="31" fillId="35" borderId="15" applyNumberFormat="0" applyFont="0" applyAlignment="0" applyProtection="0"/>
    <xf numFmtId="0" fontId="31" fillId="35" borderId="15" applyNumberFormat="0" applyFont="0" applyAlignment="0" applyProtection="0"/>
    <xf numFmtId="0" fontId="31" fillId="35" borderId="15" applyNumberFormat="0" applyFont="0" applyAlignment="0" applyProtection="0"/>
    <xf numFmtId="0" fontId="31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2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32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32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49" fontId="133" fillId="0" borderId="5">
      <alignment horizontal="left"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24" fillId="0" borderId="0" applyFill="0" applyBorder="0" applyAlignment="0" applyProtection="0"/>
    <xf numFmtId="9" fontId="6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214" fontId="165" fillId="0" borderId="2"/>
    <xf numFmtId="0" fontId="26" fillId="0" borderId="2" applyNumberFormat="0" applyFont="0" applyFill="0" applyAlignment="0" applyProtection="0"/>
    <xf numFmtId="3" fontId="166" fillId="63" borderId="5">
      <alignment horizontal="justify" vertical="center"/>
    </xf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167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167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167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167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167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167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16" fillId="0" borderId="0"/>
    <xf numFmtId="176" fontId="19" fillId="0" borderId="0">
      <alignment vertical="top"/>
    </xf>
    <xf numFmtId="38" fontId="19" fillId="0" borderId="0">
      <alignment vertical="top"/>
    </xf>
    <xf numFmtId="0" fontId="17" fillId="0" borderId="0"/>
    <xf numFmtId="38" fontId="19" fillId="0" borderId="0">
      <alignment vertical="top"/>
    </xf>
    <xf numFmtId="0" fontId="16" fillId="0" borderId="0"/>
    <xf numFmtId="176" fontId="19" fillId="0" borderId="0">
      <alignment vertical="top"/>
    </xf>
    <xf numFmtId="49" fontId="153" fillId="0" borderId="0"/>
    <xf numFmtId="49" fontId="168" fillId="0" borderId="0">
      <alignment vertical="top"/>
    </xf>
    <xf numFmtId="3" fontId="169" fillId="0" borderId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38" fontId="25" fillId="0" borderId="0" applyFont="0" applyFill="0" applyBorder="0" applyAlignment="0" applyProtection="0"/>
    <xf numFmtId="3" fontId="171" fillId="0" borderId="5" applyFont="0" applyBorder="0">
      <alignment horizontal="right"/>
      <protection locked="0"/>
    </xf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15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58" fillId="0" borderId="0" applyFont="0" applyFill="0" applyBorder="0" applyAlignment="0" applyProtection="0"/>
    <xf numFmtId="216" fontId="1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58" fillId="0" borderId="0" applyFont="0" applyFill="0" applyBorder="0" applyAlignment="0" applyProtection="0"/>
    <xf numFmtId="21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216" fontId="18" fillId="0" borderId="0" applyFont="0" applyFill="0" applyBorder="0" applyAlignment="0" applyProtection="0"/>
    <xf numFmtId="167" fontId="31" fillId="0" borderId="0" applyFont="0" applyFill="0" applyBorder="0" applyAlignment="0" applyProtection="0"/>
    <xf numFmtId="217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216" fontId="1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218" fontId="26" fillId="0" borderId="0" applyFont="0" applyFill="0" applyBorder="0" applyAlignment="0" applyProtection="0"/>
    <xf numFmtId="4" fontId="14" fillId="3" borderId="0" applyFont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Font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31" applyBorder="0">
      <alignment horizontal="right"/>
    </xf>
    <xf numFmtId="4" fontId="14" fillId="3" borderId="31" applyBorder="0">
      <alignment horizontal="right"/>
    </xf>
    <xf numFmtId="4" fontId="14" fillId="64" borderId="32" applyBorder="0">
      <alignment horizontal="right"/>
    </xf>
    <xf numFmtId="4" fontId="14" fillId="64" borderId="32" applyBorder="0">
      <alignment horizontal="right"/>
    </xf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169" fontId="24" fillId="0" borderId="5">
      <alignment vertical="top" wrapText="1"/>
    </xf>
    <xf numFmtId="188" fontId="26" fillId="0" borderId="2" applyFont="0" applyFill="0" applyBorder="0" applyProtection="0">
      <alignment horizontal="center" vertical="center"/>
    </xf>
    <xf numFmtId="3" fontId="26" fillId="0" borderId="0" applyFont="0" applyBorder="0">
      <alignment horizontal="center"/>
    </xf>
    <xf numFmtId="166" fontId="27" fillId="0" borderId="0">
      <protection locked="0"/>
    </xf>
    <xf numFmtId="49" fontId="131" fillId="0" borderId="2">
      <alignment horizontal="center" vertical="center" wrapText="1"/>
    </xf>
    <xf numFmtId="0" fontId="24" fillId="0" borderId="2" applyBorder="0">
      <alignment horizontal="center" vertical="center" wrapText="1"/>
    </xf>
    <xf numFmtId="49" fontId="131" fillId="0" borderId="2">
      <alignment horizontal="center" vertical="center" wrapText="1"/>
    </xf>
    <xf numFmtId="49" fontId="103" fillId="0" borderId="2" applyNumberFormat="0" applyFill="0" applyAlignment="0" applyProtection="0"/>
    <xf numFmtId="168" fontId="26" fillId="0" borderId="0"/>
    <xf numFmtId="0" fontId="79" fillId="12" borderId="6" applyNumberFormat="0" applyAlignment="0" applyProtection="0"/>
    <xf numFmtId="0" fontId="18" fillId="0" borderId="0"/>
    <xf numFmtId="0" fontId="173" fillId="0" borderId="0"/>
    <xf numFmtId="0" fontId="173" fillId="35" borderId="15" applyNumberFormat="0" applyFont="0" applyAlignment="0" applyProtection="0"/>
    <xf numFmtId="0" fontId="173" fillId="0" borderId="0"/>
    <xf numFmtId="0" fontId="173" fillId="35" borderId="15" applyNumberFormat="0" applyFont="0" applyAlignment="0" applyProtection="0"/>
    <xf numFmtId="0" fontId="173" fillId="35" borderId="15" applyNumberFormat="0" applyFont="0" applyAlignment="0" applyProtection="0"/>
    <xf numFmtId="0" fontId="173" fillId="35" borderId="15" applyNumberFormat="0" applyFont="0" applyAlignment="0" applyProtection="0"/>
    <xf numFmtId="0" fontId="173" fillId="35" borderId="15" applyNumberFormat="0" applyFont="0" applyAlignment="0" applyProtection="0"/>
    <xf numFmtId="0" fontId="173" fillId="0" borderId="0"/>
    <xf numFmtId="0" fontId="173" fillId="0" borderId="0"/>
    <xf numFmtId="0" fontId="1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18" borderId="0" applyNumberFormat="0" applyBorder="0" applyAlignment="0" applyProtection="0"/>
    <xf numFmtId="0" fontId="31" fillId="16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43" fontId="1" fillId="0" borderId="0" applyFont="0" applyFill="0" applyBorder="0" applyAlignment="0" applyProtection="0"/>
    <xf numFmtId="0" fontId="33" fillId="18" borderId="0" applyNumberFormat="0" applyBorder="0" applyAlignment="0" applyProtection="0"/>
    <xf numFmtId="0" fontId="31" fillId="16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43" fontId="1" fillId="0" borderId="0" applyFont="0" applyFill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2" borderId="0" applyNumberFormat="0" applyBorder="0" applyAlignment="0" applyProtection="0"/>
    <xf numFmtId="0" fontId="31" fillId="17" borderId="0" applyNumberFormat="0" applyBorder="0" applyAlignment="0" applyProtection="0"/>
    <xf numFmtId="0" fontId="33" fillId="20" borderId="0" applyNumberFormat="0" applyBorder="0" applyAlignment="0" applyProtection="0"/>
    <xf numFmtId="0" fontId="31" fillId="12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6" borderId="0" applyNumberFormat="0" applyBorder="0" applyAlignment="0" applyProtection="0"/>
    <xf numFmtId="0" fontId="33" fillId="18" borderId="0" applyNumberFormat="0" applyBorder="0" applyAlignment="0" applyProtection="0"/>
    <xf numFmtId="9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154" fillId="0" borderId="0"/>
    <xf numFmtId="0" fontId="18" fillId="0" borderId="0"/>
    <xf numFmtId="0" fontId="2" fillId="0" borderId="0"/>
    <xf numFmtId="0" fontId="26" fillId="0" borderId="0"/>
    <xf numFmtId="0" fontId="26" fillId="0" borderId="0"/>
    <xf numFmtId="0" fontId="1" fillId="0" borderId="0"/>
    <xf numFmtId="0" fontId="159" fillId="0" borderId="0"/>
    <xf numFmtId="0" fontId="160" fillId="0" borderId="0"/>
    <xf numFmtId="0" fontId="1" fillId="0" borderId="0"/>
    <xf numFmtId="0" fontId="26" fillId="0" borderId="0"/>
    <xf numFmtId="0" fontId="18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154" fillId="0" borderId="0"/>
    <xf numFmtId="0" fontId="26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0" fontId="18" fillId="35" borderId="15" applyNumberFormat="0" applyFont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81" fillId="0" borderId="13" applyNumberFormat="0" applyFill="0" applyAlignment="0" applyProtection="0"/>
    <xf numFmtId="0" fontId="167" fillId="0" borderId="13" applyNumberFormat="0" applyFill="0" applyAlignment="0" applyProtection="0"/>
    <xf numFmtId="0" fontId="81" fillId="0" borderId="13" applyNumberFormat="0" applyFill="0" applyAlignment="0" applyProtection="0"/>
    <xf numFmtId="0" fontId="167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0" fontId="81" fillId="0" borderId="13" applyNumberFormat="0" applyFill="0" applyAlignment="0" applyProtection="0"/>
    <xf numFmtId="38" fontId="19" fillId="0" borderId="0">
      <alignment vertical="top"/>
    </xf>
    <xf numFmtId="0" fontId="17" fillId="0" borderId="0"/>
    <xf numFmtId="176" fontId="19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9" fontId="153" fillId="0" borderId="0"/>
    <xf numFmtId="49" fontId="168" fillId="0" borderId="0">
      <alignment vertical="top"/>
    </xf>
    <xf numFmtId="3" fontId="169" fillId="0" borderId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49" fontId="85" fillId="0" borderId="0">
      <alignment horizontal="center"/>
    </xf>
    <xf numFmtId="3" fontId="171" fillId="0" borderId="5" applyFont="0" applyBorder="0">
      <alignment horizontal="right"/>
      <protection locked="0"/>
    </xf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15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58" fillId="0" borderId="0" applyFont="0" applyFill="0" applyBorder="0" applyAlignment="0" applyProtection="0"/>
    <xf numFmtId="216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58" fillId="0" borderId="0" applyFont="0" applyFill="0" applyBorder="0" applyAlignment="0" applyProtection="0"/>
    <xf numFmtId="21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216" fontId="1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217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216" fontId="18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1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1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0" borderId="0"/>
    <xf numFmtId="167" fontId="26" fillId="0" borderId="0" applyFont="0" applyFill="0" applyBorder="0" applyAlignment="0" applyProtection="0"/>
    <xf numFmtId="0" fontId="31" fillId="0" borderId="0"/>
    <xf numFmtId="167" fontId="26" fillId="0" borderId="0" applyFont="0" applyFill="0" applyBorder="0" applyAlignment="0" applyProtection="0"/>
    <xf numFmtId="0" fontId="31" fillId="0" borderId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Font="0" applyBorder="0">
      <alignment horizontal="right"/>
    </xf>
    <xf numFmtId="4" fontId="14" fillId="3" borderId="0" applyFont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31" applyBorder="0">
      <alignment horizontal="right"/>
    </xf>
    <xf numFmtId="4" fontId="14" fillId="3" borderId="31" applyBorder="0">
      <alignment horizontal="right"/>
    </xf>
    <xf numFmtId="4" fontId="14" fillId="64" borderId="32" applyBorder="0">
      <alignment horizontal="right"/>
    </xf>
    <xf numFmtId="4" fontId="14" fillId="64" borderId="32" applyBorder="0">
      <alignment horizontal="right"/>
    </xf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172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188" fontId="26" fillId="0" borderId="2" applyFont="0" applyFill="0" applyBorder="0" applyProtection="0">
      <alignment horizontal="center" vertical="center"/>
    </xf>
    <xf numFmtId="3" fontId="26" fillId="0" borderId="0" applyFont="0" applyBorder="0">
      <alignment horizontal="center"/>
    </xf>
    <xf numFmtId="166" fontId="27" fillId="0" borderId="0">
      <protection locked="0"/>
    </xf>
    <xf numFmtId="49" fontId="131" fillId="0" borderId="2">
      <alignment horizontal="center" vertical="center" wrapText="1"/>
    </xf>
    <xf numFmtId="0" fontId="24" fillId="0" borderId="2" applyBorder="0">
      <alignment horizontal="center" vertical="center" wrapText="1"/>
    </xf>
    <xf numFmtId="49" fontId="103" fillId="0" borderId="2" applyNumberFormat="0" applyFill="0" applyAlignment="0" applyProtection="0"/>
    <xf numFmtId="0" fontId="79" fillId="12" borderId="6" applyNumberFormat="0" applyAlignment="0" applyProtection="0"/>
    <xf numFmtId="0" fontId="18" fillId="0" borderId="0"/>
    <xf numFmtId="0" fontId="18" fillId="0" borderId="0"/>
    <xf numFmtId="0" fontId="18" fillId="0" borderId="0"/>
  </cellStyleXfs>
  <cellXfs count="118">
    <xf numFmtId="0" fontId="0" fillId="0" borderId="0" xfId="0"/>
    <xf numFmtId="0" fontId="10" fillId="0" borderId="0" xfId="0" applyFont="1" applyFill="1"/>
    <xf numFmtId="49" fontId="10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171" fontId="0" fillId="0" borderId="0" xfId="0" applyNumberFormat="1" applyFill="1"/>
    <xf numFmtId="0" fontId="0" fillId="0" borderId="1" xfId="0" applyFill="1" applyBorder="1"/>
    <xf numFmtId="167" fontId="0" fillId="0" borderId="0" xfId="1" applyFont="1" applyFill="1"/>
    <xf numFmtId="167" fontId="0" fillId="0" borderId="0" xfId="0" applyNumberFormat="1" applyFill="1"/>
    <xf numFmtId="0" fontId="175" fillId="0" borderId="0" xfId="0" applyFont="1" applyFill="1" applyAlignment="1">
      <alignment horizontal="center" vertical="center" wrapText="1" shrinkToFit="1"/>
    </xf>
    <xf numFmtId="0" fontId="174" fillId="0" borderId="0" xfId="0" applyFont="1" applyFill="1"/>
    <xf numFmtId="0" fontId="174" fillId="0" borderId="1" xfId="0" applyFont="1" applyFill="1" applyBorder="1"/>
    <xf numFmtId="0" fontId="9" fillId="0" borderId="0" xfId="3" applyFill="1"/>
    <xf numFmtId="0" fontId="6" fillId="0" borderId="0" xfId="3" applyFont="1" applyFill="1"/>
    <xf numFmtId="0" fontId="6" fillId="0" borderId="0" xfId="3" applyFont="1" applyFill="1" applyAlignment="1">
      <alignment vertical="center"/>
    </xf>
    <xf numFmtId="0" fontId="177" fillId="0" borderId="0" xfId="0" applyFont="1" applyFill="1"/>
    <xf numFmtId="0" fontId="178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79" fillId="0" borderId="0" xfId="0" applyFont="1" applyFill="1"/>
    <xf numFmtId="0" fontId="0" fillId="0" borderId="0" xfId="0" applyFill="1" applyAlignment="1">
      <alignment vertical="center"/>
    </xf>
    <xf numFmtId="0" fontId="9" fillId="0" borderId="0" xfId="3" applyFill="1" applyAlignment="1">
      <alignment vertical="center"/>
    </xf>
    <xf numFmtId="0" fontId="174" fillId="0" borderId="0" xfId="0" applyFont="1" applyFill="1" applyAlignment="1">
      <alignment vertical="center"/>
    </xf>
    <xf numFmtId="0" fontId="177" fillId="0" borderId="0" xfId="0" applyFont="1" applyFill="1" applyAlignment="1">
      <alignment vertical="center"/>
    </xf>
    <xf numFmtId="0" fontId="176" fillId="0" borderId="0" xfId="0" applyFont="1" applyFill="1" applyBorder="1" applyAlignment="1">
      <alignment horizontal="left" vertical="center" wrapText="1"/>
    </xf>
    <xf numFmtId="0" fontId="176" fillId="0" borderId="0" xfId="0" applyFont="1" applyFill="1" applyBorder="1" applyAlignment="1">
      <alignment vertical="center" wrapText="1"/>
    </xf>
    <xf numFmtId="171" fontId="176" fillId="0" borderId="0" xfId="5" applyFont="1" applyFill="1" applyBorder="1" applyAlignment="1">
      <alignment vertical="center" wrapText="1"/>
    </xf>
    <xf numFmtId="0" fontId="9" fillId="0" borderId="1" xfId="3" applyFill="1" applyBorder="1"/>
    <xf numFmtId="0" fontId="6" fillId="0" borderId="1" xfId="3" applyFont="1" applyFill="1" applyBorder="1"/>
    <xf numFmtId="0" fontId="6" fillId="0" borderId="1" xfId="3" applyFont="1" applyFill="1" applyBorder="1" applyAlignment="1">
      <alignment vertical="center"/>
    </xf>
    <xf numFmtId="0" fontId="177" fillId="0" borderId="1" xfId="0" applyFont="1" applyFill="1" applyBorder="1"/>
    <xf numFmtId="0" fontId="177" fillId="0" borderId="0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8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72" fontId="15" fillId="0" borderId="1" xfId="0" applyNumberFormat="1" applyFont="1" applyFill="1" applyBorder="1" applyAlignment="1">
      <alignment horizontal="center" vertical="center" wrapText="1"/>
    </xf>
    <xf numFmtId="172" fontId="184" fillId="0" borderId="1" xfId="0" applyNumberFormat="1" applyFont="1" applyFill="1" applyBorder="1" applyAlignment="1">
      <alignment horizontal="center" vertical="center" wrapText="1"/>
    </xf>
    <xf numFmtId="49" fontId="183" fillId="0" borderId="1" xfId="0" applyNumberFormat="1" applyFont="1" applyFill="1" applyBorder="1" applyAlignment="1">
      <alignment horizontal="left" vertical="center" wrapText="1" shrinkToFit="1"/>
    </xf>
    <xf numFmtId="0" fontId="183" fillId="0" borderId="1" xfId="0" applyFont="1" applyFill="1" applyBorder="1" applyAlignment="1">
      <alignment horizontal="left" vertical="center" wrapText="1" shrinkToFit="1"/>
    </xf>
    <xf numFmtId="172" fontId="183" fillId="0" borderId="1" xfId="0" applyNumberFormat="1" applyFont="1" applyFill="1" applyBorder="1" applyAlignment="1">
      <alignment horizontal="center" vertical="center" wrapText="1" shrinkToFit="1"/>
    </xf>
    <xf numFmtId="2" fontId="183" fillId="0" borderId="1" xfId="0" applyNumberFormat="1" applyFont="1" applyFill="1" applyBorder="1" applyAlignment="1">
      <alignment horizontal="center" vertical="center" wrapText="1" shrinkToFit="1"/>
    </xf>
    <xf numFmtId="171" fontId="183" fillId="0" borderId="1" xfId="5" applyFont="1" applyFill="1" applyBorder="1" applyAlignment="1">
      <alignment horizontal="center" vertical="center" wrapText="1" shrinkToFit="1"/>
    </xf>
    <xf numFmtId="0" fontId="183" fillId="0" borderId="1" xfId="0" applyFont="1" applyFill="1" applyBorder="1" applyAlignment="1">
      <alignment horizontal="center" vertical="center" wrapText="1" shrinkToFit="1"/>
    </xf>
    <xf numFmtId="172" fontId="185" fillId="0" borderId="1" xfId="0" applyNumberFormat="1" applyFont="1" applyFill="1" applyBorder="1" applyAlignment="1">
      <alignment horizontal="center" vertical="center" wrapText="1"/>
    </xf>
    <xf numFmtId="0" fontId="186" fillId="0" borderId="1" xfId="0" applyFont="1" applyFill="1" applyBorder="1"/>
    <xf numFmtId="0" fontId="183" fillId="0" borderId="1" xfId="4509" applyFont="1" applyFill="1" applyBorder="1" applyAlignment="1">
      <alignment horizontal="center" vertical="center" wrapText="1" shrinkToFit="1"/>
    </xf>
    <xf numFmtId="2" fontId="183" fillId="0" borderId="1" xfId="4509" applyNumberFormat="1" applyFont="1" applyFill="1" applyBorder="1" applyAlignment="1">
      <alignment horizontal="center" vertical="center" wrapText="1" shrinkToFit="1"/>
    </xf>
    <xf numFmtId="0" fontId="183" fillId="0" borderId="1" xfId="0" applyFont="1" applyFill="1" applyBorder="1" applyAlignment="1">
      <alignment horizontal="left"/>
    </xf>
    <xf numFmtId="0" fontId="183" fillId="0" borderId="1" xfId="0" applyFont="1" applyFill="1" applyBorder="1" applyAlignment="1">
      <alignment horizontal="left" vertical="center" wrapText="1"/>
    </xf>
    <xf numFmtId="172" fontId="183" fillId="0" borderId="1" xfId="0" applyNumberFormat="1" applyFont="1" applyFill="1" applyBorder="1" applyAlignment="1">
      <alignment horizontal="center" vertical="center" wrapText="1"/>
    </xf>
    <xf numFmtId="2" fontId="183" fillId="0" borderId="1" xfId="0" applyNumberFormat="1" applyFont="1" applyFill="1" applyBorder="1" applyAlignment="1">
      <alignment horizontal="center" vertical="center" wrapText="1"/>
    </xf>
    <xf numFmtId="214" fontId="183" fillId="0" borderId="1" xfId="0" applyNumberFormat="1" applyFont="1" applyFill="1" applyBorder="1" applyAlignment="1">
      <alignment horizontal="center" vertical="center" wrapText="1" shrinkToFit="1"/>
    </xf>
    <xf numFmtId="172" fontId="187" fillId="0" borderId="1" xfId="3" applyNumberFormat="1" applyFont="1" applyFill="1" applyBorder="1"/>
    <xf numFmtId="172" fontId="187" fillId="0" borderId="1" xfId="6" applyNumberFormat="1" applyFont="1" applyFill="1" applyBorder="1" applyAlignment="1">
      <alignment horizontal="center" vertical="center" wrapText="1" shrinkToFit="1"/>
    </xf>
    <xf numFmtId="172" fontId="188" fillId="0" borderId="1" xfId="6" applyNumberFormat="1" applyFont="1" applyFill="1" applyBorder="1" applyAlignment="1">
      <alignment horizontal="center" vertical="center" wrapText="1" shrinkToFit="1"/>
    </xf>
    <xf numFmtId="172" fontId="183" fillId="0" borderId="1" xfId="6" applyNumberFormat="1" applyFont="1" applyFill="1" applyBorder="1" applyAlignment="1">
      <alignment horizontal="center" vertical="center" wrapText="1" shrinkToFit="1"/>
    </xf>
    <xf numFmtId="49" fontId="183" fillId="0" borderId="1" xfId="4" applyNumberFormat="1" applyFont="1" applyFill="1" applyBorder="1" applyAlignment="1">
      <alignment horizontal="left" vertical="center" wrapText="1" shrinkToFit="1"/>
    </xf>
    <xf numFmtId="0" fontId="183" fillId="0" borderId="1" xfId="4" applyFont="1" applyFill="1" applyBorder="1" applyAlignment="1">
      <alignment horizontal="left" vertical="center" wrapText="1" shrinkToFit="1"/>
    </xf>
    <xf numFmtId="172" fontId="183" fillId="0" borderId="1" xfId="1" applyNumberFormat="1" applyFont="1" applyFill="1" applyBorder="1" applyAlignment="1">
      <alignment horizontal="center" vertical="center" wrapText="1" shrinkToFit="1"/>
    </xf>
    <xf numFmtId="171" fontId="183" fillId="0" borderId="1" xfId="1" applyNumberFormat="1" applyFont="1" applyFill="1" applyBorder="1" applyAlignment="1">
      <alignment horizontal="center" vertical="center" wrapText="1" shrinkToFit="1"/>
    </xf>
    <xf numFmtId="171" fontId="183" fillId="0" borderId="1" xfId="6" applyNumberFormat="1" applyFont="1" applyFill="1" applyBorder="1" applyAlignment="1">
      <alignment horizontal="center" vertical="center" wrapText="1" shrinkToFit="1"/>
    </xf>
    <xf numFmtId="0" fontId="182" fillId="0" borderId="1" xfId="0" applyNumberFormat="1" applyFont="1" applyFill="1" applyBorder="1" applyAlignment="1">
      <alignment horizontal="left" vertical="center" wrapText="1"/>
    </xf>
    <xf numFmtId="2" fontId="183" fillId="0" borderId="1" xfId="4514" applyNumberFormat="1" applyFont="1" applyFill="1" applyBorder="1" applyAlignment="1">
      <alignment horizontal="center" vertical="center" wrapText="1" shrinkToFit="1"/>
    </xf>
    <xf numFmtId="0" fontId="187" fillId="0" borderId="1" xfId="0" applyFont="1" applyFill="1" applyBorder="1" applyAlignment="1">
      <alignment horizontal="center" vertical="center" wrapText="1" shrinkToFit="1"/>
    </xf>
    <xf numFmtId="49" fontId="182" fillId="0" borderId="1" xfId="0" applyNumberFormat="1" applyFont="1" applyFill="1" applyBorder="1" applyAlignment="1">
      <alignment horizontal="center" vertical="center"/>
    </xf>
    <xf numFmtId="4" fontId="182" fillId="0" borderId="1" xfId="0" applyNumberFormat="1" applyFont="1" applyFill="1" applyBorder="1" applyAlignment="1">
      <alignment horizontal="left" vertical="center" wrapText="1"/>
    </xf>
    <xf numFmtId="2" fontId="183" fillId="0" borderId="1" xfId="4516" applyNumberFormat="1" applyFont="1" applyFill="1" applyBorder="1" applyAlignment="1">
      <alignment horizontal="center" vertical="center" wrapText="1" shrinkToFit="1"/>
    </xf>
    <xf numFmtId="2" fontId="187" fillId="0" borderId="1" xfId="4516" applyNumberFormat="1" applyFont="1" applyFill="1" applyBorder="1" applyAlignment="1">
      <alignment horizontal="center" vertical="center" wrapText="1" shrinkToFit="1"/>
    </xf>
    <xf numFmtId="0" fontId="183" fillId="0" borderId="1" xfId="3" applyFont="1" applyFill="1" applyBorder="1" applyAlignment="1">
      <alignment vertical="center"/>
    </xf>
    <xf numFmtId="172" fontId="183" fillId="0" borderId="1" xfId="3" applyNumberFormat="1" applyFont="1" applyFill="1" applyBorder="1" applyAlignment="1">
      <alignment horizontal="center" vertical="center"/>
    </xf>
    <xf numFmtId="2" fontId="183" fillId="0" borderId="1" xfId="6" applyNumberFormat="1" applyFont="1" applyFill="1" applyBorder="1" applyAlignment="1">
      <alignment horizontal="center" vertical="center" wrapText="1" shrinkToFit="1"/>
    </xf>
    <xf numFmtId="0" fontId="183" fillId="0" borderId="1" xfId="3" applyFont="1" applyFill="1" applyBorder="1" applyAlignment="1">
      <alignment horizontal="left" vertical="center"/>
    </xf>
    <xf numFmtId="167" fontId="183" fillId="0" borderId="1" xfId="1" applyFont="1" applyFill="1" applyBorder="1" applyAlignment="1">
      <alignment horizontal="center" vertical="center" wrapText="1" shrinkToFit="1"/>
    </xf>
    <xf numFmtId="172" fontId="187" fillId="0" borderId="1" xfId="0" applyNumberFormat="1" applyFont="1" applyFill="1" applyBorder="1"/>
    <xf numFmtId="0" fontId="183" fillId="0" borderId="1" xfId="0" applyFont="1" applyFill="1" applyBorder="1"/>
    <xf numFmtId="2" fontId="183" fillId="0" borderId="1" xfId="7" applyNumberFormat="1" applyFont="1" applyFill="1" applyBorder="1" applyAlignment="1">
      <alignment horizontal="center" vertical="center" wrapText="1" shrinkToFit="1"/>
    </xf>
    <xf numFmtId="171" fontId="187" fillId="0" borderId="1" xfId="5" applyFont="1" applyFill="1" applyBorder="1" applyAlignment="1">
      <alignment horizontal="center" vertical="center" wrapText="1" shrinkToFit="1"/>
    </xf>
    <xf numFmtId="0" fontId="189" fillId="0" borderId="1" xfId="0" applyFont="1" applyFill="1" applyBorder="1"/>
    <xf numFmtId="49" fontId="182" fillId="0" borderId="1" xfId="0" applyNumberFormat="1" applyFont="1" applyFill="1" applyBorder="1" applyAlignment="1">
      <alignment horizontal="left" vertical="center"/>
    </xf>
    <xf numFmtId="172" fontId="15" fillId="0" borderId="1" xfId="5" applyNumberFormat="1" applyFont="1" applyFill="1" applyBorder="1" applyAlignment="1">
      <alignment vertical="center" wrapText="1"/>
    </xf>
    <xf numFmtId="171" fontId="15" fillId="0" borderId="1" xfId="5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86" fillId="0" borderId="1" xfId="0" applyFont="1" applyFill="1" applyBorder="1" applyAlignment="1">
      <alignment vertical="center"/>
    </xf>
    <xf numFmtId="0" fontId="183" fillId="0" borderId="1" xfId="0" applyFont="1" applyFill="1" applyBorder="1" applyAlignment="1">
      <alignment horizontal="left" vertical="center"/>
    </xf>
    <xf numFmtId="172" fontId="187" fillId="0" borderId="1" xfId="3" applyNumberFormat="1" applyFont="1" applyFill="1" applyBorder="1" applyAlignment="1">
      <alignment vertical="center"/>
    </xf>
    <xf numFmtId="168" fontId="183" fillId="0" borderId="1" xfId="0" applyNumberFormat="1" applyFont="1" applyFill="1" applyBorder="1" applyAlignment="1">
      <alignment horizontal="center" vertical="center" wrapText="1" shrinkToFit="1"/>
    </xf>
    <xf numFmtId="168" fontId="183" fillId="0" borderId="1" xfId="3" applyNumberFormat="1" applyFont="1" applyFill="1" applyBorder="1" applyAlignment="1">
      <alignment horizontal="center" vertical="center"/>
    </xf>
    <xf numFmtId="168" fontId="183" fillId="0" borderId="1" xfId="6" applyNumberFormat="1" applyFont="1" applyFill="1" applyBorder="1" applyAlignment="1">
      <alignment horizontal="center" vertical="center" wrapText="1" shrinkToFit="1"/>
    </xf>
    <xf numFmtId="172" fontId="187" fillId="0" borderId="1" xfId="0" applyNumberFormat="1" applyFont="1" applyFill="1" applyBorder="1" applyAlignment="1">
      <alignment vertical="center"/>
    </xf>
    <xf numFmtId="0" fontId="183" fillId="0" borderId="1" xfId="0" applyFont="1" applyFill="1" applyBorder="1" applyAlignment="1">
      <alignment vertical="center"/>
    </xf>
    <xf numFmtId="0" fontId="189" fillId="0" borderId="1" xfId="0" applyFont="1" applyFill="1" applyBorder="1" applyAlignment="1">
      <alignment vertical="center"/>
    </xf>
    <xf numFmtId="214" fontId="15" fillId="0" borderId="1" xfId="0" applyNumberFormat="1" applyFont="1" applyFill="1" applyBorder="1" applyAlignment="1">
      <alignment horizontal="center" vertical="center" wrapText="1"/>
    </xf>
    <xf numFmtId="214" fontId="184" fillId="0" borderId="1" xfId="0" applyNumberFormat="1" applyFont="1" applyFill="1" applyBorder="1" applyAlignment="1">
      <alignment horizontal="center" vertical="center" wrapText="1"/>
    </xf>
    <xf numFmtId="214" fontId="185" fillId="0" borderId="1" xfId="0" applyNumberFormat="1" applyFont="1" applyFill="1" applyBorder="1" applyAlignment="1">
      <alignment horizontal="center" vertical="center" wrapText="1"/>
    </xf>
    <xf numFmtId="214" fontId="183" fillId="0" borderId="1" xfId="0" applyNumberFormat="1" applyFont="1" applyFill="1" applyBorder="1" applyAlignment="1">
      <alignment horizontal="center" vertical="center" wrapText="1"/>
    </xf>
    <xf numFmtId="214" fontId="187" fillId="0" borderId="1" xfId="3" applyNumberFormat="1" applyFont="1" applyFill="1" applyBorder="1" applyAlignment="1">
      <alignment vertical="center"/>
    </xf>
    <xf numFmtId="214" fontId="187" fillId="0" borderId="1" xfId="6" applyNumberFormat="1" applyFont="1" applyFill="1" applyBorder="1" applyAlignment="1">
      <alignment horizontal="center" vertical="center" wrapText="1" shrinkToFit="1"/>
    </xf>
    <xf numFmtId="214" fontId="188" fillId="0" borderId="1" xfId="6" applyNumberFormat="1" applyFont="1" applyFill="1" applyBorder="1" applyAlignment="1">
      <alignment horizontal="center" vertical="center" wrapText="1" shrinkToFit="1"/>
    </xf>
    <xf numFmtId="214" fontId="183" fillId="0" borderId="1" xfId="1" applyNumberFormat="1" applyFont="1" applyFill="1" applyBorder="1" applyAlignment="1">
      <alignment horizontal="center" vertical="center" wrapText="1" shrinkToFit="1"/>
    </xf>
    <xf numFmtId="214" fontId="183" fillId="0" borderId="1" xfId="6" applyNumberFormat="1" applyFont="1" applyFill="1" applyBorder="1" applyAlignment="1">
      <alignment horizontal="center" vertical="center" wrapText="1" shrinkToFit="1"/>
    </xf>
    <xf numFmtId="214" fontId="183" fillId="0" borderId="1" xfId="3" applyNumberFormat="1" applyFont="1" applyFill="1" applyBorder="1" applyAlignment="1">
      <alignment vertical="center"/>
    </xf>
    <xf numFmtId="214" fontId="183" fillId="0" borderId="1" xfId="3" applyNumberFormat="1" applyFont="1" applyFill="1" applyBorder="1" applyAlignment="1">
      <alignment horizontal="center" vertical="center"/>
    </xf>
    <xf numFmtId="214" fontId="187" fillId="0" borderId="1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18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2" fontId="183" fillId="0" borderId="1" xfId="0" applyNumberFormat="1" applyFont="1" applyFill="1" applyBorder="1" applyAlignment="1">
      <alignment horizontal="center" vertical="center" wrapText="1" shrinkToFit="1"/>
    </xf>
    <xf numFmtId="49" fontId="18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left" vertical="center" wrapText="1"/>
    </xf>
  </cellXfs>
  <cellStyles count="4816">
    <cellStyle name=" 1" xfId="8"/>
    <cellStyle name=" 1 2" xfId="9"/>
    <cellStyle name=" 1_Stage1" xfId="10"/>
    <cellStyle name="_x000a_bidires=100_x000d_" xfId="11"/>
    <cellStyle name="%" xfId="12"/>
    <cellStyle name="%_Inputs" xfId="13"/>
    <cellStyle name="%_Inputs (const)" xfId="14"/>
    <cellStyle name="%_Inputs (const)_Расче тарифа на тэ 2014 Мезенский АрхоблЭнерго" xfId="15"/>
    <cellStyle name="%_Inputs (const)_Тариф тепло Мезень для АТЦ" xfId="16"/>
    <cellStyle name="%_Inputs (const)_тарифы по ТЭ на 2014 год Соловки исправ." xfId="17"/>
    <cellStyle name="%_Inputs Co" xfId="18"/>
    <cellStyle name="%_Inputs Co_Расче тарифа на тэ 2014 Мезенский АрхоблЭнерго" xfId="19"/>
    <cellStyle name="%_Inputs Co_Тариф тепло Мезень для АТЦ" xfId="20"/>
    <cellStyle name="%_Inputs Co_тарифы по ТЭ на 2014 год Соловки исправ." xfId="21"/>
    <cellStyle name="?" xfId="22"/>
    <cellStyle name="?…?ж?Ш?и [0.00]" xfId="23"/>
    <cellStyle name="?W??_‘O’с?р??" xfId="24"/>
    <cellStyle name="_~6450243" xfId="25"/>
    <cellStyle name="_~6450243 2" xfId="26"/>
    <cellStyle name="_CashFlow_2007_проект_02_02_final" xfId="27"/>
    <cellStyle name="_CPI foodimp" xfId="28"/>
    <cellStyle name="_FFF" xfId="29"/>
    <cellStyle name="_FFF_New Form10_2" xfId="30"/>
    <cellStyle name="_FFF_Nsi" xfId="31"/>
    <cellStyle name="_FFF_Nsi_1" xfId="32"/>
    <cellStyle name="_FFF_Nsi_139" xfId="33"/>
    <cellStyle name="_FFF_Nsi_140" xfId="34"/>
    <cellStyle name="_FFF_Nsi_140(Зах)" xfId="35"/>
    <cellStyle name="_FFF_Nsi_140_mod" xfId="36"/>
    <cellStyle name="_FFF_Summary" xfId="37"/>
    <cellStyle name="_FFF_Tax_form_1кв_3" xfId="38"/>
    <cellStyle name="_FFF_БКЭ" xfId="39"/>
    <cellStyle name="_Final_Book_010301" xfId="40"/>
    <cellStyle name="_Final_Book_010301_New Form10_2" xfId="41"/>
    <cellStyle name="_Final_Book_010301_Nsi" xfId="42"/>
    <cellStyle name="_Final_Book_010301_Nsi_1" xfId="43"/>
    <cellStyle name="_Final_Book_010301_Nsi_139" xfId="44"/>
    <cellStyle name="_Final_Book_010301_Nsi_140" xfId="45"/>
    <cellStyle name="_Final_Book_010301_Nsi_140(Зах)" xfId="46"/>
    <cellStyle name="_Final_Book_010301_Nsi_140_mod" xfId="47"/>
    <cellStyle name="_Final_Book_010301_Summary" xfId="48"/>
    <cellStyle name="_Final_Book_010301_Tax_form_1кв_3" xfId="49"/>
    <cellStyle name="_Final_Book_010301_БКЭ" xfId="50"/>
    <cellStyle name="_macro 2012 var 1" xfId="51"/>
    <cellStyle name="_Model_RAB Мой" xfId="52"/>
    <cellStyle name="_Model_RAB Мой 2" xfId="53"/>
    <cellStyle name="_Model_RAB Мой 2_OREP.KU.2011.MONTHLY.02(v0.1)" xfId="54"/>
    <cellStyle name="_Model_RAB Мой 2_OREP.KU.2011.MONTHLY.02(v0.4)" xfId="55"/>
    <cellStyle name="_Model_RAB Мой 2_OREP.KU.2011.MONTHLY.11(v1.4)" xfId="56"/>
    <cellStyle name="_Model_RAB Мой 2_UPDATE.OREP.KU.2011.MONTHLY.02.TO.1.2" xfId="57"/>
    <cellStyle name="_Model_RAB Мой_46EE.2011(v1.0)" xfId="58"/>
    <cellStyle name="_Model_RAB Мой_46EE.2011(v1.0)_46TE.2011(v1.0)" xfId="59"/>
    <cellStyle name="_Model_RAB Мой_46EE.2011(v1.0)_INDEX.STATION.2012(v1.0)_" xfId="60"/>
    <cellStyle name="_Model_RAB Мой_46EE.2011(v1.0)_INDEX.STATION.2012(v2.0)" xfId="61"/>
    <cellStyle name="_Model_RAB Мой_46EE.2011(v1.0)_INDEX.STATION.2012(v2.1)" xfId="62"/>
    <cellStyle name="_Model_RAB Мой_46EE.2011(v1.0)_TEPLO.PREDEL.2012.M(v1.1)_test" xfId="63"/>
    <cellStyle name="_Model_RAB Мой_46EE.2011(v1.2)" xfId="64"/>
    <cellStyle name="_Model_RAB Мой_46EP.2011(v2.0)" xfId="65"/>
    <cellStyle name="_Model_RAB Мой_46EP.2012(v0.1)" xfId="66"/>
    <cellStyle name="_Model_RAB Мой_46TE.2011(v1.0)" xfId="67"/>
    <cellStyle name="_Model_RAB Мой_4DNS.UPDATE.EXAMPLE" xfId="68"/>
    <cellStyle name="_Model_RAB Мой_ARMRAZR" xfId="69"/>
    <cellStyle name="_Model_RAB Мой_BALANCE.WARM.2010.FACT(v1.0)" xfId="70"/>
    <cellStyle name="_Model_RAB Мой_BALANCE.WARM.2010.PLAN" xfId="71"/>
    <cellStyle name="_Model_RAB Мой_BALANCE.WARM.2011YEAR(v0.7)" xfId="72"/>
    <cellStyle name="_Model_RAB Мой_BALANCE.WARM.2011YEAR.NEW.UPDATE.SCHEME" xfId="73"/>
    <cellStyle name="_Model_RAB Мой_CALC.NORMATIV.KU(v0.2)" xfId="74"/>
    <cellStyle name="_Model_RAB Мой_EE.2REK.P2011.4.78(v0.3)" xfId="75"/>
    <cellStyle name="_Model_RAB Мой_FORM3.1.2013(v0.2)" xfId="76"/>
    <cellStyle name="_Model_RAB Мой_FORM3.2013(v1.0)" xfId="77"/>
    <cellStyle name="_Model_RAB Мой_FORM3.REG(v1.0)" xfId="78"/>
    <cellStyle name="_Model_RAB Мой_FORM910.2012(v1.1)" xfId="79"/>
    <cellStyle name="_Model_RAB Мой_INDEX.STATION.2012(v2.1)" xfId="80"/>
    <cellStyle name="_Model_RAB Мой_INDEX.STATION.2013(v1.0)_патч до 1.1" xfId="81"/>
    <cellStyle name="_Model_RAB Мой_INVEST.EE.PLAN.4.78(v0.1)" xfId="82"/>
    <cellStyle name="_Model_RAB Мой_INVEST.EE.PLAN.4.78(v0.3)" xfId="83"/>
    <cellStyle name="_Model_RAB Мой_INVEST.EE.PLAN.4.78(v1.0)" xfId="84"/>
    <cellStyle name="_Model_RAB Мой_INVEST.EE.PLAN.4.78(v1.0)_PASSPORT.TEPLO.PROIZV(v2.0)" xfId="85"/>
    <cellStyle name="_Model_RAB Мой_INVEST.EE.PLAN.4.78(v1.0)_PASSPORT.TEPLO.PROIZV(v2.0)_INDEX.STATION.2013(v1.0)_патч до 1.1" xfId="86"/>
    <cellStyle name="_Model_RAB Мой_INVEST.EE.PLAN.4.78(v1.0)_PASSPORT.TEPLO.PROIZV(v2.0)_TEPLO.PREDEL.2013(v2.0)" xfId="87"/>
    <cellStyle name="_Model_RAB Мой_INVEST.PLAN.4.78(v0.1)" xfId="88"/>
    <cellStyle name="_Model_RAB Мой_INVEST.WARM.PLAN.4.78(v0.1)" xfId="89"/>
    <cellStyle name="_Model_RAB Мой_INVEST_WARM_PLAN" xfId="90"/>
    <cellStyle name="_Model_RAB Мой_NADB.JNVLP.APTEKA.2012(v1.0)_21_02_12" xfId="91"/>
    <cellStyle name="_Model_RAB Мой_NADB.JNVLS.APTEKA.2011(v1.3.3)" xfId="92"/>
    <cellStyle name="_Model_RAB Мой_NADB.JNVLS.APTEKA.2011(v1.3.3)_46TE.2011(v1.0)" xfId="93"/>
    <cellStyle name="_Model_RAB Мой_NADB.JNVLS.APTEKA.2011(v1.3.3)_INDEX.STATION.2012(v1.0)_" xfId="94"/>
    <cellStyle name="_Model_RAB Мой_NADB.JNVLS.APTEKA.2011(v1.3.3)_INDEX.STATION.2012(v2.0)" xfId="95"/>
    <cellStyle name="_Model_RAB Мой_NADB.JNVLS.APTEKA.2011(v1.3.3)_INDEX.STATION.2012(v2.1)" xfId="96"/>
    <cellStyle name="_Model_RAB Мой_NADB.JNVLS.APTEKA.2011(v1.3.3)_TEPLO.PREDEL.2012.M(v1.1)_test" xfId="97"/>
    <cellStyle name="_Model_RAB Мой_NADB.JNVLS.APTEKA.2011(v1.3.4)" xfId="98"/>
    <cellStyle name="_Model_RAB Мой_NADB.JNVLS.APTEKA.2011(v1.3.4)_46TE.2011(v1.0)" xfId="99"/>
    <cellStyle name="_Model_RAB Мой_NADB.JNVLS.APTEKA.2011(v1.3.4)_INDEX.STATION.2012(v1.0)_" xfId="100"/>
    <cellStyle name="_Model_RAB Мой_NADB.JNVLS.APTEKA.2011(v1.3.4)_INDEX.STATION.2012(v2.0)" xfId="101"/>
    <cellStyle name="_Model_RAB Мой_NADB.JNVLS.APTEKA.2011(v1.3.4)_INDEX.STATION.2012(v2.1)" xfId="102"/>
    <cellStyle name="_Model_RAB Мой_NADB.JNVLS.APTEKA.2011(v1.3.4)_TEPLO.PREDEL.2012.M(v1.1)_test" xfId="103"/>
    <cellStyle name="_Model_RAB Мой_PASSPORT.TEPLO.PROIZV(v2.1)" xfId="104"/>
    <cellStyle name="_Model_RAB Мой_PASSPORT.TEPLO.SETI(v0.7)" xfId="105"/>
    <cellStyle name="_Model_RAB Мой_PASSPORT.TEPLO.SETI(v1.0)" xfId="106"/>
    <cellStyle name="_Model_RAB Мой_PR.PROG.WARM.NOTCOMBI.2012.2.16_v1.4(04.04.11) " xfId="107"/>
    <cellStyle name="_Model_RAB Мой_PREDEL.JKH.UTV.2011(v1.0.1)" xfId="108"/>
    <cellStyle name="_Model_RAB Мой_PREDEL.JKH.UTV.2011(v1.0.1)_46TE.2011(v1.0)" xfId="109"/>
    <cellStyle name="_Model_RAB Мой_PREDEL.JKH.UTV.2011(v1.0.1)_INDEX.STATION.2012(v1.0)_" xfId="110"/>
    <cellStyle name="_Model_RAB Мой_PREDEL.JKH.UTV.2011(v1.0.1)_INDEX.STATION.2012(v2.0)" xfId="111"/>
    <cellStyle name="_Model_RAB Мой_PREDEL.JKH.UTV.2011(v1.0.1)_INDEX.STATION.2012(v2.1)" xfId="112"/>
    <cellStyle name="_Model_RAB Мой_PREDEL.JKH.UTV.2011(v1.0.1)_TEPLO.PREDEL.2012.M(v1.1)_test" xfId="113"/>
    <cellStyle name="_Model_RAB Мой_PREDEL.JKH.UTV.2011(v1.1)" xfId="114"/>
    <cellStyle name="_Model_RAB Мой_REP.BLR.2012(v1.0)" xfId="115"/>
    <cellStyle name="_Model_RAB Мой_TEPLO.PREDEL.2012.M(v1.1)" xfId="116"/>
    <cellStyle name="_Model_RAB Мой_TEPLO.PREDEL.2013(v2.0)" xfId="117"/>
    <cellStyle name="_Model_RAB Мой_TEST.TEMPLATE" xfId="118"/>
    <cellStyle name="_Model_RAB Мой_UPDATE.46EE.2011.TO.1.1" xfId="119"/>
    <cellStyle name="_Model_RAB Мой_UPDATE.46TE.2011.TO.1.1" xfId="120"/>
    <cellStyle name="_Model_RAB Мой_UPDATE.46TE.2011.TO.1.2" xfId="121"/>
    <cellStyle name="_Model_RAB Мой_UPDATE.BALANCE.WARM.2011YEAR.TO.1.1" xfId="122"/>
    <cellStyle name="_Model_RAB Мой_UPDATE.BALANCE.WARM.2011YEAR.TO.1.1_46TE.2011(v1.0)" xfId="123"/>
    <cellStyle name="_Model_RAB Мой_UPDATE.BALANCE.WARM.2011YEAR.TO.1.1_INDEX.STATION.2012(v1.0)_" xfId="124"/>
    <cellStyle name="_Model_RAB Мой_UPDATE.BALANCE.WARM.2011YEAR.TO.1.1_INDEX.STATION.2012(v2.0)" xfId="125"/>
    <cellStyle name="_Model_RAB Мой_UPDATE.BALANCE.WARM.2011YEAR.TO.1.1_INDEX.STATION.2012(v2.1)" xfId="126"/>
    <cellStyle name="_Model_RAB Мой_UPDATE.BALANCE.WARM.2011YEAR.TO.1.1_OREP.KU.2011.MONTHLY.02(v1.1)" xfId="127"/>
    <cellStyle name="_Model_RAB Мой_UPDATE.BALANCE.WARM.2011YEAR.TO.1.1_TEPLO.PREDEL.2012.M(v1.1)_test" xfId="128"/>
    <cellStyle name="_Model_RAB Мой_UPDATE.NADB.JNVLS.APTEKA.2011.TO.1.3.4" xfId="129"/>
    <cellStyle name="_Model_RAB Мой_Книга2_PR.PROG.WARM.NOTCOMBI.2012.2.16_v1.4(04.04.11) " xfId="130"/>
    <cellStyle name="_Model_RAB Мой_Тариф 2013 Архангельск для агентства" xfId="131"/>
    <cellStyle name="_Model_RAB Мой_Тариф 2014 уч. Шипицыно газ" xfId="132"/>
    <cellStyle name="_Model_RAB_MRSK_svod" xfId="133"/>
    <cellStyle name="_Model_RAB_MRSK_svod 2" xfId="134"/>
    <cellStyle name="_Model_RAB_MRSK_svod 2_OREP.KU.2011.MONTHLY.02(v0.1)" xfId="135"/>
    <cellStyle name="_Model_RAB_MRSK_svod 2_OREP.KU.2011.MONTHLY.02(v0.4)" xfId="136"/>
    <cellStyle name="_Model_RAB_MRSK_svod 2_OREP.KU.2011.MONTHLY.11(v1.4)" xfId="137"/>
    <cellStyle name="_Model_RAB_MRSK_svod 2_UPDATE.OREP.KU.2011.MONTHLY.02.TO.1.2" xfId="138"/>
    <cellStyle name="_Model_RAB_MRSK_svod_46EE.2011(v1.0)" xfId="139"/>
    <cellStyle name="_Model_RAB_MRSK_svod_46EE.2011(v1.0)_46TE.2011(v1.0)" xfId="140"/>
    <cellStyle name="_Model_RAB_MRSK_svod_46EE.2011(v1.0)_INDEX.STATION.2012(v1.0)_" xfId="141"/>
    <cellStyle name="_Model_RAB_MRSK_svod_46EE.2011(v1.0)_INDEX.STATION.2012(v2.0)" xfId="142"/>
    <cellStyle name="_Model_RAB_MRSK_svod_46EE.2011(v1.0)_INDEX.STATION.2012(v2.1)" xfId="143"/>
    <cellStyle name="_Model_RAB_MRSK_svod_46EE.2011(v1.0)_TEPLO.PREDEL.2012.M(v1.1)_test" xfId="144"/>
    <cellStyle name="_Model_RAB_MRSK_svod_46EE.2011(v1.2)" xfId="145"/>
    <cellStyle name="_Model_RAB_MRSK_svod_46EP.2011(v2.0)" xfId="146"/>
    <cellStyle name="_Model_RAB_MRSK_svod_46EP.2012(v0.1)" xfId="147"/>
    <cellStyle name="_Model_RAB_MRSK_svod_46TE.2011(v1.0)" xfId="148"/>
    <cellStyle name="_Model_RAB_MRSK_svod_4DNS.UPDATE.EXAMPLE" xfId="149"/>
    <cellStyle name="_Model_RAB_MRSK_svod_ARMRAZR" xfId="150"/>
    <cellStyle name="_Model_RAB_MRSK_svod_BALANCE.WARM.2010.FACT(v1.0)" xfId="151"/>
    <cellStyle name="_Model_RAB_MRSK_svod_BALANCE.WARM.2010.PLAN" xfId="152"/>
    <cellStyle name="_Model_RAB_MRSK_svod_BALANCE.WARM.2011YEAR(v0.7)" xfId="153"/>
    <cellStyle name="_Model_RAB_MRSK_svod_BALANCE.WARM.2011YEAR.NEW.UPDATE.SCHEME" xfId="154"/>
    <cellStyle name="_Model_RAB_MRSK_svod_CALC.NORMATIV.KU(v0.2)" xfId="155"/>
    <cellStyle name="_Model_RAB_MRSK_svod_EE.2REK.P2011.4.78(v0.3)" xfId="156"/>
    <cellStyle name="_Model_RAB_MRSK_svod_FORM3.1.2013(v0.2)" xfId="157"/>
    <cellStyle name="_Model_RAB_MRSK_svod_FORM3.2013(v1.0)" xfId="158"/>
    <cellStyle name="_Model_RAB_MRSK_svod_FORM3.REG(v1.0)" xfId="159"/>
    <cellStyle name="_Model_RAB_MRSK_svod_FORM910.2012(v1.1)" xfId="160"/>
    <cellStyle name="_Model_RAB_MRSK_svod_INDEX.STATION.2012(v2.1)" xfId="161"/>
    <cellStyle name="_Model_RAB_MRSK_svod_INDEX.STATION.2013(v1.0)_патч до 1.1" xfId="162"/>
    <cellStyle name="_Model_RAB_MRSK_svod_INVEST.EE.PLAN.4.78(v0.1)" xfId="163"/>
    <cellStyle name="_Model_RAB_MRSK_svod_INVEST.EE.PLAN.4.78(v0.3)" xfId="164"/>
    <cellStyle name="_Model_RAB_MRSK_svod_INVEST.EE.PLAN.4.78(v1.0)" xfId="165"/>
    <cellStyle name="_Model_RAB_MRSK_svod_INVEST.EE.PLAN.4.78(v1.0)_PASSPORT.TEPLO.PROIZV(v2.0)" xfId="166"/>
    <cellStyle name="_Model_RAB_MRSK_svod_INVEST.EE.PLAN.4.78(v1.0)_PASSPORT.TEPLO.PROIZV(v2.0)_INDEX.STATION.2013(v1.0)_патч до 1.1" xfId="167"/>
    <cellStyle name="_Model_RAB_MRSK_svod_INVEST.EE.PLAN.4.78(v1.0)_PASSPORT.TEPLO.PROIZV(v2.0)_TEPLO.PREDEL.2013(v2.0)" xfId="168"/>
    <cellStyle name="_Model_RAB_MRSK_svod_INVEST.PLAN.4.78(v0.1)" xfId="169"/>
    <cellStyle name="_Model_RAB_MRSK_svod_INVEST.WARM.PLAN.4.78(v0.1)" xfId="170"/>
    <cellStyle name="_Model_RAB_MRSK_svod_INVEST_WARM_PLAN" xfId="171"/>
    <cellStyle name="_Model_RAB_MRSK_svod_NADB.JNVLP.APTEKA.2012(v1.0)_21_02_12" xfId="172"/>
    <cellStyle name="_Model_RAB_MRSK_svod_NADB.JNVLS.APTEKA.2011(v1.3.3)" xfId="173"/>
    <cellStyle name="_Model_RAB_MRSK_svod_NADB.JNVLS.APTEKA.2011(v1.3.3)_46TE.2011(v1.0)" xfId="174"/>
    <cellStyle name="_Model_RAB_MRSK_svod_NADB.JNVLS.APTEKA.2011(v1.3.3)_INDEX.STATION.2012(v1.0)_" xfId="175"/>
    <cellStyle name="_Model_RAB_MRSK_svod_NADB.JNVLS.APTEKA.2011(v1.3.3)_INDEX.STATION.2012(v2.0)" xfId="176"/>
    <cellStyle name="_Model_RAB_MRSK_svod_NADB.JNVLS.APTEKA.2011(v1.3.3)_INDEX.STATION.2012(v2.1)" xfId="177"/>
    <cellStyle name="_Model_RAB_MRSK_svod_NADB.JNVLS.APTEKA.2011(v1.3.3)_TEPLO.PREDEL.2012.M(v1.1)_test" xfId="178"/>
    <cellStyle name="_Model_RAB_MRSK_svod_NADB.JNVLS.APTEKA.2011(v1.3.4)" xfId="179"/>
    <cellStyle name="_Model_RAB_MRSK_svod_NADB.JNVLS.APTEKA.2011(v1.3.4)_46TE.2011(v1.0)" xfId="180"/>
    <cellStyle name="_Model_RAB_MRSK_svod_NADB.JNVLS.APTEKA.2011(v1.3.4)_INDEX.STATION.2012(v1.0)_" xfId="181"/>
    <cellStyle name="_Model_RAB_MRSK_svod_NADB.JNVLS.APTEKA.2011(v1.3.4)_INDEX.STATION.2012(v2.0)" xfId="182"/>
    <cellStyle name="_Model_RAB_MRSK_svod_NADB.JNVLS.APTEKA.2011(v1.3.4)_INDEX.STATION.2012(v2.1)" xfId="183"/>
    <cellStyle name="_Model_RAB_MRSK_svod_NADB.JNVLS.APTEKA.2011(v1.3.4)_TEPLO.PREDEL.2012.M(v1.1)_test" xfId="184"/>
    <cellStyle name="_Model_RAB_MRSK_svod_PASSPORT.TEPLO.PROIZV(v2.1)" xfId="185"/>
    <cellStyle name="_Model_RAB_MRSK_svod_PASSPORT.TEPLO.SETI(v0.7)" xfId="186"/>
    <cellStyle name="_Model_RAB_MRSK_svod_PASSPORT.TEPLO.SETI(v1.0)" xfId="187"/>
    <cellStyle name="_Model_RAB_MRSK_svod_PR.PROG.WARM.NOTCOMBI.2012.2.16_v1.4(04.04.11) " xfId="188"/>
    <cellStyle name="_Model_RAB_MRSK_svod_PREDEL.JKH.UTV.2011(v1.0.1)" xfId="189"/>
    <cellStyle name="_Model_RAB_MRSK_svod_PREDEL.JKH.UTV.2011(v1.0.1)_46TE.2011(v1.0)" xfId="190"/>
    <cellStyle name="_Model_RAB_MRSK_svod_PREDEL.JKH.UTV.2011(v1.0.1)_INDEX.STATION.2012(v1.0)_" xfId="191"/>
    <cellStyle name="_Model_RAB_MRSK_svod_PREDEL.JKH.UTV.2011(v1.0.1)_INDEX.STATION.2012(v2.0)" xfId="192"/>
    <cellStyle name="_Model_RAB_MRSK_svod_PREDEL.JKH.UTV.2011(v1.0.1)_INDEX.STATION.2012(v2.1)" xfId="193"/>
    <cellStyle name="_Model_RAB_MRSK_svod_PREDEL.JKH.UTV.2011(v1.0.1)_TEPLO.PREDEL.2012.M(v1.1)_test" xfId="194"/>
    <cellStyle name="_Model_RAB_MRSK_svod_PREDEL.JKH.UTV.2011(v1.1)" xfId="195"/>
    <cellStyle name="_Model_RAB_MRSK_svod_REP.BLR.2012(v1.0)" xfId="196"/>
    <cellStyle name="_Model_RAB_MRSK_svod_TEPLO.PREDEL.2012.M(v1.1)" xfId="197"/>
    <cellStyle name="_Model_RAB_MRSK_svod_TEPLO.PREDEL.2013(v2.0)" xfId="198"/>
    <cellStyle name="_Model_RAB_MRSK_svod_TEST.TEMPLATE" xfId="199"/>
    <cellStyle name="_Model_RAB_MRSK_svod_UPDATE.46EE.2011.TO.1.1" xfId="200"/>
    <cellStyle name="_Model_RAB_MRSK_svod_UPDATE.46TE.2011.TO.1.1" xfId="201"/>
    <cellStyle name="_Model_RAB_MRSK_svod_UPDATE.46TE.2011.TO.1.2" xfId="202"/>
    <cellStyle name="_Model_RAB_MRSK_svod_UPDATE.BALANCE.WARM.2011YEAR.TO.1.1" xfId="203"/>
    <cellStyle name="_Model_RAB_MRSK_svod_UPDATE.BALANCE.WARM.2011YEAR.TO.1.1_46TE.2011(v1.0)" xfId="204"/>
    <cellStyle name="_Model_RAB_MRSK_svod_UPDATE.BALANCE.WARM.2011YEAR.TO.1.1_INDEX.STATION.2012(v1.0)_" xfId="205"/>
    <cellStyle name="_Model_RAB_MRSK_svod_UPDATE.BALANCE.WARM.2011YEAR.TO.1.1_INDEX.STATION.2012(v2.0)" xfId="206"/>
    <cellStyle name="_Model_RAB_MRSK_svod_UPDATE.BALANCE.WARM.2011YEAR.TO.1.1_INDEX.STATION.2012(v2.1)" xfId="207"/>
    <cellStyle name="_Model_RAB_MRSK_svod_UPDATE.BALANCE.WARM.2011YEAR.TO.1.1_OREP.KU.2011.MONTHLY.02(v1.1)" xfId="208"/>
    <cellStyle name="_Model_RAB_MRSK_svod_UPDATE.BALANCE.WARM.2011YEAR.TO.1.1_TEPLO.PREDEL.2012.M(v1.1)_test" xfId="209"/>
    <cellStyle name="_Model_RAB_MRSK_svod_UPDATE.NADB.JNVLS.APTEKA.2011.TO.1.3.4" xfId="210"/>
    <cellStyle name="_Model_RAB_MRSK_svod_Книга2_PR.PROG.WARM.NOTCOMBI.2012.2.16_v1.4(04.04.11) " xfId="211"/>
    <cellStyle name="_Model_RAB_MRSK_svod_Тариф 2013 Архангельск для агентства" xfId="212"/>
    <cellStyle name="_Model_RAB_MRSK_svod_Тариф 2014 уч. Шипицыно газ" xfId="213"/>
    <cellStyle name="_New_Sofi" xfId="214"/>
    <cellStyle name="_New_Sofi_FFF" xfId="215"/>
    <cellStyle name="_New_Sofi_New Form10_2" xfId="216"/>
    <cellStyle name="_New_Sofi_Nsi" xfId="217"/>
    <cellStyle name="_New_Sofi_Nsi_1" xfId="218"/>
    <cellStyle name="_New_Sofi_Nsi_139" xfId="219"/>
    <cellStyle name="_New_Sofi_Nsi_140" xfId="220"/>
    <cellStyle name="_New_Sofi_Nsi_140(Зах)" xfId="221"/>
    <cellStyle name="_New_Sofi_Nsi_140_mod" xfId="222"/>
    <cellStyle name="_New_Sofi_Summary" xfId="223"/>
    <cellStyle name="_New_Sofi_Tax_form_1кв_3" xfId="224"/>
    <cellStyle name="_New_Sofi_БКЭ" xfId="225"/>
    <cellStyle name="_Nsi" xfId="226"/>
    <cellStyle name="_Plug" xfId="227"/>
    <cellStyle name="_Plug_4DNS.UPDATE.EXAMPLE" xfId="228"/>
    <cellStyle name="_Plug_4DNS.UPDATE.EXAMPLE_INDEX.STATION.2013(v1.0)_патч до 1.1" xfId="229"/>
    <cellStyle name="_Plug_4DNS.UPDATE.EXAMPLE_TEPLO.PREDEL.2013(v2.1)_FST" xfId="230"/>
    <cellStyle name="_Plug_4DNS.UPDATE.EXAMPLE_TEPLO.PREDEL.2013.FST_update1" xfId="231"/>
    <cellStyle name="_SeriesAttributes" xfId="232"/>
    <cellStyle name="_TSET.NET.2010.варианты расчета_min_max_ГК_03.09.09 RAB" xfId="233"/>
    <cellStyle name="_TSET.NET.2010.варианты расчета_min_max_ГК_03.09.09 RAB_Расче тарифа на тэ 2014 Мезенский АрхоблЭнерго" xfId="234"/>
    <cellStyle name="_TSET.NET.2010.варианты расчета_min_max_ГК_03.09.09 RAB_тарифы по ТЭ на 2014 год Соловки исправ." xfId="235"/>
    <cellStyle name="_v-2013-2030- 2b17.01.11Нах-cpiнов. курс inn 1-2-Е1xls" xfId="236"/>
    <cellStyle name="_Аморт,налоги,охрана,молоко" xfId="237"/>
    <cellStyle name="_БДР (ЦФО) 05-11-08" xfId="238"/>
    <cellStyle name="_БДР 2008 факт 1 кв. + проект на год 10.04.08" xfId="239"/>
    <cellStyle name="_БДР 2009" xfId="240"/>
    <cellStyle name="_БДР 3 квартал" xfId="241"/>
    <cellStyle name="_Бухгалтерия (налоги, амортизация, прочие)" xfId="242"/>
    <cellStyle name="_Бюджет2006_ПОКАЗАТЕЛИ СВОДНЫЕ" xfId="243"/>
    <cellStyle name="_Вводы 2008-2012 Колэнерго" xfId="244"/>
    <cellStyle name="_Вводы 2008-2012 Колэнерго_Расче тарифа на тэ 2014 Мезенский АрхоблЭнерго" xfId="245"/>
    <cellStyle name="_Вводы 2008-2012 Колэнерго_тарифы по ТЭ на 2014 год Соловки исправ." xfId="246"/>
    <cellStyle name="_ВО ОП ТЭС-ОТ- 2007" xfId="247"/>
    <cellStyle name="_ВО ОП ТЭС-ОТ- 2007_Новая инструкция1_фст" xfId="248"/>
    <cellStyle name="_ВФ ОАО ТЭС-ОТ- 2009" xfId="249"/>
    <cellStyle name="_ВФ ОАО ТЭС-ОТ- 2009_Новая инструкция1_фст" xfId="250"/>
    <cellStyle name="_выручка по присоединениям2" xfId="251"/>
    <cellStyle name="_выручка по присоединениям2_Новая инструкция1_фст" xfId="252"/>
    <cellStyle name="_выручка по присоединениям2_Расче тарифа на тэ 2014 Мезенский АрхоблЭнерго" xfId="253"/>
    <cellStyle name="_выручка по присоединениям2_Тариф тепло Мезень для АТЦ" xfId="254"/>
    <cellStyle name="_выручка по присоединениям2_тарифы по ТЭ на 2014 год Соловки исправ." xfId="255"/>
    <cellStyle name="_ГКПЗ 2009" xfId="256"/>
    <cellStyle name="_Договор аренды ЯЭ с разбивкой" xfId="257"/>
    <cellStyle name="_Договор аренды ЯЭ с разбивкой_Новая инструкция1_фст" xfId="258"/>
    <cellStyle name="_Защита ФЗП" xfId="259"/>
    <cellStyle name="_инвест" xfId="260"/>
    <cellStyle name="_инвест_Расче тарифа на тэ 2014 Мезенский АрхоблЭнерго" xfId="261"/>
    <cellStyle name="_инвест_тарифы по ТЭ на 2014 год Соловки исправ." xfId="262"/>
    <cellStyle name="_ИП 17032006" xfId="263"/>
    <cellStyle name="_ИП 17032006_Расче тарифа на тэ 2014 Мезенский АрхоблЭнерго" xfId="264"/>
    <cellStyle name="_ИП 17032006_тарифы по ТЭ на 2014 год Соловки исправ." xfId="265"/>
    <cellStyle name="_ИП СО 2006-2010 отпр 22 01 07" xfId="266"/>
    <cellStyle name="_ИП СО 2006-2010 отпр 22 01 07_Расче тарифа на тэ 2014 Мезенский АрхоблЭнерго" xfId="267"/>
    <cellStyle name="_ИП СО 2006-2010 отпр 22 01 07_тарифы по ТЭ на 2014 год Соловки исправ." xfId="268"/>
    <cellStyle name="_Исходные данные для модели" xfId="269"/>
    <cellStyle name="_Исходные данные для модели_Новая инструкция1_фст" xfId="270"/>
    <cellStyle name="_Исходные данные для модели_Расче тарифа на тэ 2014 Мезенский АрхоблЭнерго" xfId="271"/>
    <cellStyle name="_Исходные данные для модели_Тариф тепло Мезень для АТЦ" xfId="272"/>
    <cellStyle name="_Исходные данные для модели_тарифы по ТЭ на 2014 год Соловки исправ." xfId="273"/>
    <cellStyle name="_Книга1" xfId="274"/>
    <cellStyle name="_Книга3" xfId="275"/>
    <cellStyle name="_Книга3_New Form10_2" xfId="276"/>
    <cellStyle name="_Книга3_Nsi" xfId="277"/>
    <cellStyle name="_Книга3_Nsi_1" xfId="278"/>
    <cellStyle name="_Книга3_Nsi_139" xfId="279"/>
    <cellStyle name="_Книга3_Nsi_140" xfId="280"/>
    <cellStyle name="_Книга3_Nsi_140(Зах)" xfId="281"/>
    <cellStyle name="_Книга3_Nsi_140_mod" xfId="282"/>
    <cellStyle name="_Книга3_Summary" xfId="283"/>
    <cellStyle name="_Книга3_Tax_form_1кв_3" xfId="284"/>
    <cellStyle name="_Книга3_БКЭ" xfId="285"/>
    <cellStyle name="_Книга7" xfId="286"/>
    <cellStyle name="_Книга7_New Form10_2" xfId="287"/>
    <cellStyle name="_Книга7_Nsi" xfId="288"/>
    <cellStyle name="_Книга7_Nsi_1" xfId="289"/>
    <cellStyle name="_Книга7_Nsi_139" xfId="290"/>
    <cellStyle name="_Книга7_Nsi_140" xfId="291"/>
    <cellStyle name="_Книга7_Nsi_140(Зах)" xfId="292"/>
    <cellStyle name="_Книга7_Nsi_140_mod" xfId="293"/>
    <cellStyle name="_Книга7_Summary" xfId="294"/>
    <cellStyle name="_Книга7_Tax_form_1кв_3" xfId="295"/>
    <cellStyle name="_Книга7_БКЭ" xfId="296"/>
    <cellStyle name="_Консолидация-2008-проект-new" xfId="297"/>
    <cellStyle name="_Копия Затраты под АЭР ремонт+содерж на март" xfId="298"/>
    <cellStyle name="_Копия Прил 2(Показатели ИП)" xfId="299"/>
    <cellStyle name="_Копия Прил 2(Показатели ИП)_Расче тарифа на тэ 2014 Мезенский АрхоблЭнерго" xfId="300"/>
    <cellStyle name="_Копия Прил 2(Показатели ИП)_тарифы по ТЭ на 2014 год Соловки исправ." xfId="301"/>
    <cellStyle name="_мин_макс_24.09.2009_ГК" xfId="302"/>
    <cellStyle name="_мин_макс_24.09.2009_ГК_Расче тарифа на тэ 2014 Мезенский АрхоблЭнерго" xfId="303"/>
    <cellStyle name="_мин_макс_24.09.2009_ГК_тарифы по ТЭ на 2014 год Соловки исправ." xfId="304"/>
    <cellStyle name="_Модель - 2(23)" xfId="305"/>
    <cellStyle name="_МОДЕЛЬ_1 (2)" xfId="306"/>
    <cellStyle name="_МОДЕЛЬ_1 (2) 2" xfId="307"/>
    <cellStyle name="_МОДЕЛЬ_1 (2) 2_OREP.KU.2011.MONTHLY.02(v0.1)" xfId="308"/>
    <cellStyle name="_МОДЕЛЬ_1 (2) 2_OREP.KU.2011.MONTHLY.02(v0.4)" xfId="309"/>
    <cellStyle name="_МОДЕЛЬ_1 (2) 2_OREP.KU.2011.MONTHLY.11(v1.4)" xfId="310"/>
    <cellStyle name="_МОДЕЛЬ_1 (2) 2_UPDATE.OREP.KU.2011.MONTHLY.02.TO.1.2" xfId="311"/>
    <cellStyle name="_МОДЕЛЬ_1 (2) Псков max затраты ПЭ сценарные Холдинга ( конечн.19,8)" xfId="312"/>
    <cellStyle name="_МОДЕЛЬ_1 (2)_46EE.2011(v1.0)" xfId="313"/>
    <cellStyle name="_МОДЕЛЬ_1 (2)_46EE.2011(v1.0)_46TE.2011(v1.0)" xfId="314"/>
    <cellStyle name="_МОДЕЛЬ_1 (2)_46EE.2011(v1.0)_INDEX.STATION.2012(v1.0)_" xfId="315"/>
    <cellStyle name="_МОДЕЛЬ_1 (2)_46EE.2011(v1.0)_INDEX.STATION.2012(v2.0)" xfId="316"/>
    <cellStyle name="_МОДЕЛЬ_1 (2)_46EE.2011(v1.0)_INDEX.STATION.2012(v2.1)" xfId="317"/>
    <cellStyle name="_МОДЕЛЬ_1 (2)_46EE.2011(v1.0)_TEPLO.PREDEL.2012.M(v1.1)_test" xfId="318"/>
    <cellStyle name="_МОДЕЛЬ_1 (2)_46EE.2011(v1.2)" xfId="319"/>
    <cellStyle name="_МОДЕЛЬ_1 (2)_46EP.2011(v2.0)" xfId="320"/>
    <cellStyle name="_МОДЕЛЬ_1 (2)_46EP.2012(v0.1)" xfId="321"/>
    <cellStyle name="_МОДЕЛЬ_1 (2)_46TE.2011(v1.0)" xfId="322"/>
    <cellStyle name="_МОДЕЛЬ_1 (2)_4DNS.UPDATE.EXAMPLE" xfId="323"/>
    <cellStyle name="_МОДЕЛЬ_1 (2)_ARMRAZR" xfId="324"/>
    <cellStyle name="_МОДЕЛЬ_1 (2)_BALANCE.WARM.2010.FACT(v1.0)" xfId="325"/>
    <cellStyle name="_МОДЕЛЬ_1 (2)_BALANCE.WARM.2010.PLAN" xfId="326"/>
    <cellStyle name="_МОДЕЛЬ_1 (2)_BALANCE.WARM.2011YEAR(v0.7)" xfId="327"/>
    <cellStyle name="_МОДЕЛЬ_1 (2)_BALANCE.WARM.2011YEAR.NEW.UPDATE.SCHEME" xfId="328"/>
    <cellStyle name="_МОДЕЛЬ_1 (2)_CALC.NORMATIV.KU(v0.2)" xfId="329"/>
    <cellStyle name="_МОДЕЛЬ_1 (2)_EE.2REK.P2011.4.78(v0.3)" xfId="330"/>
    <cellStyle name="_МОДЕЛЬ_1 (2)_FORM3.1.2013(v0.2)" xfId="331"/>
    <cellStyle name="_МОДЕЛЬ_1 (2)_FORM3.2013(v1.0)" xfId="332"/>
    <cellStyle name="_МОДЕЛЬ_1 (2)_FORM3.REG(v1.0)" xfId="333"/>
    <cellStyle name="_МОДЕЛЬ_1 (2)_FORM910.2012(v1.1)" xfId="334"/>
    <cellStyle name="_МОДЕЛЬ_1 (2)_INDEX.STATION.2012(v2.1)" xfId="335"/>
    <cellStyle name="_МОДЕЛЬ_1 (2)_INDEX.STATION.2013(v1.0)_патч до 1.1" xfId="336"/>
    <cellStyle name="_МОДЕЛЬ_1 (2)_INVEST.EE.PLAN.4.78(v0.1)" xfId="337"/>
    <cellStyle name="_МОДЕЛЬ_1 (2)_INVEST.EE.PLAN.4.78(v0.3)" xfId="338"/>
    <cellStyle name="_МОДЕЛЬ_1 (2)_INVEST.EE.PLAN.4.78(v1.0)" xfId="339"/>
    <cellStyle name="_МОДЕЛЬ_1 (2)_INVEST.EE.PLAN.4.78(v1.0)_PASSPORT.TEPLO.PROIZV(v2.0)" xfId="340"/>
    <cellStyle name="_МОДЕЛЬ_1 (2)_INVEST.EE.PLAN.4.78(v1.0)_PASSPORT.TEPLO.PROIZV(v2.0)_INDEX.STATION.2013(v1.0)_патч до 1.1" xfId="341"/>
    <cellStyle name="_МОДЕЛЬ_1 (2)_INVEST.EE.PLAN.4.78(v1.0)_PASSPORT.TEPLO.PROIZV(v2.0)_TEPLO.PREDEL.2013(v2.0)" xfId="342"/>
    <cellStyle name="_МОДЕЛЬ_1 (2)_INVEST.PLAN.4.78(v0.1)" xfId="343"/>
    <cellStyle name="_МОДЕЛЬ_1 (2)_INVEST.WARM.PLAN.4.78(v0.1)" xfId="344"/>
    <cellStyle name="_МОДЕЛЬ_1 (2)_INVEST_WARM_PLAN" xfId="345"/>
    <cellStyle name="_МОДЕЛЬ_1 (2)_NADB.JNVLP.APTEKA.2012(v1.0)_21_02_12" xfId="346"/>
    <cellStyle name="_МОДЕЛЬ_1 (2)_NADB.JNVLS.APTEKA.2011(v1.3.3)" xfId="347"/>
    <cellStyle name="_МОДЕЛЬ_1 (2)_NADB.JNVLS.APTEKA.2011(v1.3.3)_46TE.2011(v1.0)" xfId="348"/>
    <cellStyle name="_МОДЕЛЬ_1 (2)_NADB.JNVLS.APTEKA.2011(v1.3.3)_INDEX.STATION.2012(v1.0)_" xfId="349"/>
    <cellStyle name="_МОДЕЛЬ_1 (2)_NADB.JNVLS.APTEKA.2011(v1.3.3)_INDEX.STATION.2012(v2.0)" xfId="350"/>
    <cellStyle name="_МОДЕЛЬ_1 (2)_NADB.JNVLS.APTEKA.2011(v1.3.3)_INDEX.STATION.2012(v2.1)" xfId="351"/>
    <cellStyle name="_МОДЕЛЬ_1 (2)_NADB.JNVLS.APTEKA.2011(v1.3.3)_TEPLO.PREDEL.2012.M(v1.1)_test" xfId="352"/>
    <cellStyle name="_МОДЕЛЬ_1 (2)_NADB.JNVLS.APTEKA.2011(v1.3.4)" xfId="353"/>
    <cellStyle name="_МОДЕЛЬ_1 (2)_NADB.JNVLS.APTEKA.2011(v1.3.4)_46TE.2011(v1.0)" xfId="354"/>
    <cellStyle name="_МОДЕЛЬ_1 (2)_NADB.JNVLS.APTEKA.2011(v1.3.4)_INDEX.STATION.2012(v1.0)_" xfId="355"/>
    <cellStyle name="_МОДЕЛЬ_1 (2)_NADB.JNVLS.APTEKA.2011(v1.3.4)_INDEX.STATION.2012(v2.0)" xfId="356"/>
    <cellStyle name="_МОДЕЛЬ_1 (2)_NADB.JNVLS.APTEKA.2011(v1.3.4)_INDEX.STATION.2012(v2.1)" xfId="357"/>
    <cellStyle name="_МОДЕЛЬ_1 (2)_NADB.JNVLS.APTEKA.2011(v1.3.4)_TEPLO.PREDEL.2012.M(v1.1)_test" xfId="358"/>
    <cellStyle name="_МОДЕЛЬ_1 (2)_PASSPORT.TEPLO.PROIZV(v2.1)" xfId="359"/>
    <cellStyle name="_МОДЕЛЬ_1 (2)_PASSPORT.TEPLO.SETI(v0.7)" xfId="360"/>
    <cellStyle name="_МОДЕЛЬ_1 (2)_PASSPORT.TEPLO.SETI(v1.0)" xfId="361"/>
    <cellStyle name="_МОДЕЛЬ_1 (2)_PR.PROG.WARM.NOTCOMBI.2012.2.16_v1.4(04.04.11) " xfId="362"/>
    <cellStyle name="_МОДЕЛЬ_1 (2)_PREDEL.JKH.UTV.2011(v1.0.1)" xfId="363"/>
    <cellStyle name="_МОДЕЛЬ_1 (2)_PREDEL.JKH.UTV.2011(v1.0.1)_46TE.2011(v1.0)" xfId="364"/>
    <cellStyle name="_МОДЕЛЬ_1 (2)_PREDEL.JKH.UTV.2011(v1.0.1)_INDEX.STATION.2012(v1.0)_" xfId="365"/>
    <cellStyle name="_МОДЕЛЬ_1 (2)_PREDEL.JKH.UTV.2011(v1.0.1)_INDEX.STATION.2012(v2.0)" xfId="366"/>
    <cellStyle name="_МОДЕЛЬ_1 (2)_PREDEL.JKH.UTV.2011(v1.0.1)_INDEX.STATION.2012(v2.1)" xfId="367"/>
    <cellStyle name="_МОДЕЛЬ_1 (2)_PREDEL.JKH.UTV.2011(v1.0.1)_TEPLO.PREDEL.2012.M(v1.1)_test" xfId="368"/>
    <cellStyle name="_МОДЕЛЬ_1 (2)_PREDEL.JKH.UTV.2011(v1.1)" xfId="369"/>
    <cellStyle name="_МОДЕЛЬ_1 (2)_REP.BLR.2012(v1.0)" xfId="370"/>
    <cellStyle name="_МОДЕЛЬ_1 (2)_TEPLO.PREDEL.2012.M(v1.1)" xfId="371"/>
    <cellStyle name="_МОДЕЛЬ_1 (2)_TEPLO.PREDEL.2013(v2.0)" xfId="372"/>
    <cellStyle name="_МОДЕЛЬ_1 (2)_TEST.TEMPLATE" xfId="373"/>
    <cellStyle name="_МОДЕЛЬ_1 (2)_UPDATE.46EE.2011.TO.1.1" xfId="374"/>
    <cellStyle name="_МОДЕЛЬ_1 (2)_UPDATE.46TE.2011.TO.1.1" xfId="375"/>
    <cellStyle name="_МОДЕЛЬ_1 (2)_UPDATE.46TE.2011.TO.1.2" xfId="376"/>
    <cellStyle name="_МОДЕЛЬ_1 (2)_UPDATE.BALANCE.WARM.2011YEAR.TO.1.1" xfId="377"/>
    <cellStyle name="_МОДЕЛЬ_1 (2)_UPDATE.BALANCE.WARM.2011YEAR.TO.1.1_46TE.2011(v1.0)" xfId="378"/>
    <cellStyle name="_МОДЕЛЬ_1 (2)_UPDATE.BALANCE.WARM.2011YEAR.TO.1.1_INDEX.STATION.2012(v1.0)_" xfId="379"/>
    <cellStyle name="_МОДЕЛЬ_1 (2)_UPDATE.BALANCE.WARM.2011YEAR.TO.1.1_INDEX.STATION.2012(v2.0)" xfId="380"/>
    <cellStyle name="_МОДЕЛЬ_1 (2)_UPDATE.BALANCE.WARM.2011YEAR.TO.1.1_INDEX.STATION.2012(v2.1)" xfId="381"/>
    <cellStyle name="_МОДЕЛЬ_1 (2)_UPDATE.BALANCE.WARM.2011YEAR.TO.1.1_OREP.KU.2011.MONTHLY.02(v1.1)" xfId="382"/>
    <cellStyle name="_МОДЕЛЬ_1 (2)_UPDATE.BALANCE.WARM.2011YEAR.TO.1.1_TEPLO.PREDEL.2012.M(v1.1)_test" xfId="383"/>
    <cellStyle name="_МОДЕЛЬ_1 (2)_UPDATE.NADB.JNVLS.APTEKA.2011.TO.1.3.4" xfId="384"/>
    <cellStyle name="_МОДЕЛЬ_1 (2)_Книга2_PR.PROG.WARM.NOTCOMBI.2012.2.16_v1.4(04.04.11) " xfId="385"/>
    <cellStyle name="_МОДЕЛЬ_1 (2)_Тариф 2013 Архангельск для агентства" xfId="386"/>
    <cellStyle name="_МОДЕЛЬ_1 (2)_Тариф 2014 уч. Шипицыно газ" xfId="387"/>
    <cellStyle name="_НВВ 2009 постатейно свод по филиалам_09_02_09" xfId="388"/>
    <cellStyle name="_НВВ 2009 постатейно свод по филиалам_09_02_09_Новая инструкция1_фст" xfId="389"/>
    <cellStyle name="_НВВ 2009 постатейно свод по филиалам_09_02_09_Расче тарифа на тэ 2014 Мезенский АрхоблЭнерго" xfId="390"/>
    <cellStyle name="_НВВ 2009 постатейно свод по филиалам_09_02_09_Тариф тепло Мезень для АТЦ" xfId="391"/>
    <cellStyle name="_НВВ 2009 постатейно свод по филиалам_09_02_09_тарифы по ТЭ на 2014 год Соловки исправ." xfId="392"/>
    <cellStyle name="_НВВ 2009 постатейно свод по филиалам_для Валентина" xfId="393"/>
    <cellStyle name="_НВВ 2009 постатейно свод по филиалам_для Валентина_Новая инструкция1_фст" xfId="394"/>
    <cellStyle name="_НВВ 2009 постатейно свод по филиалам_для Валентина_Расче тарифа на тэ 2014 Мезенский АрхоблЭнерго" xfId="395"/>
    <cellStyle name="_НВВ 2009 постатейно свод по филиалам_для Валентина_Тариф тепло Мезень для АТЦ" xfId="396"/>
    <cellStyle name="_НВВ 2009 постатейно свод по филиалам_для Валентина_тарифы по ТЭ на 2014 год Соловки исправ." xfId="397"/>
    <cellStyle name="_Омск" xfId="398"/>
    <cellStyle name="_Омск_Новая инструкция1_фст" xfId="399"/>
    <cellStyle name="_Омск_Расче тарифа на тэ 2014 Мезенский АрхоблЭнерго" xfId="400"/>
    <cellStyle name="_Омск_Тариф тепло Мезень для АТЦ" xfId="401"/>
    <cellStyle name="_Омск_тарифы по ТЭ на 2014 год Соловки исправ." xfId="402"/>
    <cellStyle name="_ОТ ИД 2009" xfId="403"/>
    <cellStyle name="_ОТ ИД 2009_Новая инструкция1_фст" xfId="404"/>
    <cellStyle name="_ПЛАН 2006  АРМ " xfId="405"/>
    <cellStyle name="_ПЛАН 2008 АРМ " xfId="406"/>
    <cellStyle name="_ПЛАН 2011 под 130 млн итог на подпись" xfId="407"/>
    <cellStyle name="_ПЛАН 2011 тарифы 250 млн блочный" xfId="408"/>
    <cellStyle name="_План по ремонту ХЦ 2007" xfId="409"/>
    <cellStyle name="_пр 5 тариф RAB" xfId="410"/>
    <cellStyle name="_пр 5 тариф RAB 2" xfId="411"/>
    <cellStyle name="_пр 5 тариф RAB 2_OREP.KU.2011.MONTHLY.02(v0.1)" xfId="412"/>
    <cellStyle name="_пр 5 тариф RAB 2_OREP.KU.2011.MONTHLY.02(v0.4)" xfId="413"/>
    <cellStyle name="_пр 5 тариф RAB 2_OREP.KU.2011.MONTHLY.11(v1.4)" xfId="414"/>
    <cellStyle name="_пр 5 тариф RAB 2_UPDATE.OREP.KU.2011.MONTHLY.02.TO.1.2" xfId="415"/>
    <cellStyle name="_пр 5 тариф RAB_46EE.2011(v1.0)" xfId="416"/>
    <cellStyle name="_пр 5 тариф RAB_46EE.2011(v1.0)_46TE.2011(v1.0)" xfId="417"/>
    <cellStyle name="_пр 5 тариф RAB_46EE.2011(v1.0)_INDEX.STATION.2012(v1.0)_" xfId="418"/>
    <cellStyle name="_пр 5 тариф RAB_46EE.2011(v1.0)_INDEX.STATION.2012(v2.0)" xfId="419"/>
    <cellStyle name="_пр 5 тариф RAB_46EE.2011(v1.0)_INDEX.STATION.2012(v2.1)" xfId="420"/>
    <cellStyle name="_пр 5 тариф RAB_46EE.2011(v1.0)_TEPLO.PREDEL.2012.M(v1.1)_test" xfId="421"/>
    <cellStyle name="_пр 5 тариф RAB_46EE.2011(v1.2)" xfId="422"/>
    <cellStyle name="_пр 5 тариф RAB_46EP.2011(v2.0)" xfId="423"/>
    <cellStyle name="_пр 5 тариф RAB_46EP.2012(v0.1)" xfId="424"/>
    <cellStyle name="_пр 5 тариф RAB_46TE.2011(v1.0)" xfId="425"/>
    <cellStyle name="_пр 5 тариф RAB_4DNS.UPDATE.EXAMPLE" xfId="426"/>
    <cellStyle name="_пр 5 тариф RAB_ARMRAZR" xfId="427"/>
    <cellStyle name="_пр 5 тариф RAB_BALANCE.WARM.2010.FACT(v1.0)" xfId="428"/>
    <cellStyle name="_пр 5 тариф RAB_BALANCE.WARM.2010.PLAN" xfId="429"/>
    <cellStyle name="_пр 5 тариф RAB_BALANCE.WARM.2011YEAR(v0.7)" xfId="430"/>
    <cellStyle name="_пр 5 тариф RAB_BALANCE.WARM.2011YEAR.NEW.UPDATE.SCHEME" xfId="431"/>
    <cellStyle name="_пр 5 тариф RAB_CALC.NORMATIV.KU(v0.2)" xfId="432"/>
    <cellStyle name="_пр 5 тариф RAB_EE.2REK.P2011.4.78(v0.3)" xfId="433"/>
    <cellStyle name="_пр 5 тариф RAB_FORM3.1.2013(v0.2)" xfId="434"/>
    <cellStyle name="_пр 5 тариф RAB_FORM3.2013(v1.0)" xfId="435"/>
    <cellStyle name="_пр 5 тариф RAB_FORM3.REG(v1.0)" xfId="436"/>
    <cellStyle name="_пр 5 тариф RAB_FORM910.2012(v1.1)" xfId="437"/>
    <cellStyle name="_пр 5 тариф RAB_INDEX.STATION.2012(v2.1)" xfId="438"/>
    <cellStyle name="_пр 5 тариф RAB_INDEX.STATION.2013(v1.0)_патч до 1.1" xfId="439"/>
    <cellStyle name="_пр 5 тариф RAB_INVEST.EE.PLAN.4.78(v0.1)" xfId="440"/>
    <cellStyle name="_пр 5 тариф RAB_INVEST.EE.PLAN.4.78(v0.3)" xfId="441"/>
    <cellStyle name="_пр 5 тариф RAB_INVEST.EE.PLAN.4.78(v1.0)" xfId="442"/>
    <cellStyle name="_пр 5 тариф RAB_INVEST.EE.PLAN.4.78(v1.0)_PASSPORT.TEPLO.PROIZV(v2.0)" xfId="443"/>
    <cellStyle name="_пр 5 тариф RAB_INVEST.EE.PLAN.4.78(v1.0)_PASSPORT.TEPLO.PROIZV(v2.0)_INDEX.STATION.2013(v1.0)_патч до 1.1" xfId="444"/>
    <cellStyle name="_пр 5 тариф RAB_INVEST.EE.PLAN.4.78(v1.0)_PASSPORT.TEPLO.PROIZV(v2.0)_TEPLO.PREDEL.2013(v2.0)" xfId="445"/>
    <cellStyle name="_пр 5 тариф RAB_INVEST.PLAN.4.78(v0.1)" xfId="446"/>
    <cellStyle name="_пр 5 тариф RAB_INVEST.WARM.PLAN.4.78(v0.1)" xfId="447"/>
    <cellStyle name="_пр 5 тариф RAB_INVEST_WARM_PLAN" xfId="448"/>
    <cellStyle name="_пр 5 тариф RAB_NADB.JNVLP.APTEKA.2012(v1.0)_21_02_12" xfId="449"/>
    <cellStyle name="_пр 5 тариф RAB_NADB.JNVLS.APTEKA.2011(v1.3.3)" xfId="450"/>
    <cellStyle name="_пр 5 тариф RAB_NADB.JNVLS.APTEKA.2011(v1.3.3)_46TE.2011(v1.0)" xfId="451"/>
    <cellStyle name="_пр 5 тариф RAB_NADB.JNVLS.APTEKA.2011(v1.3.3)_INDEX.STATION.2012(v1.0)_" xfId="452"/>
    <cellStyle name="_пр 5 тариф RAB_NADB.JNVLS.APTEKA.2011(v1.3.3)_INDEX.STATION.2012(v2.0)" xfId="453"/>
    <cellStyle name="_пр 5 тариф RAB_NADB.JNVLS.APTEKA.2011(v1.3.3)_INDEX.STATION.2012(v2.1)" xfId="454"/>
    <cellStyle name="_пр 5 тариф RAB_NADB.JNVLS.APTEKA.2011(v1.3.3)_TEPLO.PREDEL.2012.M(v1.1)_test" xfId="455"/>
    <cellStyle name="_пр 5 тариф RAB_NADB.JNVLS.APTEKA.2011(v1.3.4)" xfId="456"/>
    <cellStyle name="_пр 5 тариф RAB_NADB.JNVLS.APTEKA.2011(v1.3.4)_46TE.2011(v1.0)" xfId="457"/>
    <cellStyle name="_пр 5 тариф RAB_NADB.JNVLS.APTEKA.2011(v1.3.4)_INDEX.STATION.2012(v1.0)_" xfId="458"/>
    <cellStyle name="_пр 5 тариф RAB_NADB.JNVLS.APTEKA.2011(v1.3.4)_INDEX.STATION.2012(v2.0)" xfId="459"/>
    <cellStyle name="_пр 5 тариф RAB_NADB.JNVLS.APTEKA.2011(v1.3.4)_INDEX.STATION.2012(v2.1)" xfId="460"/>
    <cellStyle name="_пр 5 тариф RAB_NADB.JNVLS.APTEKA.2011(v1.3.4)_TEPLO.PREDEL.2012.M(v1.1)_test" xfId="461"/>
    <cellStyle name="_пр 5 тариф RAB_PASSPORT.TEPLO.PROIZV(v2.1)" xfId="462"/>
    <cellStyle name="_пр 5 тариф RAB_PASSPORT.TEPLO.SETI(v0.7)" xfId="463"/>
    <cellStyle name="_пр 5 тариф RAB_PASSPORT.TEPLO.SETI(v1.0)" xfId="464"/>
    <cellStyle name="_пр 5 тариф RAB_PR.PROG.WARM.NOTCOMBI.2012.2.16_v1.4(04.04.11) " xfId="465"/>
    <cellStyle name="_пр 5 тариф RAB_PREDEL.JKH.UTV.2011(v1.0.1)" xfId="466"/>
    <cellStyle name="_пр 5 тариф RAB_PREDEL.JKH.UTV.2011(v1.0.1)_46TE.2011(v1.0)" xfId="467"/>
    <cellStyle name="_пр 5 тариф RAB_PREDEL.JKH.UTV.2011(v1.0.1)_INDEX.STATION.2012(v1.0)_" xfId="468"/>
    <cellStyle name="_пр 5 тариф RAB_PREDEL.JKH.UTV.2011(v1.0.1)_INDEX.STATION.2012(v2.0)" xfId="469"/>
    <cellStyle name="_пр 5 тариф RAB_PREDEL.JKH.UTV.2011(v1.0.1)_INDEX.STATION.2012(v2.1)" xfId="470"/>
    <cellStyle name="_пр 5 тариф RAB_PREDEL.JKH.UTV.2011(v1.0.1)_TEPLO.PREDEL.2012.M(v1.1)_test" xfId="471"/>
    <cellStyle name="_пр 5 тариф RAB_PREDEL.JKH.UTV.2011(v1.1)" xfId="472"/>
    <cellStyle name="_пр 5 тариф RAB_REP.BLR.2012(v1.0)" xfId="473"/>
    <cellStyle name="_пр 5 тариф RAB_TEPLO.PREDEL.2012.M(v1.1)" xfId="474"/>
    <cellStyle name="_пр 5 тариф RAB_TEPLO.PREDEL.2013(v2.0)" xfId="475"/>
    <cellStyle name="_пр 5 тариф RAB_TEST.TEMPLATE" xfId="476"/>
    <cellStyle name="_пр 5 тариф RAB_UPDATE.46EE.2011.TO.1.1" xfId="477"/>
    <cellStyle name="_пр 5 тариф RAB_UPDATE.46TE.2011.TO.1.1" xfId="478"/>
    <cellStyle name="_пр 5 тариф RAB_UPDATE.46TE.2011.TO.1.2" xfId="479"/>
    <cellStyle name="_пр 5 тариф RAB_UPDATE.BALANCE.WARM.2011YEAR.TO.1.1" xfId="480"/>
    <cellStyle name="_пр 5 тариф RAB_UPDATE.BALANCE.WARM.2011YEAR.TO.1.1_46TE.2011(v1.0)" xfId="481"/>
    <cellStyle name="_пр 5 тариф RAB_UPDATE.BALANCE.WARM.2011YEAR.TO.1.1_INDEX.STATION.2012(v1.0)_" xfId="482"/>
    <cellStyle name="_пр 5 тариф RAB_UPDATE.BALANCE.WARM.2011YEAR.TO.1.1_INDEX.STATION.2012(v2.0)" xfId="483"/>
    <cellStyle name="_пр 5 тариф RAB_UPDATE.BALANCE.WARM.2011YEAR.TO.1.1_INDEX.STATION.2012(v2.1)" xfId="484"/>
    <cellStyle name="_пр 5 тариф RAB_UPDATE.BALANCE.WARM.2011YEAR.TO.1.1_OREP.KU.2011.MONTHLY.02(v1.1)" xfId="485"/>
    <cellStyle name="_пр 5 тариф RAB_UPDATE.BALANCE.WARM.2011YEAR.TO.1.1_TEPLO.PREDEL.2012.M(v1.1)_test" xfId="486"/>
    <cellStyle name="_пр 5 тариф RAB_UPDATE.NADB.JNVLS.APTEKA.2011.TO.1.3.4" xfId="487"/>
    <cellStyle name="_пр 5 тариф RAB_Книга2_PR.PROG.WARM.NOTCOMBI.2012.2.16_v1.4(04.04.11) " xfId="488"/>
    <cellStyle name="_пр 5 тариф RAB_Тариф 2013 Архангельск для агентства" xfId="489"/>
    <cellStyle name="_пр 5 тариф RAB_Тариф 2014 уч. Шипицыно газ" xfId="490"/>
    <cellStyle name="_пр 6 финпроекция" xfId="491"/>
    <cellStyle name="_пр 6 финпроекция_Расче тарифа на тэ 2014 Мезенский АрхоблЭнерго" xfId="492"/>
    <cellStyle name="_пр 6 финпроекция_тарифы по ТЭ на 2014 год Соловки исправ." xfId="493"/>
    <cellStyle name="_Предожение _ДБП_2009 г ( согласованные БП)  (2)" xfId="494"/>
    <cellStyle name="_Предожение _ДБП_2009 г ( согласованные БП)  (2)_Новая инструкция1_фст" xfId="495"/>
    <cellStyle name="_Предожение _ДБП_2009 г ( согласованные БП)  (2)_Расче тарифа на тэ 2014 Мезенский АрхоблЭнерго" xfId="496"/>
    <cellStyle name="_Предожение _ДБП_2009 г ( согласованные БП)  (2)_Тариф тепло Мезень для АТЦ" xfId="497"/>
    <cellStyle name="_Предожение _ДБП_2009 г ( согласованные БП)  (2)_тарифы по ТЭ на 2014 год Соловки исправ." xfId="498"/>
    <cellStyle name="_Прил1-1 (МГИ) (Дубинину) 22 01 07" xfId="499"/>
    <cellStyle name="_Прил1-1 (МГИ) (Дубинину) 22 01 07_Расче тарифа на тэ 2014 Мезенский АрхоблЭнерго" xfId="500"/>
    <cellStyle name="_Прил1-1 (МГИ) (Дубинину) 22 01 07_тарифы по ТЭ на 2014 год Соловки исправ." xfId="501"/>
    <cellStyle name="_Приложение 2 0806 факт" xfId="502"/>
    <cellStyle name="_Приложение МТС-3-КС" xfId="503"/>
    <cellStyle name="_Приложение МТС-3-КС_Новая инструкция1_фст" xfId="504"/>
    <cellStyle name="_Приложение МТС-3-КС_Расче тарифа на тэ 2014 Мезенский АрхоблЭнерго" xfId="505"/>
    <cellStyle name="_Приложение МТС-3-КС_Тариф тепло Мезень для АТЦ" xfId="506"/>
    <cellStyle name="_Приложение МТС-3-КС_тарифы по ТЭ на 2014 год Соловки исправ." xfId="507"/>
    <cellStyle name="_Приложение-МТС--2-1" xfId="508"/>
    <cellStyle name="_Приложение-МТС--2-1_Новая инструкция1_фст" xfId="509"/>
    <cellStyle name="_Приложение-МТС--2-1_Расче тарифа на тэ 2014 Мезенский АрхоблЭнерго" xfId="510"/>
    <cellStyle name="_Приложение-МТС--2-1_Тариф тепло Мезень для АТЦ" xfId="511"/>
    <cellStyle name="_Приложение-МТС--2-1_тарифы по ТЭ на 2014 год Соловки исправ." xfId="512"/>
    <cellStyle name="_Программа СО 7-09 для СД от 29 марта" xfId="513"/>
    <cellStyle name="_Программа СО 7-09 для СД от 29 марта_Расче тарифа на тэ 2014 Мезенский АрхоблЭнерго" xfId="514"/>
    <cellStyle name="_Программа СО 7-09 для СД от 29 марта_тарифы по ТЭ на 2014 год Соловки исправ." xfId="515"/>
    <cellStyle name="_Расчет RAB_22072008" xfId="516"/>
    <cellStyle name="_Расчет RAB_22072008 2" xfId="517"/>
    <cellStyle name="_Расчет RAB_22072008 2_OREP.KU.2011.MONTHLY.02(v0.1)" xfId="518"/>
    <cellStyle name="_Расчет RAB_22072008 2_OREP.KU.2011.MONTHLY.02(v0.4)" xfId="519"/>
    <cellStyle name="_Расчет RAB_22072008 2_OREP.KU.2011.MONTHLY.11(v1.4)" xfId="520"/>
    <cellStyle name="_Расчет RAB_22072008 2_UPDATE.OREP.KU.2011.MONTHLY.02.TO.1.2" xfId="521"/>
    <cellStyle name="_Расчет RAB_22072008_46EE.2011(v1.0)" xfId="522"/>
    <cellStyle name="_Расчет RAB_22072008_46EE.2011(v1.0)_46TE.2011(v1.0)" xfId="523"/>
    <cellStyle name="_Расчет RAB_22072008_46EE.2011(v1.0)_INDEX.STATION.2012(v1.0)_" xfId="524"/>
    <cellStyle name="_Расчет RAB_22072008_46EE.2011(v1.0)_INDEX.STATION.2012(v2.0)" xfId="525"/>
    <cellStyle name="_Расчет RAB_22072008_46EE.2011(v1.0)_INDEX.STATION.2012(v2.1)" xfId="526"/>
    <cellStyle name="_Расчет RAB_22072008_46EE.2011(v1.0)_TEPLO.PREDEL.2012.M(v1.1)_test" xfId="527"/>
    <cellStyle name="_Расчет RAB_22072008_46EE.2011(v1.2)" xfId="528"/>
    <cellStyle name="_Расчет RAB_22072008_46EP.2011(v2.0)" xfId="529"/>
    <cellStyle name="_Расчет RAB_22072008_46EP.2012(v0.1)" xfId="530"/>
    <cellStyle name="_Расчет RAB_22072008_46TE.2011(v1.0)" xfId="531"/>
    <cellStyle name="_Расчет RAB_22072008_4DNS.UPDATE.EXAMPLE" xfId="532"/>
    <cellStyle name="_Расчет RAB_22072008_ARMRAZR" xfId="533"/>
    <cellStyle name="_Расчет RAB_22072008_BALANCE.WARM.2010.FACT(v1.0)" xfId="534"/>
    <cellStyle name="_Расчет RAB_22072008_BALANCE.WARM.2010.PLAN" xfId="535"/>
    <cellStyle name="_Расчет RAB_22072008_BALANCE.WARM.2011YEAR(v0.7)" xfId="536"/>
    <cellStyle name="_Расчет RAB_22072008_BALANCE.WARM.2011YEAR.NEW.UPDATE.SCHEME" xfId="537"/>
    <cellStyle name="_Расчет RAB_22072008_CALC.NORMATIV.KU(v0.2)" xfId="538"/>
    <cellStyle name="_Расчет RAB_22072008_EE.2REK.P2011.4.78(v0.3)" xfId="539"/>
    <cellStyle name="_Расчет RAB_22072008_FORM3.1.2013(v0.2)" xfId="540"/>
    <cellStyle name="_Расчет RAB_22072008_FORM3.2013(v1.0)" xfId="541"/>
    <cellStyle name="_Расчет RAB_22072008_FORM3.REG(v1.0)" xfId="542"/>
    <cellStyle name="_Расчет RAB_22072008_FORM910.2012(v1.1)" xfId="543"/>
    <cellStyle name="_Расчет RAB_22072008_INDEX.STATION.2012(v2.1)" xfId="544"/>
    <cellStyle name="_Расчет RAB_22072008_INDEX.STATION.2013(v1.0)_патч до 1.1" xfId="545"/>
    <cellStyle name="_Расчет RAB_22072008_INVEST.EE.PLAN.4.78(v0.1)" xfId="546"/>
    <cellStyle name="_Расчет RAB_22072008_INVEST.EE.PLAN.4.78(v0.3)" xfId="547"/>
    <cellStyle name="_Расчет RAB_22072008_INVEST.EE.PLAN.4.78(v1.0)" xfId="548"/>
    <cellStyle name="_Расчет RAB_22072008_INVEST.EE.PLAN.4.78(v1.0)_PASSPORT.TEPLO.PROIZV(v2.0)" xfId="549"/>
    <cellStyle name="_Расчет RAB_22072008_INVEST.EE.PLAN.4.78(v1.0)_PASSPORT.TEPLO.PROIZV(v2.0)_INDEX.STATION.2013(v1.0)_патч до 1.1" xfId="550"/>
    <cellStyle name="_Расчет RAB_22072008_INVEST.EE.PLAN.4.78(v1.0)_PASSPORT.TEPLO.PROIZV(v2.0)_TEPLO.PREDEL.2013(v2.0)" xfId="551"/>
    <cellStyle name="_Расчет RAB_22072008_INVEST.PLAN.4.78(v0.1)" xfId="552"/>
    <cellStyle name="_Расчет RAB_22072008_INVEST.WARM.PLAN.4.78(v0.1)" xfId="553"/>
    <cellStyle name="_Расчет RAB_22072008_INVEST_WARM_PLAN" xfId="554"/>
    <cellStyle name="_Расчет RAB_22072008_NADB.JNVLP.APTEKA.2012(v1.0)_21_02_12" xfId="555"/>
    <cellStyle name="_Расчет RAB_22072008_NADB.JNVLS.APTEKA.2011(v1.3.3)" xfId="556"/>
    <cellStyle name="_Расчет RAB_22072008_NADB.JNVLS.APTEKA.2011(v1.3.3)_46TE.2011(v1.0)" xfId="557"/>
    <cellStyle name="_Расчет RAB_22072008_NADB.JNVLS.APTEKA.2011(v1.3.3)_INDEX.STATION.2012(v1.0)_" xfId="558"/>
    <cellStyle name="_Расчет RAB_22072008_NADB.JNVLS.APTEKA.2011(v1.3.3)_INDEX.STATION.2012(v2.0)" xfId="559"/>
    <cellStyle name="_Расчет RAB_22072008_NADB.JNVLS.APTEKA.2011(v1.3.3)_INDEX.STATION.2012(v2.1)" xfId="560"/>
    <cellStyle name="_Расчет RAB_22072008_NADB.JNVLS.APTEKA.2011(v1.3.3)_TEPLO.PREDEL.2012.M(v1.1)_test" xfId="561"/>
    <cellStyle name="_Расчет RAB_22072008_NADB.JNVLS.APTEKA.2011(v1.3.4)" xfId="562"/>
    <cellStyle name="_Расчет RAB_22072008_NADB.JNVLS.APTEKA.2011(v1.3.4)_46TE.2011(v1.0)" xfId="563"/>
    <cellStyle name="_Расчет RAB_22072008_NADB.JNVLS.APTEKA.2011(v1.3.4)_INDEX.STATION.2012(v1.0)_" xfId="564"/>
    <cellStyle name="_Расчет RAB_22072008_NADB.JNVLS.APTEKA.2011(v1.3.4)_INDEX.STATION.2012(v2.0)" xfId="565"/>
    <cellStyle name="_Расчет RAB_22072008_NADB.JNVLS.APTEKA.2011(v1.3.4)_INDEX.STATION.2012(v2.1)" xfId="566"/>
    <cellStyle name="_Расчет RAB_22072008_NADB.JNVLS.APTEKA.2011(v1.3.4)_TEPLO.PREDEL.2012.M(v1.1)_test" xfId="567"/>
    <cellStyle name="_Расчет RAB_22072008_PASSPORT.TEPLO.PROIZV(v2.1)" xfId="568"/>
    <cellStyle name="_Расчет RAB_22072008_PASSPORT.TEPLO.SETI(v0.7)" xfId="569"/>
    <cellStyle name="_Расчет RAB_22072008_PASSPORT.TEPLO.SETI(v1.0)" xfId="570"/>
    <cellStyle name="_Расчет RAB_22072008_PR.PROG.WARM.NOTCOMBI.2012.2.16_v1.4(04.04.11) " xfId="571"/>
    <cellStyle name="_Расчет RAB_22072008_PREDEL.JKH.UTV.2011(v1.0.1)" xfId="572"/>
    <cellStyle name="_Расчет RAB_22072008_PREDEL.JKH.UTV.2011(v1.0.1)_46TE.2011(v1.0)" xfId="573"/>
    <cellStyle name="_Расчет RAB_22072008_PREDEL.JKH.UTV.2011(v1.0.1)_INDEX.STATION.2012(v1.0)_" xfId="574"/>
    <cellStyle name="_Расчет RAB_22072008_PREDEL.JKH.UTV.2011(v1.0.1)_INDEX.STATION.2012(v2.0)" xfId="575"/>
    <cellStyle name="_Расчет RAB_22072008_PREDEL.JKH.UTV.2011(v1.0.1)_INDEX.STATION.2012(v2.1)" xfId="576"/>
    <cellStyle name="_Расчет RAB_22072008_PREDEL.JKH.UTV.2011(v1.0.1)_TEPLO.PREDEL.2012.M(v1.1)_test" xfId="577"/>
    <cellStyle name="_Расчет RAB_22072008_PREDEL.JKH.UTV.2011(v1.1)" xfId="578"/>
    <cellStyle name="_Расчет RAB_22072008_REP.BLR.2012(v1.0)" xfId="579"/>
    <cellStyle name="_Расчет RAB_22072008_TEPLO.PREDEL.2012.M(v1.1)" xfId="580"/>
    <cellStyle name="_Расчет RAB_22072008_TEPLO.PREDEL.2013(v2.0)" xfId="581"/>
    <cellStyle name="_Расчет RAB_22072008_TEST.TEMPLATE" xfId="582"/>
    <cellStyle name="_Расчет RAB_22072008_UPDATE.46EE.2011.TO.1.1" xfId="583"/>
    <cellStyle name="_Расчет RAB_22072008_UPDATE.46TE.2011.TO.1.1" xfId="584"/>
    <cellStyle name="_Расчет RAB_22072008_UPDATE.46TE.2011.TO.1.2" xfId="585"/>
    <cellStyle name="_Расчет RAB_22072008_UPDATE.BALANCE.WARM.2011YEAR.TO.1.1" xfId="586"/>
    <cellStyle name="_Расчет RAB_22072008_UPDATE.BALANCE.WARM.2011YEAR.TO.1.1_46TE.2011(v1.0)" xfId="587"/>
    <cellStyle name="_Расчет RAB_22072008_UPDATE.BALANCE.WARM.2011YEAR.TO.1.1_INDEX.STATION.2012(v1.0)_" xfId="588"/>
    <cellStyle name="_Расчет RAB_22072008_UPDATE.BALANCE.WARM.2011YEAR.TO.1.1_INDEX.STATION.2012(v2.0)" xfId="589"/>
    <cellStyle name="_Расчет RAB_22072008_UPDATE.BALANCE.WARM.2011YEAR.TO.1.1_INDEX.STATION.2012(v2.1)" xfId="590"/>
    <cellStyle name="_Расчет RAB_22072008_UPDATE.BALANCE.WARM.2011YEAR.TO.1.1_OREP.KU.2011.MONTHLY.02(v1.1)" xfId="591"/>
    <cellStyle name="_Расчет RAB_22072008_UPDATE.BALANCE.WARM.2011YEAR.TO.1.1_TEPLO.PREDEL.2012.M(v1.1)_test" xfId="592"/>
    <cellStyle name="_Расчет RAB_22072008_UPDATE.NADB.JNVLS.APTEKA.2011.TO.1.3.4" xfId="593"/>
    <cellStyle name="_Расчет RAB_22072008_Книга2_PR.PROG.WARM.NOTCOMBI.2012.2.16_v1.4(04.04.11) " xfId="594"/>
    <cellStyle name="_Расчет RAB_22072008_Тариф 2013 Архангельск для агентства" xfId="595"/>
    <cellStyle name="_Расчет RAB_22072008_Тариф 2014 уч. Шипицыно газ" xfId="596"/>
    <cellStyle name="_Расчет RAB_Лен и МОЭСК_с 2010 года_14.04.2009_со сглаж_version 3.0_без ФСК" xfId="597"/>
    <cellStyle name="_Расчет RAB_Лен и МОЭСК_с 2010 года_14.04.2009_со сглаж_version 3.0_без ФСК 2" xfId="598"/>
    <cellStyle name="_Расчет RAB_Лен и МОЭСК_с 2010 года_14.04.2009_со сглаж_version 3.0_без ФСК 2_OREP.KU.2011.MONTHLY.02(v0.1)" xfId="599"/>
    <cellStyle name="_Расчет RAB_Лен и МОЭСК_с 2010 года_14.04.2009_со сглаж_version 3.0_без ФСК 2_OREP.KU.2011.MONTHLY.02(v0.4)" xfId="600"/>
    <cellStyle name="_Расчет RAB_Лен и МОЭСК_с 2010 года_14.04.2009_со сглаж_version 3.0_без ФСК 2_OREP.KU.2011.MONTHLY.11(v1.4)" xfId="601"/>
    <cellStyle name="_Расчет RAB_Лен и МОЭСК_с 2010 года_14.04.2009_со сглаж_version 3.0_без ФСК 2_UPDATE.OREP.KU.2011.MONTHLY.02.TO.1.2" xfId="602"/>
    <cellStyle name="_Расчет RAB_Лен и МОЭСК_с 2010 года_14.04.2009_со сглаж_version 3.0_без ФСК_46EE.2011(v1.0)" xfId="603"/>
    <cellStyle name="_Расчет RAB_Лен и МОЭСК_с 2010 года_14.04.2009_со сглаж_version 3.0_без ФСК_46EE.2011(v1.0)_46TE.2011(v1.0)" xfId="604"/>
    <cellStyle name="_Расчет RAB_Лен и МОЭСК_с 2010 года_14.04.2009_со сглаж_version 3.0_без ФСК_46EE.2011(v1.0)_INDEX.STATION.2012(v1.0)_" xfId="605"/>
    <cellStyle name="_Расчет RAB_Лен и МОЭСК_с 2010 года_14.04.2009_со сглаж_version 3.0_без ФСК_46EE.2011(v1.0)_INDEX.STATION.2012(v2.0)" xfId="606"/>
    <cellStyle name="_Расчет RAB_Лен и МОЭСК_с 2010 года_14.04.2009_со сглаж_version 3.0_без ФСК_46EE.2011(v1.0)_INDEX.STATION.2012(v2.1)" xfId="607"/>
    <cellStyle name="_Расчет RAB_Лен и МОЭСК_с 2010 года_14.04.2009_со сглаж_version 3.0_без ФСК_46EE.2011(v1.0)_TEPLO.PREDEL.2012.M(v1.1)_test" xfId="608"/>
    <cellStyle name="_Расчет RAB_Лен и МОЭСК_с 2010 года_14.04.2009_со сглаж_version 3.0_без ФСК_46EE.2011(v1.2)" xfId="609"/>
    <cellStyle name="_Расчет RAB_Лен и МОЭСК_с 2010 года_14.04.2009_со сглаж_version 3.0_без ФСК_46EP.2011(v2.0)" xfId="610"/>
    <cellStyle name="_Расчет RAB_Лен и МОЭСК_с 2010 года_14.04.2009_со сглаж_version 3.0_без ФСК_46EP.2012(v0.1)" xfId="611"/>
    <cellStyle name="_Расчет RAB_Лен и МОЭСК_с 2010 года_14.04.2009_со сглаж_version 3.0_без ФСК_46TE.2011(v1.0)" xfId="612"/>
    <cellStyle name="_Расчет RAB_Лен и МОЭСК_с 2010 года_14.04.2009_со сглаж_version 3.0_без ФСК_4DNS.UPDATE.EXAMPLE" xfId="613"/>
    <cellStyle name="_Расчет RAB_Лен и МОЭСК_с 2010 года_14.04.2009_со сглаж_version 3.0_без ФСК_ARMRAZR" xfId="614"/>
    <cellStyle name="_Расчет RAB_Лен и МОЭСК_с 2010 года_14.04.2009_со сглаж_version 3.0_без ФСК_BALANCE.WARM.2010.FACT(v1.0)" xfId="615"/>
    <cellStyle name="_Расчет RAB_Лен и МОЭСК_с 2010 года_14.04.2009_со сглаж_version 3.0_без ФСК_BALANCE.WARM.2010.PLAN" xfId="616"/>
    <cellStyle name="_Расчет RAB_Лен и МОЭСК_с 2010 года_14.04.2009_со сглаж_version 3.0_без ФСК_BALANCE.WARM.2011YEAR(v0.7)" xfId="617"/>
    <cellStyle name="_Расчет RAB_Лен и МОЭСК_с 2010 года_14.04.2009_со сглаж_version 3.0_без ФСК_BALANCE.WARM.2011YEAR.NEW.UPDATE.SCHEME" xfId="618"/>
    <cellStyle name="_Расчет RAB_Лен и МОЭСК_с 2010 года_14.04.2009_со сглаж_version 3.0_без ФСК_CALC.NORMATIV.KU(v0.2)" xfId="619"/>
    <cellStyle name="_Расчет RAB_Лен и МОЭСК_с 2010 года_14.04.2009_со сглаж_version 3.0_без ФСК_EE.2REK.P2011.4.78(v0.3)" xfId="620"/>
    <cellStyle name="_Расчет RAB_Лен и МОЭСК_с 2010 года_14.04.2009_со сглаж_version 3.0_без ФСК_FORM3.1.2013(v0.2)" xfId="621"/>
    <cellStyle name="_Расчет RAB_Лен и МОЭСК_с 2010 года_14.04.2009_со сглаж_version 3.0_без ФСК_FORM3.2013(v1.0)" xfId="622"/>
    <cellStyle name="_Расчет RAB_Лен и МОЭСК_с 2010 года_14.04.2009_со сглаж_version 3.0_без ФСК_FORM3.REG(v1.0)" xfId="623"/>
    <cellStyle name="_Расчет RAB_Лен и МОЭСК_с 2010 года_14.04.2009_со сглаж_version 3.0_без ФСК_FORM910.2012(v1.1)" xfId="624"/>
    <cellStyle name="_Расчет RAB_Лен и МОЭСК_с 2010 года_14.04.2009_со сглаж_version 3.0_без ФСК_INDEX.STATION.2012(v2.1)" xfId="625"/>
    <cellStyle name="_Расчет RAB_Лен и МОЭСК_с 2010 года_14.04.2009_со сглаж_version 3.0_без ФСК_INDEX.STATION.2013(v1.0)_патч до 1.1" xfId="626"/>
    <cellStyle name="_Расчет RAB_Лен и МОЭСК_с 2010 года_14.04.2009_со сглаж_version 3.0_без ФСК_INVEST.EE.PLAN.4.78(v0.1)" xfId="627"/>
    <cellStyle name="_Расчет RAB_Лен и МОЭСК_с 2010 года_14.04.2009_со сглаж_version 3.0_без ФСК_INVEST.EE.PLAN.4.78(v0.3)" xfId="628"/>
    <cellStyle name="_Расчет RAB_Лен и МОЭСК_с 2010 года_14.04.2009_со сглаж_version 3.0_без ФСК_INVEST.EE.PLAN.4.78(v1.0)" xfId="629"/>
    <cellStyle name="_Расчет RAB_Лен и МОЭСК_с 2010 года_14.04.2009_со сглаж_version 3.0_без ФСК_INVEST.EE.PLAN.4.78(v1.0)_PASSPORT.TEPLO.PROIZV(v2.0)" xfId="630"/>
    <cellStyle name="_Расчет RAB_Лен и МОЭСК_с 2010 года_14.04.2009_со сглаж_version 3.0_без ФСК_INVEST.EE.PLAN.4.78(v1.0)_PASSPORT.TEPLO.PROIZV(v2.0)_INDEX.STATION.2013(v1.0)_патч до 1.1" xfId="631"/>
    <cellStyle name="_Расчет RAB_Лен и МОЭСК_с 2010 года_14.04.2009_со сглаж_version 3.0_без ФСК_INVEST.EE.PLAN.4.78(v1.0)_PASSPORT.TEPLO.PROIZV(v2.0)_TEPLO.PREDEL.2013(v2.0)" xfId="632"/>
    <cellStyle name="_Расчет RAB_Лен и МОЭСК_с 2010 года_14.04.2009_со сглаж_version 3.0_без ФСК_INVEST.PLAN.4.78(v0.1)" xfId="633"/>
    <cellStyle name="_Расчет RAB_Лен и МОЭСК_с 2010 года_14.04.2009_со сглаж_version 3.0_без ФСК_INVEST.WARM.PLAN.4.78(v0.1)" xfId="634"/>
    <cellStyle name="_Расчет RAB_Лен и МОЭСК_с 2010 года_14.04.2009_со сглаж_version 3.0_без ФСК_INVEST_WARM_PLAN" xfId="635"/>
    <cellStyle name="_Расчет RAB_Лен и МОЭСК_с 2010 года_14.04.2009_со сглаж_version 3.0_без ФСК_NADB.JNVLP.APTEKA.2012(v1.0)_21_02_12" xfId="636"/>
    <cellStyle name="_Расчет RAB_Лен и МОЭСК_с 2010 года_14.04.2009_со сглаж_version 3.0_без ФСК_NADB.JNVLS.APTEKA.2011(v1.3.3)" xfId="637"/>
    <cellStyle name="_Расчет RAB_Лен и МОЭСК_с 2010 года_14.04.2009_со сглаж_version 3.0_без ФСК_NADB.JNVLS.APTEKA.2011(v1.3.3)_46TE.2011(v1.0)" xfId="638"/>
    <cellStyle name="_Расчет RAB_Лен и МОЭСК_с 2010 года_14.04.2009_со сглаж_version 3.0_без ФСК_NADB.JNVLS.APTEKA.2011(v1.3.3)_INDEX.STATION.2012(v1.0)_" xfId="639"/>
    <cellStyle name="_Расчет RAB_Лен и МОЭСК_с 2010 года_14.04.2009_со сглаж_version 3.0_без ФСК_NADB.JNVLS.APTEKA.2011(v1.3.3)_INDEX.STATION.2012(v2.0)" xfId="640"/>
    <cellStyle name="_Расчет RAB_Лен и МОЭСК_с 2010 года_14.04.2009_со сглаж_version 3.0_без ФСК_NADB.JNVLS.APTEKA.2011(v1.3.3)_INDEX.STATION.2012(v2.1)" xfId="641"/>
    <cellStyle name="_Расчет RAB_Лен и МОЭСК_с 2010 года_14.04.2009_со сглаж_version 3.0_без ФСК_NADB.JNVLS.APTEKA.2011(v1.3.3)_TEPLO.PREDEL.2012.M(v1.1)_test" xfId="642"/>
    <cellStyle name="_Расчет RAB_Лен и МОЭСК_с 2010 года_14.04.2009_со сглаж_version 3.0_без ФСК_NADB.JNVLS.APTEKA.2011(v1.3.4)" xfId="643"/>
    <cellStyle name="_Расчет RAB_Лен и МОЭСК_с 2010 года_14.04.2009_со сглаж_version 3.0_без ФСК_NADB.JNVLS.APTEKA.2011(v1.3.4)_46TE.2011(v1.0)" xfId="644"/>
    <cellStyle name="_Расчет RAB_Лен и МОЭСК_с 2010 года_14.04.2009_со сглаж_version 3.0_без ФСК_NADB.JNVLS.APTEKA.2011(v1.3.4)_INDEX.STATION.2012(v1.0)_" xfId="645"/>
    <cellStyle name="_Расчет RAB_Лен и МОЭСК_с 2010 года_14.04.2009_со сглаж_version 3.0_без ФСК_NADB.JNVLS.APTEKA.2011(v1.3.4)_INDEX.STATION.2012(v2.0)" xfId="646"/>
    <cellStyle name="_Расчет RAB_Лен и МОЭСК_с 2010 года_14.04.2009_со сглаж_version 3.0_без ФСК_NADB.JNVLS.APTEKA.2011(v1.3.4)_INDEX.STATION.2012(v2.1)" xfId="647"/>
    <cellStyle name="_Расчет RAB_Лен и МОЭСК_с 2010 года_14.04.2009_со сглаж_version 3.0_без ФСК_NADB.JNVLS.APTEKA.2011(v1.3.4)_TEPLO.PREDEL.2012.M(v1.1)_test" xfId="648"/>
    <cellStyle name="_Расчет RAB_Лен и МОЭСК_с 2010 года_14.04.2009_со сглаж_version 3.0_без ФСК_PASSPORT.TEPLO.PROIZV(v2.1)" xfId="649"/>
    <cellStyle name="_Расчет RAB_Лен и МОЭСК_с 2010 года_14.04.2009_со сглаж_version 3.0_без ФСК_PASSPORT.TEPLO.SETI(v0.7)" xfId="650"/>
    <cellStyle name="_Расчет RAB_Лен и МОЭСК_с 2010 года_14.04.2009_со сглаж_version 3.0_без ФСК_PASSPORT.TEPLO.SETI(v1.0)" xfId="651"/>
    <cellStyle name="_Расчет RAB_Лен и МОЭСК_с 2010 года_14.04.2009_со сглаж_version 3.0_без ФСК_PR.PROG.WARM.NOTCOMBI.2012.2.16_v1.4(04.04.11) " xfId="652"/>
    <cellStyle name="_Расчет RAB_Лен и МОЭСК_с 2010 года_14.04.2009_со сглаж_version 3.0_без ФСК_PREDEL.JKH.UTV.2011(v1.0.1)" xfId="653"/>
    <cellStyle name="_Расчет RAB_Лен и МОЭСК_с 2010 года_14.04.2009_со сглаж_version 3.0_без ФСК_PREDEL.JKH.UTV.2011(v1.0.1)_46TE.2011(v1.0)" xfId="654"/>
    <cellStyle name="_Расчет RAB_Лен и МОЭСК_с 2010 года_14.04.2009_со сглаж_version 3.0_без ФСК_PREDEL.JKH.UTV.2011(v1.0.1)_INDEX.STATION.2012(v1.0)_" xfId="655"/>
    <cellStyle name="_Расчет RAB_Лен и МОЭСК_с 2010 года_14.04.2009_со сглаж_version 3.0_без ФСК_PREDEL.JKH.UTV.2011(v1.0.1)_INDEX.STATION.2012(v2.0)" xfId="656"/>
    <cellStyle name="_Расчет RAB_Лен и МОЭСК_с 2010 года_14.04.2009_со сглаж_version 3.0_без ФСК_PREDEL.JKH.UTV.2011(v1.0.1)_INDEX.STATION.2012(v2.1)" xfId="657"/>
    <cellStyle name="_Расчет RAB_Лен и МОЭСК_с 2010 года_14.04.2009_со сглаж_version 3.0_без ФСК_PREDEL.JKH.UTV.2011(v1.0.1)_TEPLO.PREDEL.2012.M(v1.1)_test" xfId="658"/>
    <cellStyle name="_Расчет RAB_Лен и МОЭСК_с 2010 года_14.04.2009_со сглаж_version 3.0_без ФСК_PREDEL.JKH.UTV.2011(v1.1)" xfId="659"/>
    <cellStyle name="_Расчет RAB_Лен и МОЭСК_с 2010 года_14.04.2009_со сглаж_version 3.0_без ФСК_REP.BLR.2012(v1.0)" xfId="660"/>
    <cellStyle name="_Расчет RAB_Лен и МОЭСК_с 2010 года_14.04.2009_со сглаж_version 3.0_без ФСК_TEPLO.PREDEL.2012.M(v1.1)" xfId="661"/>
    <cellStyle name="_Расчет RAB_Лен и МОЭСК_с 2010 года_14.04.2009_со сглаж_version 3.0_без ФСК_TEPLO.PREDEL.2013(v2.0)" xfId="662"/>
    <cellStyle name="_Расчет RAB_Лен и МОЭСК_с 2010 года_14.04.2009_со сглаж_version 3.0_без ФСК_TEST.TEMPLATE" xfId="663"/>
    <cellStyle name="_Расчет RAB_Лен и МОЭСК_с 2010 года_14.04.2009_со сглаж_version 3.0_без ФСК_UPDATE.46EE.2011.TO.1.1" xfId="664"/>
    <cellStyle name="_Расчет RAB_Лен и МОЭСК_с 2010 года_14.04.2009_со сглаж_version 3.0_без ФСК_UPDATE.46TE.2011.TO.1.1" xfId="665"/>
    <cellStyle name="_Расчет RAB_Лен и МОЭСК_с 2010 года_14.04.2009_со сглаж_version 3.0_без ФСК_UPDATE.46TE.2011.TO.1.2" xfId="666"/>
    <cellStyle name="_Расчет RAB_Лен и МОЭСК_с 2010 года_14.04.2009_со сглаж_version 3.0_без ФСК_UPDATE.BALANCE.WARM.2011YEAR.TO.1.1" xfId="667"/>
    <cellStyle name="_Расчет RAB_Лен и МОЭСК_с 2010 года_14.04.2009_со сглаж_version 3.0_без ФСК_UPDATE.BALANCE.WARM.2011YEAR.TO.1.1_46TE.2011(v1.0)" xfId="668"/>
    <cellStyle name="_Расчет RAB_Лен и МОЭСК_с 2010 года_14.04.2009_со сглаж_version 3.0_без ФСК_UPDATE.BALANCE.WARM.2011YEAR.TO.1.1_INDEX.STATION.2012(v1.0)_" xfId="669"/>
    <cellStyle name="_Расчет RAB_Лен и МОЭСК_с 2010 года_14.04.2009_со сглаж_version 3.0_без ФСК_UPDATE.BALANCE.WARM.2011YEAR.TO.1.1_INDEX.STATION.2012(v2.0)" xfId="670"/>
    <cellStyle name="_Расчет RAB_Лен и МОЭСК_с 2010 года_14.04.2009_со сглаж_version 3.0_без ФСК_UPDATE.BALANCE.WARM.2011YEAR.TO.1.1_INDEX.STATION.2012(v2.1)" xfId="671"/>
    <cellStyle name="_Расчет RAB_Лен и МОЭСК_с 2010 года_14.04.2009_со сглаж_version 3.0_без ФСК_UPDATE.BALANCE.WARM.2011YEAR.TO.1.1_OREP.KU.2011.MONTHLY.02(v1.1)" xfId="672"/>
    <cellStyle name="_Расчет RAB_Лен и МОЭСК_с 2010 года_14.04.2009_со сглаж_version 3.0_без ФСК_UPDATE.BALANCE.WARM.2011YEAR.TO.1.1_TEPLO.PREDEL.2012.M(v1.1)_test" xfId="673"/>
    <cellStyle name="_Расчет RAB_Лен и МОЭСК_с 2010 года_14.04.2009_со сглаж_version 3.0_без ФСК_UPDATE.NADB.JNVLS.APTEKA.2011.TO.1.3.4" xfId="674"/>
    <cellStyle name="_Расчет RAB_Лен и МОЭСК_с 2010 года_14.04.2009_со сглаж_version 3.0_без ФСК_Книга2_PR.PROG.WARM.NOTCOMBI.2012.2.16_v1.4(04.04.11) " xfId="675"/>
    <cellStyle name="_Расчет RAB_Лен и МОЭСК_с 2010 года_14.04.2009_со сглаж_version 3.0_без ФСК_Тариф 2013 Архангельск для агентства" xfId="676"/>
    <cellStyle name="_Расчет RAB_Лен и МОЭСК_с 2010 года_14.04.2009_со сглаж_version 3.0_без ФСК_Тариф 2014 уч. Шипицыно газ" xfId="677"/>
    <cellStyle name="_Расчет кредита_RAB 2010-2014  max конечн.20,77" xfId="678"/>
    <cellStyle name="_Расчет кредита_RAB 2010-2014  max конечн.20,77_Расче тарифа на тэ 2014 Мезенский АрхоблЭнерго" xfId="679"/>
    <cellStyle name="_Расчет кредита_RAB 2010-2014  max конечн.20,77_тарифы по ТЭ на 2014 год Соловки исправ." xfId="680"/>
    <cellStyle name="_Расчет на 2008 год" xfId="681"/>
    <cellStyle name="_Расчет на 2009 год" xfId="682"/>
    <cellStyle name="_Расчет ТЕХПД на 2010 год" xfId="683"/>
    <cellStyle name="_Расшифровка по приоритетам_МРСК 2" xfId="684"/>
    <cellStyle name="_Расшифровка по приоритетам_МРСК 2_Расче тарифа на тэ 2014 Мезенский АрхоблЭнерго" xfId="685"/>
    <cellStyle name="_Расшифровка по приоритетам_МРСК 2_тарифы по ТЭ на 2014 год Соловки исправ." xfId="686"/>
    <cellStyle name="_Рем программа СТЭЦ-1тарифы 2010 год" xfId="687"/>
    <cellStyle name="_Сб-macro 2020" xfId="688"/>
    <cellStyle name="_Сб-macro 2020 2" xfId="689"/>
    <cellStyle name="_Свод по ИПР (2)" xfId="690"/>
    <cellStyle name="_Свод по ИПР (2)_Новая инструкция1_фст" xfId="691"/>
    <cellStyle name="_Свод по ИПР (2)_Расче тарифа на тэ 2014 Мезенский АрхоблЭнерго" xfId="692"/>
    <cellStyle name="_Свод по ИПР (2)_Тариф тепло Мезень для АТЦ" xfId="693"/>
    <cellStyle name="_Свод по ИПР (2)_тарифы по ТЭ на 2014 год Соловки исправ." xfId="694"/>
    <cellStyle name="_сводная таблица (2)" xfId="695"/>
    <cellStyle name="_сводная таблица (2)_Расче тарифа на тэ 2014 Мезенский АрхоблЭнерго" xfId="696"/>
    <cellStyle name="_сводная таблица (2)_тарифы по ТЭ на 2014 год Соловки исправ." xfId="697"/>
    <cellStyle name="_СО 2006-2010  Прил1-1 (Дубинину)" xfId="698"/>
    <cellStyle name="_СО 2006-2010  Прил1-1 (Дубинину)_Расче тарифа на тэ 2014 Мезенский АрхоблЭнерго" xfId="699"/>
    <cellStyle name="_СО 2006-2010  Прил1-1 (Дубинину)_тарифы по ТЭ на 2014 год Соловки исправ." xfId="700"/>
    <cellStyle name="_Справочник затрат_ЛХ_20.10.05" xfId="701"/>
    <cellStyle name="_Табл П2-5 (вар18-10-2006)" xfId="702"/>
    <cellStyle name="_Табл П2-5 (вар18-10-2006)_Расче тарифа на тэ 2014 Мезенский АрхоблЭнерго" xfId="703"/>
    <cellStyle name="_Табл П2-5 (вар18-10-2006)_тарифы по ТЭ на 2014 год Соловки исправ." xfId="704"/>
    <cellStyle name="_Табл. 9, ТФБ 2009" xfId="705"/>
    <cellStyle name="_таблицы для расчетов28-04-08_2006-2009_прибыль корр_по ИА" xfId="706"/>
    <cellStyle name="_таблицы для расчетов28-04-08_2006-2009_прибыль корр_по ИА_Новая инструкция1_фст" xfId="707"/>
    <cellStyle name="_таблицы для расчетов28-04-08_2006-2009_прибыль корр_по ИА_Расче тарифа на тэ 2014 Мезенский АрхоблЭнерго" xfId="708"/>
    <cellStyle name="_таблицы для расчетов28-04-08_2006-2009_прибыль корр_по ИА_Тариф тепло Мезень для АТЦ" xfId="709"/>
    <cellStyle name="_таблицы для расчетов28-04-08_2006-2009_прибыль корр_по ИА_тарифы по ТЭ на 2014 год Соловки исправ." xfId="710"/>
    <cellStyle name="_таблицы для расчетов28-04-08_2006-2009с ИА" xfId="711"/>
    <cellStyle name="_таблицы для расчетов28-04-08_2006-2009с ИА_Новая инструкция1_фст" xfId="712"/>
    <cellStyle name="_таблицы для расчетов28-04-08_2006-2009с ИА_Расче тарифа на тэ 2014 Мезенский АрхоблЭнерго" xfId="713"/>
    <cellStyle name="_таблицы для расчетов28-04-08_2006-2009с ИА_Тариф тепло Мезень для АТЦ" xfId="714"/>
    <cellStyle name="_таблицы для расчетов28-04-08_2006-2009с ИА_тарифы по ТЭ на 2014 год Соловки исправ." xfId="715"/>
    <cellStyle name="_Тарифы  СИЗ СП ОД Шапина" xfId="716"/>
    <cellStyle name="_УЕ  свод Псковэнерго" xfId="717"/>
    <cellStyle name="_УЕ  свод Псковэнерго_Расче тарифа на тэ 2014 Мезенский АрхоблЭнерго" xfId="718"/>
    <cellStyle name="_УЕ  свод Псковэнерго_тарифы по ТЭ на 2014 год Соловки исправ." xfId="719"/>
    <cellStyle name="_Условные единицы ПСКОВЭНЕРГО (RAB)" xfId="720"/>
    <cellStyle name="_Условные единицы ПСКОВЭНЕРГО (RAB)_Расче тарифа на тэ 2014 Мезенский АрхоблЭнерго" xfId="721"/>
    <cellStyle name="_Условные единицы ПСКОВЭНЕРГО (RAB)_тарифы по ТЭ на 2014 год Соловки исправ." xfId="722"/>
    <cellStyle name="_Услуги связи_2008_котельные" xfId="723"/>
    <cellStyle name="_Форма 6  РТК.xls(отчет по Адр пр. ЛО)" xfId="724"/>
    <cellStyle name="_Форма 6  РТК.xls(отчет по Адр пр. ЛО)_Новая инструкция1_фст" xfId="725"/>
    <cellStyle name="_Форма 6  РТК.xls(отчет по Адр пр. ЛО)_Расче тарифа на тэ 2014 Мезенский АрхоблЭнерго" xfId="726"/>
    <cellStyle name="_Форма 6  РТК.xls(отчет по Адр пр. ЛО)_Тариф тепло Мезень для АТЦ" xfId="727"/>
    <cellStyle name="_Форма 6  РТК.xls(отчет по Адр пр. ЛО)_тарифы по ТЭ на 2014 год Соловки исправ." xfId="728"/>
    <cellStyle name="_Форма программы ремонтов " xfId="729"/>
    <cellStyle name="_Форма программы ремонтов  2" xfId="730"/>
    <cellStyle name="_Формат разбивки по МРСК_РСК" xfId="731"/>
    <cellStyle name="_Формат разбивки по МРСК_РСК_Новая инструкция1_фст" xfId="732"/>
    <cellStyle name="_Формат разбивки по МРСК_РСК_Расче тарифа на тэ 2014 Мезенский АрхоблЭнерго" xfId="733"/>
    <cellStyle name="_Формат разбивки по МРСК_РСК_Тариф тепло Мезень для АТЦ" xfId="734"/>
    <cellStyle name="_Формат разбивки по МРСК_РСК_тарифы по ТЭ на 2014 год Соловки исправ." xfId="735"/>
    <cellStyle name="_Формат_для Согласования" xfId="736"/>
    <cellStyle name="_Формат_для Согласования_Новая инструкция1_фст" xfId="737"/>
    <cellStyle name="_Формат_для Согласования_Расче тарифа на тэ 2014 Мезенский АрхоблЭнерго" xfId="738"/>
    <cellStyle name="_Формат_для Согласования_Тариф тепло Мезень для АТЦ" xfId="739"/>
    <cellStyle name="_Формат_для Согласования_тарифы по ТЭ на 2014 год Соловки исправ." xfId="740"/>
    <cellStyle name="_ХХХ Прил 2 Формы бюджетных документов 2007" xfId="741"/>
    <cellStyle name="_экон.форм-т ВО 1 с разбивкой" xfId="742"/>
    <cellStyle name="_экон.форм-т ВО 1 с разбивкой_Новая инструкция1_фст" xfId="743"/>
    <cellStyle name="’К‰Э [0.00]" xfId="744"/>
    <cellStyle name="”€ќђќ‘ћ‚›‰" xfId="746"/>
    <cellStyle name="”€љ‘€ђћ‚ђќќ›‰" xfId="747"/>
    <cellStyle name="”ќђќ‘ћ‚›‰" xfId="748"/>
    <cellStyle name="”љ‘ђћ‚ђќќ›‰" xfId="749"/>
    <cellStyle name="„…ќ…†ќ›‰" xfId="750"/>
    <cellStyle name="€’ћѓћ‚›‰" xfId="753"/>
    <cellStyle name="‡ђѓћ‹ћ‚ћљ1" xfId="751"/>
    <cellStyle name="‡ђѓћ‹ћ‚ћљ2" xfId="752"/>
    <cellStyle name="’ћѓћ‚›‰" xfId="745"/>
    <cellStyle name="0,00;0;" xfId="754"/>
    <cellStyle name="0,00;0; 2" xfId="755"/>
    <cellStyle name="0,00;0; 3" xfId="756"/>
    <cellStyle name="0,00;0; 4" xfId="757"/>
    <cellStyle name="1Normal" xfId="758"/>
    <cellStyle name="20% - Accent1" xfId="759"/>
    <cellStyle name="20% - Accent1 2" xfId="760"/>
    <cellStyle name="20% - Accent1 2 2" xfId="761"/>
    <cellStyle name="20% - Accent1 3" xfId="762"/>
    <cellStyle name="20% - Accent1 3 2" xfId="763"/>
    <cellStyle name="20% - Accent1 4" xfId="764"/>
    <cellStyle name="20% - Accent1_46EE.2011(v1.0)" xfId="765"/>
    <cellStyle name="20% - Accent2" xfId="766"/>
    <cellStyle name="20% - Accent2 2" xfId="767"/>
    <cellStyle name="20% - Accent2 2 2" xfId="768"/>
    <cellStyle name="20% - Accent2 3" xfId="769"/>
    <cellStyle name="20% - Accent2 3 2" xfId="770"/>
    <cellStyle name="20% - Accent2 4" xfId="771"/>
    <cellStyle name="20% - Accent2_46EE.2011(v1.0)" xfId="772"/>
    <cellStyle name="20% - Accent3" xfId="773"/>
    <cellStyle name="20% - Accent3 2" xfId="774"/>
    <cellStyle name="20% - Accent3 2 2" xfId="775"/>
    <cellStyle name="20% - Accent3 3" xfId="776"/>
    <cellStyle name="20% - Accent3 3 2" xfId="777"/>
    <cellStyle name="20% - Accent3 4" xfId="778"/>
    <cellStyle name="20% - Accent3_46EE.2011(v1.0)" xfId="779"/>
    <cellStyle name="20% - Accent4" xfId="780"/>
    <cellStyle name="20% - Accent4 2" xfId="781"/>
    <cellStyle name="20% - Accent4 2 2" xfId="782"/>
    <cellStyle name="20% - Accent4 3" xfId="783"/>
    <cellStyle name="20% - Accent4 3 2" xfId="784"/>
    <cellStyle name="20% - Accent4 4" xfId="785"/>
    <cellStyle name="20% - Accent4_46EE.2011(v1.0)" xfId="786"/>
    <cellStyle name="20% - Accent5" xfId="787"/>
    <cellStyle name="20% - Accent5 2" xfId="788"/>
    <cellStyle name="20% - Accent5 2 2" xfId="789"/>
    <cellStyle name="20% - Accent5 3" xfId="790"/>
    <cellStyle name="20% - Accent5 3 2" xfId="791"/>
    <cellStyle name="20% - Accent5 4" xfId="792"/>
    <cellStyle name="20% - Accent5_46EE.2011(v1.0)" xfId="793"/>
    <cellStyle name="20% - Accent6" xfId="794"/>
    <cellStyle name="20% - Accent6 2" xfId="795"/>
    <cellStyle name="20% - Accent6 2 2" xfId="796"/>
    <cellStyle name="20% - Accent6 3" xfId="797"/>
    <cellStyle name="20% - Accent6 3 2" xfId="798"/>
    <cellStyle name="20% - Accent6 4" xfId="799"/>
    <cellStyle name="20% - Accent6_46EE.2011(v1.0)" xfId="800"/>
    <cellStyle name="20% — акцент1" xfId="801"/>
    <cellStyle name="20% - Акцент1 10" xfId="802"/>
    <cellStyle name="20% — акцент1 10" xfId="803"/>
    <cellStyle name="20% - Акцент1 10 2" xfId="804"/>
    <cellStyle name="20% - Акцент1 11" xfId="805"/>
    <cellStyle name="20% — акцент1 11" xfId="806"/>
    <cellStyle name="20% - Акцент1 11 2" xfId="807"/>
    <cellStyle name="20% — акцент1 12" xfId="808"/>
    <cellStyle name="20% — акцент1 13" xfId="809"/>
    <cellStyle name="20% — акцент1 14" xfId="810"/>
    <cellStyle name="20% — акцент1 15" xfId="811"/>
    <cellStyle name="20% — акцент1 16" xfId="812"/>
    <cellStyle name="20% — акцент1 17" xfId="813"/>
    <cellStyle name="20% — акцент1 18" xfId="814"/>
    <cellStyle name="20% — акцент1 19" xfId="815"/>
    <cellStyle name="20% - Акцент1 2" xfId="816"/>
    <cellStyle name="20% — акцент1 2" xfId="817"/>
    <cellStyle name="20% - Акцент1 2 10" xfId="818"/>
    <cellStyle name="20% - Акцент1 2 2" xfId="819"/>
    <cellStyle name="20% - Акцент1 2 2 2" xfId="820"/>
    <cellStyle name="20% - Акцент1 2 3" xfId="821"/>
    <cellStyle name="20% - Акцент1 2 3 2" xfId="822"/>
    <cellStyle name="20% - Акцент1 2 4" xfId="823"/>
    <cellStyle name="20% - Акцент1 2 5" xfId="824"/>
    <cellStyle name="20% - Акцент1 2 6" xfId="825"/>
    <cellStyle name="20% - Акцент1 2 7" xfId="826"/>
    <cellStyle name="20% - Акцент1 2 8" xfId="827"/>
    <cellStyle name="20% - Акцент1 2 9" xfId="828"/>
    <cellStyle name="20% - Акцент1 2_46EE.2011(v1.0)" xfId="829"/>
    <cellStyle name="20% — акцент1 20" xfId="830"/>
    <cellStyle name="20% — акцент1 21" xfId="831"/>
    <cellStyle name="20% - Акцент1 3" xfId="832"/>
    <cellStyle name="20% — акцент1 3" xfId="833"/>
    <cellStyle name="20% - Акцент1 3 10" xfId="834"/>
    <cellStyle name="20% - Акцент1 3 11" xfId="835"/>
    <cellStyle name="20% - Акцент1 3 2" xfId="836"/>
    <cellStyle name="20% - Акцент1 3 2 2" xfId="837"/>
    <cellStyle name="20% - Акцент1 3 3" xfId="838"/>
    <cellStyle name="20% - Акцент1 3 3 2" xfId="839"/>
    <cellStyle name="20% - Акцент1 3 4" xfId="840"/>
    <cellStyle name="20% - Акцент1 3 5" xfId="841"/>
    <cellStyle name="20% - Акцент1 3 6" xfId="842"/>
    <cellStyle name="20% - Акцент1 3 7" xfId="843"/>
    <cellStyle name="20% - Акцент1 3 8" xfId="844"/>
    <cellStyle name="20% - Акцент1 3 9" xfId="845"/>
    <cellStyle name="20% - Акцент1 3_46EE.2011(v1.0)" xfId="846"/>
    <cellStyle name="20% - Акцент1 4" xfId="847"/>
    <cellStyle name="20% — акцент1 4" xfId="848"/>
    <cellStyle name="20% - Акцент1 4 2" xfId="849"/>
    <cellStyle name="20% - Акцент1 4 2 2" xfId="850"/>
    <cellStyle name="20% - Акцент1 4 3" xfId="851"/>
    <cellStyle name="20% - Акцент1 4 3 2" xfId="852"/>
    <cellStyle name="20% - Акцент1 4_46EE.2011(v1.0)" xfId="853"/>
    <cellStyle name="20% - Акцент1 5" xfId="854"/>
    <cellStyle name="20% — акцент1 5" xfId="855"/>
    <cellStyle name="20% - Акцент1 5 2" xfId="856"/>
    <cellStyle name="20% - Акцент1 5 2 2" xfId="857"/>
    <cellStyle name="20% - Акцент1 5 3" xfId="858"/>
    <cellStyle name="20% - Акцент1 5 3 2" xfId="859"/>
    <cellStyle name="20% - Акцент1 5_46EE.2011(v1.0)" xfId="860"/>
    <cellStyle name="20% - Акцент1 6" xfId="861"/>
    <cellStyle name="20% — акцент1 6" xfId="862"/>
    <cellStyle name="20% - Акцент1 6 2" xfId="863"/>
    <cellStyle name="20% - Акцент1 6 2 2" xfId="864"/>
    <cellStyle name="20% - Акцент1 6 3" xfId="865"/>
    <cellStyle name="20% - Акцент1 6 3 2" xfId="866"/>
    <cellStyle name="20% - Акцент1 6_46EE.2011(v1.0)" xfId="867"/>
    <cellStyle name="20% - Акцент1 7" xfId="868"/>
    <cellStyle name="20% — акцент1 7" xfId="869"/>
    <cellStyle name="20% - Акцент1 7 2" xfId="870"/>
    <cellStyle name="20% - Акцент1 7 2 2" xfId="871"/>
    <cellStyle name="20% - Акцент1 7 3" xfId="872"/>
    <cellStyle name="20% - Акцент1 7 3 2" xfId="873"/>
    <cellStyle name="20% - Акцент1 7_46EE.2011(v1.0)" xfId="874"/>
    <cellStyle name="20% - Акцент1 8" xfId="875"/>
    <cellStyle name="20% — акцент1 8" xfId="876"/>
    <cellStyle name="20% - Акцент1 8 2" xfId="877"/>
    <cellStyle name="20% - Акцент1 8 2 2" xfId="878"/>
    <cellStyle name="20% - Акцент1 8 3" xfId="879"/>
    <cellStyle name="20% - Акцент1 8 3 2" xfId="880"/>
    <cellStyle name="20% - Акцент1 8 4" xfId="881"/>
    <cellStyle name="20% - Акцент1 8_46EE.2011(v1.0)" xfId="882"/>
    <cellStyle name="20% - Акцент1 9" xfId="883"/>
    <cellStyle name="20% — акцент1 9" xfId="884"/>
    <cellStyle name="20% - Акцент1 9 2" xfId="885"/>
    <cellStyle name="20% - Акцент1 9 2 2" xfId="886"/>
    <cellStyle name="20% - Акцент1 9 3" xfId="887"/>
    <cellStyle name="20% - Акцент1 9 3 2" xfId="888"/>
    <cellStyle name="20% - Акцент1 9 4" xfId="889"/>
    <cellStyle name="20% - Акцент1 9_46EE.2011(v1.0)" xfId="890"/>
    <cellStyle name="20% — акцент1_Расчет тарифа на тэ 2015 СЛФ" xfId="891"/>
    <cellStyle name="20% — акцент2" xfId="892"/>
    <cellStyle name="20% - Акцент2 10" xfId="893"/>
    <cellStyle name="20% — акцент2 10" xfId="894"/>
    <cellStyle name="20% - Акцент2 10 2" xfId="895"/>
    <cellStyle name="20% - Акцент2 11" xfId="896"/>
    <cellStyle name="20% — акцент2 11" xfId="897"/>
    <cellStyle name="20% - Акцент2 11 2" xfId="898"/>
    <cellStyle name="20% — акцент2 12" xfId="899"/>
    <cellStyle name="20% — акцент2 13" xfId="900"/>
    <cellStyle name="20% — акцент2 14" xfId="901"/>
    <cellStyle name="20% — акцент2 15" xfId="902"/>
    <cellStyle name="20% — акцент2 16" xfId="903"/>
    <cellStyle name="20% — акцент2 17" xfId="904"/>
    <cellStyle name="20% — акцент2 18" xfId="905"/>
    <cellStyle name="20% — акцент2 19" xfId="906"/>
    <cellStyle name="20% - Акцент2 2" xfId="907"/>
    <cellStyle name="20% — акцент2 2" xfId="908"/>
    <cellStyle name="20% - Акцент2 2 10" xfId="909"/>
    <cellStyle name="20% - Акцент2 2 2" xfId="910"/>
    <cellStyle name="20% - Акцент2 2 2 2" xfId="911"/>
    <cellStyle name="20% - Акцент2 2 3" xfId="912"/>
    <cellStyle name="20% - Акцент2 2 3 2" xfId="913"/>
    <cellStyle name="20% - Акцент2 2 4" xfId="914"/>
    <cellStyle name="20% - Акцент2 2 5" xfId="915"/>
    <cellStyle name="20% - Акцент2 2 6" xfId="916"/>
    <cellStyle name="20% - Акцент2 2 7" xfId="917"/>
    <cellStyle name="20% - Акцент2 2 8" xfId="918"/>
    <cellStyle name="20% - Акцент2 2 9" xfId="919"/>
    <cellStyle name="20% - Акцент2 2_46EE.2011(v1.0)" xfId="920"/>
    <cellStyle name="20% — акцент2 20" xfId="921"/>
    <cellStyle name="20% — акцент2 21" xfId="922"/>
    <cellStyle name="20% - Акцент2 3" xfId="923"/>
    <cellStyle name="20% — акцент2 3" xfId="924"/>
    <cellStyle name="20% - Акцент2 3 10" xfId="925"/>
    <cellStyle name="20% - Акцент2 3 11" xfId="926"/>
    <cellStyle name="20% - Акцент2 3 2" xfId="927"/>
    <cellStyle name="20% - Акцент2 3 2 2" xfId="928"/>
    <cellStyle name="20% - Акцент2 3 3" xfId="929"/>
    <cellStyle name="20% - Акцент2 3 3 2" xfId="930"/>
    <cellStyle name="20% - Акцент2 3 4" xfId="931"/>
    <cellStyle name="20% - Акцент2 3 5" xfId="932"/>
    <cellStyle name="20% - Акцент2 3 6" xfId="933"/>
    <cellStyle name="20% - Акцент2 3 7" xfId="934"/>
    <cellStyle name="20% - Акцент2 3 8" xfId="935"/>
    <cellStyle name="20% - Акцент2 3 9" xfId="936"/>
    <cellStyle name="20% - Акцент2 3_46EE.2011(v1.0)" xfId="937"/>
    <cellStyle name="20% - Акцент2 4" xfId="938"/>
    <cellStyle name="20% — акцент2 4" xfId="939"/>
    <cellStyle name="20% - Акцент2 4 2" xfId="940"/>
    <cellStyle name="20% - Акцент2 4 2 2" xfId="941"/>
    <cellStyle name="20% - Акцент2 4 3" xfId="942"/>
    <cellStyle name="20% - Акцент2 4 3 2" xfId="943"/>
    <cellStyle name="20% - Акцент2 4_46EE.2011(v1.0)" xfId="944"/>
    <cellStyle name="20% - Акцент2 5" xfId="945"/>
    <cellStyle name="20% — акцент2 5" xfId="946"/>
    <cellStyle name="20% - Акцент2 5 2" xfId="947"/>
    <cellStyle name="20% - Акцент2 5 2 2" xfId="948"/>
    <cellStyle name="20% - Акцент2 5 3" xfId="949"/>
    <cellStyle name="20% - Акцент2 5 3 2" xfId="950"/>
    <cellStyle name="20% - Акцент2 5_46EE.2011(v1.0)" xfId="951"/>
    <cellStyle name="20% - Акцент2 6" xfId="952"/>
    <cellStyle name="20% — акцент2 6" xfId="953"/>
    <cellStyle name="20% - Акцент2 6 2" xfId="954"/>
    <cellStyle name="20% - Акцент2 6 2 2" xfId="955"/>
    <cellStyle name="20% - Акцент2 6 3" xfId="956"/>
    <cellStyle name="20% - Акцент2 6 3 2" xfId="957"/>
    <cellStyle name="20% - Акцент2 6_46EE.2011(v1.0)" xfId="958"/>
    <cellStyle name="20% - Акцент2 7" xfId="959"/>
    <cellStyle name="20% — акцент2 7" xfId="960"/>
    <cellStyle name="20% - Акцент2 7 2" xfId="961"/>
    <cellStyle name="20% - Акцент2 7 2 2" xfId="962"/>
    <cellStyle name="20% - Акцент2 7 3" xfId="963"/>
    <cellStyle name="20% - Акцент2 7 3 2" xfId="964"/>
    <cellStyle name="20% - Акцент2 7_46EE.2011(v1.0)" xfId="965"/>
    <cellStyle name="20% - Акцент2 8" xfId="966"/>
    <cellStyle name="20% — акцент2 8" xfId="967"/>
    <cellStyle name="20% - Акцент2 8 2" xfId="968"/>
    <cellStyle name="20% - Акцент2 8 2 2" xfId="969"/>
    <cellStyle name="20% - Акцент2 8 3" xfId="970"/>
    <cellStyle name="20% - Акцент2 8 3 2" xfId="971"/>
    <cellStyle name="20% - Акцент2 8 4" xfId="972"/>
    <cellStyle name="20% - Акцент2 8_46EE.2011(v1.0)" xfId="973"/>
    <cellStyle name="20% - Акцент2 9" xfId="974"/>
    <cellStyle name="20% — акцент2 9" xfId="975"/>
    <cellStyle name="20% - Акцент2 9 2" xfId="976"/>
    <cellStyle name="20% - Акцент2 9 2 2" xfId="977"/>
    <cellStyle name="20% - Акцент2 9 3" xfId="978"/>
    <cellStyle name="20% - Акцент2 9 3 2" xfId="979"/>
    <cellStyle name="20% - Акцент2 9 4" xfId="980"/>
    <cellStyle name="20% - Акцент2 9_46EE.2011(v1.0)" xfId="981"/>
    <cellStyle name="20% — акцент2_Расчет тарифа на тэ 2015 СЛФ" xfId="982"/>
    <cellStyle name="20% — акцент3" xfId="983"/>
    <cellStyle name="20% - Акцент3 10" xfId="984"/>
    <cellStyle name="20% — акцент3 10" xfId="985"/>
    <cellStyle name="20% - Акцент3 10 2" xfId="986"/>
    <cellStyle name="20% - Акцент3 11" xfId="987"/>
    <cellStyle name="20% — акцент3 11" xfId="988"/>
    <cellStyle name="20% - Акцент3 11 2" xfId="989"/>
    <cellStyle name="20% — акцент3 12" xfId="990"/>
    <cellStyle name="20% — акцент3 13" xfId="991"/>
    <cellStyle name="20% — акцент3 14" xfId="992"/>
    <cellStyle name="20% — акцент3 15" xfId="993"/>
    <cellStyle name="20% — акцент3 16" xfId="994"/>
    <cellStyle name="20% — акцент3 17" xfId="995"/>
    <cellStyle name="20% — акцент3 18" xfId="996"/>
    <cellStyle name="20% — акцент3 19" xfId="997"/>
    <cellStyle name="20% - Акцент3 2" xfId="998"/>
    <cellStyle name="20% — акцент3 2" xfId="999"/>
    <cellStyle name="20% - Акцент3 2 10" xfId="1000"/>
    <cellStyle name="20% - Акцент3 2 2" xfId="1001"/>
    <cellStyle name="20% - Акцент3 2 2 2" xfId="1002"/>
    <cellStyle name="20% - Акцент3 2 3" xfId="1003"/>
    <cellStyle name="20% - Акцент3 2 3 2" xfId="1004"/>
    <cellStyle name="20% - Акцент3 2 4" xfId="1005"/>
    <cellStyle name="20% - Акцент3 2 5" xfId="1006"/>
    <cellStyle name="20% - Акцент3 2 6" xfId="1007"/>
    <cellStyle name="20% - Акцент3 2 7" xfId="1008"/>
    <cellStyle name="20% - Акцент3 2 8" xfId="1009"/>
    <cellStyle name="20% - Акцент3 2 9" xfId="1010"/>
    <cellStyle name="20% - Акцент3 2_46EE.2011(v1.0)" xfId="1011"/>
    <cellStyle name="20% — акцент3 20" xfId="1012"/>
    <cellStyle name="20% — акцент3 21" xfId="1013"/>
    <cellStyle name="20% - Акцент3 3" xfId="1014"/>
    <cellStyle name="20% — акцент3 3" xfId="1015"/>
    <cellStyle name="20% - Акцент3 3 10" xfId="1016"/>
    <cellStyle name="20% - Акцент3 3 11" xfId="1017"/>
    <cellStyle name="20% - Акцент3 3 2" xfId="1018"/>
    <cellStyle name="20% - Акцент3 3 2 2" xfId="1019"/>
    <cellStyle name="20% - Акцент3 3 3" xfId="1020"/>
    <cellStyle name="20% - Акцент3 3 3 2" xfId="1021"/>
    <cellStyle name="20% - Акцент3 3 4" xfId="1022"/>
    <cellStyle name="20% - Акцент3 3 5" xfId="1023"/>
    <cellStyle name="20% - Акцент3 3 6" xfId="1024"/>
    <cellStyle name="20% - Акцент3 3 7" xfId="1025"/>
    <cellStyle name="20% - Акцент3 3 8" xfId="1026"/>
    <cellStyle name="20% - Акцент3 3 9" xfId="1027"/>
    <cellStyle name="20% - Акцент3 3_46EE.2011(v1.0)" xfId="1028"/>
    <cellStyle name="20% - Акцент3 4" xfId="1029"/>
    <cellStyle name="20% — акцент3 4" xfId="1030"/>
    <cellStyle name="20% - Акцент3 4 2" xfId="1031"/>
    <cellStyle name="20% - Акцент3 4 2 2" xfId="1032"/>
    <cellStyle name="20% - Акцент3 4 3" xfId="1033"/>
    <cellStyle name="20% - Акцент3 4 3 2" xfId="1034"/>
    <cellStyle name="20% - Акцент3 4_46EE.2011(v1.0)" xfId="1035"/>
    <cellStyle name="20% - Акцент3 5" xfId="1036"/>
    <cellStyle name="20% — акцент3 5" xfId="1037"/>
    <cellStyle name="20% - Акцент3 5 2" xfId="1038"/>
    <cellStyle name="20% - Акцент3 5 2 2" xfId="1039"/>
    <cellStyle name="20% - Акцент3 5 3" xfId="1040"/>
    <cellStyle name="20% - Акцент3 5 3 2" xfId="1041"/>
    <cellStyle name="20% - Акцент3 5_46EE.2011(v1.0)" xfId="1042"/>
    <cellStyle name="20% - Акцент3 6" xfId="1043"/>
    <cellStyle name="20% — акцент3 6" xfId="1044"/>
    <cellStyle name="20% - Акцент3 6 2" xfId="1045"/>
    <cellStyle name="20% - Акцент3 6 2 2" xfId="1046"/>
    <cellStyle name="20% - Акцент3 6 3" xfId="1047"/>
    <cellStyle name="20% - Акцент3 6 3 2" xfId="1048"/>
    <cellStyle name="20% - Акцент3 6_46EE.2011(v1.0)" xfId="1049"/>
    <cellStyle name="20% - Акцент3 7" xfId="1050"/>
    <cellStyle name="20% — акцент3 7" xfId="1051"/>
    <cellStyle name="20% - Акцент3 7 2" xfId="1052"/>
    <cellStyle name="20% - Акцент3 7 2 2" xfId="1053"/>
    <cellStyle name="20% - Акцент3 7 3" xfId="1054"/>
    <cellStyle name="20% - Акцент3 7 3 2" xfId="1055"/>
    <cellStyle name="20% - Акцент3 7_46EE.2011(v1.0)" xfId="1056"/>
    <cellStyle name="20% - Акцент3 8" xfId="1057"/>
    <cellStyle name="20% — акцент3 8" xfId="1058"/>
    <cellStyle name="20% - Акцент3 8 2" xfId="1059"/>
    <cellStyle name="20% - Акцент3 8 2 2" xfId="1060"/>
    <cellStyle name="20% - Акцент3 8 3" xfId="1061"/>
    <cellStyle name="20% - Акцент3 8 3 2" xfId="1062"/>
    <cellStyle name="20% - Акцент3 8 4" xfId="1063"/>
    <cellStyle name="20% - Акцент3 8_46EE.2011(v1.0)" xfId="1064"/>
    <cellStyle name="20% - Акцент3 9" xfId="1065"/>
    <cellStyle name="20% — акцент3 9" xfId="1066"/>
    <cellStyle name="20% - Акцент3 9 2" xfId="1067"/>
    <cellStyle name="20% - Акцент3 9 2 2" xfId="1068"/>
    <cellStyle name="20% - Акцент3 9 3" xfId="1069"/>
    <cellStyle name="20% - Акцент3 9 3 2" xfId="1070"/>
    <cellStyle name="20% - Акцент3 9 4" xfId="1071"/>
    <cellStyle name="20% - Акцент3 9_46EE.2011(v1.0)" xfId="1072"/>
    <cellStyle name="20% — акцент3_Расчет тарифа на тэ 2015 СЛФ" xfId="1073"/>
    <cellStyle name="20% — акцент4" xfId="1074"/>
    <cellStyle name="20% - Акцент4 10" xfId="1075"/>
    <cellStyle name="20% — акцент4 10" xfId="1076"/>
    <cellStyle name="20% - Акцент4 10 2" xfId="1077"/>
    <cellStyle name="20% - Акцент4 11" xfId="1078"/>
    <cellStyle name="20% — акцент4 11" xfId="1079"/>
    <cellStyle name="20% - Акцент4 11 2" xfId="1080"/>
    <cellStyle name="20% — акцент4 12" xfId="1081"/>
    <cellStyle name="20% — акцент4 13" xfId="1082"/>
    <cellStyle name="20% — акцент4 14" xfId="1083"/>
    <cellStyle name="20% — акцент4 15" xfId="1084"/>
    <cellStyle name="20% — акцент4 16" xfId="1085"/>
    <cellStyle name="20% — акцент4 17" xfId="1086"/>
    <cellStyle name="20% — акцент4 18" xfId="1087"/>
    <cellStyle name="20% — акцент4 19" xfId="1088"/>
    <cellStyle name="20% - Акцент4 2" xfId="1089"/>
    <cellStyle name="20% — акцент4 2" xfId="1090"/>
    <cellStyle name="20% - Акцент4 2 10" xfId="1091"/>
    <cellStyle name="20% - Акцент4 2 2" xfId="1092"/>
    <cellStyle name="20% - Акцент4 2 2 2" xfId="1093"/>
    <cellStyle name="20% - Акцент4 2 3" xfId="1094"/>
    <cellStyle name="20% - Акцент4 2 3 2" xfId="1095"/>
    <cellStyle name="20% - Акцент4 2 4" xfId="1096"/>
    <cellStyle name="20% - Акцент4 2 5" xfId="1097"/>
    <cellStyle name="20% - Акцент4 2 6" xfId="1098"/>
    <cellStyle name="20% - Акцент4 2 7" xfId="1099"/>
    <cellStyle name="20% - Акцент4 2 8" xfId="1100"/>
    <cellStyle name="20% - Акцент4 2 9" xfId="1101"/>
    <cellStyle name="20% - Акцент4 2_46EE.2011(v1.0)" xfId="1102"/>
    <cellStyle name="20% — акцент4 20" xfId="1103"/>
    <cellStyle name="20% — акцент4 21" xfId="1104"/>
    <cellStyle name="20% - Акцент4 3" xfId="1105"/>
    <cellStyle name="20% — акцент4 3" xfId="1106"/>
    <cellStyle name="20% - Акцент4 3 10" xfId="1107"/>
    <cellStyle name="20% - Акцент4 3 11" xfId="1108"/>
    <cellStyle name="20% - Акцент4 3 2" xfId="1109"/>
    <cellStyle name="20% - Акцент4 3 2 2" xfId="1110"/>
    <cellStyle name="20% - Акцент4 3 3" xfId="1111"/>
    <cellStyle name="20% - Акцент4 3 3 2" xfId="1112"/>
    <cellStyle name="20% - Акцент4 3 4" xfId="1113"/>
    <cellStyle name="20% - Акцент4 3 5" xfId="1114"/>
    <cellStyle name="20% - Акцент4 3 6" xfId="1115"/>
    <cellStyle name="20% - Акцент4 3 7" xfId="1116"/>
    <cellStyle name="20% - Акцент4 3 8" xfId="1117"/>
    <cellStyle name="20% - Акцент4 3 9" xfId="1118"/>
    <cellStyle name="20% - Акцент4 3_46EE.2011(v1.0)" xfId="1119"/>
    <cellStyle name="20% - Акцент4 4" xfId="1120"/>
    <cellStyle name="20% — акцент4 4" xfId="1121"/>
    <cellStyle name="20% - Акцент4 4 2" xfId="1122"/>
    <cellStyle name="20% - Акцент4 4 2 2" xfId="1123"/>
    <cellStyle name="20% - Акцент4 4 3" xfId="1124"/>
    <cellStyle name="20% - Акцент4 4 3 2" xfId="1125"/>
    <cellStyle name="20% - Акцент4 4_46EE.2011(v1.0)" xfId="1126"/>
    <cellStyle name="20% - Акцент4 5" xfId="1127"/>
    <cellStyle name="20% — акцент4 5" xfId="1128"/>
    <cellStyle name="20% - Акцент4 5 2" xfId="1129"/>
    <cellStyle name="20% - Акцент4 5 2 2" xfId="1130"/>
    <cellStyle name="20% - Акцент4 5 3" xfId="1131"/>
    <cellStyle name="20% - Акцент4 5 3 2" xfId="1132"/>
    <cellStyle name="20% - Акцент4 5_46EE.2011(v1.0)" xfId="1133"/>
    <cellStyle name="20% - Акцент4 6" xfId="1134"/>
    <cellStyle name="20% — акцент4 6" xfId="1135"/>
    <cellStyle name="20% - Акцент4 6 2" xfId="1136"/>
    <cellStyle name="20% - Акцент4 6 2 2" xfId="1137"/>
    <cellStyle name="20% - Акцент4 6 3" xfId="1138"/>
    <cellStyle name="20% - Акцент4 6 3 2" xfId="1139"/>
    <cellStyle name="20% - Акцент4 6_46EE.2011(v1.0)" xfId="1140"/>
    <cellStyle name="20% - Акцент4 7" xfId="1141"/>
    <cellStyle name="20% — акцент4 7" xfId="1142"/>
    <cellStyle name="20% - Акцент4 7 2" xfId="1143"/>
    <cellStyle name="20% - Акцент4 7 2 2" xfId="1144"/>
    <cellStyle name="20% - Акцент4 7 3" xfId="1145"/>
    <cellStyle name="20% - Акцент4 7 3 2" xfId="1146"/>
    <cellStyle name="20% - Акцент4 7_46EE.2011(v1.0)" xfId="1147"/>
    <cellStyle name="20% - Акцент4 8" xfId="1148"/>
    <cellStyle name="20% — акцент4 8" xfId="1149"/>
    <cellStyle name="20% - Акцент4 8 2" xfId="1150"/>
    <cellStyle name="20% - Акцент4 8 2 2" xfId="1151"/>
    <cellStyle name="20% - Акцент4 8 3" xfId="1152"/>
    <cellStyle name="20% - Акцент4 8 3 2" xfId="1153"/>
    <cellStyle name="20% - Акцент4 8 4" xfId="1154"/>
    <cellStyle name="20% - Акцент4 8_46EE.2011(v1.0)" xfId="1155"/>
    <cellStyle name="20% - Акцент4 9" xfId="1156"/>
    <cellStyle name="20% — акцент4 9" xfId="1157"/>
    <cellStyle name="20% - Акцент4 9 2" xfId="1158"/>
    <cellStyle name="20% - Акцент4 9 2 2" xfId="1159"/>
    <cellStyle name="20% - Акцент4 9 3" xfId="1160"/>
    <cellStyle name="20% - Акцент4 9 3 2" xfId="1161"/>
    <cellStyle name="20% - Акцент4 9 4" xfId="1162"/>
    <cellStyle name="20% - Акцент4 9_46EE.2011(v1.0)" xfId="1163"/>
    <cellStyle name="20% — акцент4_Расчет тарифа на тэ 2015 СЛФ" xfId="1164"/>
    <cellStyle name="20% — акцент5" xfId="1165"/>
    <cellStyle name="20% - Акцент5 10" xfId="1166"/>
    <cellStyle name="20% — акцент5 10" xfId="1167"/>
    <cellStyle name="20% - Акцент5 10 2" xfId="1168"/>
    <cellStyle name="20% - Акцент5 11" xfId="1169"/>
    <cellStyle name="20% — акцент5 11" xfId="1170"/>
    <cellStyle name="20% - Акцент5 11 2" xfId="1171"/>
    <cellStyle name="20% — акцент5 12" xfId="1172"/>
    <cellStyle name="20% — акцент5 13" xfId="1173"/>
    <cellStyle name="20% — акцент5 14" xfId="1174"/>
    <cellStyle name="20% — акцент5 15" xfId="1175"/>
    <cellStyle name="20% — акцент5 16" xfId="1176"/>
    <cellStyle name="20% — акцент5 17" xfId="1177"/>
    <cellStyle name="20% — акцент5 18" xfId="1178"/>
    <cellStyle name="20% — акцент5 19" xfId="1179"/>
    <cellStyle name="20% - Акцент5 2" xfId="1180"/>
    <cellStyle name="20% — акцент5 2" xfId="1181"/>
    <cellStyle name="20% - Акцент5 2 10" xfId="1182"/>
    <cellStyle name="20% - Акцент5 2 2" xfId="1183"/>
    <cellStyle name="20% - Акцент5 2 2 2" xfId="1184"/>
    <cellStyle name="20% - Акцент5 2 3" xfId="1185"/>
    <cellStyle name="20% - Акцент5 2 3 2" xfId="1186"/>
    <cellStyle name="20% - Акцент5 2 4" xfId="1187"/>
    <cellStyle name="20% - Акцент5 2 5" xfId="1188"/>
    <cellStyle name="20% - Акцент5 2 6" xfId="1189"/>
    <cellStyle name="20% - Акцент5 2 7" xfId="1190"/>
    <cellStyle name="20% - Акцент5 2 8" xfId="1191"/>
    <cellStyle name="20% - Акцент5 2 9" xfId="1192"/>
    <cellStyle name="20% - Акцент5 2_46EE.2011(v1.0)" xfId="1193"/>
    <cellStyle name="20% — акцент5 20" xfId="1194"/>
    <cellStyle name="20% — акцент5 21" xfId="1195"/>
    <cellStyle name="20% - Акцент5 3" xfId="1196"/>
    <cellStyle name="20% — акцент5 3" xfId="1197"/>
    <cellStyle name="20% - Акцент5 3 10" xfId="1198"/>
    <cellStyle name="20% - Акцент5 3 11" xfId="1199"/>
    <cellStyle name="20% - Акцент5 3 2" xfId="1200"/>
    <cellStyle name="20% - Акцент5 3 2 2" xfId="1201"/>
    <cellStyle name="20% - Акцент5 3 3" xfId="1202"/>
    <cellStyle name="20% - Акцент5 3 3 2" xfId="1203"/>
    <cellStyle name="20% - Акцент5 3 4" xfId="1204"/>
    <cellStyle name="20% - Акцент5 3 5" xfId="1205"/>
    <cellStyle name="20% - Акцент5 3 6" xfId="1206"/>
    <cellStyle name="20% - Акцент5 3 7" xfId="1207"/>
    <cellStyle name="20% - Акцент5 3 8" xfId="1208"/>
    <cellStyle name="20% - Акцент5 3 9" xfId="1209"/>
    <cellStyle name="20% - Акцент5 3_46EE.2011(v1.0)" xfId="1210"/>
    <cellStyle name="20% - Акцент5 4" xfId="1211"/>
    <cellStyle name="20% — акцент5 4" xfId="1212"/>
    <cellStyle name="20% - Акцент5 4 2" xfId="1213"/>
    <cellStyle name="20% - Акцент5 4 2 2" xfId="1214"/>
    <cellStyle name="20% - Акцент5 4 3" xfId="1215"/>
    <cellStyle name="20% - Акцент5 4 3 2" xfId="1216"/>
    <cellStyle name="20% - Акцент5 4_46EE.2011(v1.0)" xfId="1217"/>
    <cellStyle name="20% - Акцент5 5" xfId="1218"/>
    <cellStyle name="20% — акцент5 5" xfId="1219"/>
    <cellStyle name="20% - Акцент5 5 2" xfId="1220"/>
    <cellStyle name="20% - Акцент5 5 2 2" xfId="1221"/>
    <cellStyle name="20% - Акцент5 5 3" xfId="1222"/>
    <cellStyle name="20% - Акцент5 5 3 2" xfId="1223"/>
    <cellStyle name="20% - Акцент5 5_46EE.2011(v1.0)" xfId="1224"/>
    <cellStyle name="20% - Акцент5 6" xfId="1225"/>
    <cellStyle name="20% — акцент5 6" xfId="1226"/>
    <cellStyle name="20% - Акцент5 6 2" xfId="1227"/>
    <cellStyle name="20% - Акцент5 6 2 2" xfId="1228"/>
    <cellStyle name="20% - Акцент5 6 3" xfId="1229"/>
    <cellStyle name="20% - Акцент5 6 3 2" xfId="1230"/>
    <cellStyle name="20% - Акцент5 6_46EE.2011(v1.0)" xfId="1231"/>
    <cellStyle name="20% - Акцент5 7" xfId="1232"/>
    <cellStyle name="20% — акцент5 7" xfId="1233"/>
    <cellStyle name="20% - Акцент5 7 2" xfId="1234"/>
    <cellStyle name="20% - Акцент5 7 2 2" xfId="1235"/>
    <cellStyle name="20% - Акцент5 7 3" xfId="1236"/>
    <cellStyle name="20% - Акцент5 7 3 2" xfId="1237"/>
    <cellStyle name="20% - Акцент5 7_46EE.2011(v1.0)" xfId="1238"/>
    <cellStyle name="20% - Акцент5 8" xfId="1239"/>
    <cellStyle name="20% — акцент5 8" xfId="1240"/>
    <cellStyle name="20% - Акцент5 8 2" xfId="1241"/>
    <cellStyle name="20% - Акцент5 8 2 2" xfId="1242"/>
    <cellStyle name="20% - Акцент5 8 3" xfId="1243"/>
    <cellStyle name="20% - Акцент5 8 3 2" xfId="1244"/>
    <cellStyle name="20% - Акцент5 8 4" xfId="1245"/>
    <cellStyle name="20% - Акцент5 8_46EE.2011(v1.0)" xfId="1246"/>
    <cellStyle name="20% - Акцент5 9" xfId="1247"/>
    <cellStyle name="20% — акцент5 9" xfId="1248"/>
    <cellStyle name="20% - Акцент5 9 2" xfId="1249"/>
    <cellStyle name="20% - Акцент5 9 2 2" xfId="1250"/>
    <cellStyle name="20% - Акцент5 9 3" xfId="1251"/>
    <cellStyle name="20% - Акцент5 9 3 2" xfId="1252"/>
    <cellStyle name="20% - Акцент5 9 4" xfId="1253"/>
    <cellStyle name="20% - Акцент5 9_46EE.2011(v1.0)" xfId="1254"/>
    <cellStyle name="20% — акцент5_Расчет тарифа на тэ 2015 СЛФ" xfId="1255"/>
    <cellStyle name="20% — акцент6" xfId="1256"/>
    <cellStyle name="20% - Акцент6 10" xfId="1257"/>
    <cellStyle name="20% — акцент6 10" xfId="1258"/>
    <cellStyle name="20% - Акцент6 10 2" xfId="1259"/>
    <cellStyle name="20% - Акцент6 11" xfId="1260"/>
    <cellStyle name="20% — акцент6 11" xfId="1261"/>
    <cellStyle name="20% - Акцент6 11 2" xfId="1262"/>
    <cellStyle name="20% — акцент6 12" xfId="1263"/>
    <cellStyle name="20% — акцент6 13" xfId="1264"/>
    <cellStyle name="20% — акцент6 14" xfId="1265"/>
    <cellStyle name="20% — акцент6 15" xfId="1266"/>
    <cellStyle name="20% — акцент6 16" xfId="1267"/>
    <cellStyle name="20% — акцент6 17" xfId="1268"/>
    <cellStyle name="20% — акцент6 18" xfId="1269"/>
    <cellStyle name="20% — акцент6 19" xfId="1270"/>
    <cellStyle name="20% - Акцент6 2" xfId="1271"/>
    <cellStyle name="20% — акцент6 2" xfId="1272"/>
    <cellStyle name="20% - Акцент6 2 10" xfId="1273"/>
    <cellStyle name="20% - Акцент6 2 2" xfId="1274"/>
    <cellStyle name="20% - Акцент6 2 2 2" xfId="1275"/>
    <cellStyle name="20% - Акцент6 2 3" xfId="1276"/>
    <cellStyle name="20% - Акцент6 2 3 2" xfId="1277"/>
    <cellStyle name="20% - Акцент6 2 4" xfId="1278"/>
    <cellStyle name="20% - Акцент6 2 5" xfId="1279"/>
    <cellStyle name="20% - Акцент6 2 6" xfId="1280"/>
    <cellStyle name="20% - Акцент6 2 7" xfId="1281"/>
    <cellStyle name="20% - Акцент6 2 8" xfId="1282"/>
    <cellStyle name="20% - Акцент6 2 9" xfId="1283"/>
    <cellStyle name="20% - Акцент6 2_46EE.2011(v1.0)" xfId="1284"/>
    <cellStyle name="20% — акцент6 20" xfId="1285"/>
    <cellStyle name="20% — акцент6 21" xfId="1286"/>
    <cellStyle name="20% - Акцент6 3" xfId="1287"/>
    <cellStyle name="20% — акцент6 3" xfId="1288"/>
    <cellStyle name="20% - Акцент6 3 10" xfId="1289"/>
    <cellStyle name="20% - Акцент6 3 11" xfId="1290"/>
    <cellStyle name="20% - Акцент6 3 2" xfId="1291"/>
    <cellStyle name="20% - Акцент6 3 2 2" xfId="1292"/>
    <cellStyle name="20% - Акцент6 3 3" xfId="1293"/>
    <cellStyle name="20% - Акцент6 3 3 2" xfId="1294"/>
    <cellStyle name="20% - Акцент6 3 4" xfId="1295"/>
    <cellStyle name="20% - Акцент6 3 5" xfId="1296"/>
    <cellStyle name="20% - Акцент6 3 6" xfId="1297"/>
    <cellStyle name="20% - Акцент6 3 7" xfId="1298"/>
    <cellStyle name="20% - Акцент6 3 8" xfId="1299"/>
    <cellStyle name="20% - Акцент6 3 9" xfId="1300"/>
    <cellStyle name="20% - Акцент6 3_46EE.2011(v1.0)" xfId="1301"/>
    <cellStyle name="20% - Акцент6 4" xfId="1302"/>
    <cellStyle name="20% — акцент6 4" xfId="1303"/>
    <cellStyle name="20% - Акцент6 4 2" xfId="1304"/>
    <cellStyle name="20% - Акцент6 4 2 2" xfId="1305"/>
    <cellStyle name="20% - Акцент6 4 3" xfId="1306"/>
    <cellStyle name="20% - Акцент6 4 3 2" xfId="1307"/>
    <cellStyle name="20% - Акцент6 4_46EE.2011(v1.0)" xfId="1308"/>
    <cellStyle name="20% - Акцент6 5" xfId="1309"/>
    <cellStyle name="20% — акцент6 5" xfId="1310"/>
    <cellStyle name="20% - Акцент6 5 2" xfId="1311"/>
    <cellStyle name="20% - Акцент6 5 2 2" xfId="1312"/>
    <cellStyle name="20% - Акцент6 5 3" xfId="1313"/>
    <cellStyle name="20% - Акцент6 5 3 2" xfId="1314"/>
    <cellStyle name="20% - Акцент6 5_46EE.2011(v1.0)" xfId="1315"/>
    <cellStyle name="20% - Акцент6 6" xfId="1316"/>
    <cellStyle name="20% — акцент6 6" xfId="1317"/>
    <cellStyle name="20% - Акцент6 6 2" xfId="1318"/>
    <cellStyle name="20% - Акцент6 6 2 2" xfId="1319"/>
    <cellStyle name="20% - Акцент6 6 3" xfId="1320"/>
    <cellStyle name="20% - Акцент6 6 3 2" xfId="1321"/>
    <cellStyle name="20% - Акцент6 6_46EE.2011(v1.0)" xfId="1322"/>
    <cellStyle name="20% - Акцент6 7" xfId="1323"/>
    <cellStyle name="20% — акцент6 7" xfId="1324"/>
    <cellStyle name="20% - Акцент6 7 2" xfId="1325"/>
    <cellStyle name="20% - Акцент6 7 2 2" xfId="1326"/>
    <cellStyle name="20% - Акцент6 7 3" xfId="1327"/>
    <cellStyle name="20% - Акцент6 7 3 2" xfId="1328"/>
    <cellStyle name="20% - Акцент6 7_46EE.2011(v1.0)" xfId="1329"/>
    <cellStyle name="20% - Акцент6 8" xfId="1330"/>
    <cellStyle name="20% — акцент6 8" xfId="1331"/>
    <cellStyle name="20% - Акцент6 8 2" xfId="1332"/>
    <cellStyle name="20% - Акцент6 8 2 2" xfId="1333"/>
    <cellStyle name="20% - Акцент6 8 3" xfId="1334"/>
    <cellStyle name="20% - Акцент6 8 3 2" xfId="1335"/>
    <cellStyle name="20% - Акцент6 8 4" xfId="1336"/>
    <cellStyle name="20% - Акцент6 8_46EE.2011(v1.0)" xfId="1337"/>
    <cellStyle name="20% - Акцент6 9" xfId="1338"/>
    <cellStyle name="20% — акцент6 9" xfId="1339"/>
    <cellStyle name="20% - Акцент6 9 2" xfId="1340"/>
    <cellStyle name="20% - Акцент6 9 2 2" xfId="1341"/>
    <cellStyle name="20% - Акцент6 9 3" xfId="1342"/>
    <cellStyle name="20% - Акцент6 9 3 2" xfId="1343"/>
    <cellStyle name="20% - Акцент6 9 4" xfId="1344"/>
    <cellStyle name="20% - Акцент6 9_46EE.2011(v1.0)" xfId="1345"/>
    <cellStyle name="20% — акцент6_Расчет тарифа на тэ 2015 СЛФ" xfId="1346"/>
    <cellStyle name="40% - Accent1" xfId="1347"/>
    <cellStyle name="40% - Accent1 2" xfId="1348"/>
    <cellStyle name="40% - Accent1 2 2" xfId="1349"/>
    <cellStyle name="40% - Accent1 3" xfId="1350"/>
    <cellStyle name="40% - Accent1 3 2" xfId="1351"/>
    <cellStyle name="40% - Accent1 4" xfId="1352"/>
    <cellStyle name="40% - Accent1_46EE.2011(v1.0)" xfId="1353"/>
    <cellStyle name="40% - Accent2" xfId="1354"/>
    <cellStyle name="40% - Accent2 2" xfId="1355"/>
    <cellStyle name="40% - Accent2 2 2" xfId="1356"/>
    <cellStyle name="40% - Accent2 3" xfId="1357"/>
    <cellStyle name="40% - Accent2 3 2" xfId="1358"/>
    <cellStyle name="40% - Accent2 4" xfId="1359"/>
    <cellStyle name="40% - Accent2_46EE.2011(v1.0)" xfId="1360"/>
    <cellStyle name="40% - Accent3" xfId="1361"/>
    <cellStyle name="40% - Accent3 2" xfId="1362"/>
    <cellStyle name="40% - Accent3 2 2" xfId="1363"/>
    <cellStyle name="40% - Accent3 3" xfId="1364"/>
    <cellStyle name="40% - Accent3 3 2" xfId="1365"/>
    <cellStyle name="40% - Accent3 4" xfId="1366"/>
    <cellStyle name="40% - Accent3_46EE.2011(v1.0)" xfId="1367"/>
    <cellStyle name="40% - Accent4" xfId="1368"/>
    <cellStyle name="40% - Accent4 2" xfId="1369"/>
    <cellStyle name="40% - Accent4 2 2" xfId="1370"/>
    <cellStyle name="40% - Accent4 3" xfId="1371"/>
    <cellStyle name="40% - Accent4 3 2" xfId="1372"/>
    <cellStyle name="40% - Accent4 4" xfId="1373"/>
    <cellStyle name="40% - Accent4_46EE.2011(v1.0)" xfId="1374"/>
    <cellStyle name="40% - Accent5" xfId="1375"/>
    <cellStyle name="40% - Accent5 2" xfId="1376"/>
    <cellStyle name="40% - Accent5 2 2" xfId="1377"/>
    <cellStyle name="40% - Accent5 3" xfId="1378"/>
    <cellStyle name="40% - Accent5 3 2" xfId="1379"/>
    <cellStyle name="40% - Accent5 4" xfId="1380"/>
    <cellStyle name="40% - Accent5_46EE.2011(v1.0)" xfId="1381"/>
    <cellStyle name="40% - Accent6" xfId="1382"/>
    <cellStyle name="40% - Accent6 2" xfId="1383"/>
    <cellStyle name="40% - Accent6 2 2" xfId="1384"/>
    <cellStyle name="40% - Accent6 3" xfId="1385"/>
    <cellStyle name="40% - Accent6 3 2" xfId="1386"/>
    <cellStyle name="40% - Accent6 4" xfId="1387"/>
    <cellStyle name="40% - Accent6_46EE.2011(v1.0)" xfId="1388"/>
    <cellStyle name="40% — акцент1" xfId="1389"/>
    <cellStyle name="40% - Акцент1 10" xfId="1390"/>
    <cellStyle name="40% — акцент1 10" xfId="1391"/>
    <cellStyle name="40% - Акцент1 10 2" xfId="1392"/>
    <cellStyle name="40% - Акцент1 11" xfId="1393"/>
    <cellStyle name="40% — акцент1 11" xfId="1394"/>
    <cellStyle name="40% - Акцент1 11 2" xfId="1395"/>
    <cellStyle name="40% — акцент1 12" xfId="1396"/>
    <cellStyle name="40% — акцент1 13" xfId="1397"/>
    <cellStyle name="40% — акцент1 13 2" xfId="4555"/>
    <cellStyle name="40% — акцент1 14" xfId="1398"/>
    <cellStyle name="40% — акцент1 14 2" xfId="4556"/>
    <cellStyle name="40% — акцент1 15" xfId="1399"/>
    <cellStyle name="40% — акцент1 15 2" xfId="4557"/>
    <cellStyle name="40% — акцент1 16" xfId="1400"/>
    <cellStyle name="40% — акцент1 16 2" xfId="4558"/>
    <cellStyle name="40% — акцент1 17" xfId="1401"/>
    <cellStyle name="40% — акцент1 17 2" xfId="4559"/>
    <cellStyle name="40% — акцент1 18" xfId="1402"/>
    <cellStyle name="40% — акцент1 19" xfId="1403"/>
    <cellStyle name="40% - Акцент1 2" xfId="1404"/>
    <cellStyle name="40% — акцент1 2" xfId="1405"/>
    <cellStyle name="40% - Акцент1 2 10" xfId="1406"/>
    <cellStyle name="40% - Акцент1 2 2" xfId="1407"/>
    <cellStyle name="40% - Акцент1 2 2 2" xfId="1408"/>
    <cellStyle name="40% - Акцент1 2 3" xfId="1409"/>
    <cellStyle name="40% - Акцент1 2 3 2" xfId="1410"/>
    <cellStyle name="40% - Акцент1 2 4" xfId="1411"/>
    <cellStyle name="40% - Акцент1 2 5" xfId="1412"/>
    <cellStyle name="40% - Акцент1 2 6" xfId="1413"/>
    <cellStyle name="40% - Акцент1 2 7" xfId="1414"/>
    <cellStyle name="40% - Акцент1 2 8" xfId="1415"/>
    <cellStyle name="40% - Акцент1 2 9" xfId="1416"/>
    <cellStyle name="40% - Акцент1 2_46EE.2011(v1.0)" xfId="1417"/>
    <cellStyle name="40% — акцент1 20" xfId="1418"/>
    <cellStyle name="40% — акцент1 21" xfId="1419"/>
    <cellStyle name="40% — акцент1 22" xfId="4532"/>
    <cellStyle name="40% — акцент1 23" xfId="4546"/>
    <cellStyle name="40% — акцент1 24" xfId="4531"/>
    <cellStyle name="40% — акцент1 25" xfId="4545"/>
    <cellStyle name="40% - Акцент1 3" xfId="1420"/>
    <cellStyle name="40% — акцент1 3" xfId="1421"/>
    <cellStyle name="40% - Акцент1 3 10" xfId="1422"/>
    <cellStyle name="40% - Акцент1 3 11" xfId="1423"/>
    <cellStyle name="40% - Акцент1 3 2" xfId="1424"/>
    <cellStyle name="40% — акцент1 3 2" xfId="4560"/>
    <cellStyle name="40% - Акцент1 3 2 2" xfId="1425"/>
    <cellStyle name="40% - Акцент1 3 3" xfId="1426"/>
    <cellStyle name="40% — акцент1 3 3" xfId="4524"/>
    <cellStyle name="40% - Акцент1 3 3 2" xfId="1427"/>
    <cellStyle name="40% - Акцент1 3 4" xfId="1428"/>
    <cellStyle name="40% — акцент1 3 4" xfId="4549"/>
    <cellStyle name="40% - Акцент1 3 5" xfId="1429"/>
    <cellStyle name="40% — акцент1 3 5" xfId="4529"/>
    <cellStyle name="40% - Акцент1 3 6" xfId="1430"/>
    <cellStyle name="40% - Акцент1 3 7" xfId="1431"/>
    <cellStyle name="40% - Акцент1 3 8" xfId="1432"/>
    <cellStyle name="40% - Акцент1 3 9" xfId="1433"/>
    <cellStyle name="40% - Акцент1 3_46EE.2011(v1.0)" xfId="1434"/>
    <cellStyle name="40% - Акцент1 4" xfId="1435"/>
    <cellStyle name="40% — акцент1 4" xfId="1436"/>
    <cellStyle name="40% - Акцент1 4 2" xfId="1437"/>
    <cellStyle name="40% - Акцент1 4 2 2" xfId="1438"/>
    <cellStyle name="40% - Акцент1 4 3" xfId="1439"/>
    <cellStyle name="40% - Акцент1 4 3 2" xfId="1440"/>
    <cellStyle name="40% - Акцент1 4_46EE.2011(v1.0)" xfId="1441"/>
    <cellStyle name="40% - Акцент1 5" xfId="1442"/>
    <cellStyle name="40% — акцент1 5" xfId="1443"/>
    <cellStyle name="40% - Акцент1 5 2" xfId="1444"/>
    <cellStyle name="40% - Акцент1 5 2 2" xfId="1445"/>
    <cellStyle name="40% - Акцент1 5 3" xfId="1446"/>
    <cellStyle name="40% - Акцент1 5 3 2" xfId="1447"/>
    <cellStyle name="40% - Акцент1 5_46EE.2011(v1.0)" xfId="1448"/>
    <cellStyle name="40% - Акцент1 6" xfId="1449"/>
    <cellStyle name="40% — акцент1 6" xfId="1450"/>
    <cellStyle name="40% - Акцент1 6 2" xfId="1451"/>
    <cellStyle name="40% - Акцент1 6 2 2" xfId="1452"/>
    <cellStyle name="40% - Акцент1 6 3" xfId="1453"/>
    <cellStyle name="40% - Акцент1 6 3 2" xfId="1454"/>
    <cellStyle name="40% - Акцент1 6_46EE.2011(v1.0)" xfId="1455"/>
    <cellStyle name="40% - Акцент1 7" xfId="1456"/>
    <cellStyle name="40% — акцент1 7" xfId="1457"/>
    <cellStyle name="40% - Акцент1 7 2" xfId="1458"/>
    <cellStyle name="40% - Акцент1 7 2 2" xfId="1459"/>
    <cellStyle name="40% - Акцент1 7 3" xfId="1460"/>
    <cellStyle name="40% - Акцент1 7 3 2" xfId="1461"/>
    <cellStyle name="40% - Акцент1 7_46EE.2011(v1.0)" xfId="1462"/>
    <cellStyle name="40% - Акцент1 8" xfId="1463"/>
    <cellStyle name="40% — акцент1 8" xfId="1464"/>
    <cellStyle name="40% - Акцент1 8 2" xfId="1465"/>
    <cellStyle name="40% - Акцент1 8 2 2" xfId="1466"/>
    <cellStyle name="40% - Акцент1 8 3" xfId="1467"/>
    <cellStyle name="40% - Акцент1 8 3 2" xfId="1468"/>
    <cellStyle name="40% - Акцент1 8 4" xfId="1469"/>
    <cellStyle name="40% - Акцент1 8_46EE.2011(v1.0)" xfId="1470"/>
    <cellStyle name="40% - Акцент1 9" xfId="1471"/>
    <cellStyle name="40% — акцент1 9" xfId="1472"/>
    <cellStyle name="40% - Акцент1 9 2" xfId="1473"/>
    <cellStyle name="40% - Акцент1 9 2 2" xfId="1474"/>
    <cellStyle name="40% - Акцент1 9 3" xfId="1475"/>
    <cellStyle name="40% - Акцент1 9 3 2" xfId="1476"/>
    <cellStyle name="40% - Акцент1 9 4" xfId="1477"/>
    <cellStyle name="40% - Акцент1 9_46EE.2011(v1.0)" xfId="1478"/>
    <cellStyle name="40% — акцент1_Расчет тарифа на тэ 2015 СЛФ" xfId="1479"/>
    <cellStyle name="40% — акцент2" xfId="1480"/>
    <cellStyle name="40% - Акцент2 10" xfId="1481"/>
    <cellStyle name="40% — акцент2 10" xfId="1482"/>
    <cellStyle name="40% - Акцент2 10 2" xfId="1483"/>
    <cellStyle name="40% - Акцент2 11" xfId="1484"/>
    <cellStyle name="40% — акцент2 11" xfId="1485"/>
    <cellStyle name="40% - Акцент2 11 2" xfId="1486"/>
    <cellStyle name="40% — акцент2 12" xfId="1487"/>
    <cellStyle name="40% — акцент2 13" xfId="1488"/>
    <cellStyle name="40% — акцент2 14" xfId="1489"/>
    <cellStyle name="40% — акцент2 15" xfId="1490"/>
    <cellStyle name="40% — акцент2 16" xfId="1491"/>
    <cellStyle name="40% — акцент2 17" xfId="1492"/>
    <cellStyle name="40% — акцент2 18" xfId="1493"/>
    <cellStyle name="40% — акцент2 19" xfId="1494"/>
    <cellStyle name="40% - Акцент2 2" xfId="1495"/>
    <cellStyle name="40% — акцент2 2" xfId="1496"/>
    <cellStyle name="40% - Акцент2 2 10" xfId="1497"/>
    <cellStyle name="40% - Акцент2 2 2" xfId="1498"/>
    <cellStyle name="40% - Акцент2 2 2 2" xfId="1499"/>
    <cellStyle name="40% - Акцент2 2 3" xfId="1500"/>
    <cellStyle name="40% - Акцент2 2 3 2" xfId="1501"/>
    <cellStyle name="40% - Акцент2 2 4" xfId="1502"/>
    <cellStyle name="40% - Акцент2 2 5" xfId="1503"/>
    <cellStyle name="40% - Акцент2 2 6" xfId="1504"/>
    <cellStyle name="40% - Акцент2 2 7" xfId="1505"/>
    <cellStyle name="40% - Акцент2 2 8" xfId="1506"/>
    <cellStyle name="40% - Акцент2 2 9" xfId="1507"/>
    <cellStyle name="40% - Акцент2 2_46EE.2011(v1.0)" xfId="1508"/>
    <cellStyle name="40% — акцент2 20" xfId="1509"/>
    <cellStyle name="40% — акцент2 21" xfId="1510"/>
    <cellStyle name="40% - Акцент2 3" xfId="1511"/>
    <cellStyle name="40% — акцент2 3" xfId="1512"/>
    <cellStyle name="40% - Акцент2 3 10" xfId="1513"/>
    <cellStyle name="40% - Акцент2 3 11" xfId="1514"/>
    <cellStyle name="40% - Акцент2 3 2" xfId="1515"/>
    <cellStyle name="40% - Акцент2 3 2 2" xfId="1516"/>
    <cellStyle name="40% - Акцент2 3 3" xfId="1517"/>
    <cellStyle name="40% - Акцент2 3 3 2" xfId="1518"/>
    <cellStyle name="40% - Акцент2 3 4" xfId="1519"/>
    <cellStyle name="40% - Акцент2 3 5" xfId="1520"/>
    <cellStyle name="40% - Акцент2 3 6" xfId="1521"/>
    <cellStyle name="40% - Акцент2 3 7" xfId="1522"/>
    <cellStyle name="40% - Акцент2 3 8" xfId="1523"/>
    <cellStyle name="40% - Акцент2 3 9" xfId="1524"/>
    <cellStyle name="40% - Акцент2 3_46EE.2011(v1.0)" xfId="1525"/>
    <cellStyle name="40% - Акцент2 4" xfId="1526"/>
    <cellStyle name="40% — акцент2 4" xfId="1527"/>
    <cellStyle name="40% - Акцент2 4 2" xfId="1528"/>
    <cellStyle name="40% - Акцент2 4 2 2" xfId="1529"/>
    <cellStyle name="40% - Акцент2 4 3" xfId="1530"/>
    <cellStyle name="40% - Акцент2 4 3 2" xfId="1531"/>
    <cellStyle name="40% - Акцент2 4_46EE.2011(v1.0)" xfId="1532"/>
    <cellStyle name="40% - Акцент2 5" xfId="1533"/>
    <cellStyle name="40% — акцент2 5" xfId="1534"/>
    <cellStyle name="40% - Акцент2 5 2" xfId="1535"/>
    <cellStyle name="40% - Акцент2 5 2 2" xfId="1536"/>
    <cellStyle name="40% - Акцент2 5 3" xfId="1537"/>
    <cellStyle name="40% - Акцент2 5 3 2" xfId="1538"/>
    <cellStyle name="40% - Акцент2 5_46EE.2011(v1.0)" xfId="1539"/>
    <cellStyle name="40% - Акцент2 6" xfId="1540"/>
    <cellStyle name="40% — акцент2 6" xfId="1541"/>
    <cellStyle name="40% - Акцент2 6 2" xfId="1542"/>
    <cellStyle name="40% - Акцент2 6 2 2" xfId="1543"/>
    <cellStyle name="40% - Акцент2 6 3" xfId="1544"/>
    <cellStyle name="40% - Акцент2 6 3 2" xfId="1545"/>
    <cellStyle name="40% - Акцент2 6_46EE.2011(v1.0)" xfId="1546"/>
    <cellStyle name="40% - Акцент2 7" xfId="1547"/>
    <cellStyle name="40% — акцент2 7" xfId="1548"/>
    <cellStyle name="40% - Акцент2 7 2" xfId="1549"/>
    <cellStyle name="40% - Акцент2 7 2 2" xfId="1550"/>
    <cellStyle name="40% - Акцент2 7 3" xfId="1551"/>
    <cellStyle name="40% - Акцент2 7 3 2" xfId="1552"/>
    <cellStyle name="40% - Акцент2 7_46EE.2011(v1.0)" xfId="1553"/>
    <cellStyle name="40% - Акцент2 8" xfId="1554"/>
    <cellStyle name="40% — акцент2 8" xfId="1555"/>
    <cellStyle name="40% - Акцент2 8 2" xfId="1556"/>
    <cellStyle name="40% - Акцент2 8 2 2" xfId="1557"/>
    <cellStyle name="40% - Акцент2 8 3" xfId="1558"/>
    <cellStyle name="40% - Акцент2 8 3 2" xfId="1559"/>
    <cellStyle name="40% - Акцент2 8 4" xfId="1560"/>
    <cellStyle name="40% - Акцент2 8_46EE.2011(v1.0)" xfId="1561"/>
    <cellStyle name="40% - Акцент2 9" xfId="1562"/>
    <cellStyle name="40% — акцент2 9" xfId="1563"/>
    <cellStyle name="40% - Акцент2 9 2" xfId="1564"/>
    <cellStyle name="40% - Акцент2 9 2 2" xfId="1565"/>
    <cellStyle name="40% - Акцент2 9 3" xfId="1566"/>
    <cellStyle name="40% - Акцент2 9 3 2" xfId="1567"/>
    <cellStyle name="40% - Акцент2 9 4" xfId="1568"/>
    <cellStyle name="40% - Акцент2 9_46EE.2011(v1.0)" xfId="1569"/>
    <cellStyle name="40% — акцент2_Расчет тарифа на тэ 2015 СЛФ" xfId="1570"/>
    <cellStyle name="40% — акцент3" xfId="1571"/>
    <cellStyle name="40% - Акцент3 10" xfId="1572"/>
    <cellStyle name="40% — акцент3 10" xfId="1573"/>
    <cellStyle name="40% - Акцент3 10 2" xfId="1574"/>
    <cellStyle name="40% - Акцент3 11" xfId="1575"/>
    <cellStyle name="40% — акцент3 11" xfId="1576"/>
    <cellStyle name="40% - Акцент3 11 2" xfId="1577"/>
    <cellStyle name="40% — акцент3 12" xfId="1578"/>
    <cellStyle name="40% — акцент3 13" xfId="1579"/>
    <cellStyle name="40% — акцент3 14" xfId="1580"/>
    <cellStyle name="40% — акцент3 15" xfId="1581"/>
    <cellStyle name="40% — акцент3 16" xfId="1582"/>
    <cellStyle name="40% — акцент3 17" xfId="1583"/>
    <cellStyle name="40% — акцент3 18" xfId="1584"/>
    <cellStyle name="40% — акцент3 19" xfId="1585"/>
    <cellStyle name="40% - Акцент3 2" xfId="1586"/>
    <cellStyle name="40% — акцент3 2" xfId="1587"/>
    <cellStyle name="40% - Акцент3 2 10" xfId="1588"/>
    <cellStyle name="40% - Акцент3 2 2" xfId="1589"/>
    <cellStyle name="40% - Акцент3 2 2 2" xfId="1590"/>
    <cellStyle name="40% - Акцент3 2 3" xfId="1591"/>
    <cellStyle name="40% - Акцент3 2 3 2" xfId="1592"/>
    <cellStyle name="40% - Акцент3 2 4" xfId="1593"/>
    <cellStyle name="40% - Акцент3 2 5" xfId="1594"/>
    <cellStyle name="40% - Акцент3 2 6" xfId="1595"/>
    <cellStyle name="40% - Акцент3 2 7" xfId="1596"/>
    <cellStyle name="40% - Акцент3 2 8" xfId="1597"/>
    <cellStyle name="40% - Акцент3 2 9" xfId="1598"/>
    <cellStyle name="40% - Акцент3 2_46EE.2011(v1.0)" xfId="1599"/>
    <cellStyle name="40% — акцент3 20" xfId="1600"/>
    <cellStyle name="40% — акцент3 21" xfId="1601"/>
    <cellStyle name="40% - Акцент3 3" xfId="1602"/>
    <cellStyle name="40% — акцент3 3" xfId="1603"/>
    <cellStyle name="40% - Акцент3 3 10" xfId="1604"/>
    <cellStyle name="40% - Акцент3 3 11" xfId="1605"/>
    <cellStyle name="40% - Акцент3 3 2" xfId="1606"/>
    <cellStyle name="40% - Акцент3 3 2 2" xfId="1607"/>
    <cellStyle name="40% - Акцент3 3 3" xfId="1608"/>
    <cellStyle name="40% - Акцент3 3 3 2" xfId="1609"/>
    <cellStyle name="40% - Акцент3 3 4" xfId="1610"/>
    <cellStyle name="40% - Акцент3 3 5" xfId="1611"/>
    <cellStyle name="40% - Акцент3 3 6" xfId="1612"/>
    <cellStyle name="40% - Акцент3 3 7" xfId="1613"/>
    <cellStyle name="40% - Акцент3 3 8" xfId="1614"/>
    <cellStyle name="40% - Акцент3 3 9" xfId="1615"/>
    <cellStyle name="40% - Акцент3 3_46EE.2011(v1.0)" xfId="1616"/>
    <cellStyle name="40% - Акцент3 4" xfId="1617"/>
    <cellStyle name="40% — акцент3 4" xfId="1618"/>
    <cellStyle name="40% - Акцент3 4 2" xfId="1619"/>
    <cellStyle name="40% - Акцент3 4 2 2" xfId="1620"/>
    <cellStyle name="40% - Акцент3 4 3" xfId="1621"/>
    <cellStyle name="40% - Акцент3 4 3 2" xfId="1622"/>
    <cellStyle name="40% - Акцент3 4_46EE.2011(v1.0)" xfId="1623"/>
    <cellStyle name="40% - Акцент3 5" xfId="1624"/>
    <cellStyle name="40% — акцент3 5" xfId="1625"/>
    <cellStyle name="40% - Акцент3 5 2" xfId="1626"/>
    <cellStyle name="40% - Акцент3 5 2 2" xfId="1627"/>
    <cellStyle name="40% - Акцент3 5 3" xfId="1628"/>
    <cellStyle name="40% - Акцент3 5 3 2" xfId="1629"/>
    <cellStyle name="40% - Акцент3 5_46EE.2011(v1.0)" xfId="1630"/>
    <cellStyle name="40% - Акцент3 6" xfId="1631"/>
    <cellStyle name="40% — акцент3 6" xfId="1632"/>
    <cellStyle name="40% - Акцент3 6 2" xfId="1633"/>
    <cellStyle name="40% - Акцент3 6 2 2" xfId="1634"/>
    <cellStyle name="40% - Акцент3 6 3" xfId="1635"/>
    <cellStyle name="40% - Акцент3 6 3 2" xfId="1636"/>
    <cellStyle name="40% - Акцент3 6_46EE.2011(v1.0)" xfId="1637"/>
    <cellStyle name="40% - Акцент3 7" xfId="1638"/>
    <cellStyle name="40% — акцент3 7" xfId="1639"/>
    <cellStyle name="40% - Акцент3 7 2" xfId="1640"/>
    <cellStyle name="40% - Акцент3 7 2 2" xfId="1641"/>
    <cellStyle name="40% - Акцент3 7 3" xfId="1642"/>
    <cellStyle name="40% - Акцент3 7 3 2" xfId="1643"/>
    <cellStyle name="40% - Акцент3 7_46EE.2011(v1.0)" xfId="1644"/>
    <cellStyle name="40% - Акцент3 8" xfId="1645"/>
    <cellStyle name="40% — акцент3 8" xfId="1646"/>
    <cellStyle name="40% - Акцент3 8 2" xfId="1647"/>
    <cellStyle name="40% - Акцент3 8 2 2" xfId="1648"/>
    <cellStyle name="40% - Акцент3 8 3" xfId="1649"/>
    <cellStyle name="40% - Акцент3 8 3 2" xfId="1650"/>
    <cellStyle name="40% - Акцент3 8 4" xfId="1651"/>
    <cellStyle name="40% - Акцент3 8_46EE.2011(v1.0)" xfId="1652"/>
    <cellStyle name="40% - Акцент3 9" xfId="1653"/>
    <cellStyle name="40% — акцент3 9" xfId="1654"/>
    <cellStyle name="40% - Акцент3 9 2" xfId="1655"/>
    <cellStyle name="40% - Акцент3 9 2 2" xfId="1656"/>
    <cellStyle name="40% - Акцент3 9 3" xfId="1657"/>
    <cellStyle name="40% - Акцент3 9 3 2" xfId="1658"/>
    <cellStyle name="40% - Акцент3 9 4" xfId="1659"/>
    <cellStyle name="40% - Акцент3 9_46EE.2011(v1.0)" xfId="1660"/>
    <cellStyle name="40% — акцент3_Расчет тарифа на тэ 2015 СЛФ" xfId="1661"/>
    <cellStyle name="40% — акцент4" xfId="1662"/>
    <cellStyle name="40% - Акцент4 10" xfId="1663"/>
    <cellStyle name="40% — акцент4 10" xfId="1664"/>
    <cellStyle name="40% - Акцент4 10 2" xfId="1665"/>
    <cellStyle name="40% - Акцент4 11" xfId="1666"/>
    <cellStyle name="40% — акцент4 11" xfId="1667"/>
    <cellStyle name="40% - Акцент4 11 2" xfId="1668"/>
    <cellStyle name="40% — акцент4 12" xfId="1669"/>
    <cellStyle name="40% — акцент4 13" xfId="1670"/>
    <cellStyle name="40% — акцент4 13 2" xfId="4561"/>
    <cellStyle name="40% — акцент4 14" xfId="1671"/>
    <cellStyle name="40% — акцент4 14 2" xfId="4562"/>
    <cellStyle name="40% — акцент4 15" xfId="1672"/>
    <cellStyle name="40% — акцент4 15 2" xfId="4563"/>
    <cellStyle name="40% — акцент4 16" xfId="1673"/>
    <cellStyle name="40% — акцент4 16 2" xfId="4564"/>
    <cellStyle name="40% — акцент4 17" xfId="1674"/>
    <cellStyle name="40% — акцент4 17 2" xfId="4565"/>
    <cellStyle name="40% — акцент4 18" xfId="1675"/>
    <cellStyle name="40% — акцент4 19" xfId="1676"/>
    <cellStyle name="40% - Акцент4 2" xfId="1677"/>
    <cellStyle name="40% — акцент4 2" xfId="1678"/>
    <cellStyle name="40% - Акцент4 2 10" xfId="1679"/>
    <cellStyle name="40% - Акцент4 2 2" xfId="1680"/>
    <cellStyle name="40% - Акцент4 2 2 2" xfId="1681"/>
    <cellStyle name="40% - Акцент4 2 3" xfId="1682"/>
    <cellStyle name="40% - Акцент4 2 3 2" xfId="1683"/>
    <cellStyle name="40% - Акцент4 2 4" xfId="1684"/>
    <cellStyle name="40% - Акцент4 2 5" xfId="1685"/>
    <cellStyle name="40% - Акцент4 2 6" xfId="1686"/>
    <cellStyle name="40% - Акцент4 2 7" xfId="1687"/>
    <cellStyle name="40% - Акцент4 2 8" xfId="1688"/>
    <cellStyle name="40% - Акцент4 2 9" xfId="1689"/>
    <cellStyle name="40% - Акцент4 2_46EE.2011(v1.0)" xfId="1690"/>
    <cellStyle name="40% — акцент4 20" xfId="1691"/>
    <cellStyle name="40% — акцент4 21" xfId="1692"/>
    <cellStyle name="40% — акцент4 22" xfId="4535"/>
    <cellStyle name="40% — акцент4 23" xfId="4544"/>
    <cellStyle name="40% — акцент4 24" xfId="4533"/>
    <cellStyle name="40% — акцент4 25" xfId="4543"/>
    <cellStyle name="40% - Акцент4 3" xfId="1693"/>
    <cellStyle name="40% — акцент4 3" xfId="1694"/>
    <cellStyle name="40% - Акцент4 3 10" xfId="1695"/>
    <cellStyle name="40% - Акцент4 3 11" xfId="1696"/>
    <cellStyle name="40% - Акцент4 3 2" xfId="1697"/>
    <cellStyle name="40% — акцент4 3 2" xfId="4566"/>
    <cellStyle name="40% - Акцент4 3 2 2" xfId="1698"/>
    <cellStyle name="40% - Акцент4 3 3" xfId="1699"/>
    <cellStyle name="40% — акцент4 3 3" xfId="4523"/>
    <cellStyle name="40% - Акцент4 3 3 2" xfId="1700"/>
    <cellStyle name="40% - Акцент4 3 4" xfId="1701"/>
    <cellStyle name="40% — акцент4 3 4" xfId="4550"/>
    <cellStyle name="40% - Акцент4 3 5" xfId="1702"/>
    <cellStyle name="40% — акцент4 3 5" xfId="4528"/>
    <cellStyle name="40% - Акцент4 3 6" xfId="1703"/>
    <cellStyle name="40% - Акцент4 3 7" xfId="1704"/>
    <cellStyle name="40% - Акцент4 3 8" xfId="1705"/>
    <cellStyle name="40% - Акцент4 3 9" xfId="1706"/>
    <cellStyle name="40% - Акцент4 3_46EE.2011(v1.0)" xfId="1707"/>
    <cellStyle name="40% - Акцент4 4" xfId="1708"/>
    <cellStyle name="40% — акцент4 4" xfId="1709"/>
    <cellStyle name="40% - Акцент4 4 2" xfId="1710"/>
    <cellStyle name="40% - Акцент4 4 2 2" xfId="1711"/>
    <cellStyle name="40% - Акцент4 4 3" xfId="1712"/>
    <cellStyle name="40% - Акцент4 4 3 2" xfId="1713"/>
    <cellStyle name="40% - Акцент4 4_46EE.2011(v1.0)" xfId="1714"/>
    <cellStyle name="40% - Акцент4 5" xfId="1715"/>
    <cellStyle name="40% — акцент4 5" xfId="1716"/>
    <cellStyle name="40% - Акцент4 5 2" xfId="1717"/>
    <cellStyle name="40% - Акцент4 5 2 2" xfId="1718"/>
    <cellStyle name="40% - Акцент4 5 3" xfId="1719"/>
    <cellStyle name="40% - Акцент4 5 3 2" xfId="1720"/>
    <cellStyle name="40% - Акцент4 5_46EE.2011(v1.0)" xfId="1721"/>
    <cellStyle name="40% - Акцент4 6" xfId="1722"/>
    <cellStyle name="40% — акцент4 6" xfId="1723"/>
    <cellStyle name="40% - Акцент4 6 2" xfId="1724"/>
    <cellStyle name="40% - Акцент4 6 2 2" xfId="1725"/>
    <cellStyle name="40% - Акцент4 6 3" xfId="1726"/>
    <cellStyle name="40% - Акцент4 6 3 2" xfId="1727"/>
    <cellStyle name="40% - Акцент4 6_46EE.2011(v1.0)" xfId="1728"/>
    <cellStyle name="40% - Акцент4 7" xfId="1729"/>
    <cellStyle name="40% — акцент4 7" xfId="1730"/>
    <cellStyle name="40% - Акцент4 7 2" xfId="1731"/>
    <cellStyle name="40% - Акцент4 7 2 2" xfId="1732"/>
    <cellStyle name="40% - Акцент4 7 3" xfId="1733"/>
    <cellStyle name="40% - Акцент4 7 3 2" xfId="1734"/>
    <cellStyle name="40% - Акцент4 7_46EE.2011(v1.0)" xfId="1735"/>
    <cellStyle name="40% - Акцент4 8" xfId="1736"/>
    <cellStyle name="40% — акцент4 8" xfId="1737"/>
    <cellStyle name="40% - Акцент4 8 2" xfId="1738"/>
    <cellStyle name="40% - Акцент4 8 2 2" xfId="1739"/>
    <cellStyle name="40% - Акцент4 8 3" xfId="1740"/>
    <cellStyle name="40% - Акцент4 8 3 2" xfId="1741"/>
    <cellStyle name="40% - Акцент4 8 4" xfId="1742"/>
    <cellStyle name="40% - Акцент4 8_46EE.2011(v1.0)" xfId="1743"/>
    <cellStyle name="40% - Акцент4 9" xfId="1744"/>
    <cellStyle name="40% — акцент4 9" xfId="1745"/>
    <cellStyle name="40% - Акцент4 9 2" xfId="1746"/>
    <cellStyle name="40% - Акцент4 9 2 2" xfId="1747"/>
    <cellStyle name="40% - Акцент4 9 3" xfId="1748"/>
    <cellStyle name="40% - Акцент4 9 3 2" xfId="1749"/>
    <cellStyle name="40% - Акцент4 9 4" xfId="1750"/>
    <cellStyle name="40% - Акцент4 9_46EE.2011(v1.0)" xfId="1751"/>
    <cellStyle name="40% — акцент4_Расчет тарифа на тэ 2015 СЛФ" xfId="1752"/>
    <cellStyle name="40% — акцент5" xfId="1753"/>
    <cellStyle name="40% - Акцент5 10" xfId="1754"/>
    <cellStyle name="40% — акцент5 10" xfId="1755"/>
    <cellStyle name="40% - Акцент5 10 2" xfId="1756"/>
    <cellStyle name="40% - Акцент5 11" xfId="1757"/>
    <cellStyle name="40% — акцент5 11" xfId="1758"/>
    <cellStyle name="40% - Акцент5 11 2" xfId="1759"/>
    <cellStyle name="40% — акцент5 12" xfId="1760"/>
    <cellStyle name="40% — акцент5 13" xfId="1761"/>
    <cellStyle name="40% — акцент5 14" xfId="1762"/>
    <cellStyle name="40% — акцент5 15" xfId="1763"/>
    <cellStyle name="40% — акцент5 16" xfId="1764"/>
    <cellStyle name="40% — акцент5 17" xfId="1765"/>
    <cellStyle name="40% — акцент5 18" xfId="1766"/>
    <cellStyle name="40% — акцент5 19" xfId="1767"/>
    <cellStyle name="40% - Акцент5 2" xfId="1768"/>
    <cellStyle name="40% — акцент5 2" xfId="1769"/>
    <cellStyle name="40% - Акцент5 2 10" xfId="1770"/>
    <cellStyle name="40% - Акцент5 2 2" xfId="1771"/>
    <cellStyle name="40% - Акцент5 2 2 2" xfId="1772"/>
    <cellStyle name="40% - Акцент5 2 3" xfId="1773"/>
    <cellStyle name="40% - Акцент5 2 3 2" xfId="1774"/>
    <cellStyle name="40% - Акцент5 2 4" xfId="1775"/>
    <cellStyle name="40% - Акцент5 2 5" xfId="1776"/>
    <cellStyle name="40% - Акцент5 2 6" xfId="1777"/>
    <cellStyle name="40% - Акцент5 2 7" xfId="1778"/>
    <cellStyle name="40% - Акцент5 2 8" xfId="1779"/>
    <cellStyle name="40% - Акцент5 2 9" xfId="1780"/>
    <cellStyle name="40% - Акцент5 2_46EE.2011(v1.0)" xfId="1781"/>
    <cellStyle name="40% — акцент5 20" xfId="1782"/>
    <cellStyle name="40% — акцент5 21" xfId="1783"/>
    <cellStyle name="40% - Акцент5 3" xfId="1784"/>
    <cellStyle name="40% — акцент5 3" xfId="1785"/>
    <cellStyle name="40% - Акцент5 3 10" xfId="1786"/>
    <cellStyle name="40% - Акцент5 3 11" xfId="1787"/>
    <cellStyle name="40% - Акцент5 3 2" xfId="1788"/>
    <cellStyle name="40% - Акцент5 3 2 2" xfId="1789"/>
    <cellStyle name="40% - Акцент5 3 3" xfId="1790"/>
    <cellStyle name="40% - Акцент5 3 3 2" xfId="1791"/>
    <cellStyle name="40% - Акцент5 3 4" xfId="1792"/>
    <cellStyle name="40% - Акцент5 3 5" xfId="1793"/>
    <cellStyle name="40% - Акцент5 3 6" xfId="1794"/>
    <cellStyle name="40% - Акцент5 3 7" xfId="1795"/>
    <cellStyle name="40% - Акцент5 3 8" xfId="1796"/>
    <cellStyle name="40% - Акцент5 3 9" xfId="1797"/>
    <cellStyle name="40% - Акцент5 3_46EE.2011(v1.0)" xfId="1798"/>
    <cellStyle name="40% - Акцент5 4" xfId="1799"/>
    <cellStyle name="40% — акцент5 4" xfId="1800"/>
    <cellStyle name="40% - Акцент5 4 2" xfId="1801"/>
    <cellStyle name="40% - Акцент5 4 2 2" xfId="1802"/>
    <cellStyle name="40% - Акцент5 4 3" xfId="1803"/>
    <cellStyle name="40% - Акцент5 4 3 2" xfId="1804"/>
    <cellStyle name="40% - Акцент5 4_46EE.2011(v1.0)" xfId="1805"/>
    <cellStyle name="40% - Акцент5 5" xfId="1806"/>
    <cellStyle name="40% — акцент5 5" xfId="1807"/>
    <cellStyle name="40% - Акцент5 5 2" xfId="1808"/>
    <cellStyle name="40% - Акцент5 5 2 2" xfId="1809"/>
    <cellStyle name="40% - Акцент5 5 3" xfId="1810"/>
    <cellStyle name="40% - Акцент5 5 3 2" xfId="1811"/>
    <cellStyle name="40% - Акцент5 5_46EE.2011(v1.0)" xfId="1812"/>
    <cellStyle name="40% - Акцент5 6" xfId="1813"/>
    <cellStyle name="40% — акцент5 6" xfId="1814"/>
    <cellStyle name="40% - Акцент5 6 2" xfId="1815"/>
    <cellStyle name="40% - Акцент5 6 2 2" xfId="1816"/>
    <cellStyle name="40% - Акцент5 6 3" xfId="1817"/>
    <cellStyle name="40% - Акцент5 6 3 2" xfId="1818"/>
    <cellStyle name="40% - Акцент5 6_46EE.2011(v1.0)" xfId="1819"/>
    <cellStyle name="40% - Акцент5 7" xfId="1820"/>
    <cellStyle name="40% — акцент5 7" xfId="1821"/>
    <cellStyle name="40% - Акцент5 7 2" xfId="1822"/>
    <cellStyle name="40% - Акцент5 7 2 2" xfId="1823"/>
    <cellStyle name="40% - Акцент5 7 3" xfId="1824"/>
    <cellStyle name="40% - Акцент5 7 3 2" xfId="1825"/>
    <cellStyle name="40% - Акцент5 7_46EE.2011(v1.0)" xfId="1826"/>
    <cellStyle name="40% - Акцент5 8" xfId="1827"/>
    <cellStyle name="40% — акцент5 8" xfId="1828"/>
    <cellStyle name="40% - Акцент5 8 2" xfId="1829"/>
    <cellStyle name="40% - Акцент5 8 2 2" xfId="1830"/>
    <cellStyle name="40% - Акцент5 8 3" xfId="1831"/>
    <cellStyle name="40% - Акцент5 8 3 2" xfId="1832"/>
    <cellStyle name="40% - Акцент5 8 4" xfId="1833"/>
    <cellStyle name="40% - Акцент5 8_46EE.2011(v1.0)" xfId="1834"/>
    <cellStyle name="40% - Акцент5 9" xfId="1835"/>
    <cellStyle name="40% — акцент5 9" xfId="1836"/>
    <cellStyle name="40% - Акцент5 9 2" xfId="1837"/>
    <cellStyle name="40% - Акцент5 9 2 2" xfId="1838"/>
    <cellStyle name="40% - Акцент5 9 3" xfId="1839"/>
    <cellStyle name="40% - Акцент5 9 3 2" xfId="1840"/>
    <cellStyle name="40% - Акцент5 9 4" xfId="1841"/>
    <cellStyle name="40% - Акцент5 9_46EE.2011(v1.0)" xfId="1842"/>
    <cellStyle name="40% — акцент5_Расчет тарифа на тэ 2015 СЛФ" xfId="1843"/>
    <cellStyle name="40% — акцент6" xfId="1844"/>
    <cellStyle name="40% - Акцент6 10" xfId="1845"/>
    <cellStyle name="40% — акцент6 10" xfId="1846"/>
    <cellStyle name="40% - Акцент6 10 2" xfId="1847"/>
    <cellStyle name="40% - Акцент6 11" xfId="1848"/>
    <cellStyle name="40% — акцент6 11" xfId="1849"/>
    <cellStyle name="40% - Акцент6 11 2" xfId="1850"/>
    <cellStyle name="40% — акцент6 12" xfId="1851"/>
    <cellStyle name="40% — акцент6 13" xfId="1852"/>
    <cellStyle name="40% — акцент6 13 2" xfId="4567"/>
    <cellStyle name="40% — акцент6 14" xfId="1853"/>
    <cellStyle name="40% — акцент6 14 2" xfId="4568"/>
    <cellStyle name="40% — акцент6 15" xfId="1854"/>
    <cellStyle name="40% — акцент6 15 2" xfId="4569"/>
    <cellStyle name="40% — акцент6 16" xfId="1855"/>
    <cellStyle name="40% — акцент6 16 2" xfId="4570"/>
    <cellStyle name="40% — акцент6 17" xfId="1856"/>
    <cellStyle name="40% — акцент6 17 2" xfId="4571"/>
    <cellStyle name="40% — акцент6 18" xfId="1857"/>
    <cellStyle name="40% — акцент6 19" xfId="1858"/>
    <cellStyle name="40% - Акцент6 2" xfId="1859"/>
    <cellStyle name="40% — акцент6 2" xfId="1860"/>
    <cellStyle name="40% - Акцент6 2 10" xfId="1861"/>
    <cellStyle name="40% - Акцент6 2 2" xfId="1862"/>
    <cellStyle name="40% - Акцент6 2 2 2" xfId="1863"/>
    <cellStyle name="40% - Акцент6 2 3" xfId="1864"/>
    <cellStyle name="40% - Акцент6 2 3 2" xfId="1865"/>
    <cellStyle name="40% - Акцент6 2 4" xfId="1866"/>
    <cellStyle name="40% - Акцент6 2 5" xfId="1867"/>
    <cellStyle name="40% - Акцент6 2 6" xfId="1868"/>
    <cellStyle name="40% - Акцент6 2 7" xfId="1869"/>
    <cellStyle name="40% - Акцент6 2 8" xfId="1870"/>
    <cellStyle name="40% - Акцент6 2 9" xfId="1871"/>
    <cellStyle name="40% - Акцент6 2_46EE.2011(v1.0)" xfId="1872"/>
    <cellStyle name="40% — акцент6 20" xfId="1873"/>
    <cellStyle name="40% — акцент6 21" xfId="1874"/>
    <cellStyle name="40% — акцент6 22" xfId="4537"/>
    <cellStyle name="40% — акцент6 23" xfId="4542"/>
    <cellStyle name="40% — акцент6 24" xfId="4534"/>
    <cellStyle name="40% — акцент6 25" xfId="4541"/>
    <cellStyle name="40% - Акцент6 3" xfId="1875"/>
    <cellStyle name="40% — акцент6 3" xfId="1876"/>
    <cellStyle name="40% - Акцент6 3 10" xfId="1877"/>
    <cellStyle name="40% - Акцент6 3 11" xfId="1878"/>
    <cellStyle name="40% - Акцент6 3 2" xfId="1879"/>
    <cellStyle name="40% — акцент6 3 2" xfId="4572"/>
    <cellStyle name="40% - Акцент6 3 2 2" xfId="1880"/>
    <cellStyle name="40% - Акцент6 3 3" xfId="1881"/>
    <cellStyle name="40% — акцент6 3 3" xfId="4522"/>
    <cellStyle name="40% - Акцент6 3 3 2" xfId="1882"/>
    <cellStyle name="40% - Акцент6 3 4" xfId="1883"/>
    <cellStyle name="40% — акцент6 3 4" xfId="4551"/>
    <cellStyle name="40% - Акцент6 3 5" xfId="1884"/>
    <cellStyle name="40% — акцент6 3 5" xfId="4527"/>
    <cellStyle name="40% - Акцент6 3 6" xfId="1885"/>
    <cellStyle name="40% - Акцент6 3 7" xfId="1886"/>
    <cellStyle name="40% - Акцент6 3 8" xfId="1887"/>
    <cellStyle name="40% - Акцент6 3 9" xfId="1888"/>
    <cellStyle name="40% - Акцент6 3_46EE.2011(v1.0)" xfId="1889"/>
    <cellStyle name="40% - Акцент6 4" xfId="1890"/>
    <cellStyle name="40% — акцент6 4" xfId="1891"/>
    <cellStyle name="40% - Акцент6 4 2" xfId="1892"/>
    <cellStyle name="40% - Акцент6 4 2 2" xfId="1893"/>
    <cellStyle name="40% - Акцент6 4 3" xfId="1894"/>
    <cellStyle name="40% - Акцент6 4 3 2" xfId="1895"/>
    <cellStyle name="40% - Акцент6 4_46EE.2011(v1.0)" xfId="1896"/>
    <cellStyle name="40% - Акцент6 5" xfId="1897"/>
    <cellStyle name="40% — акцент6 5" xfId="1898"/>
    <cellStyle name="40% - Акцент6 5 2" xfId="1899"/>
    <cellStyle name="40% - Акцент6 5 2 2" xfId="1900"/>
    <cellStyle name="40% - Акцент6 5 3" xfId="1901"/>
    <cellStyle name="40% - Акцент6 5 3 2" xfId="1902"/>
    <cellStyle name="40% - Акцент6 5_46EE.2011(v1.0)" xfId="1903"/>
    <cellStyle name="40% - Акцент6 6" xfId="1904"/>
    <cellStyle name="40% — акцент6 6" xfId="1905"/>
    <cellStyle name="40% - Акцент6 6 2" xfId="1906"/>
    <cellStyle name="40% - Акцент6 6 2 2" xfId="1907"/>
    <cellStyle name="40% - Акцент6 6 3" xfId="1908"/>
    <cellStyle name="40% - Акцент6 6 3 2" xfId="1909"/>
    <cellStyle name="40% - Акцент6 6_46EE.2011(v1.0)" xfId="1910"/>
    <cellStyle name="40% - Акцент6 7" xfId="1911"/>
    <cellStyle name="40% — акцент6 7" xfId="1912"/>
    <cellStyle name="40% - Акцент6 7 2" xfId="1913"/>
    <cellStyle name="40% - Акцент6 7 2 2" xfId="1914"/>
    <cellStyle name="40% - Акцент6 7 3" xfId="1915"/>
    <cellStyle name="40% - Акцент6 7 3 2" xfId="1916"/>
    <cellStyle name="40% - Акцент6 7_46EE.2011(v1.0)" xfId="1917"/>
    <cellStyle name="40% - Акцент6 8" xfId="1918"/>
    <cellStyle name="40% — акцент6 8" xfId="1919"/>
    <cellStyle name="40% - Акцент6 8 2" xfId="1920"/>
    <cellStyle name="40% - Акцент6 8 2 2" xfId="1921"/>
    <cellStyle name="40% - Акцент6 8 3" xfId="1922"/>
    <cellStyle name="40% - Акцент6 8 3 2" xfId="1923"/>
    <cellStyle name="40% - Акцент6 8 4" xfId="1924"/>
    <cellStyle name="40% - Акцент6 8_46EE.2011(v1.0)" xfId="1925"/>
    <cellStyle name="40% - Акцент6 9" xfId="1926"/>
    <cellStyle name="40% — акцент6 9" xfId="1927"/>
    <cellStyle name="40% - Акцент6 9 2" xfId="1928"/>
    <cellStyle name="40% - Акцент6 9 2 2" xfId="1929"/>
    <cellStyle name="40% - Акцент6 9 3" xfId="1930"/>
    <cellStyle name="40% - Акцент6 9 3 2" xfId="1931"/>
    <cellStyle name="40% - Акцент6 9 4" xfId="1932"/>
    <cellStyle name="40% - Акцент6 9_46EE.2011(v1.0)" xfId="1933"/>
    <cellStyle name="40% — акцент6_Расчет тарифа на тэ 2015 СЛФ" xfId="1934"/>
    <cellStyle name="60% - Accent1" xfId="1935"/>
    <cellStyle name="60% - Accent2" xfId="1936"/>
    <cellStyle name="60% - Accent3" xfId="1937"/>
    <cellStyle name="60% - Accent4" xfId="1938"/>
    <cellStyle name="60% - Accent5" xfId="1939"/>
    <cellStyle name="60% - Accent6" xfId="1940"/>
    <cellStyle name="60% — акцент1" xfId="1941"/>
    <cellStyle name="60% - Акцент1 10" xfId="1942"/>
    <cellStyle name="60% — акцент1 10" xfId="1943"/>
    <cellStyle name="60% — акцент1 11" xfId="1944"/>
    <cellStyle name="60% — акцент1 12" xfId="1945"/>
    <cellStyle name="60% — акцент1 13" xfId="1946"/>
    <cellStyle name="60% — акцент1 13 2" xfId="4573"/>
    <cellStyle name="60% — акцент1 14" xfId="1947"/>
    <cellStyle name="60% — акцент1 14 2" xfId="4574"/>
    <cellStyle name="60% — акцент1 15" xfId="1948"/>
    <cellStyle name="60% — акцент1 15 2" xfId="4575"/>
    <cellStyle name="60% — акцент1 16" xfId="1949"/>
    <cellStyle name="60% — акцент1 16 2" xfId="4576"/>
    <cellStyle name="60% — акцент1 17" xfId="1950"/>
    <cellStyle name="60% — акцент1 17 2" xfId="4577"/>
    <cellStyle name="60% — акцент1 18" xfId="1951"/>
    <cellStyle name="60% — акцент1 19" xfId="1952"/>
    <cellStyle name="60% - Акцент1 2" xfId="1953"/>
    <cellStyle name="60% — акцент1 2" xfId="1954"/>
    <cellStyle name="60% - Акцент1 2 10" xfId="1955"/>
    <cellStyle name="60% - Акцент1 2 2" xfId="1956"/>
    <cellStyle name="60% - Акцент1 2 2 2" xfId="1957"/>
    <cellStyle name="60% - Акцент1 2 3" xfId="1958"/>
    <cellStyle name="60% - Акцент1 2 4" xfId="1959"/>
    <cellStyle name="60% - Акцент1 2 5" xfId="1960"/>
    <cellStyle name="60% - Акцент1 2 6" xfId="1961"/>
    <cellStyle name="60% - Акцент1 2 7" xfId="1962"/>
    <cellStyle name="60% - Акцент1 2 8" xfId="1963"/>
    <cellStyle name="60% - Акцент1 2 9" xfId="1964"/>
    <cellStyle name="60% - Акцент1 2_МФ тепловой баланс 2015 дубль 3" xfId="1965"/>
    <cellStyle name="60% — акцент1 20" xfId="1966"/>
    <cellStyle name="60% — акцент1 21" xfId="1967"/>
    <cellStyle name="60% — акцент1 22" xfId="4538"/>
    <cellStyle name="60% — акцент1 23" xfId="4540"/>
    <cellStyle name="60% — акцент1 24" xfId="4536"/>
    <cellStyle name="60% — акцент1 25" xfId="4539"/>
    <cellStyle name="60% - Акцент1 3" xfId="1968"/>
    <cellStyle name="60% — акцент1 3" xfId="1969"/>
    <cellStyle name="60% - Акцент1 3 10" xfId="1970"/>
    <cellStyle name="60% - Акцент1 3 11" xfId="1971"/>
    <cellStyle name="60% - Акцент1 3 2" xfId="1972"/>
    <cellStyle name="60% — акцент1 3 2" xfId="4578"/>
    <cellStyle name="60% - Акцент1 3 3" xfId="1973"/>
    <cellStyle name="60% — акцент1 3 3" xfId="4521"/>
    <cellStyle name="60% - Акцент1 3 4" xfId="1974"/>
    <cellStyle name="60% — акцент1 3 4" xfId="4552"/>
    <cellStyle name="60% - Акцент1 3 5" xfId="1975"/>
    <cellStyle name="60% — акцент1 3 5" xfId="4526"/>
    <cellStyle name="60% - Акцент1 3 6" xfId="1976"/>
    <cellStyle name="60% - Акцент1 3 7" xfId="1977"/>
    <cellStyle name="60% - Акцент1 3 8" xfId="1978"/>
    <cellStyle name="60% - Акцент1 3 9" xfId="1979"/>
    <cellStyle name="60% - Акцент1 3_МФ тепловой баланс 2015 дубль 3" xfId="1980"/>
    <cellStyle name="60% - Акцент1 4" xfId="1981"/>
    <cellStyle name="60% — акцент1 4" xfId="1982"/>
    <cellStyle name="60% - Акцент1 4 2" xfId="1983"/>
    <cellStyle name="60% - Акцент1 4_МФ тепловой баланс 2015 дубль 3" xfId="1984"/>
    <cellStyle name="60% - Акцент1 5" xfId="1985"/>
    <cellStyle name="60% — акцент1 5" xfId="1986"/>
    <cellStyle name="60% - Акцент1 5 2" xfId="1987"/>
    <cellStyle name="60% - Акцент1 5_МФ тепловой баланс 2015 дубль 3" xfId="1988"/>
    <cellStyle name="60% - Акцент1 6" xfId="1989"/>
    <cellStyle name="60% — акцент1 6" xfId="1990"/>
    <cellStyle name="60% - Акцент1 6 2" xfId="1991"/>
    <cellStyle name="60% - Акцент1 6_МФ тепловой баланс 2015 дубль 3" xfId="1992"/>
    <cellStyle name="60% - Акцент1 7" xfId="1993"/>
    <cellStyle name="60% — акцент1 7" xfId="1994"/>
    <cellStyle name="60% - Акцент1 7 2" xfId="1995"/>
    <cellStyle name="60% - Акцент1 7_МФ тепловой баланс 2015 дубль 3" xfId="1996"/>
    <cellStyle name="60% - Акцент1 8" xfId="1997"/>
    <cellStyle name="60% — акцент1 8" xfId="1998"/>
    <cellStyle name="60% - Акцент1 8 2" xfId="1999"/>
    <cellStyle name="60% - Акцент1 9" xfId="2000"/>
    <cellStyle name="60% — акцент1 9" xfId="2001"/>
    <cellStyle name="60% - Акцент1 9 2" xfId="2002"/>
    <cellStyle name="60% — акцент2" xfId="2003"/>
    <cellStyle name="60% - Акцент2 10" xfId="2004"/>
    <cellStyle name="60% — акцент2 10" xfId="2005"/>
    <cellStyle name="60% — акцент2 11" xfId="2006"/>
    <cellStyle name="60% — акцент2 12" xfId="2007"/>
    <cellStyle name="60% — акцент2 13" xfId="2008"/>
    <cellStyle name="60% — акцент2 14" xfId="2009"/>
    <cellStyle name="60% — акцент2 15" xfId="2010"/>
    <cellStyle name="60% — акцент2 16" xfId="2011"/>
    <cellStyle name="60% — акцент2 17" xfId="2012"/>
    <cellStyle name="60% — акцент2 18" xfId="2013"/>
    <cellStyle name="60% — акцент2 19" xfId="2014"/>
    <cellStyle name="60% - Акцент2 2" xfId="2015"/>
    <cellStyle name="60% — акцент2 2" xfId="2016"/>
    <cellStyle name="60% - Акцент2 2 10" xfId="2017"/>
    <cellStyle name="60% - Акцент2 2 2" xfId="2018"/>
    <cellStyle name="60% - Акцент2 2 2 2" xfId="2019"/>
    <cellStyle name="60% - Акцент2 2 3" xfId="2020"/>
    <cellStyle name="60% - Акцент2 2 4" xfId="2021"/>
    <cellStyle name="60% - Акцент2 2 5" xfId="2022"/>
    <cellStyle name="60% - Акцент2 2 6" xfId="2023"/>
    <cellStyle name="60% - Акцент2 2 7" xfId="2024"/>
    <cellStyle name="60% - Акцент2 2 8" xfId="2025"/>
    <cellStyle name="60% - Акцент2 2 9" xfId="2026"/>
    <cellStyle name="60% - Акцент2 2_МФ тепловой баланс 2015 дубль 3" xfId="2027"/>
    <cellStyle name="60% — акцент2 20" xfId="2028"/>
    <cellStyle name="60% — акцент2 21" xfId="2029"/>
    <cellStyle name="60% - Акцент2 3" xfId="2030"/>
    <cellStyle name="60% — акцент2 3" xfId="2031"/>
    <cellStyle name="60% - Акцент2 3 10" xfId="2032"/>
    <cellStyle name="60% - Акцент2 3 11" xfId="2033"/>
    <cellStyle name="60% - Акцент2 3 2" xfId="2034"/>
    <cellStyle name="60% - Акцент2 3 3" xfId="2035"/>
    <cellStyle name="60% - Акцент2 3 4" xfId="2036"/>
    <cellStyle name="60% - Акцент2 3 5" xfId="2037"/>
    <cellStyle name="60% - Акцент2 3 6" xfId="2038"/>
    <cellStyle name="60% - Акцент2 3 7" xfId="2039"/>
    <cellStyle name="60% - Акцент2 3 8" xfId="2040"/>
    <cellStyle name="60% - Акцент2 3 9" xfId="2041"/>
    <cellStyle name="60% - Акцент2 3_МФ тепловой баланс 2015 дубль 3" xfId="2042"/>
    <cellStyle name="60% - Акцент2 4" xfId="2043"/>
    <cellStyle name="60% — акцент2 4" xfId="2044"/>
    <cellStyle name="60% - Акцент2 4 2" xfId="2045"/>
    <cellStyle name="60% - Акцент2 4_МФ тепловой баланс 2015 дубль 3" xfId="2046"/>
    <cellStyle name="60% - Акцент2 5" xfId="2047"/>
    <cellStyle name="60% — акцент2 5" xfId="2048"/>
    <cellStyle name="60% - Акцент2 5 2" xfId="2049"/>
    <cellStyle name="60% - Акцент2 5_МФ тепловой баланс 2015 дубль 3" xfId="2050"/>
    <cellStyle name="60% - Акцент2 6" xfId="2051"/>
    <cellStyle name="60% — акцент2 6" xfId="2052"/>
    <cellStyle name="60% - Акцент2 6 2" xfId="2053"/>
    <cellStyle name="60% - Акцент2 6_МФ тепловой баланс 2015 дубль 3" xfId="2054"/>
    <cellStyle name="60% - Акцент2 7" xfId="2055"/>
    <cellStyle name="60% — акцент2 7" xfId="2056"/>
    <cellStyle name="60% - Акцент2 7 2" xfId="2057"/>
    <cellStyle name="60% - Акцент2 7_МФ тепловой баланс 2015 дубль 3" xfId="2058"/>
    <cellStyle name="60% - Акцент2 8" xfId="2059"/>
    <cellStyle name="60% — акцент2 8" xfId="2060"/>
    <cellStyle name="60% - Акцент2 8 2" xfId="2061"/>
    <cellStyle name="60% - Акцент2 9" xfId="2062"/>
    <cellStyle name="60% — акцент2 9" xfId="2063"/>
    <cellStyle name="60% - Акцент2 9 2" xfId="2064"/>
    <cellStyle name="60% — акцент3" xfId="2065"/>
    <cellStyle name="60% - Акцент3 10" xfId="2066"/>
    <cellStyle name="60% — акцент3 10" xfId="2067"/>
    <cellStyle name="60% — акцент3 11" xfId="2068"/>
    <cellStyle name="60% — акцент3 12" xfId="2069"/>
    <cellStyle name="60% — акцент3 13" xfId="2070"/>
    <cellStyle name="60% — акцент3 14" xfId="2071"/>
    <cellStyle name="60% — акцент3 15" xfId="2072"/>
    <cellStyle name="60% — акцент3 16" xfId="2073"/>
    <cellStyle name="60% — акцент3 17" xfId="2074"/>
    <cellStyle name="60% — акцент3 18" xfId="2075"/>
    <cellStyle name="60% — акцент3 19" xfId="2076"/>
    <cellStyle name="60% - Акцент3 2" xfId="2077"/>
    <cellStyle name="60% — акцент3 2" xfId="2078"/>
    <cellStyle name="60% - Акцент3 2 10" xfId="2079"/>
    <cellStyle name="60% - Акцент3 2 2" xfId="2080"/>
    <cellStyle name="60% - Акцент3 2 2 2" xfId="2081"/>
    <cellStyle name="60% - Акцент3 2 3" xfId="2082"/>
    <cellStyle name="60% - Акцент3 2 4" xfId="2083"/>
    <cellStyle name="60% - Акцент3 2 5" xfId="2084"/>
    <cellStyle name="60% - Акцент3 2 6" xfId="2085"/>
    <cellStyle name="60% - Акцент3 2 7" xfId="2086"/>
    <cellStyle name="60% - Акцент3 2 8" xfId="2087"/>
    <cellStyle name="60% - Акцент3 2 9" xfId="2088"/>
    <cellStyle name="60% - Акцент3 2_МФ тепловой баланс 2015 дубль 3" xfId="2089"/>
    <cellStyle name="60% — акцент3 20" xfId="2090"/>
    <cellStyle name="60% — акцент3 21" xfId="2091"/>
    <cellStyle name="60% - Акцент3 3" xfId="2092"/>
    <cellStyle name="60% — акцент3 3" xfId="2093"/>
    <cellStyle name="60% - Акцент3 3 10" xfId="2094"/>
    <cellStyle name="60% - Акцент3 3 11" xfId="2095"/>
    <cellStyle name="60% - Акцент3 3 2" xfId="2096"/>
    <cellStyle name="60% - Акцент3 3 3" xfId="2097"/>
    <cellStyle name="60% - Акцент3 3 4" xfId="2098"/>
    <cellStyle name="60% - Акцент3 3 5" xfId="2099"/>
    <cellStyle name="60% - Акцент3 3 6" xfId="2100"/>
    <cellStyle name="60% - Акцент3 3 7" xfId="2101"/>
    <cellStyle name="60% - Акцент3 3 8" xfId="2102"/>
    <cellStyle name="60% - Акцент3 3 9" xfId="2103"/>
    <cellStyle name="60% - Акцент3 3_МФ тепловой баланс 2015 дубль 3" xfId="2104"/>
    <cellStyle name="60% - Акцент3 4" xfId="2105"/>
    <cellStyle name="60% — акцент3 4" xfId="2106"/>
    <cellStyle name="60% - Акцент3 4 2" xfId="2107"/>
    <cellStyle name="60% - Акцент3 4_МФ тепловой баланс 2015 дубль 3" xfId="2108"/>
    <cellStyle name="60% - Акцент3 5" xfId="2109"/>
    <cellStyle name="60% — акцент3 5" xfId="2110"/>
    <cellStyle name="60% - Акцент3 5 2" xfId="2111"/>
    <cellStyle name="60% - Акцент3 5_МФ тепловой баланс 2015 дубль 3" xfId="2112"/>
    <cellStyle name="60% - Акцент3 6" xfId="2113"/>
    <cellStyle name="60% — акцент3 6" xfId="2114"/>
    <cellStyle name="60% - Акцент3 6 2" xfId="2115"/>
    <cellStyle name="60% - Акцент3 6_МФ тепловой баланс 2015 дубль 3" xfId="2116"/>
    <cellStyle name="60% - Акцент3 7" xfId="2117"/>
    <cellStyle name="60% — акцент3 7" xfId="2118"/>
    <cellStyle name="60% - Акцент3 7 2" xfId="2119"/>
    <cellStyle name="60% - Акцент3 7_МФ тепловой баланс 2015 дубль 3" xfId="2120"/>
    <cellStyle name="60% - Акцент3 8" xfId="2121"/>
    <cellStyle name="60% — акцент3 8" xfId="2122"/>
    <cellStyle name="60% - Акцент3 8 2" xfId="2123"/>
    <cellStyle name="60% - Акцент3 9" xfId="2124"/>
    <cellStyle name="60% — акцент3 9" xfId="2125"/>
    <cellStyle name="60% - Акцент3 9 2" xfId="2126"/>
    <cellStyle name="60% — акцент4" xfId="2127"/>
    <cellStyle name="60% - Акцент4 10" xfId="2128"/>
    <cellStyle name="60% — акцент4 10" xfId="2129"/>
    <cellStyle name="60% — акцент4 11" xfId="2130"/>
    <cellStyle name="60% — акцент4 12" xfId="2131"/>
    <cellStyle name="60% — акцент4 13" xfId="2132"/>
    <cellStyle name="60% — акцент4 14" xfId="2133"/>
    <cellStyle name="60% — акцент4 15" xfId="2134"/>
    <cellStyle name="60% — акцент4 16" xfId="2135"/>
    <cellStyle name="60% — акцент4 17" xfId="2136"/>
    <cellStyle name="60% — акцент4 18" xfId="2137"/>
    <cellStyle name="60% — акцент4 19" xfId="2138"/>
    <cellStyle name="60% - Акцент4 2" xfId="2139"/>
    <cellStyle name="60% — акцент4 2" xfId="2140"/>
    <cellStyle name="60% - Акцент4 2 10" xfId="2141"/>
    <cellStyle name="60% - Акцент4 2 2" xfId="2142"/>
    <cellStyle name="60% - Акцент4 2 2 2" xfId="2143"/>
    <cellStyle name="60% - Акцент4 2 3" xfId="2144"/>
    <cellStyle name="60% - Акцент4 2 4" xfId="2145"/>
    <cellStyle name="60% - Акцент4 2 5" xfId="2146"/>
    <cellStyle name="60% - Акцент4 2 6" xfId="2147"/>
    <cellStyle name="60% - Акцент4 2 7" xfId="2148"/>
    <cellStyle name="60% - Акцент4 2 8" xfId="2149"/>
    <cellStyle name="60% - Акцент4 2 9" xfId="2150"/>
    <cellStyle name="60% - Акцент4 2_МФ тепловой баланс 2015 дубль 3" xfId="2151"/>
    <cellStyle name="60% — акцент4 20" xfId="2152"/>
    <cellStyle name="60% — акцент4 21" xfId="2153"/>
    <cellStyle name="60% - Акцент4 3" xfId="2154"/>
    <cellStyle name="60% — акцент4 3" xfId="2155"/>
    <cellStyle name="60% - Акцент4 3 10" xfId="2156"/>
    <cellStyle name="60% - Акцент4 3 11" xfId="2157"/>
    <cellStyle name="60% - Акцент4 3 2" xfId="2158"/>
    <cellStyle name="60% - Акцент4 3 3" xfId="2159"/>
    <cellStyle name="60% - Акцент4 3 4" xfId="2160"/>
    <cellStyle name="60% - Акцент4 3 5" xfId="2161"/>
    <cellStyle name="60% - Акцент4 3 6" xfId="2162"/>
    <cellStyle name="60% - Акцент4 3 7" xfId="2163"/>
    <cellStyle name="60% - Акцент4 3 8" xfId="2164"/>
    <cellStyle name="60% - Акцент4 3 9" xfId="2165"/>
    <cellStyle name="60% - Акцент4 3_МФ тепловой баланс 2015 дубль 3" xfId="2166"/>
    <cellStyle name="60% - Акцент4 4" xfId="2167"/>
    <cellStyle name="60% — акцент4 4" xfId="2168"/>
    <cellStyle name="60% - Акцент4 4 2" xfId="2169"/>
    <cellStyle name="60% - Акцент4 4_МФ тепловой баланс 2015 дубль 3" xfId="2170"/>
    <cellStyle name="60% - Акцент4 5" xfId="2171"/>
    <cellStyle name="60% — акцент4 5" xfId="2172"/>
    <cellStyle name="60% - Акцент4 5 2" xfId="2173"/>
    <cellStyle name="60% - Акцент4 5_МФ тепловой баланс 2015 дубль 3" xfId="2174"/>
    <cellStyle name="60% - Акцент4 6" xfId="2175"/>
    <cellStyle name="60% — акцент4 6" xfId="2176"/>
    <cellStyle name="60% - Акцент4 6 2" xfId="2177"/>
    <cellStyle name="60% - Акцент4 6_МФ тепловой баланс 2015 дубль 3" xfId="2178"/>
    <cellStyle name="60% - Акцент4 7" xfId="2179"/>
    <cellStyle name="60% — акцент4 7" xfId="2180"/>
    <cellStyle name="60% - Акцент4 7 2" xfId="2181"/>
    <cellStyle name="60% - Акцент4 7_МФ тепловой баланс 2015 дубль 3" xfId="2182"/>
    <cellStyle name="60% - Акцент4 8" xfId="2183"/>
    <cellStyle name="60% — акцент4 8" xfId="2184"/>
    <cellStyle name="60% - Акцент4 8 2" xfId="2185"/>
    <cellStyle name="60% - Акцент4 9" xfId="2186"/>
    <cellStyle name="60% — акцент4 9" xfId="2187"/>
    <cellStyle name="60% - Акцент4 9 2" xfId="2188"/>
    <cellStyle name="60% — акцент5" xfId="2189"/>
    <cellStyle name="60% - Акцент5 10" xfId="2190"/>
    <cellStyle name="60% — акцент5 10" xfId="2191"/>
    <cellStyle name="60% — акцент5 11" xfId="2192"/>
    <cellStyle name="60% — акцент5 12" xfId="2193"/>
    <cellStyle name="60% — акцент5 13" xfId="2194"/>
    <cellStyle name="60% — акцент5 14" xfId="2195"/>
    <cellStyle name="60% — акцент5 15" xfId="2196"/>
    <cellStyle name="60% — акцент5 16" xfId="2197"/>
    <cellStyle name="60% — акцент5 17" xfId="2198"/>
    <cellStyle name="60% — акцент5 18" xfId="2199"/>
    <cellStyle name="60% — акцент5 19" xfId="2200"/>
    <cellStyle name="60% - Акцент5 2" xfId="2201"/>
    <cellStyle name="60% — акцент5 2" xfId="2202"/>
    <cellStyle name="60% - Акцент5 2 10" xfId="2203"/>
    <cellStyle name="60% - Акцент5 2 2" xfId="2204"/>
    <cellStyle name="60% - Акцент5 2 2 2" xfId="2205"/>
    <cellStyle name="60% - Акцент5 2 3" xfId="2206"/>
    <cellStyle name="60% - Акцент5 2 4" xfId="2207"/>
    <cellStyle name="60% - Акцент5 2 5" xfId="2208"/>
    <cellStyle name="60% - Акцент5 2 6" xfId="2209"/>
    <cellStyle name="60% - Акцент5 2 7" xfId="2210"/>
    <cellStyle name="60% - Акцент5 2 8" xfId="2211"/>
    <cellStyle name="60% - Акцент5 2 9" xfId="2212"/>
    <cellStyle name="60% - Акцент5 2_МФ тепловой баланс 2015 дубль 3" xfId="2213"/>
    <cellStyle name="60% — акцент5 20" xfId="2214"/>
    <cellStyle name="60% — акцент5 21" xfId="2215"/>
    <cellStyle name="60% - Акцент5 3" xfId="2216"/>
    <cellStyle name="60% — акцент5 3" xfId="2217"/>
    <cellStyle name="60% - Акцент5 3 10" xfId="2218"/>
    <cellStyle name="60% - Акцент5 3 11" xfId="2219"/>
    <cellStyle name="60% - Акцент5 3 2" xfId="2220"/>
    <cellStyle name="60% - Акцент5 3 3" xfId="2221"/>
    <cellStyle name="60% - Акцент5 3 4" xfId="2222"/>
    <cellStyle name="60% - Акцент5 3 5" xfId="2223"/>
    <cellStyle name="60% - Акцент5 3 6" xfId="2224"/>
    <cellStyle name="60% - Акцент5 3 7" xfId="2225"/>
    <cellStyle name="60% - Акцент5 3 8" xfId="2226"/>
    <cellStyle name="60% - Акцент5 3 9" xfId="2227"/>
    <cellStyle name="60% - Акцент5 3_МФ тепловой баланс 2015 дубль 3" xfId="2228"/>
    <cellStyle name="60% - Акцент5 4" xfId="2229"/>
    <cellStyle name="60% — акцент5 4" xfId="2230"/>
    <cellStyle name="60% - Акцент5 4 2" xfId="2231"/>
    <cellStyle name="60% - Акцент5 4_МФ тепловой баланс 2015 дубль 3" xfId="2232"/>
    <cellStyle name="60% - Акцент5 5" xfId="2233"/>
    <cellStyle name="60% — акцент5 5" xfId="2234"/>
    <cellStyle name="60% - Акцент5 5 2" xfId="2235"/>
    <cellStyle name="60% - Акцент5 5_МФ тепловой баланс 2015 дубль 3" xfId="2236"/>
    <cellStyle name="60% - Акцент5 6" xfId="2237"/>
    <cellStyle name="60% — акцент5 6" xfId="2238"/>
    <cellStyle name="60% - Акцент5 6 2" xfId="2239"/>
    <cellStyle name="60% - Акцент5 6_МФ тепловой баланс 2015 дубль 3" xfId="2240"/>
    <cellStyle name="60% - Акцент5 7" xfId="2241"/>
    <cellStyle name="60% — акцент5 7" xfId="2242"/>
    <cellStyle name="60% - Акцент5 7 2" xfId="2243"/>
    <cellStyle name="60% - Акцент5 7_МФ тепловой баланс 2015 дубль 3" xfId="2244"/>
    <cellStyle name="60% - Акцент5 8" xfId="2245"/>
    <cellStyle name="60% — акцент5 8" xfId="2246"/>
    <cellStyle name="60% - Акцент5 8 2" xfId="2247"/>
    <cellStyle name="60% - Акцент5 9" xfId="2248"/>
    <cellStyle name="60% — акцент5 9" xfId="2249"/>
    <cellStyle name="60% - Акцент5 9 2" xfId="2250"/>
    <cellStyle name="60% — акцент6" xfId="2251"/>
    <cellStyle name="60% - Акцент6 10" xfId="2252"/>
    <cellStyle name="60% — акцент6 10" xfId="2253"/>
    <cellStyle name="60% — акцент6 11" xfId="2254"/>
    <cellStyle name="60% — акцент6 12" xfId="2255"/>
    <cellStyle name="60% — акцент6 13" xfId="2256"/>
    <cellStyle name="60% — акцент6 14" xfId="2257"/>
    <cellStyle name="60% — акцент6 15" xfId="2258"/>
    <cellStyle name="60% — акцент6 16" xfId="2259"/>
    <cellStyle name="60% — акцент6 17" xfId="2260"/>
    <cellStyle name="60% — акцент6 18" xfId="2261"/>
    <cellStyle name="60% — акцент6 19" xfId="2262"/>
    <cellStyle name="60% - Акцент6 2" xfId="2263"/>
    <cellStyle name="60% — акцент6 2" xfId="2264"/>
    <cellStyle name="60% - Акцент6 2 10" xfId="2265"/>
    <cellStyle name="60% - Акцент6 2 2" xfId="2266"/>
    <cellStyle name="60% - Акцент6 2 2 2" xfId="2267"/>
    <cellStyle name="60% - Акцент6 2 3" xfId="2268"/>
    <cellStyle name="60% - Акцент6 2 4" xfId="2269"/>
    <cellStyle name="60% - Акцент6 2 5" xfId="2270"/>
    <cellStyle name="60% - Акцент6 2 6" xfId="2271"/>
    <cellStyle name="60% - Акцент6 2 7" xfId="2272"/>
    <cellStyle name="60% - Акцент6 2 8" xfId="2273"/>
    <cellStyle name="60% - Акцент6 2 9" xfId="2274"/>
    <cellStyle name="60% - Акцент6 2_МФ тепловой баланс 2015 дубль 3" xfId="2275"/>
    <cellStyle name="60% — акцент6 20" xfId="2276"/>
    <cellStyle name="60% — акцент6 21" xfId="2277"/>
    <cellStyle name="60% - Акцент6 3" xfId="2278"/>
    <cellStyle name="60% — акцент6 3" xfId="2279"/>
    <cellStyle name="60% - Акцент6 3 10" xfId="2280"/>
    <cellStyle name="60% - Акцент6 3 11" xfId="2281"/>
    <cellStyle name="60% - Акцент6 3 2" xfId="2282"/>
    <cellStyle name="60% - Акцент6 3 3" xfId="2283"/>
    <cellStyle name="60% - Акцент6 3 4" xfId="2284"/>
    <cellStyle name="60% - Акцент6 3 5" xfId="2285"/>
    <cellStyle name="60% - Акцент6 3 6" xfId="2286"/>
    <cellStyle name="60% - Акцент6 3 7" xfId="2287"/>
    <cellStyle name="60% - Акцент6 3 8" xfId="2288"/>
    <cellStyle name="60% - Акцент6 3 9" xfId="2289"/>
    <cellStyle name="60% - Акцент6 3_МФ тепловой баланс 2015 дубль 3" xfId="2290"/>
    <cellStyle name="60% - Акцент6 4" xfId="2291"/>
    <cellStyle name="60% — акцент6 4" xfId="2292"/>
    <cellStyle name="60% - Акцент6 4 2" xfId="2293"/>
    <cellStyle name="60% - Акцент6 4_МФ тепловой баланс 2015 дубль 3" xfId="2294"/>
    <cellStyle name="60% - Акцент6 5" xfId="2295"/>
    <cellStyle name="60% — акцент6 5" xfId="2296"/>
    <cellStyle name="60% - Акцент6 5 2" xfId="2297"/>
    <cellStyle name="60% - Акцент6 5_МФ тепловой баланс 2015 дубль 3" xfId="2298"/>
    <cellStyle name="60% - Акцент6 6" xfId="2299"/>
    <cellStyle name="60% — акцент6 6" xfId="2300"/>
    <cellStyle name="60% - Акцент6 6 2" xfId="2301"/>
    <cellStyle name="60% - Акцент6 6_МФ тепловой баланс 2015 дубль 3" xfId="2302"/>
    <cellStyle name="60% - Акцент6 7" xfId="2303"/>
    <cellStyle name="60% — акцент6 7" xfId="2304"/>
    <cellStyle name="60% - Акцент6 7 2" xfId="2305"/>
    <cellStyle name="60% - Акцент6 7_МФ тепловой баланс 2015 дубль 3" xfId="2306"/>
    <cellStyle name="60% - Акцент6 8" xfId="2307"/>
    <cellStyle name="60% — акцент6 8" xfId="2308"/>
    <cellStyle name="60% - Акцент6 8 2" xfId="2309"/>
    <cellStyle name="60% - Акцент6 9" xfId="2310"/>
    <cellStyle name="60% — акцент6 9" xfId="2311"/>
    <cellStyle name="60% - Акцент6 9 2" xfId="2312"/>
    <cellStyle name="Accent1" xfId="2313"/>
    <cellStyle name="Accent2" xfId="2314"/>
    <cellStyle name="Accent3" xfId="2315"/>
    <cellStyle name="Accent4" xfId="2316"/>
    <cellStyle name="Accent5" xfId="2317"/>
    <cellStyle name="Accent6" xfId="2318"/>
    <cellStyle name="Ăčďĺđńńűëęŕ" xfId="2319"/>
    <cellStyle name="Action" xfId="2320"/>
    <cellStyle name="AFE" xfId="2321"/>
    <cellStyle name="Áĺççŕůčňíűé" xfId="2322"/>
    <cellStyle name="Äĺíĺćíűé [0]_(ňŕá 3č)" xfId="2323"/>
    <cellStyle name="Äĺíĺćíűé_(ňŕá 3č)" xfId="2324"/>
    <cellStyle name="Bad" xfId="2325"/>
    <cellStyle name="Blue" xfId="2326"/>
    <cellStyle name="Body_$Dollars" xfId="2327"/>
    <cellStyle name="Calculation" xfId="2328"/>
    <cellStyle name="Cells" xfId="2329"/>
    <cellStyle name="Cells 2" xfId="2330"/>
    <cellStyle name="Cells 2 2" xfId="2331"/>
    <cellStyle name="Cells 3" xfId="2332"/>
    <cellStyle name="Check Cell" xfId="2333"/>
    <cellStyle name="Chek" xfId="2334"/>
    <cellStyle name="Comma [0]_0_Cash" xfId="2335"/>
    <cellStyle name="Comma 0" xfId="2336"/>
    <cellStyle name="Comma 0*" xfId="2337"/>
    <cellStyle name="Comma 2" xfId="2338"/>
    <cellStyle name="Comma 3*" xfId="2339"/>
    <cellStyle name="Comma_0_Cash" xfId="2340"/>
    <cellStyle name="Comma0" xfId="2341"/>
    <cellStyle name="Çŕůčňíűé" xfId="2342"/>
    <cellStyle name="Currency [0]" xfId="2343"/>
    <cellStyle name="Currency [0] 2" xfId="2344"/>
    <cellStyle name="Currency [0] 2 2" xfId="2345"/>
    <cellStyle name="Currency [0] 2 3" xfId="2346"/>
    <cellStyle name="Currency [0] 2 4" xfId="2347"/>
    <cellStyle name="Currency [0] 2 5" xfId="2348"/>
    <cellStyle name="Currency [0] 2 6" xfId="2349"/>
    <cellStyle name="Currency [0] 2 7" xfId="2350"/>
    <cellStyle name="Currency [0] 2 8" xfId="2351"/>
    <cellStyle name="Currency [0] 2 9" xfId="2352"/>
    <cellStyle name="Currency [0] 3" xfId="2353"/>
    <cellStyle name="Currency [0] 3 2" xfId="2354"/>
    <cellStyle name="Currency [0] 3 3" xfId="2355"/>
    <cellStyle name="Currency [0] 3 4" xfId="2356"/>
    <cellStyle name="Currency [0] 3 5" xfId="2357"/>
    <cellStyle name="Currency [0] 3 6" xfId="2358"/>
    <cellStyle name="Currency [0] 3 7" xfId="2359"/>
    <cellStyle name="Currency [0] 3 8" xfId="2360"/>
    <cellStyle name="Currency [0] 3 9" xfId="2361"/>
    <cellStyle name="Currency [0] 4" xfId="2362"/>
    <cellStyle name="Currency [0] 4 2" xfId="2363"/>
    <cellStyle name="Currency [0] 4 3" xfId="2364"/>
    <cellStyle name="Currency [0] 4 4" xfId="2365"/>
    <cellStyle name="Currency [0] 4 5" xfId="2366"/>
    <cellStyle name="Currency [0] 4 6" xfId="2367"/>
    <cellStyle name="Currency [0] 4 7" xfId="2368"/>
    <cellStyle name="Currency [0] 4 8" xfId="2369"/>
    <cellStyle name="Currency [0] 4 9" xfId="2370"/>
    <cellStyle name="Currency [0] 5" xfId="2371"/>
    <cellStyle name="Currency [0] 5 2" xfId="2372"/>
    <cellStyle name="Currency [0] 5 3" xfId="2373"/>
    <cellStyle name="Currency [0] 5 4" xfId="2374"/>
    <cellStyle name="Currency [0] 5 5" xfId="2375"/>
    <cellStyle name="Currency [0] 5 6" xfId="2376"/>
    <cellStyle name="Currency [0] 5 7" xfId="2377"/>
    <cellStyle name="Currency [0] 5 8" xfId="2378"/>
    <cellStyle name="Currency [0] 5 9" xfId="2379"/>
    <cellStyle name="Currency [0] 6" xfId="2380"/>
    <cellStyle name="Currency [0] 6 2" xfId="2381"/>
    <cellStyle name="Currency [0] 6 3" xfId="2382"/>
    <cellStyle name="Currency [0] 7" xfId="2383"/>
    <cellStyle name="Currency [0] 7 2" xfId="2384"/>
    <cellStyle name="Currency [0] 7 3" xfId="2385"/>
    <cellStyle name="Currency [0] 8" xfId="2386"/>
    <cellStyle name="Currency [0] 8 2" xfId="2387"/>
    <cellStyle name="Currency [0] 8 3" xfId="2388"/>
    <cellStyle name="Currency [0]_Приложения ЛФ корр" xfId="2389"/>
    <cellStyle name="Currency 0" xfId="2390"/>
    <cellStyle name="Currency 2" xfId="2391"/>
    <cellStyle name="Currency_0_Cash" xfId="2392"/>
    <cellStyle name="Currency0" xfId="2393"/>
    <cellStyle name="currency1" xfId="2394"/>
    <cellStyle name="Currency2" xfId="2395"/>
    <cellStyle name="currency3" xfId="2396"/>
    <cellStyle name="currency4" xfId="2397"/>
    <cellStyle name="Date" xfId="2398"/>
    <cellStyle name="Date Aligned" xfId="2399"/>
    <cellStyle name="Dates" xfId="2400"/>
    <cellStyle name="DblClick" xfId="2401"/>
    <cellStyle name="DblClick 2" xfId="2402"/>
    <cellStyle name="Dezimal [0]_NEGS" xfId="2403"/>
    <cellStyle name="Dezimal_NEGS" xfId="2404"/>
    <cellStyle name="Dotted Line" xfId="2405"/>
    <cellStyle name="E&amp;Y House" xfId="2406"/>
    <cellStyle name="E-mail" xfId="2407"/>
    <cellStyle name="E-mail 2" xfId="2408"/>
    <cellStyle name="E-mail_46EP.2011(v2.0)" xfId="2409"/>
    <cellStyle name="Euro" xfId="2410"/>
    <cellStyle name="Euro 2" xfId="2411"/>
    <cellStyle name="Euro 3" xfId="2412"/>
    <cellStyle name="Euro 4" xfId="2413"/>
    <cellStyle name="ew" xfId="2414"/>
    <cellStyle name="Excel Built-in Normal" xfId="2415"/>
    <cellStyle name="Excel Built-in Normal 1" xfId="2416"/>
    <cellStyle name="Excel Built-in Normal 2" xfId="2417"/>
    <cellStyle name="Explanatory Text" xfId="2418"/>
    <cellStyle name="F2" xfId="2419"/>
    <cellStyle name="F3" xfId="2420"/>
    <cellStyle name="F4" xfId="2421"/>
    <cellStyle name="F5" xfId="2422"/>
    <cellStyle name="F6" xfId="2423"/>
    <cellStyle name="F7" xfId="2424"/>
    <cellStyle name="F8" xfId="2425"/>
    <cellStyle name="Fixed" xfId="2426"/>
    <cellStyle name="fo]_x000d__x000a_UserName=Murat Zelef_x000d__x000a_UserCompany=Bumerang_x000d__x000a__x000d__x000a_[File Paths]_x000d__x000a_WorkingDirectory=C:\EQUIS\DLWIN_x000d__x000a_DownLoader=C" xfId="2427"/>
    <cellStyle name="Followed Hyperlink" xfId="2428"/>
    <cellStyle name="Footnote" xfId="2429"/>
    <cellStyle name="Formuls" xfId="2430"/>
    <cellStyle name="Formuls 2" xfId="2431"/>
    <cellStyle name="Good" xfId="2432"/>
    <cellStyle name="hard no" xfId="2433"/>
    <cellStyle name="Hard Percent" xfId="2434"/>
    <cellStyle name="hardno" xfId="2435"/>
    <cellStyle name="Head 1" xfId="2436"/>
    <cellStyle name="Header" xfId="2437"/>
    <cellStyle name="Header 3" xfId="2438"/>
    <cellStyle name="Header 3 2" xfId="2439"/>
    <cellStyle name="header1" xfId="2440"/>
    <cellStyle name="header2" xfId="2441"/>
    <cellStyle name="Heading" xfId="2442"/>
    <cellStyle name="Heading 1" xfId="2443"/>
    <cellStyle name="Heading 1 2" xfId="2444"/>
    <cellStyle name="Heading 2" xfId="2445"/>
    <cellStyle name="Heading 2 2" xfId="2446"/>
    <cellStyle name="Heading 3" xfId="2447"/>
    <cellStyle name="Heading 4" xfId="2448"/>
    <cellStyle name="Heading_GP.ITOG.4.78(v1.0) - для разделения" xfId="2449"/>
    <cellStyle name="Heading2" xfId="2450"/>
    <cellStyle name="Heading2 2" xfId="2451"/>
    <cellStyle name="Heading2_46EP.2011(v2.0)" xfId="2452"/>
    <cellStyle name="Headline I" xfId="2453"/>
    <cellStyle name="Headline II" xfId="2454"/>
    <cellStyle name="Headline III" xfId="2455"/>
    <cellStyle name="Hyperlink" xfId="2456"/>
    <cellStyle name="Iau?iue_130 nnd. are." xfId="2457"/>
    <cellStyle name="Îáű÷íűé__FES" xfId="2458"/>
    <cellStyle name="Îáû÷íûé_cogs" xfId="2459"/>
    <cellStyle name="Îňęđűâŕâřŕ˙ń˙ ăčďĺđńńűëęŕ" xfId="2460"/>
    <cellStyle name="Info" xfId="2461"/>
    <cellStyle name="Input" xfId="2462"/>
    <cellStyle name="InputCurrency" xfId="2463"/>
    <cellStyle name="InputCurrency2" xfId="2464"/>
    <cellStyle name="InputMultiple1" xfId="2465"/>
    <cellStyle name="InputPercent1" xfId="2466"/>
    <cellStyle name="Inputs" xfId="2467"/>
    <cellStyle name="Inputs (const)" xfId="2468"/>
    <cellStyle name="Inputs (const) 2" xfId="2469"/>
    <cellStyle name="Inputs (const)_46EP.2011(v2.0)" xfId="2470"/>
    <cellStyle name="Inputs 2" xfId="2471"/>
    <cellStyle name="Inputs Co" xfId="2472"/>
    <cellStyle name="Inputs_46EE.2011(v1.0)" xfId="2473"/>
    <cellStyle name="Linked Cell" xfId="2474"/>
    <cellStyle name="Millares [0]_RESULTS" xfId="2475"/>
    <cellStyle name="Millares_RESULTS" xfId="2476"/>
    <cellStyle name="Milliers [0]_Fonctions Macros XL4" xfId="2477"/>
    <cellStyle name="Milliers_Fonctions Macros XL4" xfId="2478"/>
    <cellStyle name="mnb" xfId="2479"/>
    <cellStyle name="Moneda [0]_RESULTS" xfId="2480"/>
    <cellStyle name="Moneda_RESULTS" xfId="2481"/>
    <cellStyle name="Monétaire [0]_RESULTS" xfId="2482"/>
    <cellStyle name="Monétaire_RESULTS" xfId="2483"/>
    <cellStyle name="Multiple" xfId="2484"/>
    <cellStyle name="Multiple1" xfId="2485"/>
    <cellStyle name="MultipleBelow" xfId="2486"/>
    <cellStyle name="namber" xfId="2487"/>
    <cellStyle name="Neutral" xfId="2488"/>
    <cellStyle name="Norma11l" xfId="2489"/>
    <cellStyle name="normal" xfId="2490"/>
    <cellStyle name="Normal - Style1" xfId="2491"/>
    <cellStyle name="normal 10" xfId="2492"/>
    <cellStyle name="Normal 2" xfId="2493"/>
    <cellStyle name="Normal 2 2" xfId="2494"/>
    <cellStyle name="Normal 2 3" xfId="2495"/>
    <cellStyle name="normal 3" xfId="2496"/>
    <cellStyle name="normal 4" xfId="2497"/>
    <cellStyle name="normal 5" xfId="2498"/>
    <cellStyle name="normal 6" xfId="2499"/>
    <cellStyle name="normal 7" xfId="2500"/>
    <cellStyle name="normal 8" xfId="2501"/>
    <cellStyle name="normal 9" xfId="2502"/>
    <cellStyle name="Normal." xfId="2503"/>
    <cellStyle name="Normal_06_9m" xfId="2504"/>
    <cellStyle name="Normal1" xfId="2505"/>
    <cellStyle name="Normal2" xfId="2506"/>
    <cellStyle name="NormalGB" xfId="2507"/>
    <cellStyle name="Normalny_24. 02. 97." xfId="2508"/>
    <cellStyle name="normбlnм_laroux" xfId="2509"/>
    <cellStyle name="Note" xfId="2510"/>
    <cellStyle name="Note 2" xfId="2511"/>
    <cellStyle name="Note 3" xfId="2512"/>
    <cellStyle name="number" xfId="2513"/>
    <cellStyle name="Ôčíŕíńîâűé [0]_(ňŕá 3č)" xfId="2514"/>
    <cellStyle name="Ôčíŕíńîâűé_(ňŕá 3č)" xfId="2515"/>
    <cellStyle name="Option" xfId="2516"/>
    <cellStyle name="Òûñÿ÷è [0]_cogs" xfId="2517"/>
    <cellStyle name="Òûñÿ÷è_cogs" xfId="2518"/>
    <cellStyle name="Output" xfId="2519"/>
    <cellStyle name="Page Number" xfId="2520"/>
    <cellStyle name="pb_page_heading_LS" xfId="2521"/>
    <cellStyle name="Percent_RS_Lianozovo-Samara_9m01" xfId="2522"/>
    <cellStyle name="Percent1" xfId="2523"/>
    <cellStyle name="Piug" xfId="2524"/>
    <cellStyle name="Plug" xfId="2525"/>
    <cellStyle name="Price_Body" xfId="2526"/>
    <cellStyle name="prochrek" xfId="2527"/>
    <cellStyle name="Protected" xfId="2528"/>
    <cellStyle name="Salomon Logo" xfId="2529"/>
    <cellStyle name="SAPBEXaggData" xfId="2530"/>
    <cellStyle name="SAPBEXaggDataEmph" xfId="2531"/>
    <cellStyle name="SAPBEXaggItem" xfId="2532"/>
    <cellStyle name="SAPBEXaggItemX" xfId="2533"/>
    <cellStyle name="SAPBEXchaText" xfId="2534"/>
    <cellStyle name="SAPBEXexcBad7" xfId="2535"/>
    <cellStyle name="SAPBEXexcBad8" xfId="2536"/>
    <cellStyle name="SAPBEXexcBad9" xfId="2537"/>
    <cellStyle name="SAPBEXexcCritical4" xfId="2538"/>
    <cellStyle name="SAPBEXexcCritical5" xfId="2539"/>
    <cellStyle name="SAPBEXexcCritical6" xfId="2540"/>
    <cellStyle name="SAPBEXexcGood1" xfId="2541"/>
    <cellStyle name="SAPBEXexcGood2" xfId="2542"/>
    <cellStyle name="SAPBEXexcGood3" xfId="2543"/>
    <cellStyle name="SAPBEXfilterDrill" xfId="2544"/>
    <cellStyle name="SAPBEXfilterItem" xfId="2545"/>
    <cellStyle name="SAPBEXfilterText" xfId="2546"/>
    <cellStyle name="SAPBEXformats" xfId="2547"/>
    <cellStyle name="SAPBEXheaderItem" xfId="2548"/>
    <cellStyle name="SAPBEXheaderText" xfId="2549"/>
    <cellStyle name="SAPBEXHLevel0" xfId="2550"/>
    <cellStyle name="SAPBEXHLevel0X" xfId="2551"/>
    <cellStyle name="SAPBEXHLevel1" xfId="2552"/>
    <cellStyle name="SAPBEXHLevel1X" xfId="2553"/>
    <cellStyle name="SAPBEXHLevel2" xfId="2554"/>
    <cellStyle name="SAPBEXHLevel2X" xfId="2555"/>
    <cellStyle name="SAPBEXHLevel3" xfId="2556"/>
    <cellStyle name="SAPBEXHLevel3X" xfId="2557"/>
    <cellStyle name="SAPBEXinputData" xfId="2558"/>
    <cellStyle name="SAPBEXresData" xfId="2559"/>
    <cellStyle name="SAPBEXresDataEmph" xfId="2560"/>
    <cellStyle name="SAPBEXresItem" xfId="2561"/>
    <cellStyle name="SAPBEXresItemX" xfId="2562"/>
    <cellStyle name="SAPBEXstdData" xfId="2563"/>
    <cellStyle name="SAPBEXstdDataEmph" xfId="2564"/>
    <cellStyle name="SAPBEXstdItem" xfId="2565"/>
    <cellStyle name="SAPBEXstdItemX" xfId="2566"/>
    <cellStyle name="SAPBEXtitle" xfId="2567"/>
    <cellStyle name="SAPBEXundefined" xfId="2568"/>
    <cellStyle name="st1" xfId="2569"/>
    <cellStyle name="stand_bord" xfId="2570"/>
    <cellStyle name="Standard_NEGS" xfId="2571"/>
    <cellStyle name="Style 1" xfId="2572"/>
    <cellStyle name="styleColumnTitles" xfId="2573"/>
    <cellStyle name="styleDateRange" xfId="2574"/>
    <cellStyle name="styleHidden" xfId="2575"/>
    <cellStyle name="styleNormal" xfId="2576"/>
    <cellStyle name="styleSeriesAttributes" xfId="2577"/>
    <cellStyle name="styleSeriesData" xfId="2578"/>
    <cellStyle name="styleSeriesDataForecast" xfId="2579"/>
    <cellStyle name="styleSeriesDataForecastNA" xfId="2580"/>
    <cellStyle name="styleSeriesDataNA" xfId="2581"/>
    <cellStyle name="Table Head" xfId="2582"/>
    <cellStyle name="Table Head Aligned" xfId="2583"/>
    <cellStyle name="Table Head Blue" xfId="2584"/>
    <cellStyle name="Table Head Green" xfId="2585"/>
    <cellStyle name="Table Head_Val_Sum_Graph" xfId="2586"/>
    <cellStyle name="Table Heading" xfId="2587"/>
    <cellStyle name="Table Heading 2" xfId="2588"/>
    <cellStyle name="Table Heading_46EP.2011(v2.0)" xfId="2589"/>
    <cellStyle name="Table Text" xfId="2590"/>
    <cellStyle name="Table Title" xfId="2591"/>
    <cellStyle name="Table Units" xfId="2592"/>
    <cellStyle name="Table_Header" xfId="2593"/>
    <cellStyle name="TableStyleLight1" xfId="2594"/>
    <cellStyle name="TableStyleLight1 2" xfId="2595"/>
    <cellStyle name="Text" xfId="2596"/>
    <cellStyle name="Text 1" xfId="2597"/>
    <cellStyle name="Text Head" xfId="2598"/>
    <cellStyle name="Text Head 1" xfId="2599"/>
    <cellStyle name="Title" xfId="2600"/>
    <cellStyle name="Title 2" xfId="2601"/>
    <cellStyle name="Title 4" xfId="2602"/>
    <cellStyle name="Total" xfId="2603"/>
    <cellStyle name="Total 2" xfId="2604"/>
    <cellStyle name="TotalCurrency" xfId="2605"/>
    <cellStyle name="Underline_Single" xfId="2606"/>
    <cellStyle name="Unit" xfId="2607"/>
    <cellStyle name="Warning Text" xfId="2608"/>
    <cellStyle name="year" xfId="2609"/>
    <cellStyle name="Акцент1 10" xfId="2610"/>
    <cellStyle name="Акцент1 2" xfId="2611"/>
    <cellStyle name="Акцент1 2 10" xfId="2612"/>
    <cellStyle name="Акцент1 2 2" xfId="2613"/>
    <cellStyle name="Акцент1 2 2 2" xfId="2614"/>
    <cellStyle name="Акцент1 2 3" xfId="2615"/>
    <cellStyle name="Акцент1 2 4" xfId="2616"/>
    <cellStyle name="Акцент1 2 5" xfId="2617"/>
    <cellStyle name="Акцент1 2 6" xfId="2618"/>
    <cellStyle name="Акцент1 2 7" xfId="2619"/>
    <cellStyle name="Акцент1 2 8" xfId="2620"/>
    <cellStyle name="Акцент1 2 9" xfId="2621"/>
    <cellStyle name="Акцент1 2_МФ тепловой баланс 2015 дубль 3" xfId="2622"/>
    <cellStyle name="Акцент1 3" xfId="2623"/>
    <cellStyle name="Акцент1 3 10" xfId="2624"/>
    <cellStyle name="Акцент1 3 11" xfId="2625"/>
    <cellStyle name="Акцент1 3 2" xfId="2626"/>
    <cellStyle name="Акцент1 3 3" xfId="2627"/>
    <cellStyle name="Акцент1 3 4" xfId="2628"/>
    <cellStyle name="Акцент1 3 5" xfId="2629"/>
    <cellStyle name="Акцент1 3 6" xfId="2630"/>
    <cellStyle name="Акцент1 3 7" xfId="2631"/>
    <cellStyle name="Акцент1 3 8" xfId="2632"/>
    <cellStyle name="Акцент1 3 9" xfId="2633"/>
    <cellStyle name="Акцент1 3_МФ тепловой баланс 2015 дубль 3" xfId="2634"/>
    <cellStyle name="Акцент1 4" xfId="2635"/>
    <cellStyle name="Акцент1 4 2" xfId="2636"/>
    <cellStyle name="Акцент1 4_МФ тепловой баланс 2015 дубль 3" xfId="2637"/>
    <cellStyle name="Акцент1 5" xfId="2638"/>
    <cellStyle name="Акцент1 5 2" xfId="2639"/>
    <cellStyle name="Акцент1 5_МФ тепловой баланс 2015 дубль 3" xfId="2640"/>
    <cellStyle name="Акцент1 6" xfId="2641"/>
    <cellStyle name="Акцент1 6 2" xfId="2642"/>
    <cellStyle name="Акцент1 6_МФ тепловой баланс 2015 дубль 3" xfId="2643"/>
    <cellStyle name="Акцент1 7" xfId="2644"/>
    <cellStyle name="Акцент1 7 2" xfId="2645"/>
    <cellStyle name="Акцент1 7_МФ тепловой баланс 2015 дубль 3" xfId="2646"/>
    <cellStyle name="Акцент1 8" xfId="2647"/>
    <cellStyle name="Акцент1 8 2" xfId="2648"/>
    <cellStyle name="Акцент1 9" xfId="2649"/>
    <cellStyle name="Акцент1 9 2" xfId="2650"/>
    <cellStyle name="Акцент2 10" xfId="2651"/>
    <cellStyle name="Акцент2 2" xfId="2652"/>
    <cellStyle name="Акцент2 2 10" xfId="2653"/>
    <cellStyle name="Акцент2 2 2" xfId="2654"/>
    <cellStyle name="Акцент2 2 2 2" xfId="2655"/>
    <cellStyle name="Акцент2 2 3" xfId="2656"/>
    <cellStyle name="Акцент2 2 4" xfId="2657"/>
    <cellStyle name="Акцент2 2 5" xfId="2658"/>
    <cellStyle name="Акцент2 2 6" xfId="2659"/>
    <cellStyle name="Акцент2 2 7" xfId="2660"/>
    <cellStyle name="Акцент2 2 8" xfId="2661"/>
    <cellStyle name="Акцент2 2 9" xfId="2662"/>
    <cellStyle name="Акцент2 2_МФ тепловой баланс 2015 дубль 3" xfId="2663"/>
    <cellStyle name="Акцент2 3" xfId="2664"/>
    <cellStyle name="Акцент2 3 10" xfId="2665"/>
    <cellStyle name="Акцент2 3 11" xfId="2666"/>
    <cellStyle name="Акцент2 3 2" xfId="2667"/>
    <cellStyle name="Акцент2 3 3" xfId="2668"/>
    <cellStyle name="Акцент2 3 4" xfId="2669"/>
    <cellStyle name="Акцент2 3 5" xfId="2670"/>
    <cellStyle name="Акцент2 3 6" xfId="2671"/>
    <cellStyle name="Акцент2 3 7" xfId="2672"/>
    <cellStyle name="Акцент2 3 8" xfId="2673"/>
    <cellStyle name="Акцент2 3 9" xfId="2674"/>
    <cellStyle name="Акцент2 3_МФ тепловой баланс 2015 дубль 3" xfId="2675"/>
    <cellStyle name="Акцент2 4" xfId="2676"/>
    <cellStyle name="Акцент2 4 2" xfId="2677"/>
    <cellStyle name="Акцент2 4_МФ тепловой баланс 2015 дубль 3" xfId="2678"/>
    <cellStyle name="Акцент2 5" xfId="2679"/>
    <cellStyle name="Акцент2 5 2" xfId="2680"/>
    <cellStyle name="Акцент2 5_МФ тепловой баланс 2015 дубль 3" xfId="2681"/>
    <cellStyle name="Акцент2 6" xfId="2682"/>
    <cellStyle name="Акцент2 6 2" xfId="2683"/>
    <cellStyle name="Акцент2 6_МФ тепловой баланс 2015 дубль 3" xfId="2684"/>
    <cellStyle name="Акцент2 7" xfId="2685"/>
    <cellStyle name="Акцент2 7 2" xfId="2686"/>
    <cellStyle name="Акцент2 7_МФ тепловой баланс 2015 дубль 3" xfId="2687"/>
    <cellStyle name="Акцент2 8" xfId="2688"/>
    <cellStyle name="Акцент2 8 2" xfId="2689"/>
    <cellStyle name="Акцент2 9" xfId="2690"/>
    <cellStyle name="Акцент2 9 2" xfId="2691"/>
    <cellStyle name="Акцент3 10" xfId="2692"/>
    <cellStyle name="Акцент3 2" xfId="2693"/>
    <cellStyle name="Акцент3 2 10" xfId="2694"/>
    <cellStyle name="Акцент3 2 2" xfId="2695"/>
    <cellStyle name="Акцент3 2 2 2" xfId="2696"/>
    <cellStyle name="Акцент3 2 3" xfId="2697"/>
    <cellStyle name="Акцент3 2 4" xfId="2698"/>
    <cellStyle name="Акцент3 2 5" xfId="2699"/>
    <cellStyle name="Акцент3 2 6" xfId="2700"/>
    <cellStyle name="Акцент3 2 7" xfId="2701"/>
    <cellStyle name="Акцент3 2 8" xfId="2702"/>
    <cellStyle name="Акцент3 2 9" xfId="2703"/>
    <cellStyle name="Акцент3 2_МФ тепловой баланс 2015 дубль 3" xfId="2704"/>
    <cellStyle name="Акцент3 3" xfId="2705"/>
    <cellStyle name="Акцент3 3 10" xfId="2706"/>
    <cellStyle name="Акцент3 3 11" xfId="2707"/>
    <cellStyle name="Акцент3 3 2" xfId="2708"/>
    <cellStyle name="Акцент3 3 3" xfId="2709"/>
    <cellStyle name="Акцент3 3 4" xfId="2710"/>
    <cellStyle name="Акцент3 3 5" xfId="2711"/>
    <cellStyle name="Акцент3 3 6" xfId="2712"/>
    <cellStyle name="Акцент3 3 7" xfId="2713"/>
    <cellStyle name="Акцент3 3 8" xfId="2714"/>
    <cellStyle name="Акцент3 3 9" xfId="2715"/>
    <cellStyle name="Акцент3 3_МФ тепловой баланс 2015 дубль 3" xfId="2716"/>
    <cellStyle name="Акцент3 4" xfId="2717"/>
    <cellStyle name="Акцент3 4 2" xfId="2718"/>
    <cellStyle name="Акцент3 4_МФ тепловой баланс 2015 дубль 3" xfId="2719"/>
    <cellStyle name="Акцент3 5" xfId="2720"/>
    <cellStyle name="Акцент3 5 2" xfId="2721"/>
    <cellStyle name="Акцент3 5_МФ тепловой баланс 2015 дубль 3" xfId="2722"/>
    <cellStyle name="Акцент3 6" xfId="2723"/>
    <cellStyle name="Акцент3 6 2" xfId="2724"/>
    <cellStyle name="Акцент3 6_МФ тепловой баланс 2015 дубль 3" xfId="2725"/>
    <cellStyle name="Акцент3 7" xfId="2726"/>
    <cellStyle name="Акцент3 7 2" xfId="2727"/>
    <cellStyle name="Акцент3 7_МФ тепловой баланс 2015 дубль 3" xfId="2728"/>
    <cellStyle name="Акцент3 8" xfId="2729"/>
    <cellStyle name="Акцент3 8 2" xfId="2730"/>
    <cellStyle name="Акцент3 9" xfId="2731"/>
    <cellStyle name="Акцент3 9 2" xfId="2732"/>
    <cellStyle name="Акцент4 10" xfId="2733"/>
    <cellStyle name="Акцент4 2" xfId="2734"/>
    <cellStyle name="Акцент4 2 10" xfId="2735"/>
    <cellStyle name="Акцент4 2 2" xfId="2736"/>
    <cellStyle name="Акцент4 2 2 2" xfId="2737"/>
    <cellStyle name="Акцент4 2 3" xfId="2738"/>
    <cellStyle name="Акцент4 2 4" xfId="2739"/>
    <cellStyle name="Акцент4 2 5" xfId="2740"/>
    <cellStyle name="Акцент4 2 6" xfId="2741"/>
    <cellStyle name="Акцент4 2 7" xfId="2742"/>
    <cellStyle name="Акцент4 2 8" xfId="2743"/>
    <cellStyle name="Акцент4 2 9" xfId="2744"/>
    <cellStyle name="Акцент4 2_МФ тепловой баланс 2015 дубль 3" xfId="2745"/>
    <cellStyle name="Акцент4 3" xfId="2746"/>
    <cellStyle name="Акцент4 3 10" xfId="2747"/>
    <cellStyle name="Акцент4 3 11" xfId="2748"/>
    <cellStyle name="Акцент4 3 2" xfId="2749"/>
    <cellStyle name="Акцент4 3 3" xfId="2750"/>
    <cellStyle name="Акцент4 3 4" xfId="2751"/>
    <cellStyle name="Акцент4 3 5" xfId="2752"/>
    <cellStyle name="Акцент4 3 6" xfId="2753"/>
    <cellStyle name="Акцент4 3 7" xfId="2754"/>
    <cellStyle name="Акцент4 3 8" xfId="2755"/>
    <cellStyle name="Акцент4 3 9" xfId="2756"/>
    <cellStyle name="Акцент4 3_МФ тепловой баланс 2015 дубль 3" xfId="2757"/>
    <cellStyle name="Акцент4 4" xfId="2758"/>
    <cellStyle name="Акцент4 4 2" xfId="2759"/>
    <cellStyle name="Акцент4 4_МФ тепловой баланс 2015 дубль 3" xfId="2760"/>
    <cellStyle name="Акцент4 5" xfId="2761"/>
    <cellStyle name="Акцент4 5 2" xfId="2762"/>
    <cellStyle name="Акцент4 5_МФ тепловой баланс 2015 дубль 3" xfId="2763"/>
    <cellStyle name="Акцент4 6" xfId="2764"/>
    <cellStyle name="Акцент4 6 2" xfId="2765"/>
    <cellStyle name="Акцент4 6_МФ тепловой баланс 2015 дубль 3" xfId="2766"/>
    <cellStyle name="Акцент4 7" xfId="2767"/>
    <cellStyle name="Акцент4 7 2" xfId="2768"/>
    <cellStyle name="Акцент4 7_МФ тепловой баланс 2015 дубль 3" xfId="2769"/>
    <cellStyle name="Акцент4 8" xfId="2770"/>
    <cellStyle name="Акцент4 8 2" xfId="2771"/>
    <cellStyle name="Акцент4 9" xfId="2772"/>
    <cellStyle name="Акцент4 9 2" xfId="2773"/>
    <cellStyle name="Акцент5 10" xfId="2774"/>
    <cellStyle name="Акцент5 2" xfId="2775"/>
    <cellStyle name="Акцент5 2 10" xfId="2776"/>
    <cellStyle name="Акцент5 2 2" xfId="2777"/>
    <cellStyle name="Акцент5 2 2 2" xfId="2778"/>
    <cellStyle name="Акцент5 2 3" xfId="2779"/>
    <cellStyle name="Акцент5 2 4" xfId="2780"/>
    <cellStyle name="Акцент5 2 5" xfId="2781"/>
    <cellStyle name="Акцент5 2 6" xfId="2782"/>
    <cellStyle name="Акцент5 2 7" xfId="2783"/>
    <cellStyle name="Акцент5 2 8" xfId="2784"/>
    <cellStyle name="Акцент5 2 9" xfId="2785"/>
    <cellStyle name="Акцент5 2_МФ тепловой баланс 2015 дубль 3" xfId="2786"/>
    <cellStyle name="Акцент5 3" xfId="2787"/>
    <cellStyle name="Акцент5 3 10" xfId="2788"/>
    <cellStyle name="Акцент5 3 11" xfId="2789"/>
    <cellStyle name="Акцент5 3 2" xfId="2790"/>
    <cellStyle name="Акцент5 3 3" xfId="2791"/>
    <cellStyle name="Акцент5 3 4" xfId="2792"/>
    <cellStyle name="Акцент5 3 5" xfId="2793"/>
    <cellStyle name="Акцент5 3 6" xfId="2794"/>
    <cellStyle name="Акцент5 3 7" xfId="2795"/>
    <cellStyle name="Акцент5 3 8" xfId="2796"/>
    <cellStyle name="Акцент5 3 9" xfId="2797"/>
    <cellStyle name="Акцент5 3_МФ тепловой баланс 2015 дубль 3" xfId="2798"/>
    <cellStyle name="Акцент5 4" xfId="2799"/>
    <cellStyle name="Акцент5 4 2" xfId="2800"/>
    <cellStyle name="Акцент5 4_МФ тепловой баланс 2015 дубль 3" xfId="2801"/>
    <cellStyle name="Акцент5 5" xfId="2802"/>
    <cellStyle name="Акцент5 5 2" xfId="2803"/>
    <cellStyle name="Акцент5 5_МФ тепловой баланс 2015 дубль 3" xfId="2804"/>
    <cellStyle name="Акцент5 6" xfId="2805"/>
    <cellStyle name="Акцент5 6 2" xfId="2806"/>
    <cellStyle name="Акцент5 6_МФ тепловой баланс 2015 дубль 3" xfId="2807"/>
    <cellStyle name="Акцент5 7" xfId="2808"/>
    <cellStyle name="Акцент5 7 2" xfId="2809"/>
    <cellStyle name="Акцент5 7_МФ тепловой баланс 2015 дубль 3" xfId="2810"/>
    <cellStyle name="Акцент5 8" xfId="2811"/>
    <cellStyle name="Акцент5 8 2" xfId="2812"/>
    <cellStyle name="Акцент5 9" xfId="2813"/>
    <cellStyle name="Акцент5 9 2" xfId="2814"/>
    <cellStyle name="Акцент6 10" xfId="2815"/>
    <cellStyle name="Акцент6 2" xfId="2816"/>
    <cellStyle name="Акцент6 2 10" xfId="2817"/>
    <cellStyle name="Акцент6 2 2" xfId="2818"/>
    <cellStyle name="Акцент6 2 2 2" xfId="2819"/>
    <cellStyle name="Акцент6 2 3" xfId="2820"/>
    <cellStyle name="Акцент6 2 4" xfId="2821"/>
    <cellStyle name="Акцент6 2 5" xfId="2822"/>
    <cellStyle name="Акцент6 2 6" xfId="2823"/>
    <cellStyle name="Акцент6 2 7" xfId="2824"/>
    <cellStyle name="Акцент6 2 8" xfId="2825"/>
    <cellStyle name="Акцент6 2 9" xfId="2826"/>
    <cellStyle name="Акцент6 2_МФ тепловой баланс 2015 дубль 3" xfId="2827"/>
    <cellStyle name="Акцент6 3" xfId="2828"/>
    <cellStyle name="Акцент6 3 10" xfId="2829"/>
    <cellStyle name="Акцент6 3 11" xfId="2830"/>
    <cellStyle name="Акцент6 3 2" xfId="2831"/>
    <cellStyle name="Акцент6 3 3" xfId="2832"/>
    <cellStyle name="Акцент6 3 4" xfId="2833"/>
    <cellStyle name="Акцент6 3 5" xfId="2834"/>
    <cellStyle name="Акцент6 3 6" xfId="2835"/>
    <cellStyle name="Акцент6 3 7" xfId="2836"/>
    <cellStyle name="Акцент6 3 8" xfId="2837"/>
    <cellStyle name="Акцент6 3 9" xfId="2838"/>
    <cellStyle name="Акцент6 3_МФ тепловой баланс 2015 дубль 3" xfId="2839"/>
    <cellStyle name="Акцент6 4" xfId="2840"/>
    <cellStyle name="Акцент6 4 2" xfId="2841"/>
    <cellStyle name="Акцент6 4_МФ тепловой баланс 2015 дубль 3" xfId="2842"/>
    <cellStyle name="Акцент6 5" xfId="2843"/>
    <cellStyle name="Акцент6 5 2" xfId="2844"/>
    <cellStyle name="Акцент6 5_МФ тепловой баланс 2015 дубль 3" xfId="2845"/>
    <cellStyle name="Акцент6 6" xfId="2846"/>
    <cellStyle name="Акцент6 6 2" xfId="2847"/>
    <cellStyle name="Акцент6 6_МФ тепловой баланс 2015 дубль 3" xfId="2848"/>
    <cellStyle name="Акцент6 7" xfId="2849"/>
    <cellStyle name="Акцент6 7 2" xfId="2850"/>
    <cellStyle name="Акцент6 7_МФ тепловой баланс 2015 дубль 3" xfId="2851"/>
    <cellStyle name="Акцент6 8" xfId="2852"/>
    <cellStyle name="Акцент6 8 2" xfId="2853"/>
    <cellStyle name="Акцент6 9" xfId="2854"/>
    <cellStyle name="Акцент6 9 2" xfId="2855"/>
    <cellStyle name="Беззащитный" xfId="2856"/>
    <cellStyle name="Ввод  10" xfId="2857"/>
    <cellStyle name="Ввод  10 2" xfId="2858"/>
    <cellStyle name="Ввод  11" xfId="2859"/>
    <cellStyle name="Ввод  12" xfId="2860"/>
    <cellStyle name="Ввод  13" xfId="2861"/>
    <cellStyle name="Ввод  14" xfId="2862"/>
    <cellStyle name="Ввод  15" xfId="2863"/>
    <cellStyle name="Ввод  16" xfId="2864"/>
    <cellStyle name="Ввод  17" xfId="2865"/>
    <cellStyle name="Ввод  2" xfId="2866"/>
    <cellStyle name="Ввод  2 10" xfId="2867"/>
    <cellStyle name="Ввод  2 2" xfId="2868"/>
    <cellStyle name="Ввод  2 2 2" xfId="2869"/>
    <cellStyle name="Ввод  2 3" xfId="2870"/>
    <cellStyle name="Ввод  2 4" xfId="2871"/>
    <cellStyle name="Ввод  2 5" xfId="2872"/>
    <cellStyle name="Ввод  2 6" xfId="2873"/>
    <cellStyle name="Ввод  2 7" xfId="2874"/>
    <cellStyle name="Ввод  2 8" xfId="2875"/>
    <cellStyle name="Ввод  2 9" xfId="2876"/>
    <cellStyle name="Ввод  2_46EE.2011(v1.0)" xfId="2877"/>
    <cellStyle name="Ввод  3" xfId="2878"/>
    <cellStyle name="Ввод  3 10" xfId="2879"/>
    <cellStyle name="Ввод  3 11" xfId="2880"/>
    <cellStyle name="Ввод  3 2" xfId="2881"/>
    <cellStyle name="Ввод  3 3" xfId="2882"/>
    <cellStyle name="Ввод  3 3 2" xfId="2883"/>
    <cellStyle name="Ввод  3 4" xfId="2884"/>
    <cellStyle name="Ввод  3 5" xfId="2885"/>
    <cellStyle name="Ввод  3 6" xfId="2886"/>
    <cellStyle name="Ввод  3 7" xfId="2887"/>
    <cellStyle name="Ввод  3 8" xfId="2888"/>
    <cellStyle name="Ввод  3 9" xfId="2889"/>
    <cellStyle name="Ввод  3_46EE.2011(v1.0)" xfId="2890"/>
    <cellStyle name="Ввод  4" xfId="2891"/>
    <cellStyle name="Ввод  4 2" xfId="2892"/>
    <cellStyle name="Ввод  4 3" xfId="2893"/>
    <cellStyle name="Ввод  4_46EE.2011(v1.0)" xfId="2894"/>
    <cellStyle name="Ввод  5" xfId="2895"/>
    <cellStyle name="Ввод  5 2" xfId="2896"/>
    <cellStyle name="Ввод  5 3" xfId="2897"/>
    <cellStyle name="Ввод  5_46EE.2011(v1.0)" xfId="2898"/>
    <cellStyle name="Ввод  6" xfId="2899"/>
    <cellStyle name="Ввод  6 2" xfId="2900"/>
    <cellStyle name="Ввод  6 3" xfId="2901"/>
    <cellStyle name="Ввод  6_46EE.2011(v1.0)" xfId="2902"/>
    <cellStyle name="Ввод  7" xfId="2903"/>
    <cellStyle name="Ввод  7 2" xfId="2904"/>
    <cellStyle name="Ввод  7 3" xfId="2905"/>
    <cellStyle name="Ввод  7_46EE.2011(v1.0)" xfId="2906"/>
    <cellStyle name="Ввод  8" xfId="2907"/>
    <cellStyle name="Ввод  8 2" xfId="2908"/>
    <cellStyle name="Ввод  8 3" xfId="2909"/>
    <cellStyle name="Ввод  8_46EE.2011(v1.0)" xfId="2910"/>
    <cellStyle name="Ввод  9" xfId="2911"/>
    <cellStyle name="Ввод  9 2" xfId="2912"/>
    <cellStyle name="Ввод  9 3" xfId="2913"/>
    <cellStyle name="Ввод  9_46EE.2011(v1.0)" xfId="2914"/>
    <cellStyle name="Верт. заголовок" xfId="2915"/>
    <cellStyle name="Вес_продукта" xfId="2916"/>
    <cellStyle name="Вывод 10" xfId="2917"/>
    <cellStyle name="Вывод 2" xfId="2918"/>
    <cellStyle name="Вывод 2 10" xfId="2919"/>
    <cellStyle name="Вывод 2 2" xfId="2920"/>
    <cellStyle name="Вывод 2 2 2" xfId="2921"/>
    <cellStyle name="Вывод 2 3" xfId="2922"/>
    <cellStyle name="Вывод 2 4" xfId="2923"/>
    <cellStyle name="Вывод 2 5" xfId="2924"/>
    <cellStyle name="Вывод 2 6" xfId="2925"/>
    <cellStyle name="Вывод 2 7" xfId="2926"/>
    <cellStyle name="Вывод 2 8" xfId="2927"/>
    <cellStyle name="Вывод 2 9" xfId="2928"/>
    <cellStyle name="Вывод 2_46EE.2011(v1.0)" xfId="2929"/>
    <cellStyle name="Вывод 3" xfId="2930"/>
    <cellStyle name="Вывод 3 10" xfId="2931"/>
    <cellStyle name="Вывод 3 11" xfId="2932"/>
    <cellStyle name="Вывод 3 2" xfId="2933"/>
    <cellStyle name="Вывод 3 3" xfId="2934"/>
    <cellStyle name="Вывод 3 4" xfId="2935"/>
    <cellStyle name="Вывод 3 5" xfId="2936"/>
    <cellStyle name="Вывод 3 6" xfId="2937"/>
    <cellStyle name="Вывод 3 7" xfId="2938"/>
    <cellStyle name="Вывод 3 8" xfId="2939"/>
    <cellStyle name="Вывод 3 9" xfId="2940"/>
    <cellStyle name="Вывод 3_46EE.2011(v1.0)" xfId="2941"/>
    <cellStyle name="Вывод 4" xfId="2942"/>
    <cellStyle name="Вывод 4 2" xfId="2943"/>
    <cellStyle name="Вывод 4_46EE.2011(v1.0)" xfId="2944"/>
    <cellStyle name="Вывод 5" xfId="2945"/>
    <cellStyle name="Вывод 5 2" xfId="2946"/>
    <cellStyle name="Вывод 5_46EE.2011(v1.0)" xfId="2947"/>
    <cellStyle name="Вывод 6" xfId="2948"/>
    <cellStyle name="Вывод 6 2" xfId="2949"/>
    <cellStyle name="Вывод 6_46EE.2011(v1.0)" xfId="2950"/>
    <cellStyle name="Вывод 7" xfId="2951"/>
    <cellStyle name="Вывод 7 2" xfId="2952"/>
    <cellStyle name="Вывод 7_46EE.2011(v1.0)" xfId="2953"/>
    <cellStyle name="Вывод 8" xfId="2954"/>
    <cellStyle name="Вывод 8 2" xfId="2955"/>
    <cellStyle name="Вывод 8_46EE.2011(v1.0)" xfId="2956"/>
    <cellStyle name="Вывод 9" xfId="2957"/>
    <cellStyle name="Вывод 9 2" xfId="2958"/>
    <cellStyle name="Вывод 9_46EE.2011(v1.0)" xfId="2959"/>
    <cellStyle name="Вычисление 10" xfId="2960"/>
    <cellStyle name="Вычисление 2" xfId="2961"/>
    <cellStyle name="Вычисление 2 10" xfId="2962"/>
    <cellStyle name="Вычисление 2 2" xfId="2963"/>
    <cellStyle name="Вычисление 2 2 2" xfId="2964"/>
    <cellStyle name="Вычисление 2 3" xfId="2965"/>
    <cellStyle name="Вычисление 2 4" xfId="2966"/>
    <cellStyle name="Вычисление 2 5" xfId="2967"/>
    <cellStyle name="Вычисление 2 6" xfId="2968"/>
    <cellStyle name="Вычисление 2 7" xfId="2969"/>
    <cellStyle name="Вычисление 2 8" xfId="2970"/>
    <cellStyle name="Вычисление 2 9" xfId="2971"/>
    <cellStyle name="Вычисление 2_46EE.2011(v1.0)" xfId="2972"/>
    <cellStyle name="Вычисление 3" xfId="2973"/>
    <cellStyle name="Вычисление 3 10" xfId="2974"/>
    <cellStyle name="Вычисление 3 11" xfId="2975"/>
    <cellStyle name="Вычисление 3 2" xfId="2976"/>
    <cellStyle name="Вычисление 3 3" xfId="2977"/>
    <cellStyle name="Вычисление 3 4" xfId="2978"/>
    <cellStyle name="Вычисление 3 5" xfId="2979"/>
    <cellStyle name="Вычисление 3 6" xfId="2980"/>
    <cellStyle name="Вычисление 3 7" xfId="2981"/>
    <cellStyle name="Вычисление 3 8" xfId="2982"/>
    <cellStyle name="Вычисление 3 9" xfId="2983"/>
    <cellStyle name="Вычисление 3_46EE.2011(v1.0)" xfId="2984"/>
    <cellStyle name="Вычисление 4" xfId="2985"/>
    <cellStyle name="Вычисление 4 2" xfId="2986"/>
    <cellStyle name="Вычисление 4_46EE.2011(v1.0)" xfId="2987"/>
    <cellStyle name="Вычисление 5" xfId="2988"/>
    <cellStyle name="Вычисление 5 2" xfId="2989"/>
    <cellStyle name="Вычисление 5_46EE.2011(v1.0)" xfId="2990"/>
    <cellStyle name="Вычисление 6" xfId="2991"/>
    <cellStyle name="Вычисление 6 2" xfId="2992"/>
    <cellStyle name="Вычисление 6_46EE.2011(v1.0)" xfId="2993"/>
    <cellStyle name="Вычисление 7" xfId="2994"/>
    <cellStyle name="Вычисление 7 2" xfId="2995"/>
    <cellStyle name="Вычисление 7_46EE.2011(v1.0)" xfId="2996"/>
    <cellStyle name="Вычисление 8" xfId="2997"/>
    <cellStyle name="Вычисление 8 2" xfId="2998"/>
    <cellStyle name="Вычисление 8_46EE.2011(v1.0)" xfId="2999"/>
    <cellStyle name="Вычисление 9" xfId="3000"/>
    <cellStyle name="Вычисление 9 2" xfId="3001"/>
    <cellStyle name="Вычисление 9_46EE.2011(v1.0)" xfId="3002"/>
    <cellStyle name="Гиперссылка 2" xfId="3003"/>
    <cellStyle name="Гиперссылка 2 10" xfId="3004"/>
    <cellStyle name="Гиперссылка 2 11" xfId="3005"/>
    <cellStyle name="Гиперссылка 2 12" xfId="3006"/>
    <cellStyle name="Гиперссылка 2 13" xfId="3007"/>
    <cellStyle name="Гиперссылка 2 14" xfId="3008"/>
    <cellStyle name="Гиперссылка 2 15" xfId="3009"/>
    <cellStyle name="Гиперссылка 2 16" xfId="3010"/>
    <cellStyle name="Гиперссылка 2 17" xfId="3011"/>
    <cellStyle name="Гиперссылка 2 2" xfId="3012"/>
    <cellStyle name="Гиперссылка 2 2 10" xfId="3013"/>
    <cellStyle name="Гиперссылка 2 2 11" xfId="3014"/>
    <cellStyle name="Гиперссылка 2 2 12" xfId="3015"/>
    <cellStyle name="Гиперссылка 2 2 13" xfId="3016"/>
    <cellStyle name="Гиперссылка 2 2 14" xfId="3017"/>
    <cellStyle name="Гиперссылка 2 2 15" xfId="3018"/>
    <cellStyle name="Гиперссылка 2 2 16" xfId="3019"/>
    <cellStyle name="Гиперссылка 2 2 17" xfId="3020"/>
    <cellStyle name="Гиперссылка 2 2 2" xfId="3021"/>
    <cellStyle name="Гиперссылка 2 2 2 2" xfId="3022"/>
    <cellStyle name="Гиперссылка 2 2 2 3" xfId="3023"/>
    <cellStyle name="Гиперссылка 2 2 3" xfId="3024"/>
    <cellStyle name="Гиперссылка 2 2 4" xfId="3025"/>
    <cellStyle name="Гиперссылка 2 2 5" xfId="3026"/>
    <cellStyle name="Гиперссылка 2 2 6" xfId="3027"/>
    <cellStyle name="Гиперссылка 2 2 7" xfId="3028"/>
    <cellStyle name="Гиперссылка 2 2 8" xfId="3029"/>
    <cellStyle name="Гиперссылка 2 2 9" xfId="3030"/>
    <cellStyle name="Гиперссылка 2 3" xfId="3031"/>
    <cellStyle name="Гиперссылка 2 4" xfId="3032"/>
    <cellStyle name="Гиперссылка 2 5" xfId="3033"/>
    <cellStyle name="Гиперссылка 2 6" xfId="3034"/>
    <cellStyle name="Гиперссылка 2 7" xfId="3035"/>
    <cellStyle name="Гиперссылка 2 8" xfId="3036"/>
    <cellStyle name="Гиперссылка 2 9" xfId="3037"/>
    <cellStyle name="Гиперссылка 3" xfId="3038"/>
    <cellStyle name="Гиперссылка 3 2" xfId="3039"/>
    <cellStyle name="Гиперссылка 4" xfId="3040"/>
    <cellStyle name="Гиперссылка 4 2" xfId="3041"/>
    <cellStyle name="Группа" xfId="3042"/>
    <cellStyle name="Группа 0" xfId="3043"/>
    <cellStyle name="Группа 1" xfId="3044"/>
    <cellStyle name="Группа 2" xfId="3045"/>
    <cellStyle name="Группа 3" xfId="3046"/>
    <cellStyle name="Группа 4" xfId="3047"/>
    <cellStyle name="Группа 5" xfId="3048"/>
    <cellStyle name="Группа 6" xfId="3049"/>
    <cellStyle name="Группа 7" xfId="3050"/>
    <cellStyle name="Группа 8" xfId="3051"/>
    <cellStyle name="Группа_4DNS.UPDATE.EXAMPLE" xfId="3052"/>
    <cellStyle name="ДАТА" xfId="3053"/>
    <cellStyle name="ДАТА 2" xfId="3054"/>
    <cellStyle name="ДАТА 3" xfId="3055"/>
    <cellStyle name="ДАТА 4" xfId="3056"/>
    <cellStyle name="ДАТА 5" xfId="3057"/>
    <cellStyle name="ДАТА 6" xfId="3058"/>
    <cellStyle name="ДАТА 7" xfId="3059"/>
    <cellStyle name="ДАТА 8" xfId="3060"/>
    <cellStyle name="ДАТА 9" xfId="3061"/>
    <cellStyle name="ДАТА_1" xfId="3062"/>
    <cellStyle name="Денежный 2" xfId="3063"/>
    <cellStyle name="Денежный 2 2" xfId="3064"/>
    <cellStyle name="Денежный 2 2 2" xfId="3065"/>
    <cellStyle name="Денежный 2_INDEX.STATION.2012(v1.0)_" xfId="3066"/>
    <cellStyle name="Є_x0004_ЄЄЄЄ_x0004_ЄЄ_x0004_" xfId="3067"/>
    <cellStyle name="Є_x0004_ЄЄЄЄ_x0004_ЄЄ_x0004_ 2" xfId="3068"/>
    <cellStyle name="Заголовок" xfId="3069"/>
    <cellStyle name="Заголовок 1 10" xfId="3070"/>
    <cellStyle name="Заголовок 1 2" xfId="3071"/>
    <cellStyle name="Заголовок 1 2 10" xfId="3072"/>
    <cellStyle name="Заголовок 1 2 2" xfId="3073"/>
    <cellStyle name="Заголовок 1 2 2 2" xfId="3074"/>
    <cellStyle name="Заголовок 1 2 3" xfId="3075"/>
    <cellStyle name="Заголовок 1 2 4" xfId="3076"/>
    <cellStyle name="Заголовок 1 2 5" xfId="3077"/>
    <cellStyle name="Заголовок 1 2 6" xfId="3078"/>
    <cellStyle name="Заголовок 1 2 7" xfId="3079"/>
    <cellStyle name="Заголовок 1 2 8" xfId="3080"/>
    <cellStyle name="Заголовок 1 2 9" xfId="3081"/>
    <cellStyle name="Заголовок 1 2_46EE.2011(v1.0)" xfId="3082"/>
    <cellStyle name="Заголовок 1 3" xfId="3083"/>
    <cellStyle name="Заголовок 1 3 10" xfId="3084"/>
    <cellStyle name="Заголовок 1 3 11" xfId="3085"/>
    <cellStyle name="Заголовок 1 3 2" xfId="3086"/>
    <cellStyle name="Заголовок 1 3 3" xfId="3087"/>
    <cellStyle name="Заголовок 1 3 4" xfId="3088"/>
    <cellStyle name="Заголовок 1 3 5" xfId="3089"/>
    <cellStyle name="Заголовок 1 3 6" xfId="3090"/>
    <cellStyle name="Заголовок 1 3 7" xfId="3091"/>
    <cellStyle name="Заголовок 1 3 8" xfId="3092"/>
    <cellStyle name="Заголовок 1 3 9" xfId="3093"/>
    <cellStyle name="Заголовок 1 3_46EE.2011(v1.0)" xfId="3094"/>
    <cellStyle name="Заголовок 1 4" xfId="3095"/>
    <cellStyle name="Заголовок 1 4 2" xfId="3096"/>
    <cellStyle name="Заголовок 1 4_46EE.2011(v1.0)" xfId="3097"/>
    <cellStyle name="Заголовок 1 5" xfId="3098"/>
    <cellStyle name="Заголовок 1 5 2" xfId="3099"/>
    <cellStyle name="Заголовок 1 5_46EE.2011(v1.0)" xfId="3100"/>
    <cellStyle name="Заголовок 1 6" xfId="3101"/>
    <cellStyle name="Заголовок 1 6 2" xfId="3102"/>
    <cellStyle name="Заголовок 1 6_46EE.2011(v1.0)" xfId="3103"/>
    <cellStyle name="Заголовок 1 7" xfId="3104"/>
    <cellStyle name="Заголовок 1 7 2" xfId="3105"/>
    <cellStyle name="Заголовок 1 7_46EE.2011(v1.0)" xfId="3106"/>
    <cellStyle name="Заголовок 1 8" xfId="3107"/>
    <cellStyle name="Заголовок 1 8 2" xfId="3108"/>
    <cellStyle name="Заголовок 1 8_46EE.2011(v1.0)" xfId="3109"/>
    <cellStyle name="Заголовок 1 9" xfId="3110"/>
    <cellStyle name="Заголовок 1 9 2" xfId="3111"/>
    <cellStyle name="Заголовок 1 9_46EE.2011(v1.0)" xfId="3112"/>
    <cellStyle name="Заголовок 2 10" xfId="3113"/>
    <cellStyle name="Заголовок 2 11" xfId="3114"/>
    <cellStyle name="Заголовок 2 2" xfId="3115"/>
    <cellStyle name="Заголовок 2 2 10" xfId="3116"/>
    <cellStyle name="Заголовок 2 2 2" xfId="3117"/>
    <cellStyle name="Заголовок 2 2 2 2" xfId="3118"/>
    <cellStyle name="Заголовок 2 2 3" xfId="3119"/>
    <cellStyle name="Заголовок 2 2 4" xfId="3120"/>
    <cellStyle name="Заголовок 2 2 5" xfId="3121"/>
    <cellStyle name="Заголовок 2 2 6" xfId="3122"/>
    <cellStyle name="Заголовок 2 2 7" xfId="3123"/>
    <cellStyle name="Заголовок 2 2 8" xfId="3124"/>
    <cellStyle name="Заголовок 2 2 9" xfId="3125"/>
    <cellStyle name="Заголовок 2 2_46EE.2011(v1.0)" xfId="3126"/>
    <cellStyle name="Заголовок 2 3" xfId="3127"/>
    <cellStyle name="Заголовок 2 3 10" xfId="3128"/>
    <cellStyle name="Заголовок 2 3 11" xfId="3129"/>
    <cellStyle name="Заголовок 2 3 2" xfId="3130"/>
    <cellStyle name="Заголовок 2 3 3" xfId="3131"/>
    <cellStyle name="Заголовок 2 3 4" xfId="3132"/>
    <cellStyle name="Заголовок 2 3 5" xfId="3133"/>
    <cellStyle name="Заголовок 2 3 6" xfId="3134"/>
    <cellStyle name="Заголовок 2 3 7" xfId="3135"/>
    <cellStyle name="Заголовок 2 3 8" xfId="3136"/>
    <cellStyle name="Заголовок 2 3 9" xfId="3137"/>
    <cellStyle name="Заголовок 2 3_46EE.2011(v1.0)" xfId="3138"/>
    <cellStyle name="Заголовок 2 4" xfId="3139"/>
    <cellStyle name="Заголовок 2 4 2" xfId="3140"/>
    <cellStyle name="Заголовок 2 4_46EE.2011(v1.0)" xfId="3141"/>
    <cellStyle name="Заголовок 2 5" xfId="3142"/>
    <cellStyle name="Заголовок 2 5 2" xfId="3143"/>
    <cellStyle name="Заголовок 2 5_46EE.2011(v1.0)" xfId="3144"/>
    <cellStyle name="Заголовок 2 6" xfId="3145"/>
    <cellStyle name="Заголовок 2 6 2" xfId="3146"/>
    <cellStyle name="Заголовок 2 6_46EE.2011(v1.0)" xfId="3147"/>
    <cellStyle name="Заголовок 2 7" xfId="3148"/>
    <cellStyle name="Заголовок 2 7 2" xfId="3149"/>
    <cellStyle name="Заголовок 2 7_46EE.2011(v1.0)" xfId="3150"/>
    <cellStyle name="Заголовок 2 8" xfId="3151"/>
    <cellStyle name="Заголовок 2 8 2" xfId="3152"/>
    <cellStyle name="Заголовок 2 8_46EE.2011(v1.0)" xfId="3153"/>
    <cellStyle name="Заголовок 2 9" xfId="3154"/>
    <cellStyle name="Заголовок 2 9 2" xfId="3155"/>
    <cellStyle name="Заголовок 2 9_46EE.2011(v1.0)" xfId="3156"/>
    <cellStyle name="Заголовок 3 10" xfId="3157"/>
    <cellStyle name="Заголовок 3 11" xfId="3158"/>
    <cellStyle name="Заголовок 3 2" xfId="3159"/>
    <cellStyle name="Заголовок 3 2 10" xfId="3160"/>
    <cellStyle name="Заголовок 3 2 2" xfId="3161"/>
    <cellStyle name="Заголовок 3 2 2 2" xfId="3162"/>
    <cellStyle name="Заголовок 3 2 3" xfId="3163"/>
    <cellStyle name="Заголовок 3 2 4" xfId="3164"/>
    <cellStyle name="Заголовок 3 2 5" xfId="3165"/>
    <cellStyle name="Заголовок 3 2 6" xfId="3166"/>
    <cellStyle name="Заголовок 3 2 7" xfId="3167"/>
    <cellStyle name="Заголовок 3 2 8" xfId="3168"/>
    <cellStyle name="Заголовок 3 2 9" xfId="3169"/>
    <cellStyle name="Заголовок 3 2_46EE.2011(v1.0)" xfId="3170"/>
    <cellStyle name="Заголовок 3 3" xfId="3171"/>
    <cellStyle name="Заголовок 3 3 10" xfId="3172"/>
    <cellStyle name="Заголовок 3 3 11" xfId="3173"/>
    <cellStyle name="Заголовок 3 3 2" xfId="3174"/>
    <cellStyle name="Заголовок 3 3 3" xfId="3175"/>
    <cellStyle name="Заголовок 3 3 4" xfId="3176"/>
    <cellStyle name="Заголовок 3 3 5" xfId="3177"/>
    <cellStyle name="Заголовок 3 3 6" xfId="3178"/>
    <cellStyle name="Заголовок 3 3 7" xfId="3179"/>
    <cellStyle name="Заголовок 3 3 8" xfId="3180"/>
    <cellStyle name="Заголовок 3 3 9" xfId="3181"/>
    <cellStyle name="Заголовок 3 3_46EE.2011(v1.0)" xfId="3182"/>
    <cellStyle name="Заголовок 3 4" xfId="3183"/>
    <cellStyle name="Заголовок 3 4 2" xfId="3184"/>
    <cellStyle name="Заголовок 3 4_46EE.2011(v1.0)" xfId="3185"/>
    <cellStyle name="Заголовок 3 5" xfId="3186"/>
    <cellStyle name="Заголовок 3 5 2" xfId="3187"/>
    <cellStyle name="Заголовок 3 5_46EE.2011(v1.0)" xfId="3188"/>
    <cellStyle name="Заголовок 3 6" xfId="3189"/>
    <cellStyle name="Заголовок 3 6 2" xfId="3190"/>
    <cellStyle name="Заголовок 3 6_46EE.2011(v1.0)" xfId="3191"/>
    <cellStyle name="Заголовок 3 7" xfId="3192"/>
    <cellStyle name="Заголовок 3 7 2" xfId="3193"/>
    <cellStyle name="Заголовок 3 7_46EE.2011(v1.0)" xfId="3194"/>
    <cellStyle name="Заголовок 3 8" xfId="3195"/>
    <cellStyle name="Заголовок 3 8 2" xfId="3196"/>
    <cellStyle name="Заголовок 3 8_46EE.2011(v1.0)" xfId="3197"/>
    <cellStyle name="Заголовок 3 9" xfId="3198"/>
    <cellStyle name="Заголовок 3 9 2" xfId="3199"/>
    <cellStyle name="Заголовок 3 9_46EE.2011(v1.0)" xfId="3200"/>
    <cellStyle name="Заголовок 4 10" xfId="3201"/>
    <cellStyle name="Заголовок 4 2" xfId="3202"/>
    <cellStyle name="Заголовок 4 2 10" xfId="3203"/>
    <cellStyle name="Заголовок 4 2 2" xfId="3204"/>
    <cellStyle name="Заголовок 4 2 2 2" xfId="3205"/>
    <cellStyle name="Заголовок 4 2 3" xfId="3206"/>
    <cellStyle name="Заголовок 4 2 4" xfId="3207"/>
    <cellStyle name="Заголовок 4 2 5" xfId="3208"/>
    <cellStyle name="Заголовок 4 2 6" xfId="3209"/>
    <cellStyle name="Заголовок 4 2 7" xfId="3210"/>
    <cellStyle name="Заголовок 4 2 8" xfId="3211"/>
    <cellStyle name="Заголовок 4 2 9" xfId="3212"/>
    <cellStyle name="Заголовок 4 2_МФ тепловой баланс 2015 дубль 3" xfId="3213"/>
    <cellStyle name="Заголовок 4 3" xfId="3214"/>
    <cellStyle name="Заголовок 4 3 10" xfId="3215"/>
    <cellStyle name="Заголовок 4 3 11" xfId="3216"/>
    <cellStyle name="Заголовок 4 3 2" xfId="3217"/>
    <cellStyle name="Заголовок 4 3 3" xfId="3218"/>
    <cellStyle name="Заголовок 4 3 4" xfId="3219"/>
    <cellStyle name="Заголовок 4 3 5" xfId="3220"/>
    <cellStyle name="Заголовок 4 3 6" xfId="3221"/>
    <cellStyle name="Заголовок 4 3 7" xfId="3222"/>
    <cellStyle name="Заголовок 4 3 8" xfId="3223"/>
    <cellStyle name="Заголовок 4 3 9" xfId="3224"/>
    <cellStyle name="Заголовок 4 3_МФ тепловой баланс 2015 дубль 3" xfId="3225"/>
    <cellStyle name="Заголовок 4 4" xfId="3226"/>
    <cellStyle name="Заголовок 4 4 2" xfId="3227"/>
    <cellStyle name="Заголовок 4 4_МФ тепловой баланс 2015 дубль 3" xfId="3228"/>
    <cellStyle name="Заголовок 4 5" xfId="3229"/>
    <cellStyle name="Заголовок 4 5 2" xfId="3230"/>
    <cellStyle name="Заголовок 4 5_МФ тепловой баланс 2015 дубль 3" xfId="3231"/>
    <cellStyle name="Заголовок 4 6" xfId="3232"/>
    <cellStyle name="Заголовок 4 6 2" xfId="3233"/>
    <cellStyle name="Заголовок 4 6_МФ тепловой баланс 2015 дубль 3" xfId="3234"/>
    <cellStyle name="Заголовок 4 7" xfId="3235"/>
    <cellStyle name="Заголовок 4 7 2" xfId="3236"/>
    <cellStyle name="Заголовок 4 7_МФ тепловой баланс 2015 дубль 3" xfId="3237"/>
    <cellStyle name="Заголовок 4 8" xfId="3238"/>
    <cellStyle name="Заголовок 4 8 2" xfId="3239"/>
    <cellStyle name="Заголовок 4 9" xfId="3240"/>
    <cellStyle name="Заголовок 4 9 2" xfId="3241"/>
    <cellStyle name="Заголовок 5" xfId="3242"/>
    <cellStyle name="Заголовок 6" xfId="3243"/>
    <cellStyle name="ЗАГОЛОВОК1" xfId="3244"/>
    <cellStyle name="ЗАГОЛОВОК2" xfId="3245"/>
    <cellStyle name="ЗаголовокСтолбца" xfId="3246"/>
    <cellStyle name="Защитный" xfId="3247"/>
    <cellStyle name="Значение" xfId="3248"/>
    <cellStyle name="Зоголовок" xfId="3249"/>
    <cellStyle name="Итог 10" xfId="3250"/>
    <cellStyle name="Итог 2" xfId="3251"/>
    <cellStyle name="Итог 2 10" xfId="3252"/>
    <cellStyle name="Итог 2 2" xfId="3253"/>
    <cellStyle name="Итог 2 2 2" xfId="3254"/>
    <cellStyle name="Итог 2 3" xfId="3255"/>
    <cellStyle name="Итог 2 4" xfId="3256"/>
    <cellStyle name="Итог 2 5" xfId="3257"/>
    <cellStyle name="Итог 2 6" xfId="3258"/>
    <cellStyle name="Итог 2 7" xfId="3259"/>
    <cellStyle name="Итог 2 8" xfId="3260"/>
    <cellStyle name="Итог 2 9" xfId="3261"/>
    <cellStyle name="Итог 2_46EE.2011(v1.0)" xfId="3262"/>
    <cellStyle name="Итог 3" xfId="3263"/>
    <cellStyle name="Итог 3 10" xfId="3264"/>
    <cellStyle name="Итог 3 11" xfId="3265"/>
    <cellStyle name="Итог 3 2" xfId="3266"/>
    <cellStyle name="Итог 3 3" xfId="3267"/>
    <cellStyle name="Итог 3 4" xfId="3268"/>
    <cellStyle name="Итог 3 5" xfId="3269"/>
    <cellStyle name="Итог 3 6" xfId="3270"/>
    <cellStyle name="Итог 3 7" xfId="3271"/>
    <cellStyle name="Итог 3 8" xfId="3272"/>
    <cellStyle name="Итог 3 9" xfId="3273"/>
    <cellStyle name="Итог 3_46EE.2011(v1.0)" xfId="3274"/>
    <cellStyle name="Итог 4" xfId="3275"/>
    <cellStyle name="Итог 4 2" xfId="3276"/>
    <cellStyle name="Итог 4_46EE.2011(v1.0)" xfId="3277"/>
    <cellStyle name="Итог 5" xfId="3278"/>
    <cellStyle name="Итог 5 2" xfId="3279"/>
    <cellStyle name="Итог 5_46EE.2011(v1.0)" xfId="3280"/>
    <cellStyle name="Итог 6" xfId="3281"/>
    <cellStyle name="Итог 6 2" xfId="3282"/>
    <cellStyle name="Итог 6_46EE.2011(v1.0)" xfId="3283"/>
    <cellStyle name="Итог 7" xfId="3284"/>
    <cellStyle name="Итог 7 2" xfId="3285"/>
    <cellStyle name="Итог 7_46EE.2011(v1.0)" xfId="3286"/>
    <cellStyle name="Итог 8" xfId="3287"/>
    <cellStyle name="Итог 8 2" xfId="3288"/>
    <cellStyle name="Итог 8_46EE.2011(v1.0)" xfId="3289"/>
    <cellStyle name="Итог 9" xfId="3290"/>
    <cellStyle name="Итог 9 2" xfId="3291"/>
    <cellStyle name="Итог 9_46EE.2011(v1.0)" xfId="3292"/>
    <cellStyle name="Итого" xfId="3293"/>
    <cellStyle name="ИТОГОВЫЙ" xfId="3294"/>
    <cellStyle name="ИТОГОВЫЙ 2" xfId="3295"/>
    <cellStyle name="ИТОГОВЫЙ 3" xfId="3296"/>
    <cellStyle name="ИТОГОВЫЙ 4" xfId="3297"/>
    <cellStyle name="ИТОГОВЫЙ 5" xfId="3298"/>
    <cellStyle name="ИТОГОВЫЙ 6" xfId="3299"/>
    <cellStyle name="ИТОГОВЫЙ 7" xfId="3300"/>
    <cellStyle name="ИТОГОВЫЙ 8" xfId="3301"/>
    <cellStyle name="ИТОГОВЫЙ 9" xfId="3302"/>
    <cellStyle name="ИТОГОВЫЙ_1" xfId="3303"/>
    <cellStyle name="Контрольная ячейка 10" xfId="3304"/>
    <cellStyle name="Контрольная ячейка 2" xfId="3305"/>
    <cellStyle name="Контрольная ячейка 2 10" xfId="3306"/>
    <cellStyle name="Контрольная ячейка 2 2" xfId="3307"/>
    <cellStyle name="Контрольная ячейка 2 2 2" xfId="3308"/>
    <cellStyle name="Контрольная ячейка 2 3" xfId="3309"/>
    <cellStyle name="Контрольная ячейка 2 4" xfId="3310"/>
    <cellStyle name="Контрольная ячейка 2 5" xfId="3311"/>
    <cellStyle name="Контрольная ячейка 2 6" xfId="3312"/>
    <cellStyle name="Контрольная ячейка 2 7" xfId="3313"/>
    <cellStyle name="Контрольная ячейка 2 8" xfId="3314"/>
    <cellStyle name="Контрольная ячейка 2 9" xfId="3315"/>
    <cellStyle name="Контрольная ячейка 2_46EE.2011(v1.0)" xfId="3316"/>
    <cellStyle name="Контрольная ячейка 3" xfId="3317"/>
    <cellStyle name="Контрольная ячейка 3 10" xfId="3318"/>
    <cellStyle name="Контрольная ячейка 3 11" xfId="3319"/>
    <cellStyle name="Контрольная ячейка 3 2" xfId="3320"/>
    <cellStyle name="Контрольная ячейка 3 3" xfId="3321"/>
    <cellStyle name="Контрольная ячейка 3 4" xfId="3322"/>
    <cellStyle name="Контрольная ячейка 3 5" xfId="3323"/>
    <cellStyle name="Контрольная ячейка 3 6" xfId="3324"/>
    <cellStyle name="Контрольная ячейка 3 7" xfId="3325"/>
    <cellStyle name="Контрольная ячейка 3 8" xfId="3326"/>
    <cellStyle name="Контрольная ячейка 3 9" xfId="3327"/>
    <cellStyle name="Контрольная ячейка 3_46EE.2011(v1.0)" xfId="3328"/>
    <cellStyle name="Контрольная ячейка 4" xfId="3329"/>
    <cellStyle name="Контрольная ячейка 4 2" xfId="3330"/>
    <cellStyle name="Контрольная ячейка 4_46EE.2011(v1.0)" xfId="3331"/>
    <cellStyle name="Контрольная ячейка 5" xfId="3332"/>
    <cellStyle name="Контрольная ячейка 5 2" xfId="3333"/>
    <cellStyle name="Контрольная ячейка 5_46EE.2011(v1.0)" xfId="3334"/>
    <cellStyle name="Контрольная ячейка 6" xfId="3335"/>
    <cellStyle name="Контрольная ячейка 6 2" xfId="3336"/>
    <cellStyle name="Контрольная ячейка 6_46EE.2011(v1.0)" xfId="3337"/>
    <cellStyle name="Контрольная ячейка 7" xfId="3338"/>
    <cellStyle name="Контрольная ячейка 7 2" xfId="3339"/>
    <cellStyle name="Контрольная ячейка 7_46EE.2011(v1.0)" xfId="3340"/>
    <cellStyle name="Контрольная ячейка 8" xfId="3341"/>
    <cellStyle name="Контрольная ячейка 8 2" xfId="3342"/>
    <cellStyle name="Контрольная ячейка 8_46EE.2011(v1.0)" xfId="3343"/>
    <cellStyle name="Контрольная ячейка 9" xfId="3344"/>
    <cellStyle name="Контрольная ячейка 9 2" xfId="3345"/>
    <cellStyle name="Контрольная ячейка 9_46EE.2011(v1.0)" xfId="3346"/>
    <cellStyle name="Миша (бланки отчетности)" xfId="3347"/>
    <cellStyle name="Мои наименования показателей" xfId="3348"/>
    <cellStyle name="Мои наименования показателей 2" xfId="3349"/>
    <cellStyle name="Мои наименования показателей 2 2" xfId="3350"/>
    <cellStyle name="Мои наименования показателей 2 3" xfId="3351"/>
    <cellStyle name="Мои наименования показателей 2 4" xfId="3352"/>
    <cellStyle name="Мои наименования показателей 2 5" xfId="3353"/>
    <cellStyle name="Мои наименования показателей 2 6" xfId="3354"/>
    <cellStyle name="Мои наименования показателей 2 7" xfId="3355"/>
    <cellStyle name="Мои наименования показателей 2 8" xfId="3356"/>
    <cellStyle name="Мои наименования показателей 2 9" xfId="3357"/>
    <cellStyle name="Мои наименования показателей 2_1" xfId="3358"/>
    <cellStyle name="Мои наименования показателей 3" xfId="3359"/>
    <cellStyle name="Мои наименования показателей 3 2" xfId="3360"/>
    <cellStyle name="Мои наименования показателей 3 3" xfId="3361"/>
    <cellStyle name="Мои наименования показателей 3 4" xfId="3362"/>
    <cellStyle name="Мои наименования показателей 3 5" xfId="3363"/>
    <cellStyle name="Мои наименования показателей 3 6" xfId="3364"/>
    <cellStyle name="Мои наименования показателей 3 7" xfId="3365"/>
    <cellStyle name="Мои наименования показателей 3 8" xfId="3366"/>
    <cellStyle name="Мои наименования показателей 3 9" xfId="3367"/>
    <cellStyle name="Мои наименования показателей 3_1" xfId="3368"/>
    <cellStyle name="Мои наименования показателей 4" xfId="3369"/>
    <cellStyle name="Мои наименования показателей 4 2" xfId="3370"/>
    <cellStyle name="Мои наименования показателей 4 3" xfId="3371"/>
    <cellStyle name="Мои наименования показателей 4 4" xfId="3372"/>
    <cellStyle name="Мои наименования показателей 4 5" xfId="3373"/>
    <cellStyle name="Мои наименования показателей 4 6" xfId="3374"/>
    <cellStyle name="Мои наименования показателей 4 7" xfId="3375"/>
    <cellStyle name="Мои наименования показателей 4 8" xfId="3376"/>
    <cellStyle name="Мои наименования показателей 4 9" xfId="3377"/>
    <cellStyle name="Мои наименования показателей 4_1" xfId="3378"/>
    <cellStyle name="Мои наименования показателей 5" xfId="3379"/>
    <cellStyle name="Мои наименования показателей 5 2" xfId="3380"/>
    <cellStyle name="Мои наименования показателей 5 3" xfId="3381"/>
    <cellStyle name="Мои наименования показателей 5 4" xfId="3382"/>
    <cellStyle name="Мои наименования показателей 5 5" xfId="3383"/>
    <cellStyle name="Мои наименования показателей 5 6" xfId="3384"/>
    <cellStyle name="Мои наименования показателей 5 7" xfId="3385"/>
    <cellStyle name="Мои наименования показателей 5 8" xfId="3386"/>
    <cellStyle name="Мои наименования показателей 5 9" xfId="3387"/>
    <cellStyle name="Мои наименования показателей 5_1" xfId="3388"/>
    <cellStyle name="Мои наименования показателей 6" xfId="3389"/>
    <cellStyle name="Мои наименования показателей 6 2" xfId="3390"/>
    <cellStyle name="Мои наименования показателей 6 3" xfId="3391"/>
    <cellStyle name="Мои наименования показателей 6_46EE.2011(v1.0)" xfId="3392"/>
    <cellStyle name="Мои наименования показателей 7" xfId="3393"/>
    <cellStyle name="Мои наименования показателей 7 2" xfId="3394"/>
    <cellStyle name="Мои наименования показателей 7 3" xfId="3395"/>
    <cellStyle name="Мои наименования показателей 7_46EE.2011(v1.0)" xfId="3396"/>
    <cellStyle name="Мои наименования показателей 8" xfId="3397"/>
    <cellStyle name="Мои наименования показателей 8 2" xfId="3398"/>
    <cellStyle name="Мои наименования показателей 8 3" xfId="3399"/>
    <cellStyle name="Мои наименования показателей 8_46EE.2011(v1.0)" xfId="3400"/>
    <cellStyle name="Мои наименования показателей_46EE.2011" xfId="3401"/>
    <cellStyle name="Мой заголовок" xfId="3402"/>
    <cellStyle name="Мой заголовок листа" xfId="3403"/>
    <cellStyle name="Мой заголовок листа 2" xfId="3404"/>
    <cellStyle name="Мой заголовок_Новая инструкция1_фст" xfId="3405"/>
    <cellStyle name="назв фил" xfId="3406"/>
    <cellStyle name="Название 10" xfId="3407"/>
    <cellStyle name="Название 2" xfId="3408"/>
    <cellStyle name="Название 2 10" xfId="3409"/>
    <cellStyle name="Название 2 2" xfId="3410"/>
    <cellStyle name="Название 2 3" xfId="3411"/>
    <cellStyle name="Название 2 4" xfId="3412"/>
    <cellStyle name="Название 2 5" xfId="3413"/>
    <cellStyle name="Название 2 6" xfId="3414"/>
    <cellStyle name="Название 2 7" xfId="3415"/>
    <cellStyle name="Название 2 8" xfId="3416"/>
    <cellStyle name="Название 2 9" xfId="3417"/>
    <cellStyle name="Название 3" xfId="3418"/>
    <cellStyle name="Название 3 10" xfId="3419"/>
    <cellStyle name="Название 3 2" xfId="3420"/>
    <cellStyle name="Название 3 3" xfId="3421"/>
    <cellStyle name="Название 3 4" xfId="3422"/>
    <cellStyle name="Название 3 5" xfId="3423"/>
    <cellStyle name="Название 3 6" xfId="3424"/>
    <cellStyle name="Название 3 7" xfId="3425"/>
    <cellStyle name="Название 3 8" xfId="3426"/>
    <cellStyle name="Название 3 9" xfId="3427"/>
    <cellStyle name="Название 4" xfId="3428"/>
    <cellStyle name="Название 4 2" xfId="3429"/>
    <cellStyle name="Название 5" xfId="3430"/>
    <cellStyle name="Название 5 2" xfId="3431"/>
    <cellStyle name="Название 6" xfId="3432"/>
    <cellStyle name="Название 6 2" xfId="3433"/>
    <cellStyle name="Название 7" xfId="3434"/>
    <cellStyle name="Название 7 2" xfId="3435"/>
    <cellStyle name="Название 8" xfId="3436"/>
    <cellStyle name="Название 8 2" xfId="3437"/>
    <cellStyle name="Название 9" xfId="3438"/>
    <cellStyle name="Название 9 2" xfId="3439"/>
    <cellStyle name="Невидимый" xfId="3440"/>
    <cellStyle name="Нейтральный 10" xfId="3441"/>
    <cellStyle name="Нейтральный 2" xfId="3442"/>
    <cellStyle name="Нейтральный 2 10" xfId="3443"/>
    <cellStyle name="Нейтральный 2 2" xfId="3444"/>
    <cellStyle name="Нейтральный 2 2 2" xfId="3445"/>
    <cellStyle name="Нейтральный 2 3" xfId="3446"/>
    <cellStyle name="Нейтральный 2 4" xfId="3447"/>
    <cellStyle name="Нейтральный 2 5" xfId="3448"/>
    <cellStyle name="Нейтральный 2 6" xfId="3449"/>
    <cellStyle name="Нейтральный 2 7" xfId="3450"/>
    <cellStyle name="Нейтральный 2 8" xfId="3451"/>
    <cellStyle name="Нейтральный 2 9" xfId="3452"/>
    <cellStyle name="Нейтральный 2_МФ тепловой баланс 2015 дубль 3" xfId="3453"/>
    <cellStyle name="Нейтральный 3" xfId="3454"/>
    <cellStyle name="Нейтральный 3 10" xfId="3455"/>
    <cellStyle name="Нейтральный 3 11" xfId="3456"/>
    <cellStyle name="Нейтральный 3 2" xfId="3457"/>
    <cellStyle name="Нейтральный 3 3" xfId="3458"/>
    <cellStyle name="Нейтральный 3 4" xfId="3459"/>
    <cellStyle name="Нейтральный 3 5" xfId="3460"/>
    <cellStyle name="Нейтральный 3 6" xfId="3461"/>
    <cellStyle name="Нейтральный 3 7" xfId="3462"/>
    <cellStyle name="Нейтральный 3 8" xfId="3463"/>
    <cellStyle name="Нейтральный 3 9" xfId="3464"/>
    <cellStyle name="Нейтральный 3_МФ тепловой баланс 2015 дубль 3" xfId="3465"/>
    <cellStyle name="Нейтральный 4" xfId="3466"/>
    <cellStyle name="Нейтральный 4 2" xfId="3467"/>
    <cellStyle name="Нейтральный 4_МФ тепловой баланс 2015 дубль 3" xfId="3468"/>
    <cellStyle name="Нейтральный 5" xfId="3469"/>
    <cellStyle name="Нейтральный 5 2" xfId="3470"/>
    <cellStyle name="Нейтральный 5_МФ тепловой баланс 2015 дубль 3" xfId="3471"/>
    <cellStyle name="Нейтральный 6" xfId="3472"/>
    <cellStyle name="Нейтральный 6 2" xfId="3473"/>
    <cellStyle name="Нейтральный 6_МФ тепловой баланс 2015 дубль 3" xfId="3474"/>
    <cellStyle name="Нейтральный 7" xfId="3475"/>
    <cellStyle name="Нейтральный 7 2" xfId="3476"/>
    <cellStyle name="Нейтральный 7_МФ тепловой баланс 2015 дубль 3" xfId="3477"/>
    <cellStyle name="Нейтральный 8" xfId="3478"/>
    <cellStyle name="Нейтральный 8 2" xfId="3479"/>
    <cellStyle name="Нейтральный 9" xfId="3480"/>
    <cellStyle name="Нейтральный 9 2" xfId="3481"/>
    <cellStyle name="Низ1" xfId="3482"/>
    <cellStyle name="Низ2" xfId="3483"/>
    <cellStyle name="Обычный" xfId="0" builtinId="0"/>
    <cellStyle name="Обычный 10" xfId="2"/>
    <cellStyle name="Обычный 10 2" xfId="3484"/>
    <cellStyle name="Обычный 10 2 2" xfId="3485"/>
    <cellStyle name="Обычный 10 2 2 2" xfId="3486"/>
    <cellStyle name="Обычный 10 2 3" xfId="3487"/>
    <cellStyle name="Обычный 10 2 4" xfId="3488"/>
    <cellStyle name="Обычный 10 2 4 2" xfId="4"/>
    <cellStyle name="Обычный 10 2 5" xfId="3489"/>
    <cellStyle name="Обычный 10 3" xfId="3490"/>
    <cellStyle name="Обычный 10 3 2" xfId="3491"/>
    <cellStyle name="Обычный 10 3 3" xfId="4579"/>
    <cellStyle name="Обычный 10 4" xfId="3492"/>
    <cellStyle name="Обычный 10 4 2" xfId="4580"/>
    <cellStyle name="Обычный 10 5" xfId="3493"/>
    <cellStyle name="Обычный 10 6" xfId="3494"/>
    <cellStyle name="Обычный 10 6 2" xfId="3495"/>
    <cellStyle name="Обычный 10 7" xfId="3496"/>
    <cellStyle name="Обычный 11" xfId="3497"/>
    <cellStyle name="Обычный 11 2" xfId="3498"/>
    <cellStyle name="Обычный 11 3" xfId="3499"/>
    <cellStyle name="Обычный 11 3 2" xfId="4581"/>
    <cellStyle name="Обычный 11 4" xfId="3500"/>
    <cellStyle name="Обычный 11 4 2" xfId="3501"/>
    <cellStyle name="Обычный 11 5" xfId="3502"/>
    <cellStyle name="Обычный 11 5 2" xfId="3503"/>
    <cellStyle name="Обычный 11 6" xfId="3504"/>
    <cellStyle name="Обычный 11 7" xfId="3505"/>
    <cellStyle name="Обычный 11 8" xfId="3506"/>
    <cellStyle name="Обычный 11_46EE.2011(v1.2)" xfId="3507"/>
    <cellStyle name="Обычный 12" xfId="3508"/>
    <cellStyle name="Обычный 12 2" xfId="3509"/>
    <cellStyle name="Обычный 12 2 2" xfId="3510"/>
    <cellStyle name="Обычный 12 2 2 2" xfId="3511"/>
    <cellStyle name="Обычный 12 2 3" xfId="3512"/>
    <cellStyle name="Обычный 12 3" xfId="3513"/>
    <cellStyle name="Обычный 12 3 2" xfId="3514"/>
    <cellStyle name="Обычный 12 3 2 2" xfId="3515"/>
    <cellStyle name="Обычный 12 4" xfId="3516"/>
    <cellStyle name="Обычный 12 5" xfId="3517"/>
    <cellStyle name="Обычный 12 5 2" xfId="3518"/>
    <cellStyle name="Обычный 12 5 2 2" xfId="3519"/>
    <cellStyle name="Обычный 12 5 3" xfId="3520"/>
    <cellStyle name="Обычный 12 6" xfId="3521"/>
    <cellStyle name="Обычный 13" xfId="3522"/>
    <cellStyle name="Обычный 13 2" xfId="3523"/>
    <cellStyle name="Обычный 13 3" xfId="4582"/>
    <cellStyle name="Обычный 14" xfId="3524"/>
    <cellStyle name="Обычный 14 2" xfId="3525"/>
    <cellStyle name="Обычный 14 3" xfId="4583"/>
    <cellStyle name="Обычный 15" xfId="3526"/>
    <cellStyle name="Обычный 15 2" xfId="3527"/>
    <cellStyle name="Обычный 15 2 2" xfId="3528"/>
    <cellStyle name="Обычный 15 3" xfId="3529"/>
    <cellStyle name="Обычный 15 4" xfId="4584"/>
    <cellStyle name="Обычный 16" xfId="3530"/>
    <cellStyle name="Обычный 16 2" xfId="3531"/>
    <cellStyle name="Обычный 16 3" xfId="3532"/>
    <cellStyle name="Обычный 17" xfId="3533"/>
    <cellStyle name="Обычный 17 2" xfId="3534"/>
    <cellStyle name="Обычный 17 3" xfId="3535"/>
    <cellStyle name="Обычный 18" xfId="3536"/>
    <cellStyle name="Обычный 18 2" xfId="3537"/>
    <cellStyle name="Обычный 19" xfId="4507"/>
    <cellStyle name="Обычный 19 2" xfId="3538"/>
    <cellStyle name="Обычный 19 3" xfId="4814"/>
    <cellStyle name="Обычный 2" xfId="3"/>
    <cellStyle name="Обычный 2 10" xfId="3539"/>
    <cellStyle name="Обычный 2 10 2" xfId="3540"/>
    <cellStyle name="Обычный 2 10 3" xfId="3541"/>
    <cellStyle name="Обычный 2 11" xfId="3542"/>
    <cellStyle name="Обычный 2 11 2" xfId="3543"/>
    <cellStyle name="Обычный 2 12" xfId="3544"/>
    <cellStyle name="Обычный 2 12 2" xfId="3545"/>
    <cellStyle name="Обычный 2 13" xfId="3546"/>
    <cellStyle name="Обычный 2 13 2" xfId="3547"/>
    <cellStyle name="Обычный 2 14" xfId="3548"/>
    <cellStyle name="Обычный 2 15" xfId="3549"/>
    <cellStyle name="Обычный 2 16" xfId="3550"/>
    <cellStyle name="Обычный 2 17" xfId="4517"/>
    <cellStyle name="Обычный 2 17 2" xfId="4547"/>
    <cellStyle name="Обычный 2 2" xfId="3551"/>
    <cellStyle name="Обычный 2 2 2" xfId="3552"/>
    <cellStyle name="Обычный 2 2 2 2" xfId="3553"/>
    <cellStyle name="Обычный 2 2 3" xfId="3554"/>
    <cellStyle name="Обычный 2 2 4" xfId="3555"/>
    <cellStyle name="Обычный 2 2 4 2" xfId="3556"/>
    <cellStyle name="Обычный 2 2 5" xfId="3557"/>
    <cellStyle name="Обычный 2 2 6" xfId="3558"/>
    <cellStyle name="Обычный 2 2 7" xfId="3559"/>
    <cellStyle name="Обычный 2 2 8" xfId="3560"/>
    <cellStyle name="Обычный 2 2_2014 АрхТепло Производственная" xfId="3561"/>
    <cellStyle name="Обычный 2 3" xfId="3562"/>
    <cellStyle name="Обычный 2 3 2" xfId="3563"/>
    <cellStyle name="Обычный 2 3 3" xfId="3564"/>
    <cellStyle name="Обычный 2 3 3 2" xfId="3565"/>
    <cellStyle name="Обычный 2 3 4" xfId="3566"/>
    <cellStyle name="Обычный 2 3 5" xfId="3567"/>
    <cellStyle name="Обычный 2 3 5 2" xfId="3568"/>
    <cellStyle name="Обычный 2 3 6" xfId="3569"/>
    <cellStyle name="Обычный 2 3_46EE.2011(v1.0)" xfId="3570"/>
    <cellStyle name="Обычный 2 4" xfId="3571"/>
    <cellStyle name="Обычный 2 4 2" xfId="3572"/>
    <cellStyle name="Обычный 2 4 2 2" xfId="3573"/>
    <cellStyle name="Обычный 2 4 2 2 2" xfId="3574"/>
    <cellStyle name="Обычный 2 4 3" xfId="3575"/>
    <cellStyle name="Обычный 2 4 3 2" xfId="3576"/>
    <cellStyle name="Обычный 2 4 4" xfId="3577"/>
    <cellStyle name="Обычный 2 4_46EE.2011(v1.0)" xfId="3578"/>
    <cellStyle name="Обычный 2 5" xfId="3579"/>
    <cellStyle name="Обычный 2 5 2" xfId="3580"/>
    <cellStyle name="Обычный 2 5 2 2" xfId="3581"/>
    <cellStyle name="Обычный 2 5 3" xfId="3582"/>
    <cellStyle name="Обычный 2 5 3 2" xfId="3583"/>
    <cellStyle name="Обычный 2 5 4" xfId="3584"/>
    <cellStyle name="Обычный 2 5 5" xfId="3585"/>
    <cellStyle name="Обычный 2 5_46EE.2011(v1.0)" xfId="3586"/>
    <cellStyle name="Обычный 2 6" xfId="3587"/>
    <cellStyle name="Обычный 2 6 2" xfId="3588"/>
    <cellStyle name="Обычный 2 6 2 2" xfId="3589"/>
    <cellStyle name="Обычный 2 6 2 2 2" xfId="3590"/>
    <cellStyle name="Обычный 2 6 3" xfId="3591"/>
    <cellStyle name="Обычный 2 6 3 2" xfId="3592"/>
    <cellStyle name="Обычный 2 6_46EE.2011(v1.0)" xfId="3593"/>
    <cellStyle name="Обычный 2 7" xfId="3594"/>
    <cellStyle name="Обычный 2 7 2" xfId="3595"/>
    <cellStyle name="Обычный 2 7 2 2" xfId="3596"/>
    <cellStyle name="Обычный 2 7 3" xfId="3597"/>
    <cellStyle name="Обычный 2 8" xfId="3598"/>
    <cellStyle name="Обычный 2 8 2" xfId="3599"/>
    <cellStyle name="Обычный 2 9" xfId="3600"/>
    <cellStyle name="Обычный 2 9 2" xfId="3601"/>
    <cellStyle name="Обычный 2___Тариф ТЭ 2012 Мезенский филиал 26.04.11" xfId="3602"/>
    <cellStyle name="Обычный 20" xfId="3603"/>
    <cellStyle name="Обычный 20 2" xfId="3604"/>
    <cellStyle name="Обычный 20 3" xfId="3605"/>
    <cellStyle name="Обычный 21" xfId="3606"/>
    <cellStyle name="Обычный 21 2" xfId="3607"/>
    <cellStyle name="Обычный 21 3" xfId="3608"/>
    <cellStyle name="Обычный 22" xfId="3609"/>
    <cellStyle name="Обычный 22 2" xfId="3610"/>
    <cellStyle name="Обычный 22 3" xfId="3611"/>
    <cellStyle name="Обычный 23" xfId="3612"/>
    <cellStyle name="Обычный 23 2" xfId="3613"/>
    <cellStyle name="Обычный 24" xfId="3614"/>
    <cellStyle name="Обычный 24 2" xfId="3615"/>
    <cellStyle name="Обычный 25" xfId="4509"/>
    <cellStyle name="Обычный 25 2" xfId="4520"/>
    <cellStyle name="Обычный 25 3" xfId="4815"/>
    <cellStyle name="Обычный 26" xfId="4514"/>
    <cellStyle name="Обычный 26 2" xfId="4519"/>
    <cellStyle name="Обычный 27" xfId="3616"/>
    <cellStyle name="Обычный 28" xfId="4515"/>
    <cellStyle name="Обычный 29" xfId="4516"/>
    <cellStyle name="Обычный 29 2" xfId="4518"/>
    <cellStyle name="Обычный 3" xfId="3617"/>
    <cellStyle name="Обычный 3 2" xfId="3618"/>
    <cellStyle name="Обычный 3 2 2" xfId="3619"/>
    <cellStyle name="Обычный 3 2 3" xfId="3620"/>
    <cellStyle name="Обычный 3 2 4" xfId="3621"/>
    <cellStyle name="Обычный 3 3" xfId="3622"/>
    <cellStyle name="Обычный 3 3 2" xfId="3623"/>
    <cellStyle name="Обычный 3 3 2 2" xfId="3624"/>
    <cellStyle name="Обычный 3 3 2 3" xfId="3625"/>
    <cellStyle name="Обычный 3 3 3" xfId="3626"/>
    <cellStyle name="Обычный 3 3 4" xfId="3627"/>
    <cellStyle name="Обычный 3 4" xfId="3628"/>
    <cellStyle name="Обычный 3 4 2" xfId="3629"/>
    <cellStyle name="Обычный 3 4 3" xfId="3630"/>
    <cellStyle name="Обычный 3 5" xfId="3631"/>
    <cellStyle name="Обычный 3 5 2" xfId="3632"/>
    <cellStyle name="Обычный 3 6" xfId="3633"/>
    <cellStyle name="Обычный 3 6 2" xfId="3634"/>
    <cellStyle name="Обычный 3 6 2 2" xfId="3635"/>
    <cellStyle name="Обычный 3 7" xfId="3636"/>
    <cellStyle name="Обычный 3 8" xfId="3637"/>
    <cellStyle name="Обычный 3 8 2" xfId="4585"/>
    <cellStyle name="Обычный 3 9" xfId="3638"/>
    <cellStyle name="Обычный 3___Тариф ТЭ 2012 Мезенский филиал 26.04.11" xfId="3639"/>
    <cellStyle name="Обычный 4" xfId="3640"/>
    <cellStyle name="Обычный 4 10" xfId="3641"/>
    <cellStyle name="Обычный 4 10 2" xfId="4586"/>
    <cellStyle name="Обычный 4 11" xfId="3642"/>
    <cellStyle name="Обычный 4 11 2" xfId="3643"/>
    <cellStyle name="Обычный 4 2" xfId="3644"/>
    <cellStyle name="Обычный 4 2 2" xfId="3645"/>
    <cellStyle name="Обычный 4 2 2 2" xfId="3646"/>
    <cellStyle name="Обычный 4 2 2 2 2" xfId="3647"/>
    <cellStyle name="Обычный 4 2 2 3" xfId="3648"/>
    <cellStyle name="Обычный 4 2 2 3 2" xfId="3649"/>
    <cellStyle name="Обычный 4 2 3" xfId="3650"/>
    <cellStyle name="Обычный 4 2 3 2" xfId="3651"/>
    <cellStyle name="Обычный 4 2 4" xfId="3652"/>
    <cellStyle name="Обычный 4 2_46EP.2012(v0.1)" xfId="3653"/>
    <cellStyle name="Обычный 4 3" xfId="3654"/>
    <cellStyle name="Обычный 4 3 2" xfId="3655"/>
    <cellStyle name="Обычный 4 4" xfId="3656"/>
    <cellStyle name="Обычный 4 4 2" xfId="3657"/>
    <cellStyle name="Обычный 4 5" xfId="3658"/>
    <cellStyle name="Обычный 4 5 2" xfId="3659"/>
    <cellStyle name="Обычный 4 6" xfId="3660"/>
    <cellStyle name="Обычный 4 6 10" xfId="3661"/>
    <cellStyle name="Обычный 4 6 10 2" xfId="3662"/>
    <cellStyle name="Обычный 4 6 11" xfId="3663"/>
    <cellStyle name="Обычный 4 6 11 2" xfId="3664"/>
    <cellStyle name="Обычный 4 6 11 3" xfId="4587"/>
    <cellStyle name="Обычный 4 6 12" xfId="3665"/>
    <cellStyle name="Обычный 4 6 12 2" xfId="3666"/>
    <cellStyle name="Обычный 4 6 13" xfId="3667"/>
    <cellStyle name="Обычный 4 6 2" xfId="3668"/>
    <cellStyle name="Обычный 4 6 2 2" xfId="3669"/>
    <cellStyle name="Обычный 4 6 2 2 2" xfId="3670"/>
    <cellStyle name="Обычный 4 6 2 3" xfId="3671"/>
    <cellStyle name="Обычный 4 6 3" xfId="3672"/>
    <cellStyle name="Обычный 4 6 3 2" xfId="3673"/>
    <cellStyle name="Обычный 4 6 3 2 2" xfId="3674"/>
    <cellStyle name="Обычный 4 6 3 3" xfId="3675"/>
    <cellStyle name="Обычный 4 6 4" xfId="3676"/>
    <cellStyle name="Обычный 4 6 4 2" xfId="3677"/>
    <cellStyle name="Обычный 4 6 4 2 2" xfId="3678"/>
    <cellStyle name="Обычный 4 6 4 3" xfId="3679"/>
    <cellStyle name="Обычный 4 6 5" xfId="3680"/>
    <cellStyle name="Обычный 4 6 5 2" xfId="3681"/>
    <cellStyle name="Обычный 4 6 5 2 2" xfId="3682"/>
    <cellStyle name="Обычный 4 6 5 3" xfId="3683"/>
    <cellStyle name="Обычный 4 6 6" xfId="3684"/>
    <cellStyle name="Обычный 4 6 6 2" xfId="3685"/>
    <cellStyle name="Обычный 4 6 6 2 2" xfId="3686"/>
    <cellStyle name="Обычный 4 6 6 3" xfId="3687"/>
    <cellStyle name="Обычный 4 6 7" xfId="3688"/>
    <cellStyle name="Обычный 4 6 7 2" xfId="3689"/>
    <cellStyle name="Обычный 4 6 7 2 2" xfId="3690"/>
    <cellStyle name="Обычный 4 6 7 3" xfId="3691"/>
    <cellStyle name="Обычный 4 6 8" xfId="3692"/>
    <cellStyle name="Обычный 4 6 8 2" xfId="3693"/>
    <cellStyle name="Обычный 4 6 8 2 2" xfId="3694"/>
    <cellStyle name="Обычный 4 6 8 3" xfId="3695"/>
    <cellStyle name="Обычный 4 6 9" xfId="3696"/>
    <cellStyle name="Обычный 4 6 9 2" xfId="3697"/>
    <cellStyle name="Обычный 4 6 9 2 2" xfId="3698"/>
    <cellStyle name="Обычный 4 6 9 3" xfId="3699"/>
    <cellStyle name="Обычный 4 7" xfId="3700"/>
    <cellStyle name="Обычный 4 7 10" xfId="3701"/>
    <cellStyle name="Обычный 4 7 10 2" xfId="3702"/>
    <cellStyle name="Обычный 4 7 11" xfId="3703"/>
    <cellStyle name="Обычный 4 7 11 2" xfId="3704"/>
    <cellStyle name="Обычный 4 7 12" xfId="3705"/>
    <cellStyle name="Обычный 4 7 2" xfId="3706"/>
    <cellStyle name="Обычный 4 7 2 2" xfId="3707"/>
    <cellStyle name="Обычный 4 7 2 2 2" xfId="3708"/>
    <cellStyle name="Обычный 4 7 2 3" xfId="3709"/>
    <cellStyle name="Обычный 4 7 3" xfId="3710"/>
    <cellStyle name="Обычный 4 7 3 2" xfId="3711"/>
    <cellStyle name="Обычный 4 7 3 2 2" xfId="3712"/>
    <cellStyle name="Обычный 4 7 3 3" xfId="3713"/>
    <cellStyle name="Обычный 4 7 4" xfId="3714"/>
    <cellStyle name="Обычный 4 7 4 2" xfId="3715"/>
    <cellStyle name="Обычный 4 7 4 2 2" xfId="3716"/>
    <cellStyle name="Обычный 4 7 4 3" xfId="3717"/>
    <cellStyle name="Обычный 4 7 5" xfId="3718"/>
    <cellStyle name="Обычный 4 7 5 2" xfId="3719"/>
    <cellStyle name="Обычный 4 7 5 2 2" xfId="3720"/>
    <cellStyle name="Обычный 4 7 5 3" xfId="3721"/>
    <cellStyle name="Обычный 4 7 6" xfId="3722"/>
    <cellStyle name="Обычный 4 7 6 2" xfId="3723"/>
    <cellStyle name="Обычный 4 7 6 2 2" xfId="3724"/>
    <cellStyle name="Обычный 4 7 6 3" xfId="3725"/>
    <cellStyle name="Обычный 4 7 7" xfId="3726"/>
    <cellStyle name="Обычный 4 7 7 2" xfId="3727"/>
    <cellStyle name="Обычный 4 7 7 2 2" xfId="3728"/>
    <cellStyle name="Обычный 4 7 7 3" xfId="3729"/>
    <cellStyle name="Обычный 4 7 8" xfId="3730"/>
    <cellStyle name="Обычный 4 7 8 2" xfId="3731"/>
    <cellStyle name="Обычный 4 7 8 2 2" xfId="3732"/>
    <cellStyle name="Обычный 4 7 8 3" xfId="3733"/>
    <cellStyle name="Обычный 4 7 9" xfId="3734"/>
    <cellStyle name="Обычный 4 7 9 2" xfId="3735"/>
    <cellStyle name="Обычный 4 7 9 2 2" xfId="3736"/>
    <cellStyle name="Обычный 4 7 9 3" xfId="3737"/>
    <cellStyle name="Обычный 4 8" xfId="3738"/>
    <cellStyle name="Обычный 4 8 10" xfId="3739"/>
    <cellStyle name="Обычный 4 8 10 2" xfId="3740"/>
    <cellStyle name="Обычный 4 8 11" xfId="3741"/>
    <cellStyle name="Обычный 4 8 11 2" xfId="3742"/>
    <cellStyle name="Обычный 4 8 12" xfId="3743"/>
    <cellStyle name="Обычный 4 8 2" xfId="3744"/>
    <cellStyle name="Обычный 4 8 2 2" xfId="3745"/>
    <cellStyle name="Обычный 4 8 2 2 2" xfId="3746"/>
    <cellStyle name="Обычный 4 8 2 3" xfId="3747"/>
    <cellStyle name="Обычный 4 8 3" xfId="3748"/>
    <cellStyle name="Обычный 4 8 3 2" xfId="3749"/>
    <cellStyle name="Обычный 4 8 3 2 2" xfId="3750"/>
    <cellStyle name="Обычный 4 8 3 3" xfId="3751"/>
    <cellStyle name="Обычный 4 8 4" xfId="3752"/>
    <cellStyle name="Обычный 4 8 4 2" xfId="3753"/>
    <cellStyle name="Обычный 4 8 4 2 2" xfId="3754"/>
    <cellStyle name="Обычный 4 8 4 3" xfId="3755"/>
    <cellStyle name="Обычный 4 8 5" xfId="3756"/>
    <cellStyle name="Обычный 4 8 5 2" xfId="3757"/>
    <cellStyle name="Обычный 4 8 5 2 2" xfId="3758"/>
    <cellStyle name="Обычный 4 8 5 3" xfId="3759"/>
    <cellStyle name="Обычный 4 8 6" xfId="3760"/>
    <cellStyle name="Обычный 4 8 6 2" xfId="3761"/>
    <cellStyle name="Обычный 4 8 6 2 2" xfId="3762"/>
    <cellStyle name="Обычный 4 8 6 3" xfId="3763"/>
    <cellStyle name="Обычный 4 8 7" xfId="3764"/>
    <cellStyle name="Обычный 4 8 7 2" xfId="3765"/>
    <cellStyle name="Обычный 4 8 7 2 2" xfId="3766"/>
    <cellStyle name="Обычный 4 8 7 3" xfId="3767"/>
    <cellStyle name="Обычный 4 8 8" xfId="3768"/>
    <cellStyle name="Обычный 4 8 8 2" xfId="3769"/>
    <cellStyle name="Обычный 4 8 8 2 2" xfId="3770"/>
    <cellStyle name="Обычный 4 8 8 3" xfId="3771"/>
    <cellStyle name="Обычный 4 8 9" xfId="3772"/>
    <cellStyle name="Обычный 4 8 9 2" xfId="3773"/>
    <cellStyle name="Обычный 4 8 9 2 2" xfId="3774"/>
    <cellStyle name="Обычный 4 8 9 3" xfId="3775"/>
    <cellStyle name="Обычный 4 9" xfId="3776"/>
    <cellStyle name="Обычный 4 9 10" xfId="3777"/>
    <cellStyle name="Обычный 4 9 10 2" xfId="3778"/>
    <cellStyle name="Обычный 4 9 11" xfId="3779"/>
    <cellStyle name="Обычный 4 9 11 2" xfId="3780"/>
    <cellStyle name="Обычный 4 9 12" xfId="3781"/>
    <cellStyle name="Обычный 4 9 2" xfId="3782"/>
    <cellStyle name="Обычный 4 9 2 2" xfId="3783"/>
    <cellStyle name="Обычный 4 9 2 2 2" xfId="3784"/>
    <cellStyle name="Обычный 4 9 2 3" xfId="3785"/>
    <cellStyle name="Обычный 4 9 3" xfId="3786"/>
    <cellStyle name="Обычный 4 9 3 2" xfId="3787"/>
    <cellStyle name="Обычный 4 9 3 2 2" xfId="3788"/>
    <cellStyle name="Обычный 4 9 3 3" xfId="3789"/>
    <cellStyle name="Обычный 4 9 4" xfId="3790"/>
    <cellStyle name="Обычный 4 9 4 2" xfId="3791"/>
    <cellStyle name="Обычный 4 9 4 2 2" xfId="3792"/>
    <cellStyle name="Обычный 4 9 4 3" xfId="3793"/>
    <cellStyle name="Обычный 4 9 5" xfId="3794"/>
    <cellStyle name="Обычный 4 9 5 2" xfId="3795"/>
    <cellStyle name="Обычный 4 9 5 2 2" xfId="3796"/>
    <cellStyle name="Обычный 4 9 5 3" xfId="3797"/>
    <cellStyle name="Обычный 4 9 6" xfId="3798"/>
    <cellStyle name="Обычный 4 9 6 2" xfId="3799"/>
    <cellStyle name="Обычный 4 9 6 2 2" xfId="3800"/>
    <cellStyle name="Обычный 4 9 6 3" xfId="3801"/>
    <cellStyle name="Обычный 4 9 7" xfId="3802"/>
    <cellStyle name="Обычный 4 9 7 2" xfId="3803"/>
    <cellStyle name="Обычный 4 9 7 2 2" xfId="3804"/>
    <cellStyle name="Обычный 4 9 7 3" xfId="3805"/>
    <cellStyle name="Обычный 4 9 8" xfId="3806"/>
    <cellStyle name="Обычный 4 9 8 2" xfId="3807"/>
    <cellStyle name="Обычный 4 9 8 2 2" xfId="3808"/>
    <cellStyle name="Обычный 4 9 8 3" xfId="3809"/>
    <cellStyle name="Обычный 4 9 9" xfId="3810"/>
    <cellStyle name="Обычный 4 9 9 2" xfId="3811"/>
    <cellStyle name="Обычный 4 9 9 2 2" xfId="3812"/>
    <cellStyle name="Обычный 4 9 9 3" xfId="3813"/>
    <cellStyle name="Обычный 4_2014 АрхТепло Производственная" xfId="3814"/>
    <cellStyle name="Обычный 5" xfId="3815"/>
    <cellStyle name="Обычный 5 2" xfId="3816"/>
    <cellStyle name="Обычный 5 2 2" xfId="3817"/>
    <cellStyle name="Обычный 5 2 3" xfId="3818"/>
    <cellStyle name="Обычный 5 2 4" xfId="3819"/>
    <cellStyle name="Обычный 5 3" xfId="3820"/>
    <cellStyle name="Обычный 5 3 2" xfId="4588"/>
    <cellStyle name="Обычный 5 4" xfId="3821"/>
    <cellStyle name="Обычный 5 4 2" xfId="4589"/>
    <cellStyle name="Обычный 5 5" xfId="3822"/>
    <cellStyle name="Обычный 5 5 2" xfId="3823"/>
    <cellStyle name="Обычный 5 6" xfId="3824"/>
    <cellStyle name="Обычный 5 6 2" xfId="3825"/>
    <cellStyle name="Обычный 5 7" xfId="3826"/>
    <cellStyle name="Обычный 5 8" xfId="3827"/>
    <cellStyle name="Обычный 5 8 2" xfId="3828"/>
    <cellStyle name="Обычный 5_Мероприятия для тарифной каипании" xfId="3829"/>
    <cellStyle name="Обычный 6" xfId="3830"/>
    <cellStyle name="Обычный 6 2" xfId="3831"/>
    <cellStyle name="Обычный 6 2 2" xfId="3832"/>
    <cellStyle name="Обычный 6 2 3" xfId="3833"/>
    <cellStyle name="Обычный 6 3" xfId="3834"/>
    <cellStyle name="Обычный 6 3 2" xfId="3835"/>
    <cellStyle name="Обычный 6 4" xfId="3836"/>
    <cellStyle name="Обычный 6 4 2" xfId="3837"/>
    <cellStyle name="Обычный 6 5" xfId="3838"/>
    <cellStyle name="Обычный 6 5 2" xfId="3839"/>
    <cellStyle name="Обычный 6 6" xfId="3840"/>
    <cellStyle name="Обычный 6 6 2" xfId="3841"/>
    <cellStyle name="Обычный 6 7" xfId="3842"/>
    <cellStyle name="Обычный 6_Перерасчет тепловой энергии ООО Березниковское ТСП  на 2013" xfId="3843"/>
    <cellStyle name="Обычный 7" xfId="3844"/>
    <cellStyle name="Обычный 7 10" xfId="3845"/>
    <cellStyle name="Обычный 7 10 2" xfId="3846"/>
    <cellStyle name="Обычный 7 10 3" xfId="4590"/>
    <cellStyle name="Обычный 7 11" xfId="3847"/>
    <cellStyle name="Обычный 7 11 2" xfId="3848"/>
    <cellStyle name="Обычный 7 12" xfId="3849"/>
    <cellStyle name="Обычный 7 2" xfId="3850"/>
    <cellStyle name="Обычный 7 2 2" xfId="3851"/>
    <cellStyle name="Обычный 7 2 2 2" xfId="3852"/>
    <cellStyle name="Обычный 7 2 2 3" xfId="4591"/>
    <cellStyle name="Обычный 7 2 3" xfId="3853"/>
    <cellStyle name="Обычный 7 2 3 2" xfId="3854"/>
    <cellStyle name="Обычный 7 2 4" xfId="3855"/>
    <cellStyle name="Обычный 7 3" xfId="3856"/>
    <cellStyle name="Обычный 7 3 2" xfId="3857"/>
    <cellStyle name="Обычный 7 3 2 2" xfId="4592"/>
    <cellStyle name="Обычный 7 3 3" xfId="3858"/>
    <cellStyle name="Обычный 7 3 3 2" xfId="4593"/>
    <cellStyle name="Обычный 7 3 4" xfId="3859"/>
    <cellStyle name="Обычный 7 3 4 2" xfId="3860"/>
    <cellStyle name="Обычный 7 3 5" xfId="3861"/>
    <cellStyle name="Обычный 7 4" xfId="3862"/>
    <cellStyle name="Обычный 7 4 2" xfId="3863"/>
    <cellStyle name="Обычный 7 4 2 2" xfId="3864"/>
    <cellStyle name="Обычный 7 4 3" xfId="3865"/>
    <cellStyle name="Обычный 7 5" xfId="3866"/>
    <cellStyle name="Обычный 7 5 2" xfId="3867"/>
    <cellStyle name="Обычный 7 5 2 2" xfId="3868"/>
    <cellStyle name="Обычный 7 5 3" xfId="3869"/>
    <cellStyle name="Обычный 7 6" xfId="3870"/>
    <cellStyle name="Обычный 7 6 2" xfId="3871"/>
    <cellStyle name="Обычный 7 6 2 2" xfId="3872"/>
    <cellStyle name="Обычный 7 6 3" xfId="3873"/>
    <cellStyle name="Обычный 7 7" xfId="3874"/>
    <cellStyle name="Обычный 7 7 2" xfId="3875"/>
    <cellStyle name="Обычный 7 7 2 2" xfId="3876"/>
    <cellStyle name="Обычный 7 7 3" xfId="3877"/>
    <cellStyle name="Обычный 7 8" xfId="3878"/>
    <cellStyle name="Обычный 7 8 2" xfId="3879"/>
    <cellStyle name="Обычный 7 8 2 2" xfId="3880"/>
    <cellStyle name="Обычный 7 8 3" xfId="3881"/>
    <cellStyle name="Обычный 7 9" xfId="3882"/>
    <cellStyle name="Обычный 7 9 2" xfId="3883"/>
    <cellStyle name="Обычный 7 9 2 2" xfId="3884"/>
    <cellStyle name="Обычный 7 9 3" xfId="3885"/>
    <cellStyle name="Обычный 8" xfId="3886"/>
    <cellStyle name="Обычный 8 10" xfId="3887"/>
    <cellStyle name="Обычный 8 2" xfId="3888"/>
    <cellStyle name="Обычный 8 2 2" xfId="3889"/>
    <cellStyle name="Обычный 8 2 2 2" xfId="4594"/>
    <cellStyle name="Обычный 8 2 3" xfId="3890"/>
    <cellStyle name="Обычный 8 2 3 2" xfId="3891"/>
    <cellStyle name="Обычный 8 2 4" xfId="3892"/>
    <cellStyle name="Обычный 8 3" xfId="3893"/>
    <cellStyle name="Обычный 8 3 2" xfId="3894"/>
    <cellStyle name="Обычный 8 3 2 2" xfId="4595"/>
    <cellStyle name="Обычный 8 3 3" xfId="3895"/>
    <cellStyle name="Обычный 8 3 3 2" xfId="3896"/>
    <cellStyle name="Обычный 8 3 4" xfId="3897"/>
    <cellStyle name="Обычный 8 4" xfId="3898"/>
    <cellStyle name="Обычный 8 4 2" xfId="3899"/>
    <cellStyle name="Обычный 8 4 2 2" xfId="3900"/>
    <cellStyle name="Обычный 8 4 3" xfId="3901"/>
    <cellStyle name="Обычный 8 5" xfId="3902"/>
    <cellStyle name="Обычный 8 5 2" xfId="3903"/>
    <cellStyle name="Обычный 8 5 2 2" xfId="3904"/>
    <cellStyle name="Обычный 8 5 3" xfId="3905"/>
    <cellStyle name="Обычный 8 6" xfId="3906"/>
    <cellStyle name="Обычный 8 6 2" xfId="3907"/>
    <cellStyle name="Обычный 8 6 2 2" xfId="3908"/>
    <cellStyle name="Обычный 8 6 3" xfId="3909"/>
    <cellStyle name="Обычный 8 7" xfId="3910"/>
    <cellStyle name="Обычный 8 7 2" xfId="3911"/>
    <cellStyle name="Обычный 8 8" xfId="3912"/>
    <cellStyle name="Обычный 8 8 2" xfId="4596"/>
    <cellStyle name="Обычный 8 9" xfId="3913"/>
    <cellStyle name="Обычный 8 9 2" xfId="3914"/>
    <cellStyle name="Обычный 9" xfId="3915"/>
    <cellStyle name="Обычный 9 2" xfId="3916"/>
    <cellStyle name="Обычный 9 2 2" xfId="3917"/>
    <cellStyle name="Обычный 9 2 3" xfId="3918"/>
    <cellStyle name="Обычный 9 3" xfId="3919"/>
    <cellStyle name="Обычный 9 3 2" xfId="4597"/>
    <cellStyle name="Обычный 9 4" xfId="3920"/>
    <cellStyle name="Обычный 9 4 2" xfId="3921"/>
    <cellStyle name="Обычный 9 5" xfId="3922"/>
    <cellStyle name="Обычный 9 5 2" xfId="3923"/>
    <cellStyle name="Обычный 9 6" xfId="3924"/>
    <cellStyle name="Обычный 9 7" xfId="3925"/>
    <cellStyle name="Обычный 9 7 2" xfId="3926"/>
    <cellStyle name="Обычный 9 8" xfId="3927"/>
    <cellStyle name="Ошибка" xfId="3928"/>
    <cellStyle name="Плохой 10" xfId="3929"/>
    <cellStyle name="Плохой 2" xfId="3930"/>
    <cellStyle name="Плохой 2 10" xfId="3931"/>
    <cellStyle name="Плохой 2 2" xfId="3932"/>
    <cellStyle name="Плохой 2 2 2" xfId="3933"/>
    <cellStyle name="Плохой 2 3" xfId="3934"/>
    <cellStyle name="Плохой 2 4" xfId="3935"/>
    <cellStyle name="Плохой 2 5" xfId="3936"/>
    <cellStyle name="Плохой 2 6" xfId="3937"/>
    <cellStyle name="Плохой 2 7" xfId="3938"/>
    <cellStyle name="Плохой 2 8" xfId="3939"/>
    <cellStyle name="Плохой 2 9" xfId="3940"/>
    <cellStyle name="Плохой 2_МФ тепловой баланс 2015 дубль 3" xfId="3941"/>
    <cellStyle name="Плохой 3" xfId="3942"/>
    <cellStyle name="Плохой 3 10" xfId="3943"/>
    <cellStyle name="Плохой 3 11" xfId="3944"/>
    <cellStyle name="Плохой 3 2" xfId="3945"/>
    <cellStyle name="Плохой 3 3" xfId="3946"/>
    <cellStyle name="Плохой 3 4" xfId="3947"/>
    <cellStyle name="Плохой 3 5" xfId="3948"/>
    <cellStyle name="Плохой 3 6" xfId="3949"/>
    <cellStyle name="Плохой 3 7" xfId="3950"/>
    <cellStyle name="Плохой 3 8" xfId="3951"/>
    <cellStyle name="Плохой 3 9" xfId="3952"/>
    <cellStyle name="Плохой 3_МФ тепловой баланс 2015 дубль 3" xfId="3953"/>
    <cellStyle name="Плохой 4" xfId="3954"/>
    <cellStyle name="Плохой 4 2" xfId="3955"/>
    <cellStyle name="Плохой 4_МФ тепловой баланс 2015 дубль 3" xfId="3956"/>
    <cellStyle name="Плохой 5" xfId="3957"/>
    <cellStyle name="Плохой 5 2" xfId="3958"/>
    <cellStyle name="Плохой 5_МФ тепловой баланс 2015 дубль 3" xfId="3959"/>
    <cellStyle name="Плохой 6" xfId="3960"/>
    <cellStyle name="Плохой 6 2" xfId="3961"/>
    <cellStyle name="Плохой 6_МФ тепловой баланс 2015 дубль 3" xfId="3962"/>
    <cellStyle name="Плохой 7" xfId="3963"/>
    <cellStyle name="Плохой 7 2" xfId="3964"/>
    <cellStyle name="Плохой 7_МФ тепловой баланс 2015 дубль 3" xfId="3965"/>
    <cellStyle name="Плохой 8" xfId="3966"/>
    <cellStyle name="Плохой 8 2" xfId="3967"/>
    <cellStyle name="Плохой 9" xfId="3968"/>
    <cellStyle name="Плохой 9 2" xfId="3969"/>
    <cellStyle name="По центру с переносом" xfId="3970"/>
    <cellStyle name="По ширине с переносом" xfId="3971"/>
    <cellStyle name="Подгруппа" xfId="3972"/>
    <cellStyle name="Поле ввода" xfId="3973"/>
    <cellStyle name="Пояснение 10" xfId="3974"/>
    <cellStyle name="Пояснение 2" xfId="3975"/>
    <cellStyle name="Пояснение 2 10" xfId="3976"/>
    <cellStyle name="Пояснение 2 2" xfId="3977"/>
    <cellStyle name="Пояснение 2 2 2" xfId="3978"/>
    <cellStyle name="Пояснение 2 3" xfId="3979"/>
    <cellStyle name="Пояснение 2 4" xfId="3980"/>
    <cellStyle name="Пояснение 2 5" xfId="3981"/>
    <cellStyle name="Пояснение 2 6" xfId="3982"/>
    <cellStyle name="Пояснение 2 7" xfId="3983"/>
    <cellStyle name="Пояснение 2 8" xfId="3984"/>
    <cellStyle name="Пояснение 2 9" xfId="3985"/>
    <cellStyle name="Пояснение 2_МФ тепловой баланс 2015 дубль 3" xfId="3986"/>
    <cellStyle name="Пояснение 3" xfId="3987"/>
    <cellStyle name="Пояснение 3 10" xfId="3988"/>
    <cellStyle name="Пояснение 3 11" xfId="3989"/>
    <cellStyle name="Пояснение 3 2" xfId="3990"/>
    <cellStyle name="Пояснение 3 3" xfId="3991"/>
    <cellStyle name="Пояснение 3 4" xfId="3992"/>
    <cellStyle name="Пояснение 3 5" xfId="3993"/>
    <cellStyle name="Пояснение 3 6" xfId="3994"/>
    <cellStyle name="Пояснение 3 7" xfId="3995"/>
    <cellStyle name="Пояснение 3 8" xfId="3996"/>
    <cellStyle name="Пояснение 3 9" xfId="3997"/>
    <cellStyle name="Пояснение 3_МФ тепловой баланс 2015 дубль 3" xfId="3998"/>
    <cellStyle name="Пояснение 4" xfId="3999"/>
    <cellStyle name="Пояснение 4 2" xfId="4000"/>
    <cellStyle name="Пояснение 4_МФ тепловой баланс 2015 дубль 3" xfId="4001"/>
    <cellStyle name="Пояснение 5" xfId="4002"/>
    <cellStyle name="Пояснение 5 2" xfId="4003"/>
    <cellStyle name="Пояснение 5_МФ тепловой баланс 2015 дубль 3" xfId="4004"/>
    <cellStyle name="Пояснение 6" xfId="4005"/>
    <cellStyle name="Пояснение 6 2" xfId="4006"/>
    <cellStyle name="Пояснение 6_МФ тепловой баланс 2015 дубль 3" xfId="4007"/>
    <cellStyle name="Пояснение 7" xfId="4008"/>
    <cellStyle name="Пояснение 7 2" xfId="4009"/>
    <cellStyle name="Пояснение 7_МФ тепловой баланс 2015 дубль 3" xfId="4010"/>
    <cellStyle name="Пояснение 8" xfId="4011"/>
    <cellStyle name="Пояснение 8 2" xfId="4012"/>
    <cellStyle name="Пояснение 9" xfId="4013"/>
    <cellStyle name="Пояснение 9 2" xfId="4014"/>
    <cellStyle name="Примечание 10" xfId="4015"/>
    <cellStyle name="Примечание 10 2" xfId="4016"/>
    <cellStyle name="Примечание 10 3" xfId="4017"/>
    <cellStyle name="Примечание 10_46EE.2011(v1.0)" xfId="4018"/>
    <cellStyle name="Примечание 11" xfId="4019"/>
    <cellStyle name="Примечание 11 2" xfId="4020"/>
    <cellStyle name="Примечание 11 3" xfId="4021"/>
    <cellStyle name="Примечание 11_46EE.2011(v1.0)" xfId="4022"/>
    <cellStyle name="Примечание 12" xfId="4023"/>
    <cellStyle name="Примечание 12 2" xfId="4024"/>
    <cellStyle name="Примечание 12 3" xfId="4025"/>
    <cellStyle name="Примечание 12_46EE.2011(v1.0)" xfId="4026"/>
    <cellStyle name="Примечание 13" xfId="4027"/>
    <cellStyle name="Примечание 14" xfId="4028"/>
    <cellStyle name="Примечание 14 2" xfId="4029"/>
    <cellStyle name="Примечание 15" xfId="4030"/>
    <cellStyle name="Примечание 15 2" xfId="4031"/>
    <cellStyle name="Примечание 16" xfId="4032"/>
    <cellStyle name="Примечание 17" xfId="4033"/>
    <cellStyle name="Примечание 18" xfId="4034"/>
    <cellStyle name="Примечание 19" xfId="4035"/>
    <cellStyle name="Примечание 2" xfId="4036"/>
    <cellStyle name="Примечание 2 10" xfId="4037"/>
    <cellStyle name="Примечание 2 10 2" xfId="4038"/>
    <cellStyle name="Примечание 2 10 2 2" xfId="4039"/>
    <cellStyle name="Примечание 2 10 3" xfId="4040"/>
    <cellStyle name="Примечание 2 11" xfId="4041"/>
    <cellStyle name="Примечание 2 11 2" xfId="4598"/>
    <cellStyle name="Примечание 2 12" xfId="4042"/>
    <cellStyle name="Примечание 2 12 2" xfId="4043"/>
    <cellStyle name="Примечание 2 13" xfId="4044"/>
    <cellStyle name="Примечание 2 2" xfId="4045"/>
    <cellStyle name="Примечание 2 2 2" xfId="4046"/>
    <cellStyle name="Примечание 2 2 2 2" xfId="4599"/>
    <cellStyle name="Примечание 2 2 3" xfId="4047"/>
    <cellStyle name="Примечание 2 2 3 2" xfId="4600"/>
    <cellStyle name="Примечание 2 2 4" xfId="4048"/>
    <cellStyle name="Примечание 2 2 4 2" xfId="4049"/>
    <cellStyle name="Примечание 2 2 5" xfId="4050"/>
    <cellStyle name="Примечание 2 3" xfId="4051"/>
    <cellStyle name="Примечание 2 3 2" xfId="4052"/>
    <cellStyle name="Примечание 2 3 2 2" xfId="4601"/>
    <cellStyle name="Примечание 2 3 3" xfId="4053"/>
    <cellStyle name="Примечание 2 3 3 2" xfId="4054"/>
    <cellStyle name="Примечание 2 3 4" xfId="4055"/>
    <cellStyle name="Примечание 2 4" xfId="4056"/>
    <cellStyle name="Примечание 2 4 2" xfId="4057"/>
    <cellStyle name="Примечание 2 4 2 2" xfId="4602"/>
    <cellStyle name="Примечание 2 4 3" xfId="4058"/>
    <cellStyle name="Примечание 2 4 3 2" xfId="4059"/>
    <cellStyle name="Примечание 2 4 4" xfId="4060"/>
    <cellStyle name="Примечание 2 5" xfId="4061"/>
    <cellStyle name="Примечание 2 5 2" xfId="4062"/>
    <cellStyle name="Примечание 2 5 2 2" xfId="4603"/>
    <cellStyle name="Примечание 2 5 3" xfId="4063"/>
    <cellStyle name="Примечание 2 5 3 2" xfId="4064"/>
    <cellStyle name="Примечание 2 5 4" xfId="4065"/>
    <cellStyle name="Примечание 2 6" xfId="4066"/>
    <cellStyle name="Примечание 2 6 2" xfId="4067"/>
    <cellStyle name="Примечание 2 6 2 2" xfId="4604"/>
    <cellStyle name="Примечание 2 6 3" xfId="4068"/>
    <cellStyle name="Примечание 2 6 3 2" xfId="4069"/>
    <cellStyle name="Примечание 2 6 4" xfId="4070"/>
    <cellStyle name="Примечание 2 7" xfId="4071"/>
    <cellStyle name="Примечание 2 7 2" xfId="4072"/>
    <cellStyle name="Примечание 2 7 2 2" xfId="4605"/>
    <cellStyle name="Примечание 2 7 3" xfId="4073"/>
    <cellStyle name="Примечание 2 7 3 2" xfId="4074"/>
    <cellStyle name="Примечание 2 7 4" xfId="4075"/>
    <cellStyle name="Примечание 2 8" xfId="4076"/>
    <cellStyle name="Примечание 2 8 2" xfId="4077"/>
    <cellStyle name="Примечание 2 8 2 2" xfId="4606"/>
    <cellStyle name="Примечание 2 8 3" xfId="4078"/>
    <cellStyle name="Примечание 2 8 3 2" xfId="4079"/>
    <cellStyle name="Примечание 2 8 4" xfId="4080"/>
    <cellStyle name="Примечание 2 9" xfId="4081"/>
    <cellStyle name="Примечание 2 9 2" xfId="4082"/>
    <cellStyle name="Примечание 2 9 2 2" xfId="4607"/>
    <cellStyle name="Примечание 2 9 3" xfId="4083"/>
    <cellStyle name="Примечание 2 9 3 2" xfId="4084"/>
    <cellStyle name="Примечание 2 9 4" xfId="4085"/>
    <cellStyle name="Примечание 2_46EE.2011(v1.0)" xfId="4086"/>
    <cellStyle name="Примечание 20" xfId="4087"/>
    <cellStyle name="Примечание 21" xfId="4088"/>
    <cellStyle name="Примечание 22" xfId="4089"/>
    <cellStyle name="Примечание 23" xfId="4090"/>
    <cellStyle name="Примечание 24" xfId="4091"/>
    <cellStyle name="Примечание 25" xfId="4092"/>
    <cellStyle name="Примечание 26" xfId="4093"/>
    <cellStyle name="Примечание 27" xfId="4094"/>
    <cellStyle name="Примечание 28" xfId="4095"/>
    <cellStyle name="Примечание 29" xfId="4096"/>
    <cellStyle name="Примечание 3" xfId="4097"/>
    <cellStyle name="Примечание 3 10" xfId="4098"/>
    <cellStyle name="Примечание 3 10 2" xfId="4099"/>
    <cellStyle name="Примечание 3 10 2 2" xfId="4100"/>
    <cellStyle name="Примечание 3 10 3" xfId="4101"/>
    <cellStyle name="Примечание 3 11" xfId="4102"/>
    <cellStyle name="Примечание 3 11 2" xfId="4608"/>
    <cellStyle name="Примечание 3 12" xfId="4103"/>
    <cellStyle name="Примечание 3 12 2" xfId="4104"/>
    <cellStyle name="Примечание 3 13" xfId="4105"/>
    <cellStyle name="Примечание 3 2" xfId="4106"/>
    <cellStyle name="Примечание 3 2 2" xfId="4107"/>
    <cellStyle name="Примечание 3 2 2 2" xfId="4609"/>
    <cellStyle name="Примечание 3 2 3" xfId="4108"/>
    <cellStyle name="Примечание 3 2 3 2" xfId="4109"/>
    <cellStyle name="Примечание 3 2 4" xfId="4110"/>
    <cellStyle name="Примечание 3 3" xfId="4111"/>
    <cellStyle name="Примечание 3 3 2" xfId="4112"/>
    <cellStyle name="Примечание 3 3 2 2" xfId="4610"/>
    <cellStyle name="Примечание 3 3 3" xfId="4113"/>
    <cellStyle name="Примечание 3 3 3 2" xfId="4114"/>
    <cellStyle name="Примечание 3 3 4" xfId="4115"/>
    <cellStyle name="Примечание 3 4" xfId="4116"/>
    <cellStyle name="Примечание 3 4 2" xfId="4117"/>
    <cellStyle name="Примечание 3 4 2 2" xfId="4611"/>
    <cellStyle name="Примечание 3 4 3" xfId="4118"/>
    <cellStyle name="Примечание 3 4 3 2" xfId="4119"/>
    <cellStyle name="Примечание 3 4 4" xfId="4120"/>
    <cellStyle name="Примечание 3 5" xfId="4121"/>
    <cellStyle name="Примечание 3 5 2" xfId="4122"/>
    <cellStyle name="Примечание 3 5 2 2" xfId="4612"/>
    <cellStyle name="Примечание 3 5 3" xfId="4123"/>
    <cellStyle name="Примечание 3 5 3 2" xfId="4124"/>
    <cellStyle name="Примечание 3 5 4" xfId="4125"/>
    <cellStyle name="Примечание 3 6" xfId="4126"/>
    <cellStyle name="Примечание 3 6 2" xfId="4127"/>
    <cellStyle name="Примечание 3 6 2 2" xfId="4613"/>
    <cellStyle name="Примечание 3 6 3" xfId="4128"/>
    <cellStyle name="Примечание 3 6 3 2" xfId="4129"/>
    <cellStyle name="Примечание 3 6 4" xfId="4130"/>
    <cellStyle name="Примечание 3 7" xfId="4131"/>
    <cellStyle name="Примечание 3 7 2" xfId="4132"/>
    <cellStyle name="Примечание 3 7 2 2" xfId="4614"/>
    <cellStyle name="Примечание 3 7 3" xfId="4133"/>
    <cellStyle name="Примечание 3 7 3 2" xfId="4134"/>
    <cellStyle name="Примечание 3 7 4" xfId="4135"/>
    <cellStyle name="Примечание 3 8" xfId="4136"/>
    <cellStyle name="Примечание 3 8 2" xfId="4137"/>
    <cellStyle name="Примечание 3 8 2 2" xfId="4615"/>
    <cellStyle name="Примечание 3 8 3" xfId="4138"/>
    <cellStyle name="Примечание 3 8 3 2" xfId="4139"/>
    <cellStyle name="Примечание 3 8 4" xfId="4140"/>
    <cellStyle name="Примечание 3 9" xfId="4141"/>
    <cellStyle name="Примечание 3 9 2" xfId="4142"/>
    <cellStyle name="Примечание 3 9 2 2" xfId="4616"/>
    <cellStyle name="Примечание 3 9 3" xfId="4143"/>
    <cellStyle name="Примечание 3 9 3 2" xfId="4144"/>
    <cellStyle name="Примечание 3 9 4" xfId="4145"/>
    <cellStyle name="Примечание 3_46EE.2011(v1.0)" xfId="4146"/>
    <cellStyle name="Примечание 30" xfId="4147"/>
    <cellStyle name="Примечание 31" xfId="4148"/>
    <cellStyle name="Примечание 32" xfId="4149"/>
    <cellStyle name="Примечание 33" xfId="4150"/>
    <cellStyle name="Примечание 34" xfId="4508"/>
    <cellStyle name="Примечание 35" xfId="4512"/>
    <cellStyle name="Примечание 36" xfId="4511"/>
    <cellStyle name="Примечание 37" xfId="4513"/>
    <cellStyle name="Примечание 38" xfId="4510"/>
    <cellStyle name="Примечание 4" xfId="4151"/>
    <cellStyle name="Примечание 4 2" xfId="4152"/>
    <cellStyle name="Примечание 4 3" xfId="4153"/>
    <cellStyle name="Примечание 4 4" xfId="4154"/>
    <cellStyle name="Примечание 4 5" xfId="4155"/>
    <cellStyle name="Примечание 4 6" xfId="4156"/>
    <cellStyle name="Примечание 4 7" xfId="4157"/>
    <cellStyle name="Примечание 4 8" xfId="4158"/>
    <cellStyle name="Примечание 4 9" xfId="4159"/>
    <cellStyle name="Примечание 4_46EE.2011(v1.0)" xfId="4160"/>
    <cellStyle name="Примечание 5" xfId="4161"/>
    <cellStyle name="Примечание 5 2" xfId="4162"/>
    <cellStyle name="Примечание 5 3" xfId="4163"/>
    <cellStyle name="Примечание 5 4" xfId="4164"/>
    <cellStyle name="Примечание 5 5" xfId="4165"/>
    <cellStyle name="Примечание 5 6" xfId="4166"/>
    <cellStyle name="Примечание 5 7" xfId="4167"/>
    <cellStyle name="Примечание 5 8" xfId="4168"/>
    <cellStyle name="Примечание 5 9" xfId="4169"/>
    <cellStyle name="Примечание 5_46EE.2011(v1.0)" xfId="4170"/>
    <cellStyle name="Примечание 6" xfId="4171"/>
    <cellStyle name="Примечание 6 2" xfId="4172"/>
    <cellStyle name="Примечание 6_46EE.2011(v1.0)" xfId="4173"/>
    <cellStyle name="Примечание 7" xfId="4174"/>
    <cellStyle name="Примечание 7 2" xfId="4175"/>
    <cellStyle name="Примечание 7_46EE.2011(v1.0)" xfId="4176"/>
    <cellStyle name="Примечание 8" xfId="4177"/>
    <cellStyle name="Примечание 8 2" xfId="4178"/>
    <cellStyle name="Примечание 8_46EE.2011(v1.0)" xfId="4179"/>
    <cellStyle name="Примечание 9" xfId="4180"/>
    <cellStyle name="Примечание 9 2" xfId="4181"/>
    <cellStyle name="Примечание 9_46EE.2011(v1.0)" xfId="4182"/>
    <cellStyle name="Продукт" xfId="4183"/>
    <cellStyle name="Процентный 10" xfId="4184"/>
    <cellStyle name="Процентный 10 2" xfId="4185"/>
    <cellStyle name="Процентный 11" xfId="4186"/>
    <cellStyle name="Процентный 11 2" xfId="4187"/>
    <cellStyle name="Процентный 12" xfId="4188"/>
    <cellStyle name="Процентный 13" xfId="4189"/>
    <cellStyle name="Процентный 14" xfId="4190"/>
    <cellStyle name="Процентный 15" xfId="4191"/>
    <cellStyle name="Процентный 2" xfId="4192"/>
    <cellStyle name="Процентный 2 2" xfId="4193"/>
    <cellStyle name="Процентный 2 2 2" xfId="4194"/>
    <cellStyle name="Процентный 2 2 2 2" xfId="4195"/>
    <cellStyle name="Процентный 2 2 3" xfId="4196"/>
    <cellStyle name="Процентный 2 2 4" xfId="4197"/>
    <cellStyle name="Процентный 2 2 5" xfId="4198"/>
    <cellStyle name="Процентный 2 3" xfId="4199"/>
    <cellStyle name="Процентный 2 3 2" xfId="4200"/>
    <cellStyle name="Процентный 2 3 3" xfId="4617"/>
    <cellStyle name="Процентный 2 4" xfId="4201"/>
    <cellStyle name="Процентный 2 4 2" xfId="4202"/>
    <cellStyle name="Процентный 2 4 3" xfId="4618"/>
    <cellStyle name="Процентный 2 5" xfId="4203"/>
    <cellStyle name="Процентный 2 6" xfId="4204"/>
    <cellStyle name="Процентный 2 7" xfId="4553"/>
    <cellStyle name="Процентный 2_2014 АрхТепло Производственная" xfId="4205"/>
    <cellStyle name="Процентный 3" xfId="4206"/>
    <cellStyle name="Процентный 3 2" xfId="4207"/>
    <cellStyle name="Процентный 3 2 2" xfId="4208"/>
    <cellStyle name="Процентный 3 2 3" xfId="4209"/>
    <cellStyle name="Процентный 3 3" xfId="4210"/>
    <cellStyle name="Процентный 3 4" xfId="4211"/>
    <cellStyle name="Процентный 3 5" xfId="4212"/>
    <cellStyle name="Процентный 3 6" xfId="4213"/>
    <cellStyle name="Процентный 3_Приложения ЛФ корр" xfId="4214"/>
    <cellStyle name="Процентный 4" xfId="4215"/>
    <cellStyle name="Процентный 4 2" xfId="4216"/>
    <cellStyle name="Процентный 4 2 2" xfId="4217"/>
    <cellStyle name="Процентный 4 2 2 2" xfId="4218"/>
    <cellStyle name="Процентный 4 2 3" xfId="4219"/>
    <cellStyle name="Процентный 4 2 4" xfId="4220"/>
    <cellStyle name="Процентный 4 2_Приложения ЛФ корр" xfId="4221"/>
    <cellStyle name="Процентный 4 3" xfId="4222"/>
    <cellStyle name="Процентный 4 3 2" xfId="4223"/>
    <cellStyle name="Процентный 4 3 3" xfId="4224"/>
    <cellStyle name="Процентный 4 3 4" xfId="4225"/>
    <cellStyle name="Процентный 4 4" xfId="4226"/>
    <cellStyle name="Процентный 4 4 2" xfId="4227"/>
    <cellStyle name="Процентный 4 4 2 2" xfId="4228"/>
    <cellStyle name="Процентный 4 5" xfId="4229"/>
    <cellStyle name="Процентный 4 5 2" xfId="4230"/>
    <cellStyle name="Процентный 4 6" xfId="4619"/>
    <cellStyle name="Процентный 4_Приложения ЛФ корр" xfId="4231"/>
    <cellStyle name="Процентный 5" xfId="4232"/>
    <cellStyle name="Процентный 5 2" xfId="4233"/>
    <cellStyle name="Процентный 5 2 2" xfId="4234"/>
    <cellStyle name="Процентный 5 2 3" xfId="4235"/>
    <cellStyle name="Процентный 5 3" xfId="4236"/>
    <cellStyle name="Процентный 5 4" xfId="4237"/>
    <cellStyle name="Процентный 5 5" xfId="4238"/>
    <cellStyle name="Процентный 5 6" xfId="4239"/>
    <cellStyle name="Процентный 5 7" xfId="4620"/>
    <cellStyle name="Процентный 6" xfId="4240"/>
    <cellStyle name="Процентный 6 2" xfId="4241"/>
    <cellStyle name="Процентный 6 3" xfId="4242"/>
    <cellStyle name="Процентный 6 3 2" xfId="4243"/>
    <cellStyle name="Процентный 6 4" xfId="4621"/>
    <cellStyle name="Процентный 6_Приложения ЛФ корр" xfId="4244"/>
    <cellStyle name="Процентный 7" xfId="4245"/>
    <cellStyle name="Процентный 7 2" xfId="4246"/>
    <cellStyle name="Процентный 7 3" xfId="4247"/>
    <cellStyle name="Процентный 8" xfId="4248"/>
    <cellStyle name="Процентный 8 2" xfId="4249"/>
    <cellStyle name="Процентный 8 2 2" xfId="4250"/>
    <cellStyle name="Процентный 8 3" xfId="4251"/>
    <cellStyle name="Процентный 9" xfId="4252"/>
    <cellStyle name="Процентный 9 2" xfId="4253"/>
    <cellStyle name="Процентный 9 3" xfId="4254"/>
    <cellStyle name="Разница" xfId="4255"/>
    <cellStyle name="Рамки" xfId="4256"/>
    <cellStyle name="Сводная таблица" xfId="4257"/>
    <cellStyle name="Связанная ячейка 10" xfId="4258"/>
    <cellStyle name="Связанная ячейка 2" xfId="4259"/>
    <cellStyle name="Связанная ячейка 2 10" xfId="4260"/>
    <cellStyle name="Связанная ячейка 2 2" xfId="4261"/>
    <cellStyle name="Связанная ячейка 2 2 2" xfId="4262"/>
    <cellStyle name="Связанная ячейка 2 3" xfId="4263"/>
    <cellStyle name="Связанная ячейка 2 4" xfId="4264"/>
    <cellStyle name="Связанная ячейка 2 5" xfId="4265"/>
    <cellStyle name="Связанная ячейка 2 6" xfId="4266"/>
    <cellStyle name="Связанная ячейка 2 7" xfId="4267"/>
    <cellStyle name="Связанная ячейка 2 8" xfId="4268"/>
    <cellStyle name="Связанная ячейка 2 9" xfId="4269"/>
    <cellStyle name="Связанная ячейка 2_46EE.2011(v1.0)" xfId="4270"/>
    <cellStyle name="Связанная ячейка 3" xfId="4271"/>
    <cellStyle name="Связанная ячейка 3 10" xfId="4272"/>
    <cellStyle name="Связанная ячейка 3 11" xfId="4273"/>
    <cellStyle name="Связанная ячейка 3 2" xfId="4274"/>
    <cellStyle name="Связанная ячейка 3 3" xfId="4275"/>
    <cellStyle name="Связанная ячейка 3 4" xfId="4276"/>
    <cellStyle name="Связанная ячейка 3 5" xfId="4277"/>
    <cellStyle name="Связанная ячейка 3 6" xfId="4278"/>
    <cellStyle name="Связанная ячейка 3 7" xfId="4279"/>
    <cellStyle name="Связанная ячейка 3 8" xfId="4280"/>
    <cellStyle name="Связанная ячейка 3 9" xfId="4281"/>
    <cellStyle name="Связанная ячейка 3_46EE.2011(v1.0)" xfId="4282"/>
    <cellStyle name="Связанная ячейка 4" xfId="4283"/>
    <cellStyle name="Связанная ячейка 4 2" xfId="4284"/>
    <cellStyle name="Связанная ячейка 4_46EE.2011(v1.0)" xfId="4285"/>
    <cellStyle name="Связанная ячейка 5" xfId="4286"/>
    <cellStyle name="Связанная ячейка 5 2" xfId="4287"/>
    <cellStyle name="Связанная ячейка 5_46EE.2011(v1.0)" xfId="4288"/>
    <cellStyle name="Связанная ячейка 6" xfId="4289"/>
    <cellStyle name="Связанная ячейка 6 2" xfId="4290"/>
    <cellStyle name="Связанная ячейка 6 2 2" xfId="4622"/>
    <cellStyle name="Связанная ячейка 6 3" xfId="4623"/>
    <cellStyle name="Связанная ячейка 6_46EE.2011(v1.0)" xfId="4291"/>
    <cellStyle name="Связанная ячейка 7" xfId="4292"/>
    <cellStyle name="Связанная ячейка 7 2" xfId="4293"/>
    <cellStyle name="Связанная ячейка 7 2 2" xfId="4624"/>
    <cellStyle name="Связанная ячейка 7 3" xfId="4625"/>
    <cellStyle name="Связанная ячейка 7_46EE.2011(v1.0)" xfId="4294"/>
    <cellStyle name="Связанная ячейка 8" xfId="4295"/>
    <cellStyle name="Связанная ячейка 8 2" xfId="4296"/>
    <cellStyle name="Связанная ячейка 8 2 2" xfId="4626"/>
    <cellStyle name="Связанная ячейка 8 3" xfId="4627"/>
    <cellStyle name="Связанная ячейка 8_46EE.2011(v1.0)" xfId="4297"/>
    <cellStyle name="Связанная ячейка 9" xfId="4298"/>
    <cellStyle name="Связанная ячейка 9 2" xfId="4299"/>
    <cellStyle name="Связанная ячейка 9 2 2" xfId="4628"/>
    <cellStyle name="Связанная ячейка 9 3" xfId="4629"/>
    <cellStyle name="Связанная ячейка 9_46EE.2011(v1.0)" xfId="4300"/>
    <cellStyle name="Стиль 1" xfId="4301"/>
    <cellStyle name="Стиль 1 2" xfId="4302"/>
    <cellStyle name="Стиль 1 2 2" xfId="4303"/>
    <cellStyle name="Стиль 1 2 2 2" xfId="4630"/>
    <cellStyle name="Стиль 1 2 3" xfId="4304"/>
    <cellStyle name="Стиль 1 2 3 2" xfId="4631"/>
    <cellStyle name="Стиль 1 2 4" xfId="4632"/>
    <cellStyle name="Стиль 1 2_46EP.2011(v2.0)" xfId="4305"/>
    <cellStyle name="Стиль 1 3" xfId="4306"/>
    <cellStyle name="Стиль 1 3 2" xfId="4633"/>
    <cellStyle name="Стиль 1 4" xfId="4634"/>
    <cellStyle name="Стиль 1 5" xfId="4635"/>
    <cellStyle name="Стиль 1 6" xfId="4636"/>
    <cellStyle name="Стиль 1 7" xfId="4637"/>
    <cellStyle name="Стиль 1_конченый" xfId="4307"/>
    <cellStyle name="Субсчет" xfId="4308"/>
    <cellStyle name="Субсчет 2" xfId="4638"/>
    <cellStyle name="Счет" xfId="4309"/>
    <cellStyle name="Счет 2" xfId="4639"/>
    <cellStyle name="ТЕКСТ" xfId="4310"/>
    <cellStyle name="ТЕКСТ 10" xfId="4640"/>
    <cellStyle name="ТЕКСТ 2" xfId="4311"/>
    <cellStyle name="ТЕКСТ 2 2" xfId="4641"/>
    <cellStyle name="ТЕКСТ 3" xfId="4312"/>
    <cellStyle name="ТЕКСТ 3 2" xfId="4642"/>
    <cellStyle name="ТЕКСТ 4" xfId="4313"/>
    <cellStyle name="ТЕКСТ 4 2" xfId="4643"/>
    <cellStyle name="ТЕКСТ 5" xfId="4314"/>
    <cellStyle name="ТЕКСТ 5 2" xfId="4644"/>
    <cellStyle name="ТЕКСТ 6" xfId="4315"/>
    <cellStyle name="ТЕКСТ 6 2" xfId="4645"/>
    <cellStyle name="ТЕКСТ 7" xfId="4316"/>
    <cellStyle name="ТЕКСТ 7 2" xfId="4646"/>
    <cellStyle name="ТЕКСТ 8" xfId="4317"/>
    <cellStyle name="ТЕКСТ 8 2" xfId="4647"/>
    <cellStyle name="ТЕКСТ 9" xfId="4318"/>
    <cellStyle name="ТЕКСТ 9 2" xfId="4648"/>
    <cellStyle name="Текст предупреждения 10" xfId="4319"/>
    <cellStyle name="Текст предупреждения 10 2" xfId="4649"/>
    <cellStyle name="Текст предупреждения 2" xfId="4320"/>
    <cellStyle name="Текст предупреждения 2 10" xfId="4321"/>
    <cellStyle name="Текст предупреждения 2 10 2" xfId="4650"/>
    <cellStyle name="Текст предупреждения 2 11" xfId="4651"/>
    <cellStyle name="Текст предупреждения 2 2" xfId="4322"/>
    <cellStyle name="Текст предупреждения 2 2 2" xfId="4323"/>
    <cellStyle name="Текст предупреждения 2 2 2 2" xfId="4652"/>
    <cellStyle name="Текст предупреждения 2 2 3" xfId="4653"/>
    <cellStyle name="Текст предупреждения 2 3" xfId="4324"/>
    <cellStyle name="Текст предупреждения 2 3 2" xfId="4654"/>
    <cellStyle name="Текст предупреждения 2 4" xfId="4325"/>
    <cellStyle name="Текст предупреждения 2 4 2" xfId="4655"/>
    <cellStyle name="Текст предупреждения 2 5" xfId="4326"/>
    <cellStyle name="Текст предупреждения 2 5 2" xfId="4656"/>
    <cellStyle name="Текст предупреждения 2 6" xfId="4327"/>
    <cellStyle name="Текст предупреждения 2 6 2" xfId="4657"/>
    <cellStyle name="Текст предупреждения 2 7" xfId="4328"/>
    <cellStyle name="Текст предупреждения 2 7 2" xfId="4658"/>
    <cellStyle name="Текст предупреждения 2 8" xfId="4329"/>
    <cellStyle name="Текст предупреждения 2 8 2" xfId="4659"/>
    <cellStyle name="Текст предупреждения 2 9" xfId="4330"/>
    <cellStyle name="Текст предупреждения 2 9 2" xfId="4660"/>
    <cellStyle name="Текст предупреждения 2_МФ тепловой баланс 2015 дубль 4 31.03.2014" xfId="4331"/>
    <cellStyle name="Текст предупреждения 3" xfId="4332"/>
    <cellStyle name="Текст предупреждения 3 10" xfId="4333"/>
    <cellStyle name="Текст предупреждения 3 10 2" xfId="4661"/>
    <cellStyle name="Текст предупреждения 3 11" xfId="4334"/>
    <cellStyle name="Текст предупреждения 3 11 2" xfId="4662"/>
    <cellStyle name="Текст предупреждения 3 12" xfId="4663"/>
    <cellStyle name="Текст предупреждения 3 2" xfId="4335"/>
    <cellStyle name="Текст предупреждения 3 2 2" xfId="4664"/>
    <cellStyle name="Текст предупреждения 3 3" xfId="4336"/>
    <cellStyle name="Текст предупреждения 3 3 2" xfId="4665"/>
    <cellStyle name="Текст предупреждения 3 4" xfId="4337"/>
    <cellStyle name="Текст предупреждения 3 4 2" xfId="4666"/>
    <cellStyle name="Текст предупреждения 3 5" xfId="4338"/>
    <cellStyle name="Текст предупреждения 3 5 2" xfId="4667"/>
    <cellStyle name="Текст предупреждения 3 6" xfId="4339"/>
    <cellStyle name="Текст предупреждения 3 6 2" xfId="4668"/>
    <cellStyle name="Текст предупреждения 3 7" xfId="4340"/>
    <cellStyle name="Текст предупреждения 3 7 2" xfId="4669"/>
    <cellStyle name="Текст предупреждения 3 8" xfId="4341"/>
    <cellStyle name="Текст предупреждения 3 8 2" xfId="4670"/>
    <cellStyle name="Текст предупреждения 3 9" xfId="4342"/>
    <cellStyle name="Текст предупреждения 3 9 2" xfId="4671"/>
    <cellStyle name="Текст предупреждения 3_МФ тепловой баланс 2015 дубль 4 31.03.2014" xfId="4343"/>
    <cellStyle name="Текст предупреждения 4" xfId="4344"/>
    <cellStyle name="Текст предупреждения 4 2" xfId="4345"/>
    <cellStyle name="Текст предупреждения 4 2 2" xfId="4672"/>
    <cellStyle name="Текст предупреждения 4 3" xfId="4673"/>
    <cellStyle name="Текст предупреждения 4_МФ тепловой баланс 2015 дубль 4 31.03.2014" xfId="4346"/>
    <cellStyle name="Текст предупреждения 5" xfId="4347"/>
    <cellStyle name="Текст предупреждения 5 2" xfId="4348"/>
    <cellStyle name="Текст предупреждения 5 2 2" xfId="4674"/>
    <cellStyle name="Текст предупреждения 5 3" xfId="4675"/>
    <cellStyle name="Текст предупреждения 5_МФ тепловой баланс 2015 дубль 4 31.03.2014" xfId="4349"/>
    <cellStyle name="Текст предупреждения 6" xfId="4350"/>
    <cellStyle name="Текст предупреждения 6 2" xfId="4351"/>
    <cellStyle name="Текст предупреждения 6 2 2" xfId="4676"/>
    <cellStyle name="Текст предупреждения 6 3" xfId="4677"/>
    <cellStyle name="Текст предупреждения 6_МФ тепловой баланс 2015 дубль 4 31.03.2014" xfId="4352"/>
    <cellStyle name="Текст предупреждения 7" xfId="4353"/>
    <cellStyle name="Текст предупреждения 7 2" xfId="4354"/>
    <cellStyle name="Текст предупреждения 7 2 2" xfId="4678"/>
    <cellStyle name="Текст предупреждения 7 3" xfId="4679"/>
    <cellStyle name="Текст предупреждения 7_МФ тепловой баланс 2015 дубль 4 31.03.2014" xfId="4355"/>
    <cellStyle name="Текст предупреждения 8" xfId="4356"/>
    <cellStyle name="Текст предупреждения 8 2" xfId="4357"/>
    <cellStyle name="Текст предупреждения 8 2 2" xfId="4680"/>
    <cellStyle name="Текст предупреждения 8 3" xfId="4681"/>
    <cellStyle name="Текст предупреждения 9" xfId="4358"/>
    <cellStyle name="Текст предупреждения 9 2" xfId="4359"/>
    <cellStyle name="Текст предупреждения 9 2 2" xfId="4682"/>
    <cellStyle name="Текст предупреждения 9 3" xfId="4683"/>
    <cellStyle name="Текстовый" xfId="4360"/>
    <cellStyle name="Текстовый 10" xfId="4684"/>
    <cellStyle name="Текстовый 2" xfId="4361"/>
    <cellStyle name="Текстовый 2 2" xfId="4685"/>
    <cellStyle name="Текстовый 3" xfId="4362"/>
    <cellStyle name="Текстовый 3 2" xfId="4686"/>
    <cellStyle name="Текстовый 4" xfId="4363"/>
    <cellStyle name="Текстовый 4 2" xfId="4687"/>
    <cellStyle name="Текстовый 5" xfId="4364"/>
    <cellStyle name="Текстовый 5 2" xfId="4688"/>
    <cellStyle name="Текстовый 6" xfId="4365"/>
    <cellStyle name="Текстовый 6 2" xfId="4689"/>
    <cellStyle name="Текстовый 7" xfId="4366"/>
    <cellStyle name="Текстовый 7 2" xfId="4690"/>
    <cellStyle name="Текстовый 8" xfId="4367"/>
    <cellStyle name="Текстовый 8 2" xfId="4691"/>
    <cellStyle name="Текстовый 9" xfId="4368"/>
    <cellStyle name="Текстовый 9 2" xfId="4692"/>
    <cellStyle name="Текстовый_1" xfId="4369"/>
    <cellStyle name="Тысячи [0]_1 кв.95 и 96 года .в ц.соп." xfId="4370"/>
    <cellStyle name="Тысячи [а]" xfId="4371"/>
    <cellStyle name="Тысячи [а] 2" xfId="4693"/>
    <cellStyle name="Тысячи![0]_Цены 95г._Расчет ТП на февраль_Расчет ТП на февраль посл.._Расчет ТП на май" xfId="4372"/>
    <cellStyle name="Тысячи_1 кв.95 и 96 года .в ц.соп." xfId="4373"/>
    <cellStyle name="ФИКСИРОВАННЫЙ" xfId="4374"/>
    <cellStyle name="ФИКСИРОВАННЫЙ 10" xfId="4694"/>
    <cellStyle name="ФИКСИРОВАННЫЙ 2" xfId="4375"/>
    <cellStyle name="ФИКСИРОВАННЫЙ 2 2" xfId="4695"/>
    <cellStyle name="ФИКСИРОВАННЫЙ 3" xfId="4376"/>
    <cellStyle name="ФИКСИРОВАННЫЙ 3 2" xfId="4696"/>
    <cellStyle name="ФИКСИРОВАННЫЙ 4" xfId="4377"/>
    <cellStyle name="ФИКСИРОВАННЫЙ 4 2" xfId="4697"/>
    <cellStyle name="ФИКСИРОВАННЫЙ 5" xfId="4378"/>
    <cellStyle name="ФИКСИРОВАННЫЙ 5 2" xfId="4698"/>
    <cellStyle name="ФИКСИРОВАННЫЙ 6" xfId="4379"/>
    <cellStyle name="ФИКСИРОВАННЫЙ 6 2" xfId="4699"/>
    <cellStyle name="ФИКСИРОВАННЫЙ 7" xfId="4380"/>
    <cellStyle name="ФИКСИРОВАННЫЙ 7 2" xfId="4700"/>
    <cellStyle name="ФИКСИРОВАННЫЙ 8" xfId="4381"/>
    <cellStyle name="ФИКСИРОВАННЫЙ 8 2" xfId="4701"/>
    <cellStyle name="ФИКСИРОВАННЫЙ 9" xfId="4382"/>
    <cellStyle name="ФИКСИРОВАННЫЙ 9 2" xfId="4702"/>
    <cellStyle name="ФИКСИРОВАННЫЙ_1" xfId="4383"/>
    <cellStyle name="Финансовый" xfId="1" builtinId="3"/>
    <cellStyle name="Финансовый [0] 2" xfId="4384"/>
    <cellStyle name="Финансовый [0] 2 2" xfId="4703"/>
    <cellStyle name="Финансовый 10" xfId="4385"/>
    <cellStyle name="Финансовый 10 2" xfId="4386"/>
    <cellStyle name="Финансовый 10 2 2" xfId="4704"/>
    <cellStyle name="Финансовый 10 3" xfId="4705"/>
    <cellStyle name="Финансовый 11" xfId="4387"/>
    <cellStyle name="Финансовый 11 2" xfId="4706"/>
    <cellStyle name="Финансовый 12" xfId="4388"/>
    <cellStyle name="Финансовый 12 2" xfId="4707"/>
    <cellStyle name="Финансовый 13" xfId="4389"/>
    <cellStyle name="Финансовый 13 2" xfId="4708"/>
    <cellStyle name="Финансовый 14" xfId="4390"/>
    <cellStyle name="Финансовый 14 2" xfId="4709"/>
    <cellStyle name="Финансовый 15" xfId="4391"/>
    <cellStyle name="Финансовый 15 2" xfId="4710"/>
    <cellStyle name="Финансовый 16" xfId="4392"/>
    <cellStyle name="Финансовый 16 2" xfId="4711"/>
    <cellStyle name="Финансовый 17" xfId="4393"/>
    <cellStyle name="Финансовый 17 2" xfId="4394"/>
    <cellStyle name="Финансовый 17 2 2" xfId="4712"/>
    <cellStyle name="Финансовый 17 3" xfId="4713"/>
    <cellStyle name="Финансовый 18" xfId="4554"/>
    <cellStyle name="Финансовый 19" xfId="4525"/>
    <cellStyle name="Финансовый 2" xfId="5"/>
    <cellStyle name="Финансовый 2 10" xfId="4395"/>
    <cellStyle name="Финансовый 2 2" xfId="4396"/>
    <cellStyle name="Финансовый 2 2 2" xfId="4397"/>
    <cellStyle name="Финансовый 2 2 2 2" xfId="4398"/>
    <cellStyle name="Финансовый 2 2 2 2 2" xfId="4714"/>
    <cellStyle name="Финансовый 2 2 2 3" xfId="4715"/>
    <cellStyle name="Финансовый 2 2 3" xfId="4399"/>
    <cellStyle name="Финансовый 2 2 3 2" xfId="4716"/>
    <cellStyle name="Финансовый 2 2 4" xfId="4400"/>
    <cellStyle name="Финансовый 2 2 4 2" xfId="4717"/>
    <cellStyle name="Финансовый 2 2 5" xfId="4718"/>
    <cellStyle name="Финансовый 2 2_INDEX.STATION.2012(v1.0)_" xfId="4401"/>
    <cellStyle name="Финансовый 2 3" xfId="4402"/>
    <cellStyle name="Финансовый 2 3 2" xfId="4403"/>
    <cellStyle name="Финансовый 2 3 2 2" xfId="4719"/>
    <cellStyle name="Финансовый 2 3 3" xfId="4720"/>
    <cellStyle name="Финансовый 2 4" xfId="4404"/>
    <cellStyle name="Финансовый 2 4 2" xfId="4721"/>
    <cellStyle name="Финансовый 2 5" xfId="4405"/>
    <cellStyle name="Финансовый 2 5 2" xfId="4722"/>
    <cellStyle name="Финансовый 2 6" xfId="4406"/>
    <cellStyle name="Финансовый 2 6 2" xfId="4723"/>
    <cellStyle name="Финансовый 2 7" xfId="4407"/>
    <cellStyle name="Финансовый 2 8" xfId="4408"/>
    <cellStyle name="Финансовый 2 8 2" xfId="4724"/>
    <cellStyle name="Финансовый 2 9" xfId="4409"/>
    <cellStyle name="Финансовый 2_46EE.2011(v1.0)" xfId="4410"/>
    <cellStyle name="Финансовый 20" xfId="4548"/>
    <cellStyle name="Финансовый 21" xfId="4530"/>
    <cellStyle name="Финансовый 3" xfId="4411"/>
    <cellStyle name="Финансовый 3 2" xfId="4412"/>
    <cellStyle name="Финансовый 3 2 2" xfId="4413"/>
    <cellStyle name="Финансовый 3 2 2 2" xfId="4725"/>
    <cellStyle name="Финансовый 3 2 3" xfId="4414"/>
    <cellStyle name="Финансовый 3 2 3 2" xfId="4726"/>
    <cellStyle name="Финансовый 3 2 4" xfId="4727"/>
    <cellStyle name="Финансовый 3 3" xfId="4415"/>
    <cellStyle name="Финансовый 3 3 2" xfId="4728"/>
    <cellStyle name="Финансовый 3 4" xfId="4416"/>
    <cellStyle name="Финансовый 3 4 2" xfId="4729"/>
    <cellStyle name="Финансовый 3 5" xfId="4417"/>
    <cellStyle name="Финансовый 3 5 2" xfId="4730"/>
    <cellStyle name="Финансовый 3 6" xfId="4418"/>
    <cellStyle name="Финансовый 3 6 2" xfId="4731"/>
    <cellStyle name="Финансовый 3 7" xfId="4732"/>
    <cellStyle name="Финансовый 3 8" xfId="4733"/>
    <cellStyle name="Финансовый 3_INDEX.STATION.2012(v1.0)_" xfId="4419"/>
    <cellStyle name="Финансовый 4" xfId="4420"/>
    <cellStyle name="Финансовый 4 2" xfId="4421"/>
    <cellStyle name="Финансовый 4 2 2" xfId="4422"/>
    <cellStyle name="Финансовый 4 2 2 2" xfId="4734"/>
    <cellStyle name="Финансовый 4 2 3" xfId="4423"/>
    <cellStyle name="Финансовый 4 2 3 2" xfId="4735"/>
    <cellStyle name="Финансовый 4 2 4" xfId="4736"/>
    <cellStyle name="Финансовый 4 3" xfId="4737"/>
    <cellStyle name="Финансовый 4 4" xfId="4738"/>
    <cellStyle name="Финансовый 5" xfId="6"/>
    <cellStyle name="Финансовый 5 2" xfId="4424"/>
    <cellStyle name="Финансовый 5 2 2" xfId="4739"/>
    <cellStyle name="Финансовый 5 3" xfId="4425"/>
    <cellStyle name="Финансовый 5 3 2" xfId="4740"/>
    <cellStyle name="Финансовый 5 4" xfId="7"/>
    <cellStyle name="Финансовый 5 4 2" xfId="4741"/>
    <cellStyle name="Финансовый 6" xfId="4426"/>
    <cellStyle name="Финансовый 6 2" xfId="4742"/>
    <cellStyle name="Финансовый 6 3" xfId="4743"/>
    <cellStyle name="Финансовый 7" xfId="4427"/>
    <cellStyle name="Финансовый 7 2" xfId="4744"/>
    <cellStyle name="Финансовый 7 3" xfId="4745"/>
    <cellStyle name="Финансовый 8" xfId="4428"/>
    <cellStyle name="Финансовый 8 2" xfId="4746"/>
    <cellStyle name="Финансовый 9" xfId="4429"/>
    <cellStyle name="Финансовый 9 2" xfId="4747"/>
    <cellStyle name="Финансовый0[0]_FU_bal" xfId="4430"/>
    <cellStyle name="Формула" xfId="4431"/>
    <cellStyle name="Формула 10" xfId="4432"/>
    <cellStyle name="Формула 10 2" xfId="4748"/>
    <cellStyle name="Формула 11" xfId="4433"/>
    <cellStyle name="Формула 11 2" xfId="4749"/>
    <cellStyle name="Формула 12" xfId="4434"/>
    <cellStyle name="Формула 12 2" xfId="4750"/>
    <cellStyle name="Формула 13" xfId="4435"/>
    <cellStyle name="Формула 13 2" xfId="4751"/>
    <cellStyle name="Формула 14" xfId="4436"/>
    <cellStyle name="Формула 14 2" xfId="4752"/>
    <cellStyle name="Формула 15" xfId="4437"/>
    <cellStyle name="Формула 15 2" xfId="4753"/>
    <cellStyle name="Формула 16" xfId="4438"/>
    <cellStyle name="Формула 16 2" xfId="4754"/>
    <cellStyle name="Формула 17" xfId="4439"/>
    <cellStyle name="Формула 17 2" xfId="4755"/>
    <cellStyle name="Формула 18" xfId="4440"/>
    <cellStyle name="Формула 18 2" xfId="4756"/>
    <cellStyle name="Формула 19" xfId="4757"/>
    <cellStyle name="Формула 2" xfId="4441"/>
    <cellStyle name="Формула 2 2" xfId="4442"/>
    <cellStyle name="Формула 2 2 2" xfId="4758"/>
    <cellStyle name="Формула 2 3" xfId="4759"/>
    <cellStyle name="Формула 3" xfId="4443"/>
    <cellStyle name="Формула 3 2" xfId="4760"/>
    <cellStyle name="Формула 4" xfId="4444"/>
    <cellStyle name="Формула 4 2" xfId="4761"/>
    <cellStyle name="Формула 5" xfId="4445"/>
    <cellStyle name="Формула 5 2" xfId="4762"/>
    <cellStyle name="Формула 6" xfId="4446"/>
    <cellStyle name="Формула 6 2" xfId="4763"/>
    <cellStyle name="Формула 7" xfId="4447"/>
    <cellStyle name="Формула 7 2" xfId="4764"/>
    <cellStyle name="Формула 8" xfId="4448"/>
    <cellStyle name="Формула 8 2" xfId="4765"/>
    <cellStyle name="Формула 9" xfId="4449"/>
    <cellStyle name="Формула 9 2" xfId="4766"/>
    <cellStyle name="Формула_A РТ 2009 Рязаньэнерго" xfId="4450"/>
    <cellStyle name="ФормулаВБ" xfId="4451"/>
    <cellStyle name="ФормулаВБ 2" xfId="4452"/>
    <cellStyle name="ФормулаВБ 2 2" xfId="4767"/>
    <cellStyle name="ФормулаВБ 3" xfId="4768"/>
    <cellStyle name="ФормулаНаКонтроль" xfId="4453"/>
    <cellStyle name="ФормулаНаКонтроль 2" xfId="4454"/>
    <cellStyle name="ФормулаНаКонтроль 2 2" xfId="4769"/>
    <cellStyle name="ФормулаНаКонтроль 3" xfId="4770"/>
    <cellStyle name="Хороший 10" xfId="4455"/>
    <cellStyle name="Хороший 10 2" xfId="4771"/>
    <cellStyle name="Хороший 2" xfId="4456"/>
    <cellStyle name="Хороший 2 10" xfId="4457"/>
    <cellStyle name="Хороший 2 10 2" xfId="4772"/>
    <cellStyle name="Хороший 2 11" xfId="4773"/>
    <cellStyle name="Хороший 2 2" xfId="4458"/>
    <cellStyle name="Хороший 2 2 2" xfId="4459"/>
    <cellStyle name="Хороший 2 2 2 2" xfId="4774"/>
    <cellStyle name="Хороший 2 2 3" xfId="4775"/>
    <cellStyle name="Хороший 2 3" xfId="4460"/>
    <cellStyle name="Хороший 2 3 2" xfId="4776"/>
    <cellStyle name="Хороший 2 4" xfId="4461"/>
    <cellStyle name="Хороший 2 4 2" xfId="4777"/>
    <cellStyle name="Хороший 2 5" xfId="4462"/>
    <cellStyle name="Хороший 2 5 2" xfId="4778"/>
    <cellStyle name="Хороший 2 6" xfId="4463"/>
    <cellStyle name="Хороший 2 6 2" xfId="4779"/>
    <cellStyle name="Хороший 2 7" xfId="4464"/>
    <cellStyle name="Хороший 2 7 2" xfId="4780"/>
    <cellStyle name="Хороший 2 8" xfId="4465"/>
    <cellStyle name="Хороший 2 8 2" xfId="4781"/>
    <cellStyle name="Хороший 2 9" xfId="4466"/>
    <cellStyle name="Хороший 2 9 2" xfId="4782"/>
    <cellStyle name="Хороший 2_МФ тепловой баланс 2015 дубль 4 31.03.2014" xfId="4467"/>
    <cellStyle name="Хороший 3" xfId="4468"/>
    <cellStyle name="Хороший 3 10" xfId="4469"/>
    <cellStyle name="Хороший 3 10 2" xfId="4783"/>
    <cellStyle name="Хороший 3 11" xfId="4470"/>
    <cellStyle name="Хороший 3 11 2" xfId="4784"/>
    <cellStyle name="Хороший 3 12" xfId="4785"/>
    <cellStyle name="Хороший 3 2" xfId="4471"/>
    <cellStyle name="Хороший 3 2 2" xfId="4786"/>
    <cellStyle name="Хороший 3 3" xfId="4472"/>
    <cellStyle name="Хороший 3 3 2" xfId="4787"/>
    <cellStyle name="Хороший 3 4" xfId="4473"/>
    <cellStyle name="Хороший 3 4 2" xfId="4788"/>
    <cellStyle name="Хороший 3 5" xfId="4474"/>
    <cellStyle name="Хороший 3 5 2" xfId="4789"/>
    <cellStyle name="Хороший 3 6" xfId="4475"/>
    <cellStyle name="Хороший 3 6 2" xfId="4790"/>
    <cellStyle name="Хороший 3 7" xfId="4476"/>
    <cellStyle name="Хороший 3 7 2" xfId="4791"/>
    <cellStyle name="Хороший 3 8" xfId="4477"/>
    <cellStyle name="Хороший 3 8 2" xfId="4792"/>
    <cellStyle name="Хороший 3 9" xfId="4478"/>
    <cellStyle name="Хороший 3 9 2" xfId="4793"/>
    <cellStyle name="Хороший 3_МФ тепловой баланс 2015 дубль 4 31.03.2014" xfId="4479"/>
    <cellStyle name="Хороший 4" xfId="4480"/>
    <cellStyle name="Хороший 4 2" xfId="4481"/>
    <cellStyle name="Хороший 4 2 2" xfId="4794"/>
    <cellStyle name="Хороший 4 3" xfId="4795"/>
    <cellStyle name="Хороший 4_МФ тепловой баланс 2015 дубль 4 31.03.2014" xfId="4482"/>
    <cellStyle name="Хороший 5" xfId="4483"/>
    <cellStyle name="Хороший 5 2" xfId="4484"/>
    <cellStyle name="Хороший 5 2 2" xfId="4796"/>
    <cellStyle name="Хороший 5 3" xfId="4797"/>
    <cellStyle name="Хороший 5_МФ тепловой баланс 2015 дубль 4 31.03.2014" xfId="4485"/>
    <cellStyle name="Хороший 6" xfId="4486"/>
    <cellStyle name="Хороший 6 2" xfId="4487"/>
    <cellStyle name="Хороший 6 2 2" xfId="4798"/>
    <cellStyle name="Хороший 6 3" xfId="4799"/>
    <cellStyle name="Хороший 6_МФ тепловой баланс 2015 дубль 4 31.03.2014" xfId="4488"/>
    <cellStyle name="Хороший 7" xfId="4489"/>
    <cellStyle name="Хороший 7 2" xfId="4490"/>
    <cellStyle name="Хороший 7 2 2" xfId="4800"/>
    <cellStyle name="Хороший 7 3" xfId="4801"/>
    <cellStyle name="Хороший 7_МФ тепловой баланс 2015 дубль 4 31.03.2014" xfId="4491"/>
    <cellStyle name="Хороший 8" xfId="4492"/>
    <cellStyle name="Хороший 8 2" xfId="4493"/>
    <cellStyle name="Хороший 8 2 2" xfId="4802"/>
    <cellStyle name="Хороший 8 3" xfId="4803"/>
    <cellStyle name="Хороший 9" xfId="4494"/>
    <cellStyle name="Хороший 9 2" xfId="4495"/>
    <cellStyle name="Хороший 9 2 2" xfId="4804"/>
    <cellStyle name="Хороший 9 3" xfId="4805"/>
    <cellStyle name="Цена_продукта" xfId="4496"/>
    <cellStyle name="Цифры по центру с десятыми" xfId="4497"/>
    <cellStyle name="Цифры по центру с десятыми 2" xfId="4806"/>
    <cellStyle name="число" xfId="4498"/>
    <cellStyle name="число 2" xfId="4807"/>
    <cellStyle name="Џђћ–…ќ’ќ›‰" xfId="4499"/>
    <cellStyle name="Џђћ–…ќ’ќ›‰ 2" xfId="4808"/>
    <cellStyle name="Шапка" xfId="4500"/>
    <cellStyle name="Шапка 2" xfId="4809"/>
    <cellStyle name="Шапка таблицы" xfId="4501"/>
    <cellStyle name="Шапка таблицы 2" xfId="4810"/>
    <cellStyle name="Шапка_4DNS.UPDATE.EXAMPLE" xfId="4502"/>
    <cellStyle name="ШАУ" xfId="4503"/>
    <cellStyle name="ШАУ 2" xfId="4811"/>
    <cellStyle name="標準_PL-CF sheet" xfId="4504"/>
    <cellStyle name="㼿" xfId="4505"/>
    <cellStyle name="㼿 2" xfId="4812"/>
    <cellStyle name="䁺_x0001_" xfId="4506"/>
    <cellStyle name="䁺_x0001_ 2" xfId="4813"/>
  </cellStyles>
  <dxfs count="0"/>
  <tableStyles count="0" defaultTableStyle="TableStyleMedium9" defaultPivotStyle="PivotStyleLight16"/>
  <colors>
    <mruColors>
      <color rgb="FFFFCC66"/>
      <color rgb="FFFFCC99"/>
      <color rgb="FFCCFFCC"/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GE232"/>
  <sheetViews>
    <sheetView tabSelected="1" view="pageBreakPreview" zoomScale="60" zoomScaleNormal="100" workbookViewId="0">
      <pane xSplit="4" ySplit="7" topLeftCell="E8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RowHeight="15" outlineLevelRow="1" outlineLevelCol="1"/>
  <cols>
    <col min="1" max="1" width="19.28515625" style="7" hidden="1" customWidth="1" outlineLevel="1"/>
    <col min="2" max="2" width="18.28515625" style="8" customWidth="1" collapsed="1"/>
    <col min="3" max="3" width="48.5703125" style="9" customWidth="1"/>
    <col min="4" max="4" width="30" style="7" customWidth="1"/>
    <col min="5" max="5" width="19.85546875" style="7" customWidth="1"/>
    <col min="6" max="6" width="19.28515625" style="7" customWidth="1"/>
    <col min="7" max="7" width="18.28515625" style="7" customWidth="1"/>
    <col min="8" max="8" width="19.28515625" style="7" customWidth="1"/>
    <col min="9" max="9" width="21.85546875" style="7" customWidth="1"/>
    <col min="10" max="10" width="17.28515625" style="23" hidden="1" customWidth="1" outlineLevel="1"/>
    <col min="11" max="11" width="23.5703125" style="23" customWidth="1" collapsed="1"/>
    <col min="12" max="12" width="22.42578125" style="23" customWidth="1"/>
    <col min="13" max="13" width="23.5703125" style="23" customWidth="1"/>
    <col min="14" max="14" width="23.7109375" style="23" customWidth="1"/>
    <col min="15" max="15" width="15.140625" style="23" hidden="1" customWidth="1"/>
    <col min="16" max="16" width="24.7109375" style="7" customWidth="1"/>
    <col min="17" max="17" width="24.5703125" style="7" customWidth="1"/>
    <col min="18" max="18" width="24" style="7" customWidth="1"/>
    <col min="19" max="19" width="24.28515625" style="7" customWidth="1"/>
    <col min="20" max="20" width="27.28515625" style="7" customWidth="1"/>
    <col min="21" max="21" width="23" style="7" customWidth="1"/>
    <col min="22" max="22" width="24.42578125" style="7" customWidth="1"/>
    <col min="23" max="23" width="25.42578125" style="7" customWidth="1"/>
    <col min="24" max="249" width="9.140625" style="7"/>
    <col min="250" max="250" width="13.28515625" style="7" customWidth="1"/>
    <col min="251" max="251" width="34.7109375" style="7" customWidth="1"/>
    <col min="252" max="252" width="26.85546875" style="7" customWidth="1"/>
    <col min="253" max="261" width="15.140625" style="7" customWidth="1"/>
    <col min="262" max="262" width="14" style="7" customWidth="1"/>
    <col min="263" max="263" width="13.42578125" style="7" customWidth="1"/>
    <col min="264" max="265" width="15" style="7" customWidth="1"/>
    <col min="266" max="266" width="16.5703125" style="7" customWidth="1"/>
    <col min="267" max="270" width="18.7109375" style="7" customWidth="1"/>
    <col min="271" max="505" width="9.140625" style="7"/>
    <col min="506" max="506" width="13.28515625" style="7" customWidth="1"/>
    <col min="507" max="507" width="34.7109375" style="7" customWidth="1"/>
    <col min="508" max="508" width="26.85546875" style="7" customWidth="1"/>
    <col min="509" max="517" width="15.140625" style="7" customWidth="1"/>
    <col min="518" max="518" width="14" style="7" customWidth="1"/>
    <col min="519" max="519" width="13.42578125" style="7" customWidth="1"/>
    <col min="520" max="521" width="15" style="7" customWidth="1"/>
    <col min="522" max="522" width="16.5703125" style="7" customWidth="1"/>
    <col min="523" max="526" width="18.7109375" style="7" customWidth="1"/>
    <col min="527" max="761" width="9.140625" style="7"/>
    <col min="762" max="762" width="13.28515625" style="7" customWidth="1"/>
    <col min="763" max="763" width="34.7109375" style="7" customWidth="1"/>
    <col min="764" max="764" width="26.85546875" style="7" customWidth="1"/>
    <col min="765" max="773" width="15.140625" style="7" customWidth="1"/>
    <col min="774" max="774" width="14" style="7" customWidth="1"/>
    <col min="775" max="775" width="13.42578125" style="7" customWidth="1"/>
    <col min="776" max="777" width="15" style="7" customWidth="1"/>
    <col min="778" max="778" width="16.5703125" style="7" customWidth="1"/>
    <col min="779" max="782" width="18.7109375" style="7" customWidth="1"/>
    <col min="783" max="1017" width="9.140625" style="7"/>
    <col min="1018" max="1018" width="13.28515625" style="7" customWidth="1"/>
    <col min="1019" max="1019" width="34.7109375" style="7" customWidth="1"/>
    <col min="1020" max="1020" width="26.85546875" style="7" customWidth="1"/>
    <col min="1021" max="1029" width="15.140625" style="7" customWidth="1"/>
    <col min="1030" max="1030" width="14" style="7" customWidth="1"/>
    <col min="1031" max="1031" width="13.42578125" style="7" customWidth="1"/>
    <col min="1032" max="1033" width="15" style="7" customWidth="1"/>
    <col min="1034" max="1034" width="16.5703125" style="7" customWidth="1"/>
    <col min="1035" max="1038" width="18.7109375" style="7" customWidth="1"/>
    <col min="1039" max="1273" width="9.140625" style="7"/>
    <col min="1274" max="1274" width="13.28515625" style="7" customWidth="1"/>
    <col min="1275" max="1275" width="34.7109375" style="7" customWidth="1"/>
    <col min="1276" max="1276" width="26.85546875" style="7" customWidth="1"/>
    <col min="1277" max="1285" width="15.140625" style="7" customWidth="1"/>
    <col min="1286" max="1286" width="14" style="7" customWidth="1"/>
    <col min="1287" max="1287" width="13.42578125" style="7" customWidth="1"/>
    <col min="1288" max="1289" width="15" style="7" customWidth="1"/>
    <col min="1290" max="1290" width="16.5703125" style="7" customWidth="1"/>
    <col min="1291" max="1294" width="18.7109375" style="7" customWidth="1"/>
    <col min="1295" max="1529" width="9.140625" style="7"/>
    <col min="1530" max="1530" width="13.28515625" style="7" customWidth="1"/>
    <col min="1531" max="1531" width="34.7109375" style="7" customWidth="1"/>
    <col min="1532" max="1532" width="26.85546875" style="7" customWidth="1"/>
    <col min="1533" max="1541" width="15.140625" style="7" customWidth="1"/>
    <col min="1542" max="1542" width="14" style="7" customWidth="1"/>
    <col min="1543" max="1543" width="13.42578125" style="7" customWidth="1"/>
    <col min="1544" max="1545" width="15" style="7" customWidth="1"/>
    <col min="1546" max="1546" width="16.5703125" style="7" customWidth="1"/>
    <col min="1547" max="1550" width="18.7109375" style="7" customWidth="1"/>
    <col min="1551" max="1785" width="9.140625" style="7"/>
    <col min="1786" max="1786" width="13.28515625" style="7" customWidth="1"/>
    <col min="1787" max="1787" width="34.7109375" style="7" customWidth="1"/>
    <col min="1788" max="1788" width="26.85546875" style="7" customWidth="1"/>
    <col min="1789" max="1797" width="15.140625" style="7" customWidth="1"/>
    <col min="1798" max="1798" width="14" style="7" customWidth="1"/>
    <col min="1799" max="1799" width="13.42578125" style="7" customWidth="1"/>
    <col min="1800" max="1801" width="15" style="7" customWidth="1"/>
    <col min="1802" max="1802" width="16.5703125" style="7" customWidth="1"/>
    <col min="1803" max="1806" width="18.7109375" style="7" customWidth="1"/>
    <col min="1807" max="2041" width="9.140625" style="7"/>
    <col min="2042" max="2042" width="13.28515625" style="7" customWidth="1"/>
    <col min="2043" max="2043" width="34.7109375" style="7" customWidth="1"/>
    <col min="2044" max="2044" width="26.85546875" style="7" customWidth="1"/>
    <col min="2045" max="2053" width="15.140625" style="7" customWidth="1"/>
    <col min="2054" max="2054" width="14" style="7" customWidth="1"/>
    <col min="2055" max="2055" width="13.42578125" style="7" customWidth="1"/>
    <col min="2056" max="2057" width="15" style="7" customWidth="1"/>
    <col min="2058" max="2058" width="16.5703125" style="7" customWidth="1"/>
    <col min="2059" max="2062" width="18.7109375" style="7" customWidth="1"/>
    <col min="2063" max="2297" width="9.140625" style="7"/>
    <col min="2298" max="2298" width="13.28515625" style="7" customWidth="1"/>
    <col min="2299" max="2299" width="34.7109375" style="7" customWidth="1"/>
    <col min="2300" max="2300" width="26.85546875" style="7" customWidth="1"/>
    <col min="2301" max="2309" width="15.140625" style="7" customWidth="1"/>
    <col min="2310" max="2310" width="14" style="7" customWidth="1"/>
    <col min="2311" max="2311" width="13.42578125" style="7" customWidth="1"/>
    <col min="2312" max="2313" width="15" style="7" customWidth="1"/>
    <col min="2314" max="2314" width="16.5703125" style="7" customWidth="1"/>
    <col min="2315" max="2318" width="18.7109375" style="7" customWidth="1"/>
    <col min="2319" max="2553" width="9.140625" style="7"/>
    <col min="2554" max="2554" width="13.28515625" style="7" customWidth="1"/>
    <col min="2555" max="2555" width="34.7109375" style="7" customWidth="1"/>
    <col min="2556" max="2556" width="26.85546875" style="7" customWidth="1"/>
    <col min="2557" max="2565" width="15.140625" style="7" customWidth="1"/>
    <col min="2566" max="2566" width="14" style="7" customWidth="1"/>
    <col min="2567" max="2567" width="13.42578125" style="7" customWidth="1"/>
    <col min="2568" max="2569" width="15" style="7" customWidth="1"/>
    <col min="2570" max="2570" width="16.5703125" style="7" customWidth="1"/>
    <col min="2571" max="2574" width="18.7109375" style="7" customWidth="1"/>
    <col min="2575" max="2809" width="9.140625" style="7"/>
    <col min="2810" max="2810" width="13.28515625" style="7" customWidth="1"/>
    <col min="2811" max="2811" width="34.7109375" style="7" customWidth="1"/>
    <col min="2812" max="2812" width="26.85546875" style="7" customWidth="1"/>
    <col min="2813" max="2821" width="15.140625" style="7" customWidth="1"/>
    <col min="2822" max="2822" width="14" style="7" customWidth="1"/>
    <col min="2823" max="2823" width="13.42578125" style="7" customWidth="1"/>
    <col min="2824" max="2825" width="15" style="7" customWidth="1"/>
    <col min="2826" max="2826" width="16.5703125" style="7" customWidth="1"/>
    <col min="2827" max="2830" width="18.7109375" style="7" customWidth="1"/>
    <col min="2831" max="3065" width="9.140625" style="7"/>
    <col min="3066" max="3066" width="13.28515625" style="7" customWidth="1"/>
    <col min="3067" max="3067" width="34.7109375" style="7" customWidth="1"/>
    <col min="3068" max="3068" width="26.85546875" style="7" customWidth="1"/>
    <col min="3069" max="3077" width="15.140625" style="7" customWidth="1"/>
    <col min="3078" max="3078" width="14" style="7" customWidth="1"/>
    <col min="3079" max="3079" width="13.42578125" style="7" customWidth="1"/>
    <col min="3080" max="3081" width="15" style="7" customWidth="1"/>
    <col min="3082" max="3082" width="16.5703125" style="7" customWidth="1"/>
    <col min="3083" max="3086" width="18.7109375" style="7" customWidth="1"/>
    <col min="3087" max="3321" width="9.140625" style="7"/>
    <col min="3322" max="3322" width="13.28515625" style="7" customWidth="1"/>
    <col min="3323" max="3323" width="34.7109375" style="7" customWidth="1"/>
    <col min="3324" max="3324" width="26.85546875" style="7" customWidth="1"/>
    <col min="3325" max="3333" width="15.140625" style="7" customWidth="1"/>
    <col min="3334" max="3334" width="14" style="7" customWidth="1"/>
    <col min="3335" max="3335" width="13.42578125" style="7" customWidth="1"/>
    <col min="3336" max="3337" width="15" style="7" customWidth="1"/>
    <col min="3338" max="3338" width="16.5703125" style="7" customWidth="1"/>
    <col min="3339" max="3342" width="18.7109375" style="7" customWidth="1"/>
    <col min="3343" max="3577" width="9.140625" style="7"/>
    <col min="3578" max="3578" width="13.28515625" style="7" customWidth="1"/>
    <col min="3579" max="3579" width="34.7109375" style="7" customWidth="1"/>
    <col min="3580" max="3580" width="26.85546875" style="7" customWidth="1"/>
    <col min="3581" max="3589" width="15.140625" style="7" customWidth="1"/>
    <col min="3590" max="3590" width="14" style="7" customWidth="1"/>
    <col min="3591" max="3591" width="13.42578125" style="7" customWidth="1"/>
    <col min="3592" max="3593" width="15" style="7" customWidth="1"/>
    <col min="3594" max="3594" width="16.5703125" style="7" customWidth="1"/>
    <col min="3595" max="3598" width="18.7109375" style="7" customWidth="1"/>
    <col min="3599" max="3833" width="9.140625" style="7"/>
    <col min="3834" max="3834" width="13.28515625" style="7" customWidth="1"/>
    <col min="3835" max="3835" width="34.7109375" style="7" customWidth="1"/>
    <col min="3836" max="3836" width="26.85546875" style="7" customWidth="1"/>
    <col min="3837" max="3845" width="15.140625" style="7" customWidth="1"/>
    <col min="3846" max="3846" width="14" style="7" customWidth="1"/>
    <col min="3847" max="3847" width="13.42578125" style="7" customWidth="1"/>
    <col min="3848" max="3849" width="15" style="7" customWidth="1"/>
    <col min="3850" max="3850" width="16.5703125" style="7" customWidth="1"/>
    <col min="3851" max="3854" width="18.7109375" style="7" customWidth="1"/>
    <col min="3855" max="4089" width="9.140625" style="7"/>
    <col min="4090" max="4090" width="13.28515625" style="7" customWidth="1"/>
    <col min="4091" max="4091" width="34.7109375" style="7" customWidth="1"/>
    <col min="4092" max="4092" width="26.85546875" style="7" customWidth="1"/>
    <col min="4093" max="4101" width="15.140625" style="7" customWidth="1"/>
    <col min="4102" max="4102" width="14" style="7" customWidth="1"/>
    <col min="4103" max="4103" width="13.42578125" style="7" customWidth="1"/>
    <col min="4104" max="4105" width="15" style="7" customWidth="1"/>
    <col min="4106" max="4106" width="16.5703125" style="7" customWidth="1"/>
    <col min="4107" max="4110" width="18.7109375" style="7" customWidth="1"/>
    <col min="4111" max="4345" width="9.140625" style="7"/>
    <col min="4346" max="4346" width="13.28515625" style="7" customWidth="1"/>
    <col min="4347" max="4347" width="34.7109375" style="7" customWidth="1"/>
    <col min="4348" max="4348" width="26.85546875" style="7" customWidth="1"/>
    <col min="4349" max="4357" width="15.140625" style="7" customWidth="1"/>
    <col min="4358" max="4358" width="14" style="7" customWidth="1"/>
    <col min="4359" max="4359" width="13.42578125" style="7" customWidth="1"/>
    <col min="4360" max="4361" width="15" style="7" customWidth="1"/>
    <col min="4362" max="4362" width="16.5703125" style="7" customWidth="1"/>
    <col min="4363" max="4366" width="18.7109375" style="7" customWidth="1"/>
    <col min="4367" max="4601" width="9.140625" style="7"/>
    <col min="4602" max="4602" width="13.28515625" style="7" customWidth="1"/>
    <col min="4603" max="4603" width="34.7109375" style="7" customWidth="1"/>
    <col min="4604" max="4604" width="26.85546875" style="7" customWidth="1"/>
    <col min="4605" max="4613" width="15.140625" style="7" customWidth="1"/>
    <col min="4614" max="4614" width="14" style="7" customWidth="1"/>
    <col min="4615" max="4615" width="13.42578125" style="7" customWidth="1"/>
    <col min="4616" max="4617" width="15" style="7" customWidth="1"/>
    <col min="4618" max="4618" width="16.5703125" style="7" customWidth="1"/>
    <col min="4619" max="4622" width="18.7109375" style="7" customWidth="1"/>
    <col min="4623" max="4857" width="9.140625" style="7"/>
    <col min="4858" max="4858" width="13.28515625" style="7" customWidth="1"/>
    <col min="4859" max="4859" width="34.7109375" style="7" customWidth="1"/>
    <col min="4860" max="4860" width="26.85546875" style="7" customWidth="1"/>
    <col min="4861" max="4869" width="15.140625" style="7" customWidth="1"/>
    <col min="4870" max="4870" width="14" style="7" customWidth="1"/>
    <col min="4871" max="4871" width="13.42578125" style="7" customWidth="1"/>
    <col min="4872" max="4873" width="15" style="7" customWidth="1"/>
    <col min="4874" max="4874" width="16.5703125" style="7" customWidth="1"/>
    <col min="4875" max="4878" width="18.7109375" style="7" customWidth="1"/>
    <col min="4879" max="5113" width="9.140625" style="7"/>
    <col min="5114" max="5114" width="13.28515625" style="7" customWidth="1"/>
    <col min="5115" max="5115" width="34.7109375" style="7" customWidth="1"/>
    <col min="5116" max="5116" width="26.85546875" style="7" customWidth="1"/>
    <col min="5117" max="5125" width="15.140625" style="7" customWidth="1"/>
    <col min="5126" max="5126" width="14" style="7" customWidth="1"/>
    <col min="5127" max="5127" width="13.42578125" style="7" customWidth="1"/>
    <col min="5128" max="5129" width="15" style="7" customWidth="1"/>
    <col min="5130" max="5130" width="16.5703125" style="7" customWidth="1"/>
    <col min="5131" max="5134" width="18.7109375" style="7" customWidth="1"/>
    <col min="5135" max="5369" width="9.140625" style="7"/>
    <col min="5370" max="5370" width="13.28515625" style="7" customWidth="1"/>
    <col min="5371" max="5371" width="34.7109375" style="7" customWidth="1"/>
    <col min="5372" max="5372" width="26.85546875" style="7" customWidth="1"/>
    <col min="5373" max="5381" width="15.140625" style="7" customWidth="1"/>
    <col min="5382" max="5382" width="14" style="7" customWidth="1"/>
    <col min="5383" max="5383" width="13.42578125" style="7" customWidth="1"/>
    <col min="5384" max="5385" width="15" style="7" customWidth="1"/>
    <col min="5386" max="5386" width="16.5703125" style="7" customWidth="1"/>
    <col min="5387" max="5390" width="18.7109375" style="7" customWidth="1"/>
    <col min="5391" max="5625" width="9.140625" style="7"/>
    <col min="5626" max="5626" width="13.28515625" style="7" customWidth="1"/>
    <col min="5627" max="5627" width="34.7109375" style="7" customWidth="1"/>
    <col min="5628" max="5628" width="26.85546875" style="7" customWidth="1"/>
    <col min="5629" max="5637" width="15.140625" style="7" customWidth="1"/>
    <col min="5638" max="5638" width="14" style="7" customWidth="1"/>
    <col min="5639" max="5639" width="13.42578125" style="7" customWidth="1"/>
    <col min="5640" max="5641" width="15" style="7" customWidth="1"/>
    <col min="5642" max="5642" width="16.5703125" style="7" customWidth="1"/>
    <col min="5643" max="5646" width="18.7109375" style="7" customWidth="1"/>
    <col min="5647" max="5881" width="9.140625" style="7"/>
    <col min="5882" max="5882" width="13.28515625" style="7" customWidth="1"/>
    <col min="5883" max="5883" width="34.7109375" style="7" customWidth="1"/>
    <col min="5884" max="5884" width="26.85546875" style="7" customWidth="1"/>
    <col min="5885" max="5893" width="15.140625" style="7" customWidth="1"/>
    <col min="5894" max="5894" width="14" style="7" customWidth="1"/>
    <col min="5895" max="5895" width="13.42578125" style="7" customWidth="1"/>
    <col min="5896" max="5897" width="15" style="7" customWidth="1"/>
    <col min="5898" max="5898" width="16.5703125" style="7" customWidth="1"/>
    <col min="5899" max="5902" width="18.7109375" style="7" customWidth="1"/>
    <col min="5903" max="6137" width="9.140625" style="7"/>
    <col min="6138" max="6138" width="13.28515625" style="7" customWidth="1"/>
    <col min="6139" max="6139" width="34.7109375" style="7" customWidth="1"/>
    <col min="6140" max="6140" width="26.85546875" style="7" customWidth="1"/>
    <col min="6141" max="6149" width="15.140625" style="7" customWidth="1"/>
    <col min="6150" max="6150" width="14" style="7" customWidth="1"/>
    <col min="6151" max="6151" width="13.42578125" style="7" customWidth="1"/>
    <col min="6152" max="6153" width="15" style="7" customWidth="1"/>
    <col min="6154" max="6154" width="16.5703125" style="7" customWidth="1"/>
    <col min="6155" max="6158" width="18.7109375" style="7" customWidth="1"/>
    <col min="6159" max="6393" width="9.140625" style="7"/>
    <col min="6394" max="6394" width="13.28515625" style="7" customWidth="1"/>
    <col min="6395" max="6395" width="34.7109375" style="7" customWidth="1"/>
    <col min="6396" max="6396" width="26.85546875" style="7" customWidth="1"/>
    <col min="6397" max="6405" width="15.140625" style="7" customWidth="1"/>
    <col min="6406" max="6406" width="14" style="7" customWidth="1"/>
    <col min="6407" max="6407" width="13.42578125" style="7" customWidth="1"/>
    <col min="6408" max="6409" width="15" style="7" customWidth="1"/>
    <col min="6410" max="6410" width="16.5703125" style="7" customWidth="1"/>
    <col min="6411" max="6414" width="18.7109375" style="7" customWidth="1"/>
    <col min="6415" max="6649" width="9.140625" style="7"/>
    <col min="6650" max="6650" width="13.28515625" style="7" customWidth="1"/>
    <col min="6651" max="6651" width="34.7109375" style="7" customWidth="1"/>
    <col min="6652" max="6652" width="26.85546875" style="7" customWidth="1"/>
    <col min="6653" max="6661" width="15.140625" style="7" customWidth="1"/>
    <col min="6662" max="6662" width="14" style="7" customWidth="1"/>
    <col min="6663" max="6663" width="13.42578125" style="7" customWidth="1"/>
    <col min="6664" max="6665" width="15" style="7" customWidth="1"/>
    <col min="6666" max="6666" width="16.5703125" style="7" customWidth="1"/>
    <col min="6667" max="6670" width="18.7109375" style="7" customWidth="1"/>
    <col min="6671" max="6905" width="9.140625" style="7"/>
    <col min="6906" max="6906" width="13.28515625" style="7" customWidth="1"/>
    <col min="6907" max="6907" width="34.7109375" style="7" customWidth="1"/>
    <col min="6908" max="6908" width="26.85546875" style="7" customWidth="1"/>
    <col min="6909" max="6917" width="15.140625" style="7" customWidth="1"/>
    <col min="6918" max="6918" width="14" style="7" customWidth="1"/>
    <col min="6919" max="6919" width="13.42578125" style="7" customWidth="1"/>
    <col min="6920" max="6921" width="15" style="7" customWidth="1"/>
    <col min="6922" max="6922" width="16.5703125" style="7" customWidth="1"/>
    <col min="6923" max="6926" width="18.7109375" style="7" customWidth="1"/>
    <col min="6927" max="7161" width="9.140625" style="7"/>
    <col min="7162" max="7162" width="13.28515625" style="7" customWidth="1"/>
    <col min="7163" max="7163" width="34.7109375" style="7" customWidth="1"/>
    <col min="7164" max="7164" width="26.85546875" style="7" customWidth="1"/>
    <col min="7165" max="7173" width="15.140625" style="7" customWidth="1"/>
    <col min="7174" max="7174" width="14" style="7" customWidth="1"/>
    <col min="7175" max="7175" width="13.42578125" style="7" customWidth="1"/>
    <col min="7176" max="7177" width="15" style="7" customWidth="1"/>
    <col min="7178" max="7178" width="16.5703125" style="7" customWidth="1"/>
    <col min="7179" max="7182" width="18.7109375" style="7" customWidth="1"/>
    <col min="7183" max="7417" width="9.140625" style="7"/>
    <col min="7418" max="7418" width="13.28515625" style="7" customWidth="1"/>
    <col min="7419" max="7419" width="34.7109375" style="7" customWidth="1"/>
    <col min="7420" max="7420" width="26.85546875" style="7" customWidth="1"/>
    <col min="7421" max="7429" width="15.140625" style="7" customWidth="1"/>
    <col min="7430" max="7430" width="14" style="7" customWidth="1"/>
    <col min="7431" max="7431" width="13.42578125" style="7" customWidth="1"/>
    <col min="7432" max="7433" width="15" style="7" customWidth="1"/>
    <col min="7434" max="7434" width="16.5703125" style="7" customWidth="1"/>
    <col min="7435" max="7438" width="18.7109375" style="7" customWidth="1"/>
    <col min="7439" max="7673" width="9.140625" style="7"/>
    <col min="7674" max="7674" width="13.28515625" style="7" customWidth="1"/>
    <col min="7675" max="7675" width="34.7109375" style="7" customWidth="1"/>
    <col min="7676" max="7676" width="26.85546875" style="7" customWidth="1"/>
    <col min="7677" max="7685" width="15.140625" style="7" customWidth="1"/>
    <col min="7686" max="7686" width="14" style="7" customWidth="1"/>
    <col min="7687" max="7687" width="13.42578125" style="7" customWidth="1"/>
    <col min="7688" max="7689" width="15" style="7" customWidth="1"/>
    <col min="7690" max="7690" width="16.5703125" style="7" customWidth="1"/>
    <col min="7691" max="7694" width="18.7109375" style="7" customWidth="1"/>
    <col min="7695" max="7929" width="9.140625" style="7"/>
    <col min="7930" max="7930" width="13.28515625" style="7" customWidth="1"/>
    <col min="7931" max="7931" width="34.7109375" style="7" customWidth="1"/>
    <col min="7932" max="7932" width="26.85546875" style="7" customWidth="1"/>
    <col min="7933" max="7941" width="15.140625" style="7" customWidth="1"/>
    <col min="7942" max="7942" width="14" style="7" customWidth="1"/>
    <col min="7943" max="7943" width="13.42578125" style="7" customWidth="1"/>
    <col min="7944" max="7945" width="15" style="7" customWidth="1"/>
    <col min="7946" max="7946" width="16.5703125" style="7" customWidth="1"/>
    <col min="7947" max="7950" width="18.7109375" style="7" customWidth="1"/>
    <col min="7951" max="8185" width="9.140625" style="7"/>
    <col min="8186" max="8186" width="13.28515625" style="7" customWidth="1"/>
    <col min="8187" max="8187" width="34.7109375" style="7" customWidth="1"/>
    <col min="8188" max="8188" width="26.85546875" style="7" customWidth="1"/>
    <col min="8189" max="8197" width="15.140625" style="7" customWidth="1"/>
    <col min="8198" max="8198" width="14" style="7" customWidth="1"/>
    <col min="8199" max="8199" width="13.42578125" style="7" customWidth="1"/>
    <col min="8200" max="8201" width="15" style="7" customWidth="1"/>
    <col min="8202" max="8202" width="16.5703125" style="7" customWidth="1"/>
    <col min="8203" max="8206" width="18.7109375" style="7" customWidth="1"/>
    <col min="8207" max="8441" width="9.140625" style="7"/>
    <col min="8442" max="8442" width="13.28515625" style="7" customWidth="1"/>
    <col min="8443" max="8443" width="34.7109375" style="7" customWidth="1"/>
    <col min="8444" max="8444" width="26.85546875" style="7" customWidth="1"/>
    <col min="8445" max="8453" width="15.140625" style="7" customWidth="1"/>
    <col min="8454" max="8454" width="14" style="7" customWidth="1"/>
    <col min="8455" max="8455" width="13.42578125" style="7" customWidth="1"/>
    <col min="8456" max="8457" width="15" style="7" customWidth="1"/>
    <col min="8458" max="8458" width="16.5703125" style="7" customWidth="1"/>
    <col min="8459" max="8462" width="18.7109375" style="7" customWidth="1"/>
    <col min="8463" max="8697" width="9.140625" style="7"/>
    <col min="8698" max="8698" width="13.28515625" style="7" customWidth="1"/>
    <col min="8699" max="8699" width="34.7109375" style="7" customWidth="1"/>
    <col min="8700" max="8700" width="26.85546875" style="7" customWidth="1"/>
    <col min="8701" max="8709" width="15.140625" style="7" customWidth="1"/>
    <col min="8710" max="8710" width="14" style="7" customWidth="1"/>
    <col min="8711" max="8711" width="13.42578125" style="7" customWidth="1"/>
    <col min="8712" max="8713" width="15" style="7" customWidth="1"/>
    <col min="8714" max="8714" width="16.5703125" style="7" customWidth="1"/>
    <col min="8715" max="8718" width="18.7109375" style="7" customWidth="1"/>
    <col min="8719" max="8953" width="9.140625" style="7"/>
    <col min="8954" max="8954" width="13.28515625" style="7" customWidth="1"/>
    <col min="8955" max="8955" width="34.7109375" style="7" customWidth="1"/>
    <col min="8956" max="8956" width="26.85546875" style="7" customWidth="1"/>
    <col min="8957" max="8965" width="15.140625" style="7" customWidth="1"/>
    <col min="8966" max="8966" width="14" style="7" customWidth="1"/>
    <col min="8967" max="8967" width="13.42578125" style="7" customWidth="1"/>
    <col min="8968" max="8969" width="15" style="7" customWidth="1"/>
    <col min="8970" max="8970" width="16.5703125" style="7" customWidth="1"/>
    <col min="8971" max="8974" width="18.7109375" style="7" customWidth="1"/>
    <col min="8975" max="9209" width="9.140625" style="7"/>
    <col min="9210" max="9210" width="13.28515625" style="7" customWidth="1"/>
    <col min="9211" max="9211" width="34.7109375" style="7" customWidth="1"/>
    <col min="9212" max="9212" width="26.85546875" style="7" customWidth="1"/>
    <col min="9213" max="9221" width="15.140625" style="7" customWidth="1"/>
    <col min="9222" max="9222" width="14" style="7" customWidth="1"/>
    <col min="9223" max="9223" width="13.42578125" style="7" customWidth="1"/>
    <col min="9224" max="9225" width="15" style="7" customWidth="1"/>
    <col min="9226" max="9226" width="16.5703125" style="7" customWidth="1"/>
    <col min="9227" max="9230" width="18.7109375" style="7" customWidth="1"/>
    <col min="9231" max="9465" width="9.140625" style="7"/>
    <col min="9466" max="9466" width="13.28515625" style="7" customWidth="1"/>
    <col min="9467" max="9467" width="34.7109375" style="7" customWidth="1"/>
    <col min="9468" max="9468" width="26.85546875" style="7" customWidth="1"/>
    <col min="9469" max="9477" width="15.140625" style="7" customWidth="1"/>
    <col min="9478" max="9478" width="14" style="7" customWidth="1"/>
    <col min="9479" max="9479" width="13.42578125" style="7" customWidth="1"/>
    <col min="9480" max="9481" width="15" style="7" customWidth="1"/>
    <col min="9482" max="9482" width="16.5703125" style="7" customWidth="1"/>
    <col min="9483" max="9486" width="18.7109375" style="7" customWidth="1"/>
    <col min="9487" max="9721" width="9.140625" style="7"/>
    <col min="9722" max="9722" width="13.28515625" style="7" customWidth="1"/>
    <col min="9723" max="9723" width="34.7109375" style="7" customWidth="1"/>
    <col min="9724" max="9724" width="26.85546875" style="7" customWidth="1"/>
    <col min="9725" max="9733" width="15.140625" style="7" customWidth="1"/>
    <col min="9734" max="9734" width="14" style="7" customWidth="1"/>
    <col min="9735" max="9735" width="13.42578125" style="7" customWidth="1"/>
    <col min="9736" max="9737" width="15" style="7" customWidth="1"/>
    <col min="9738" max="9738" width="16.5703125" style="7" customWidth="1"/>
    <col min="9739" max="9742" width="18.7109375" style="7" customWidth="1"/>
    <col min="9743" max="9977" width="9.140625" style="7"/>
    <col min="9978" max="9978" width="13.28515625" style="7" customWidth="1"/>
    <col min="9979" max="9979" width="34.7109375" style="7" customWidth="1"/>
    <col min="9980" max="9980" width="26.85546875" style="7" customWidth="1"/>
    <col min="9981" max="9989" width="15.140625" style="7" customWidth="1"/>
    <col min="9990" max="9990" width="14" style="7" customWidth="1"/>
    <col min="9991" max="9991" width="13.42578125" style="7" customWidth="1"/>
    <col min="9992" max="9993" width="15" style="7" customWidth="1"/>
    <col min="9994" max="9994" width="16.5703125" style="7" customWidth="1"/>
    <col min="9995" max="9998" width="18.7109375" style="7" customWidth="1"/>
    <col min="9999" max="10233" width="9.140625" style="7"/>
    <col min="10234" max="10234" width="13.28515625" style="7" customWidth="1"/>
    <col min="10235" max="10235" width="34.7109375" style="7" customWidth="1"/>
    <col min="10236" max="10236" width="26.85546875" style="7" customWidth="1"/>
    <col min="10237" max="10245" width="15.140625" style="7" customWidth="1"/>
    <col min="10246" max="10246" width="14" style="7" customWidth="1"/>
    <col min="10247" max="10247" width="13.42578125" style="7" customWidth="1"/>
    <col min="10248" max="10249" width="15" style="7" customWidth="1"/>
    <col min="10250" max="10250" width="16.5703125" style="7" customWidth="1"/>
    <col min="10251" max="10254" width="18.7109375" style="7" customWidth="1"/>
    <col min="10255" max="10489" width="9.140625" style="7"/>
    <col min="10490" max="10490" width="13.28515625" style="7" customWidth="1"/>
    <col min="10491" max="10491" width="34.7109375" style="7" customWidth="1"/>
    <col min="10492" max="10492" width="26.85546875" style="7" customWidth="1"/>
    <col min="10493" max="10501" width="15.140625" style="7" customWidth="1"/>
    <col min="10502" max="10502" width="14" style="7" customWidth="1"/>
    <col min="10503" max="10503" width="13.42578125" style="7" customWidth="1"/>
    <col min="10504" max="10505" width="15" style="7" customWidth="1"/>
    <col min="10506" max="10506" width="16.5703125" style="7" customWidth="1"/>
    <col min="10507" max="10510" width="18.7109375" style="7" customWidth="1"/>
    <col min="10511" max="10745" width="9.140625" style="7"/>
    <col min="10746" max="10746" width="13.28515625" style="7" customWidth="1"/>
    <col min="10747" max="10747" width="34.7109375" style="7" customWidth="1"/>
    <col min="10748" max="10748" width="26.85546875" style="7" customWidth="1"/>
    <col min="10749" max="10757" width="15.140625" style="7" customWidth="1"/>
    <col min="10758" max="10758" width="14" style="7" customWidth="1"/>
    <col min="10759" max="10759" width="13.42578125" style="7" customWidth="1"/>
    <col min="10760" max="10761" width="15" style="7" customWidth="1"/>
    <col min="10762" max="10762" width="16.5703125" style="7" customWidth="1"/>
    <col min="10763" max="10766" width="18.7109375" style="7" customWidth="1"/>
    <col min="10767" max="11001" width="9.140625" style="7"/>
    <col min="11002" max="11002" width="13.28515625" style="7" customWidth="1"/>
    <col min="11003" max="11003" width="34.7109375" style="7" customWidth="1"/>
    <col min="11004" max="11004" width="26.85546875" style="7" customWidth="1"/>
    <col min="11005" max="11013" width="15.140625" style="7" customWidth="1"/>
    <col min="11014" max="11014" width="14" style="7" customWidth="1"/>
    <col min="11015" max="11015" width="13.42578125" style="7" customWidth="1"/>
    <col min="11016" max="11017" width="15" style="7" customWidth="1"/>
    <col min="11018" max="11018" width="16.5703125" style="7" customWidth="1"/>
    <col min="11019" max="11022" width="18.7109375" style="7" customWidth="1"/>
    <col min="11023" max="11257" width="9.140625" style="7"/>
    <col min="11258" max="11258" width="13.28515625" style="7" customWidth="1"/>
    <col min="11259" max="11259" width="34.7109375" style="7" customWidth="1"/>
    <col min="11260" max="11260" width="26.85546875" style="7" customWidth="1"/>
    <col min="11261" max="11269" width="15.140625" style="7" customWidth="1"/>
    <col min="11270" max="11270" width="14" style="7" customWidth="1"/>
    <col min="11271" max="11271" width="13.42578125" style="7" customWidth="1"/>
    <col min="11272" max="11273" width="15" style="7" customWidth="1"/>
    <col min="11274" max="11274" width="16.5703125" style="7" customWidth="1"/>
    <col min="11275" max="11278" width="18.7109375" style="7" customWidth="1"/>
    <col min="11279" max="11513" width="9.140625" style="7"/>
    <col min="11514" max="11514" width="13.28515625" style="7" customWidth="1"/>
    <col min="11515" max="11515" width="34.7109375" style="7" customWidth="1"/>
    <col min="11516" max="11516" width="26.85546875" style="7" customWidth="1"/>
    <col min="11517" max="11525" width="15.140625" style="7" customWidth="1"/>
    <col min="11526" max="11526" width="14" style="7" customWidth="1"/>
    <col min="11527" max="11527" width="13.42578125" style="7" customWidth="1"/>
    <col min="11528" max="11529" width="15" style="7" customWidth="1"/>
    <col min="11530" max="11530" width="16.5703125" style="7" customWidth="1"/>
    <col min="11531" max="11534" width="18.7109375" style="7" customWidth="1"/>
    <col min="11535" max="11769" width="9.140625" style="7"/>
    <col min="11770" max="11770" width="13.28515625" style="7" customWidth="1"/>
    <col min="11771" max="11771" width="34.7109375" style="7" customWidth="1"/>
    <col min="11772" max="11772" width="26.85546875" style="7" customWidth="1"/>
    <col min="11773" max="11781" width="15.140625" style="7" customWidth="1"/>
    <col min="11782" max="11782" width="14" style="7" customWidth="1"/>
    <col min="11783" max="11783" width="13.42578125" style="7" customWidth="1"/>
    <col min="11784" max="11785" width="15" style="7" customWidth="1"/>
    <col min="11786" max="11786" width="16.5703125" style="7" customWidth="1"/>
    <col min="11787" max="11790" width="18.7109375" style="7" customWidth="1"/>
    <col min="11791" max="12025" width="9.140625" style="7"/>
    <col min="12026" max="12026" width="13.28515625" style="7" customWidth="1"/>
    <col min="12027" max="12027" width="34.7109375" style="7" customWidth="1"/>
    <col min="12028" max="12028" width="26.85546875" style="7" customWidth="1"/>
    <col min="12029" max="12037" width="15.140625" style="7" customWidth="1"/>
    <col min="12038" max="12038" width="14" style="7" customWidth="1"/>
    <col min="12039" max="12039" width="13.42578125" style="7" customWidth="1"/>
    <col min="12040" max="12041" width="15" style="7" customWidth="1"/>
    <col min="12042" max="12042" width="16.5703125" style="7" customWidth="1"/>
    <col min="12043" max="12046" width="18.7109375" style="7" customWidth="1"/>
    <col min="12047" max="12281" width="9.140625" style="7"/>
    <col min="12282" max="12282" width="13.28515625" style="7" customWidth="1"/>
    <col min="12283" max="12283" width="34.7109375" style="7" customWidth="1"/>
    <col min="12284" max="12284" width="26.85546875" style="7" customWidth="1"/>
    <col min="12285" max="12293" width="15.140625" style="7" customWidth="1"/>
    <col min="12294" max="12294" width="14" style="7" customWidth="1"/>
    <col min="12295" max="12295" width="13.42578125" style="7" customWidth="1"/>
    <col min="12296" max="12297" width="15" style="7" customWidth="1"/>
    <col min="12298" max="12298" width="16.5703125" style="7" customWidth="1"/>
    <col min="12299" max="12302" width="18.7109375" style="7" customWidth="1"/>
    <col min="12303" max="12537" width="9.140625" style="7"/>
    <col min="12538" max="12538" width="13.28515625" style="7" customWidth="1"/>
    <col min="12539" max="12539" width="34.7109375" style="7" customWidth="1"/>
    <col min="12540" max="12540" width="26.85546875" style="7" customWidth="1"/>
    <col min="12541" max="12549" width="15.140625" style="7" customWidth="1"/>
    <col min="12550" max="12550" width="14" style="7" customWidth="1"/>
    <col min="12551" max="12551" width="13.42578125" style="7" customWidth="1"/>
    <col min="12552" max="12553" width="15" style="7" customWidth="1"/>
    <col min="12554" max="12554" width="16.5703125" style="7" customWidth="1"/>
    <col min="12555" max="12558" width="18.7109375" style="7" customWidth="1"/>
    <col min="12559" max="12793" width="9.140625" style="7"/>
    <col min="12794" max="12794" width="13.28515625" style="7" customWidth="1"/>
    <col min="12795" max="12795" width="34.7109375" style="7" customWidth="1"/>
    <col min="12796" max="12796" width="26.85546875" style="7" customWidth="1"/>
    <col min="12797" max="12805" width="15.140625" style="7" customWidth="1"/>
    <col min="12806" max="12806" width="14" style="7" customWidth="1"/>
    <col min="12807" max="12807" width="13.42578125" style="7" customWidth="1"/>
    <col min="12808" max="12809" width="15" style="7" customWidth="1"/>
    <col min="12810" max="12810" width="16.5703125" style="7" customWidth="1"/>
    <col min="12811" max="12814" width="18.7109375" style="7" customWidth="1"/>
    <col min="12815" max="13049" width="9.140625" style="7"/>
    <col min="13050" max="13050" width="13.28515625" style="7" customWidth="1"/>
    <col min="13051" max="13051" width="34.7109375" style="7" customWidth="1"/>
    <col min="13052" max="13052" width="26.85546875" style="7" customWidth="1"/>
    <col min="13053" max="13061" width="15.140625" style="7" customWidth="1"/>
    <col min="13062" max="13062" width="14" style="7" customWidth="1"/>
    <col min="13063" max="13063" width="13.42578125" style="7" customWidth="1"/>
    <col min="13064" max="13065" width="15" style="7" customWidth="1"/>
    <col min="13066" max="13066" width="16.5703125" style="7" customWidth="1"/>
    <col min="13067" max="13070" width="18.7109375" style="7" customWidth="1"/>
    <col min="13071" max="13305" width="9.140625" style="7"/>
    <col min="13306" max="13306" width="13.28515625" style="7" customWidth="1"/>
    <col min="13307" max="13307" width="34.7109375" style="7" customWidth="1"/>
    <col min="13308" max="13308" width="26.85546875" style="7" customWidth="1"/>
    <col min="13309" max="13317" width="15.140625" style="7" customWidth="1"/>
    <col min="13318" max="13318" width="14" style="7" customWidth="1"/>
    <col min="13319" max="13319" width="13.42578125" style="7" customWidth="1"/>
    <col min="13320" max="13321" width="15" style="7" customWidth="1"/>
    <col min="13322" max="13322" width="16.5703125" style="7" customWidth="1"/>
    <col min="13323" max="13326" width="18.7109375" style="7" customWidth="1"/>
    <col min="13327" max="13561" width="9.140625" style="7"/>
    <col min="13562" max="13562" width="13.28515625" style="7" customWidth="1"/>
    <col min="13563" max="13563" width="34.7109375" style="7" customWidth="1"/>
    <col min="13564" max="13564" width="26.85546875" style="7" customWidth="1"/>
    <col min="13565" max="13573" width="15.140625" style="7" customWidth="1"/>
    <col min="13574" max="13574" width="14" style="7" customWidth="1"/>
    <col min="13575" max="13575" width="13.42578125" style="7" customWidth="1"/>
    <col min="13576" max="13577" width="15" style="7" customWidth="1"/>
    <col min="13578" max="13578" width="16.5703125" style="7" customWidth="1"/>
    <col min="13579" max="13582" width="18.7109375" style="7" customWidth="1"/>
    <col min="13583" max="13817" width="9.140625" style="7"/>
    <col min="13818" max="13818" width="13.28515625" style="7" customWidth="1"/>
    <col min="13819" max="13819" width="34.7109375" style="7" customWidth="1"/>
    <col min="13820" max="13820" width="26.85546875" style="7" customWidth="1"/>
    <col min="13821" max="13829" width="15.140625" style="7" customWidth="1"/>
    <col min="13830" max="13830" width="14" style="7" customWidth="1"/>
    <col min="13831" max="13831" width="13.42578125" style="7" customWidth="1"/>
    <col min="13832" max="13833" width="15" style="7" customWidth="1"/>
    <col min="13834" max="13834" width="16.5703125" style="7" customWidth="1"/>
    <col min="13835" max="13838" width="18.7109375" style="7" customWidth="1"/>
    <col min="13839" max="14073" width="9.140625" style="7"/>
    <col min="14074" max="14074" width="13.28515625" style="7" customWidth="1"/>
    <col min="14075" max="14075" width="34.7109375" style="7" customWidth="1"/>
    <col min="14076" max="14076" width="26.85546875" style="7" customWidth="1"/>
    <col min="14077" max="14085" width="15.140625" style="7" customWidth="1"/>
    <col min="14086" max="14086" width="14" style="7" customWidth="1"/>
    <col min="14087" max="14087" width="13.42578125" style="7" customWidth="1"/>
    <col min="14088" max="14089" width="15" style="7" customWidth="1"/>
    <col min="14090" max="14090" width="16.5703125" style="7" customWidth="1"/>
    <col min="14091" max="14094" width="18.7109375" style="7" customWidth="1"/>
    <col min="14095" max="14329" width="9.140625" style="7"/>
    <col min="14330" max="14330" width="13.28515625" style="7" customWidth="1"/>
    <col min="14331" max="14331" width="34.7109375" style="7" customWidth="1"/>
    <col min="14332" max="14332" width="26.85546875" style="7" customWidth="1"/>
    <col min="14333" max="14341" width="15.140625" style="7" customWidth="1"/>
    <col min="14342" max="14342" width="14" style="7" customWidth="1"/>
    <col min="14343" max="14343" width="13.42578125" style="7" customWidth="1"/>
    <col min="14344" max="14345" width="15" style="7" customWidth="1"/>
    <col min="14346" max="14346" width="16.5703125" style="7" customWidth="1"/>
    <col min="14347" max="14350" width="18.7109375" style="7" customWidth="1"/>
    <col min="14351" max="14585" width="9.140625" style="7"/>
    <col min="14586" max="14586" width="13.28515625" style="7" customWidth="1"/>
    <col min="14587" max="14587" width="34.7109375" style="7" customWidth="1"/>
    <col min="14588" max="14588" width="26.85546875" style="7" customWidth="1"/>
    <col min="14589" max="14597" width="15.140625" style="7" customWidth="1"/>
    <col min="14598" max="14598" width="14" style="7" customWidth="1"/>
    <col min="14599" max="14599" width="13.42578125" style="7" customWidth="1"/>
    <col min="14600" max="14601" width="15" style="7" customWidth="1"/>
    <col min="14602" max="14602" width="16.5703125" style="7" customWidth="1"/>
    <col min="14603" max="14606" width="18.7109375" style="7" customWidth="1"/>
    <col min="14607" max="14841" width="9.140625" style="7"/>
    <col min="14842" max="14842" width="13.28515625" style="7" customWidth="1"/>
    <col min="14843" max="14843" width="34.7109375" style="7" customWidth="1"/>
    <col min="14844" max="14844" width="26.85546875" style="7" customWidth="1"/>
    <col min="14845" max="14853" width="15.140625" style="7" customWidth="1"/>
    <col min="14854" max="14854" width="14" style="7" customWidth="1"/>
    <col min="14855" max="14855" width="13.42578125" style="7" customWidth="1"/>
    <col min="14856" max="14857" width="15" style="7" customWidth="1"/>
    <col min="14858" max="14858" width="16.5703125" style="7" customWidth="1"/>
    <col min="14859" max="14862" width="18.7109375" style="7" customWidth="1"/>
    <col min="14863" max="15097" width="9.140625" style="7"/>
    <col min="15098" max="15098" width="13.28515625" style="7" customWidth="1"/>
    <col min="15099" max="15099" width="34.7109375" style="7" customWidth="1"/>
    <col min="15100" max="15100" width="26.85546875" style="7" customWidth="1"/>
    <col min="15101" max="15109" width="15.140625" style="7" customWidth="1"/>
    <col min="15110" max="15110" width="14" style="7" customWidth="1"/>
    <col min="15111" max="15111" width="13.42578125" style="7" customWidth="1"/>
    <col min="15112" max="15113" width="15" style="7" customWidth="1"/>
    <col min="15114" max="15114" width="16.5703125" style="7" customWidth="1"/>
    <col min="15115" max="15118" width="18.7109375" style="7" customWidth="1"/>
    <col min="15119" max="15353" width="9.140625" style="7"/>
    <col min="15354" max="15354" width="13.28515625" style="7" customWidth="1"/>
    <col min="15355" max="15355" width="34.7109375" style="7" customWidth="1"/>
    <col min="15356" max="15356" width="26.85546875" style="7" customWidth="1"/>
    <col min="15357" max="15365" width="15.140625" style="7" customWidth="1"/>
    <col min="15366" max="15366" width="14" style="7" customWidth="1"/>
    <col min="15367" max="15367" width="13.42578125" style="7" customWidth="1"/>
    <col min="15368" max="15369" width="15" style="7" customWidth="1"/>
    <col min="15370" max="15370" width="16.5703125" style="7" customWidth="1"/>
    <col min="15371" max="15374" width="18.7109375" style="7" customWidth="1"/>
    <col min="15375" max="15609" width="9.140625" style="7"/>
    <col min="15610" max="15610" width="13.28515625" style="7" customWidth="1"/>
    <col min="15611" max="15611" width="34.7109375" style="7" customWidth="1"/>
    <col min="15612" max="15612" width="26.85546875" style="7" customWidth="1"/>
    <col min="15613" max="15621" width="15.140625" style="7" customWidth="1"/>
    <col min="15622" max="15622" width="14" style="7" customWidth="1"/>
    <col min="15623" max="15623" width="13.42578125" style="7" customWidth="1"/>
    <col min="15624" max="15625" width="15" style="7" customWidth="1"/>
    <col min="15626" max="15626" width="16.5703125" style="7" customWidth="1"/>
    <col min="15627" max="15630" width="18.7109375" style="7" customWidth="1"/>
    <col min="15631" max="15865" width="9.140625" style="7"/>
    <col min="15866" max="15866" width="13.28515625" style="7" customWidth="1"/>
    <col min="15867" max="15867" width="34.7109375" style="7" customWidth="1"/>
    <col min="15868" max="15868" width="26.85546875" style="7" customWidth="1"/>
    <col min="15869" max="15877" width="15.140625" style="7" customWidth="1"/>
    <col min="15878" max="15878" width="14" style="7" customWidth="1"/>
    <col min="15879" max="15879" width="13.42578125" style="7" customWidth="1"/>
    <col min="15880" max="15881" width="15" style="7" customWidth="1"/>
    <col min="15882" max="15882" width="16.5703125" style="7" customWidth="1"/>
    <col min="15883" max="15886" width="18.7109375" style="7" customWidth="1"/>
    <col min="15887" max="16121" width="9.140625" style="7"/>
    <col min="16122" max="16122" width="13.28515625" style="7" customWidth="1"/>
    <col min="16123" max="16123" width="34.7109375" style="7" customWidth="1"/>
    <col min="16124" max="16124" width="26.85546875" style="7" customWidth="1"/>
    <col min="16125" max="16133" width="15.140625" style="7" customWidth="1"/>
    <col min="16134" max="16134" width="14" style="7" customWidth="1"/>
    <col min="16135" max="16135" width="13.42578125" style="7" customWidth="1"/>
    <col min="16136" max="16137" width="15" style="7" customWidth="1"/>
    <col min="16138" max="16138" width="16.5703125" style="7" customWidth="1"/>
    <col min="16139" max="16142" width="18.7109375" style="7" customWidth="1"/>
    <col min="16143" max="16384" width="9.140625" style="7"/>
  </cols>
  <sheetData>
    <row r="1" spans="1:187">
      <c r="N1" s="110" t="s">
        <v>429</v>
      </c>
    </row>
    <row r="2" spans="1:187">
      <c r="N2" s="110" t="s">
        <v>428</v>
      </c>
    </row>
    <row r="3" spans="1:187" s="1" customFormat="1" ht="85.5" customHeight="1">
      <c r="C3" s="87"/>
      <c r="D3" s="87"/>
      <c r="E3" s="113" t="s">
        <v>346</v>
      </c>
      <c r="F3" s="113"/>
      <c r="G3" s="113"/>
      <c r="H3" s="113"/>
      <c r="I3" s="113"/>
      <c r="J3" s="113"/>
      <c r="K3" s="113"/>
      <c r="L3" s="113"/>
      <c r="M3" s="113"/>
      <c r="N3" s="109"/>
      <c r="O3" s="87"/>
      <c r="P3" s="87"/>
      <c r="Q3" s="87"/>
      <c r="R3" s="87"/>
      <c r="S3" s="87"/>
      <c r="T3" s="87"/>
      <c r="U3" s="87"/>
      <c r="V3" s="87"/>
      <c r="W3" s="87"/>
    </row>
    <row r="4" spans="1:187" s="1" customFormat="1" ht="15" customHeight="1">
      <c r="B4" s="2"/>
      <c r="C4" s="3"/>
    </row>
    <row r="5" spans="1:187" s="4" customFormat="1" ht="144.75" customHeight="1">
      <c r="A5" s="116" t="s">
        <v>383</v>
      </c>
      <c r="B5" s="115" t="s">
        <v>0</v>
      </c>
      <c r="C5" s="111" t="s">
        <v>50</v>
      </c>
      <c r="D5" s="111" t="s">
        <v>51</v>
      </c>
      <c r="E5" s="111" t="s">
        <v>359</v>
      </c>
      <c r="F5" s="111"/>
      <c r="G5" s="111"/>
      <c r="H5" s="111"/>
      <c r="I5" s="111"/>
      <c r="J5" s="37" t="s">
        <v>377</v>
      </c>
      <c r="K5" s="111" t="s">
        <v>419</v>
      </c>
      <c r="L5" s="111"/>
      <c r="M5" s="111" t="s">
        <v>430</v>
      </c>
      <c r="N5" s="111"/>
      <c r="O5" s="37"/>
      <c r="P5" s="111" t="s">
        <v>52</v>
      </c>
      <c r="Q5" s="111"/>
      <c r="R5" s="111"/>
      <c r="S5" s="111"/>
      <c r="T5" s="111"/>
      <c r="U5" s="111" t="s">
        <v>360</v>
      </c>
      <c r="V5" s="111" t="s">
        <v>361</v>
      </c>
      <c r="W5" s="111" t="s">
        <v>371</v>
      </c>
    </row>
    <row r="6" spans="1:187" s="4" customFormat="1" ht="27.75" customHeight="1">
      <c r="A6" s="116"/>
      <c r="B6" s="115"/>
      <c r="C6" s="111"/>
      <c r="D6" s="111"/>
      <c r="E6" s="37" t="s">
        <v>57</v>
      </c>
      <c r="F6" s="37" t="s">
        <v>58</v>
      </c>
      <c r="G6" s="37" t="s">
        <v>53</v>
      </c>
      <c r="H6" s="37" t="s">
        <v>59</v>
      </c>
      <c r="I6" s="37" t="s">
        <v>54</v>
      </c>
      <c r="J6" s="37"/>
      <c r="K6" s="37" t="s">
        <v>55</v>
      </c>
      <c r="L6" s="37" t="s">
        <v>56</v>
      </c>
      <c r="M6" s="37" t="s">
        <v>55</v>
      </c>
      <c r="N6" s="37" t="s">
        <v>56</v>
      </c>
      <c r="O6" s="37"/>
      <c r="P6" s="37" t="s">
        <v>57</v>
      </c>
      <c r="Q6" s="37" t="s">
        <v>58</v>
      </c>
      <c r="R6" s="37" t="s">
        <v>53</v>
      </c>
      <c r="S6" s="37" t="s">
        <v>59</v>
      </c>
      <c r="T6" s="37" t="s">
        <v>60</v>
      </c>
      <c r="U6" s="111"/>
      <c r="V6" s="111"/>
      <c r="W6" s="111"/>
    </row>
    <row r="7" spans="1:187" s="4" customFormat="1" ht="15" customHeight="1">
      <c r="A7" s="36"/>
      <c r="B7" s="38"/>
      <c r="C7" s="38"/>
      <c r="D7" s="39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187" s="4" customFormat="1">
      <c r="A8" s="36"/>
      <c r="B8" s="112" t="s">
        <v>61</v>
      </c>
      <c r="C8" s="112"/>
      <c r="D8" s="112"/>
      <c r="E8" s="41"/>
      <c r="F8" s="41"/>
      <c r="G8" s="42"/>
      <c r="H8" s="41"/>
      <c r="I8" s="41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187" s="6" customFormat="1">
      <c r="A9" s="22"/>
      <c r="B9" s="43" t="s">
        <v>318</v>
      </c>
      <c r="C9" s="44" t="s">
        <v>319</v>
      </c>
      <c r="D9" s="44" t="s">
        <v>63</v>
      </c>
      <c r="E9" s="45">
        <v>157.869</v>
      </c>
      <c r="F9" s="45">
        <f>234.172-E9</f>
        <v>76.302999999999997</v>
      </c>
      <c r="G9" s="45">
        <v>27.265999999999998</v>
      </c>
      <c r="H9" s="45">
        <v>163.59299999999999</v>
      </c>
      <c r="I9" s="45">
        <f>SUM(E9:H9)</f>
        <v>425.03099999999995</v>
      </c>
      <c r="J9" s="46">
        <v>543.57000000000005</v>
      </c>
      <c r="K9" s="46">
        <v>3719.2518333333328</v>
      </c>
      <c r="L9" s="46">
        <v>3868.0219066666664</v>
      </c>
      <c r="M9" s="46">
        <v>1148.3366666666666</v>
      </c>
      <c r="N9" s="46">
        <v>1205.7535</v>
      </c>
      <c r="O9" s="46">
        <f>K9-M9</f>
        <v>2570.9151666666662</v>
      </c>
      <c r="P9" s="47">
        <f>(K9-M9)*E9</f>
        <v>405867.80644649995</v>
      </c>
      <c r="Q9" s="47">
        <f>(K9-M9)*F9</f>
        <v>196168.53996216663</v>
      </c>
      <c r="R9" s="47">
        <f>(L9-N9)*G9</f>
        <v>72589.410376173313</v>
      </c>
      <c r="S9" s="47">
        <f>(H9*(L9-N9))</f>
        <v>435528.47545181989</v>
      </c>
      <c r="T9" s="47">
        <f>SUM(P9:S9)</f>
        <v>1110154.2322366599</v>
      </c>
      <c r="U9" s="48"/>
      <c r="V9" s="48"/>
      <c r="W9" s="48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</row>
    <row r="10" spans="1:187">
      <c r="A10" s="11"/>
      <c r="B10" s="43" t="s">
        <v>315</v>
      </c>
      <c r="C10" s="44" t="s">
        <v>68</v>
      </c>
      <c r="D10" s="44" t="s">
        <v>69</v>
      </c>
      <c r="E10" s="45">
        <v>180.07599999999999</v>
      </c>
      <c r="F10" s="45">
        <f>264.987-E10</f>
        <v>84.91100000000003</v>
      </c>
      <c r="G10" s="45">
        <v>41.975999999999999</v>
      </c>
      <c r="H10" s="45">
        <f>213.516-G10</f>
        <v>171.54</v>
      </c>
      <c r="I10" s="45">
        <f t="shared" ref="I10:I73" si="0">SUM(E10:H10)</f>
        <v>478.50300000000004</v>
      </c>
      <c r="J10" s="46">
        <v>438</v>
      </c>
      <c r="K10" s="46">
        <v>3476.930812911678</v>
      </c>
      <c r="L10" s="46">
        <v>3616.0080454281451</v>
      </c>
      <c r="M10" s="46">
        <v>1263.1774133333336</v>
      </c>
      <c r="N10" s="46">
        <v>1326.3362840000002</v>
      </c>
      <c r="O10" s="46">
        <f t="shared" ref="O10:O74" si="1">K10-M10</f>
        <v>2213.7533995783442</v>
      </c>
      <c r="P10" s="47">
        <f t="shared" ref="P10:P73" si="2">(K10-M10)*E10</f>
        <v>398643.85718246992</v>
      </c>
      <c r="Q10" s="47">
        <f t="shared" ref="Q10:Q73" si="3">(K10-M10)*F10</f>
        <v>187972.01491159684</v>
      </c>
      <c r="R10" s="47">
        <f t="shared" ref="R10:R73" si="4">(L10-N10)*G10</f>
        <v>96111.261857707825</v>
      </c>
      <c r="S10" s="47">
        <f t="shared" ref="S10:S73" si="5">(H10*(L10-N10))</f>
        <v>392770.293955384</v>
      </c>
      <c r="T10" s="47">
        <f t="shared" ref="T10:T73" si="6">SUM(P10:S10)</f>
        <v>1075497.4279071586</v>
      </c>
      <c r="U10" s="48"/>
      <c r="V10" s="48"/>
      <c r="W10" s="48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</row>
    <row r="11" spans="1:187">
      <c r="A11" s="11"/>
      <c r="B11" s="43" t="s">
        <v>316</v>
      </c>
      <c r="C11" s="44" t="s">
        <v>66</v>
      </c>
      <c r="D11" s="44" t="s">
        <v>67</v>
      </c>
      <c r="E11" s="45">
        <v>419.7</v>
      </c>
      <c r="F11" s="45">
        <f>622.555-E11</f>
        <v>202.85499999999996</v>
      </c>
      <c r="G11" s="45">
        <v>90.66</v>
      </c>
      <c r="H11" s="45">
        <f>512.97-G11</f>
        <v>422.31000000000006</v>
      </c>
      <c r="I11" s="45">
        <f t="shared" si="0"/>
        <v>1135.5250000000001</v>
      </c>
      <c r="J11" s="46">
        <v>1119.2</v>
      </c>
      <c r="K11" s="46">
        <v>3103.06</v>
      </c>
      <c r="L11" s="46">
        <v>3227.1824000000001</v>
      </c>
      <c r="M11" s="46">
        <v>1364.8440000000001</v>
      </c>
      <c r="N11" s="46">
        <v>1419.43776</v>
      </c>
      <c r="O11" s="46">
        <f t="shared" si="1"/>
        <v>1738.2159999999999</v>
      </c>
      <c r="P11" s="47">
        <f t="shared" si="2"/>
        <v>729529.2551999999</v>
      </c>
      <c r="Q11" s="47">
        <f t="shared" si="3"/>
        <v>352605.80667999992</v>
      </c>
      <c r="R11" s="47">
        <f t="shared" si="4"/>
        <v>163890.1290624</v>
      </c>
      <c r="S11" s="47">
        <f t="shared" si="5"/>
        <v>763428.63891840016</v>
      </c>
      <c r="T11" s="47">
        <f t="shared" si="6"/>
        <v>2009453.8298607999</v>
      </c>
      <c r="U11" s="48"/>
      <c r="V11" s="48"/>
      <c r="W11" s="48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</row>
    <row r="12" spans="1:187">
      <c r="A12" s="11"/>
      <c r="B12" s="43" t="s">
        <v>2</v>
      </c>
      <c r="C12" s="44" t="s">
        <v>70</v>
      </c>
      <c r="D12" s="44" t="s">
        <v>69</v>
      </c>
      <c r="E12" s="45">
        <v>3044.9839999999999</v>
      </c>
      <c r="F12" s="45">
        <f>4421.044-E12</f>
        <v>1376.06</v>
      </c>
      <c r="G12" s="45">
        <v>520.79499999999996</v>
      </c>
      <c r="H12" s="45">
        <f>2688.203-G12</f>
        <v>2167.4079999999999</v>
      </c>
      <c r="I12" s="45">
        <f t="shared" si="0"/>
        <v>7109.2469999999994</v>
      </c>
      <c r="J12" s="46">
        <v>6109.95</v>
      </c>
      <c r="K12" s="46">
        <v>2969.5486666666666</v>
      </c>
      <c r="L12" s="46">
        <v>3088.3306133333335</v>
      </c>
      <c r="M12" s="46">
        <v>1526.0251666666668</v>
      </c>
      <c r="N12" s="46">
        <v>1602.3264250000002</v>
      </c>
      <c r="O12" s="46">
        <f t="shared" si="1"/>
        <v>1443.5234999999998</v>
      </c>
      <c r="P12" s="47">
        <f t="shared" si="2"/>
        <v>4395505.9611239992</v>
      </c>
      <c r="Q12" s="47">
        <f t="shared" si="3"/>
        <v>1986374.9474099996</v>
      </c>
      <c r="R12" s="47">
        <f t="shared" si="4"/>
        <v>773903.55126305833</v>
      </c>
      <c r="S12" s="47">
        <f t="shared" si="5"/>
        <v>3220777.365827173</v>
      </c>
      <c r="T12" s="47">
        <f t="shared" si="6"/>
        <v>10376561.825624231</v>
      </c>
      <c r="U12" s="48"/>
      <c r="V12" s="48"/>
      <c r="W12" s="48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</row>
    <row r="13" spans="1:187">
      <c r="A13" s="11"/>
      <c r="B13" s="43" t="s">
        <v>317</v>
      </c>
      <c r="C13" s="44" t="s">
        <v>64</v>
      </c>
      <c r="D13" s="44" t="s">
        <v>65</v>
      </c>
      <c r="E13" s="45">
        <v>1712.37</v>
      </c>
      <c r="F13" s="45">
        <f>2818.55-E13</f>
        <v>1106.1800000000003</v>
      </c>
      <c r="G13" s="45">
        <v>490.08</v>
      </c>
      <c r="H13" s="45">
        <f>2011.33-G13</f>
        <v>1521.25</v>
      </c>
      <c r="I13" s="45">
        <f t="shared" si="0"/>
        <v>4829.88</v>
      </c>
      <c r="J13" s="46">
        <v>3959.0020800000011</v>
      </c>
      <c r="K13" s="46">
        <v>3615.11</v>
      </c>
      <c r="L13" s="46">
        <v>3759.7144000000003</v>
      </c>
      <c r="M13" s="46">
        <v>1364.8440000000001</v>
      </c>
      <c r="N13" s="46">
        <v>1419.43776</v>
      </c>
      <c r="O13" s="46">
        <f t="shared" si="1"/>
        <v>2250.2660000000001</v>
      </c>
      <c r="P13" s="47">
        <f t="shared" si="2"/>
        <v>3853287.9904199997</v>
      </c>
      <c r="Q13" s="47">
        <f t="shared" si="3"/>
        <v>2489199.2438800009</v>
      </c>
      <c r="R13" s="47">
        <f t="shared" si="4"/>
        <v>1146922.7757311999</v>
      </c>
      <c r="S13" s="47">
        <f t="shared" si="5"/>
        <v>3560145.8385999999</v>
      </c>
      <c r="T13" s="47">
        <f t="shared" si="6"/>
        <v>11049555.848631201</v>
      </c>
      <c r="U13" s="48"/>
      <c r="V13" s="48"/>
      <c r="W13" s="48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</row>
    <row r="14" spans="1:187">
      <c r="A14" s="11" t="s">
        <v>387</v>
      </c>
      <c r="B14" s="43" t="s">
        <v>405</v>
      </c>
      <c r="C14" s="44" t="s">
        <v>403</v>
      </c>
      <c r="D14" s="44" t="s">
        <v>404</v>
      </c>
      <c r="E14" s="45">
        <f>13.2*0.6</f>
        <v>7.919999999999999</v>
      </c>
      <c r="F14" s="45">
        <f>13.2-E14</f>
        <v>5.28</v>
      </c>
      <c r="G14" s="45">
        <f>10.8*0.2</f>
        <v>2.16</v>
      </c>
      <c r="H14" s="45">
        <f>10.8-G14</f>
        <v>8.64</v>
      </c>
      <c r="I14" s="45">
        <f t="shared" si="0"/>
        <v>24</v>
      </c>
      <c r="J14" s="46">
        <v>24</v>
      </c>
      <c r="K14" s="46">
        <v>2671.37</v>
      </c>
      <c r="L14" s="46">
        <v>2778.2248</v>
      </c>
      <c r="M14" s="46">
        <v>1792.01</v>
      </c>
      <c r="N14" s="46">
        <v>1792.01</v>
      </c>
      <c r="O14" s="46">
        <f t="shared" si="1"/>
        <v>879.3599999999999</v>
      </c>
      <c r="P14" s="47">
        <f t="shared" si="2"/>
        <v>6964.5311999999985</v>
      </c>
      <c r="Q14" s="47">
        <f t="shared" si="3"/>
        <v>4643.0207999999993</v>
      </c>
      <c r="R14" s="47">
        <f t="shared" si="4"/>
        <v>2130.2239680000002</v>
      </c>
      <c r="S14" s="47">
        <f t="shared" si="5"/>
        <v>8520.895872000001</v>
      </c>
      <c r="T14" s="47">
        <f t="shared" si="6"/>
        <v>22258.671839999999</v>
      </c>
      <c r="U14" s="48"/>
      <c r="V14" s="48"/>
      <c r="W14" s="48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</row>
    <row r="15" spans="1:187" ht="15.75">
      <c r="A15" s="11"/>
      <c r="B15" s="112" t="s">
        <v>71</v>
      </c>
      <c r="C15" s="112"/>
      <c r="D15" s="112"/>
      <c r="E15" s="49"/>
      <c r="F15" s="49"/>
      <c r="G15" s="42"/>
      <c r="H15" s="42"/>
      <c r="I15" s="45">
        <f t="shared" si="0"/>
        <v>0</v>
      </c>
      <c r="J15" s="48"/>
      <c r="K15" s="40"/>
      <c r="L15" s="40"/>
      <c r="M15" s="40"/>
      <c r="N15" s="40"/>
      <c r="O15" s="46">
        <f t="shared" si="1"/>
        <v>0</v>
      </c>
      <c r="P15" s="47">
        <f t="shared" si="2"/>
        <v>0</v>
      </c>
      <c r="Q15" s="47">
        <f t="shared" si="3"/>
        <v>0</v>
      </c>
      <c r="R15" s="47">
        <f t="shared" si="4"/>
        <v>0</v>
      </c>
      <c r="S15" s="47">
        <f t="shared" si="5"/>
        <v>0</v>
      </c>
      <c r="T15" s="47">
        <f t="shared" si="6"/>
        <v>0</v>
      </c>
      <c r="U15" s="50"/>
      <c r="V15" s="50"/>
      <c r="W15" s="50"/>
    </row>
    <row r="16" spans="1:187">
      <c r="A16" s="11"/>
      <c r="B16" s="43" t="s">
        <v>12</v>
      </c>
      <c r="C16" s="44" t="s">
        <v>76</v>
      </c>
      <c r="D16" s="44" t="s">
        <v>77</v>
      </c>
      <c r="E16" s="45">
        <v>94.2</v>
      </c>
      <c r="F16" s="45">
        <f>150.72-E16</f>
        <v>56.519999999999996</v>
      </c>
      <c r="G16" s="45">
        <v>6.27</v>
      </c>
      <c r="H16" s="45">
        <f>100.47-G16</f>
        <v>94.2</v>
      </c>
      <c r="I16" s="45">
        <f t="shared" si="0"/>
        <v>251.19</v>
      </c>
      <c r="J16" s="46">
        <v>282.59100000000001</v>
      </c>
      <c r="K16" s="48">
        <v>5712.22</v>
      </c>
      <c r="L16" s="46">
        <v>5940.7088000000003</v>
      </c>
      <c r="M16" s="46">
        <v>1913.9868800000002</v>
      </c>
      <c r="N16" s="46">
        <v>2009.6862240000003</v>
      </c>
      <c r="O16" s="46">
        <f t="shared" si="1"/>
        <v>3798.2331199999999</v>
      </c>
      <c r="P16" s="47">
        <f t="shared" si="2"/>
        <v>357793.55990400002</v>
      </c>
      <c r="Q16" s="47">
        <f t="shared" si="3"/>
        <v>214676.13594239997</v>
      </c>
      <c r="R16" s="47">
        <f t="shared" si="4"/>
        <v>24647.511551520001</v>
      </c>
      <c r="S16" s="47">
        <f t="shared" si="5"/>
        <v>370302.32665920001</v>
      </c>
      <c r="T16" s="47">
        <f t="shared" si="6"/>
        <v>967419.53405711998</v>
      </c>
      <c r="U16" s="48"/>
      <c r="V16" s="48"/>
      <c r="W16" s="48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</row>
    <row r="17" spans="1:187" ht="30">
      <c r="A17" s="11"/>
      <c r="B17" s="43" t="s">
        <v>314</v>
      </c>
      <c r="C17" s="44" t="s">
        <v>78</v>
      </c>
      <c r="D17" s="44" t="s">
        <v>356</v>
      </c>
      <c r="E17" s="45">
        <v>112.92</v>
      </c>
      <c r="F17" s="45">
        <f>168.64-E17</f>
        <v>55.719999999999985</v>
      </c>
      <c r="G17" s="45">
        <v>13.766999999999999</v>
      </c>
      <c r="H17" s="45">
        <v>82.600999999999999</v>
      </c>
      <c r="I17" s="45">
        <f t="shared" si="0"/>
        <v>265.00799999999998</v>
      </c>
      <c r="J17" s="46">
        <v>328.9</v>
      </c>
      <c r="K17" s="46">
        <v>2979.8834999999999</v>
      </c>
      <c r="L17" s="46">
        <v>3099.0788400000001</v>
      </c>
      <c r="M17" s="46">
        <v>1130.912</v>
      </c>
      <c r="N17" s="46">
        <v>1187.4576000000002</v>
      </c>
      <c r="O17" s="46">
        <f t="shared" si="1"/>
        <v>1848.9714999999999</v>
      </c>
      <c r="P17" s="47">
        <f t="shared" si="2"/>
        <v>208785.86177999998</v>
      </c>
      <c r="Q17" s="47">
        <f t="shared" si="3"/>
        <v>103024.69197999996</v>
      </c>
      <c r="R17" s="47">
        <f t="shared" si="4"/>
        <v>26317.289611079999</v>
      </c>
      <c r="S17" s="47">
        <f t="shared" si="5"/>
        <v>157901.82604523998</v>
      </c>
      <c r="T17" s="47">
        <f t="shared" si="6"/>
        <v>496029.66941631993</v>
      </c>
      <c r="U17" s="48"/>
      <c r="V17" s="48"/>
      <c r="W17" s="48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</row>
    <row r="18" spans="1:187" ht="30">
      <c r="A18" s="11"/>
      <c r="B18" s="43" t="s">
        <v>314</v>
      </c>
      <c r="C18" s="44" t="s">
        <v>78</v>
      </c>
      <c r="D18" s="44" t="s">
        <v>357</v>
      </c>
      <c r="E18" s="45">
        <v>160.21</v>
      </c>
      <c r="F18" s="45">
        <f>238.15-E18</f>
        <v>77.94</v>
      </c>
      <c r="G18" s="45">
        <v>34.808</v>
      </c>
      <c r="H18" s="45">
        <f>194.018-G18</f>
        <v>159.21</v>
      </c>
      <c r="I18" s="45">
        <f t="shared" si="0"/>
        <v>432.16800000000001</v>
      </c>
      <c r="J18" s="48">
        <v>432.91</v>
      </c>
      <c r="K18" s="48">
        <v>5127.78</v>
      </c>
      <c r="L18" s="46">
        <v>5332.8912</v>
      </c>
      <c r="M18" s="46">
        <v>1386.7048</v>
      </c>
      <c r="N18" s="46">
        <v>1456.0400400000001</v>
      </c>
      <c r="O18" s="46">
        <f t="shared" si="1"/>
        <v>3741.0751999999998</v>
      </c>
      <c r="P18" s="47">
        <f t="shared" si="2"/>
        <v>599357.65779199998</v>
      </c>
      <c r="Q18" s="47">
        <f t="shared" si="3"/>
        <v>291579.40108799998</v>
      </c>
      <c r="R18" s="47">
        <f t="shared" si="4"/>
        <v>134945.43517728001</v>
      </c>
      <c r="S18" s="47">
        <f t="shared" si="5"/>
        <v>617233.4731836</v>
      </c>
      <c r="T18" s="47">
        <f t="shared" si="6"/>
        <v>1643115.9672408798</v>
      </c>
      <c r="U18" s="48"/>
      <c r="V18" s="48"/>
      <c r="W18" s="48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</row>
    <row r="19" spans="1:187">
      <c r="A19" s="11"/>
      <c r="B19" s="43" t="s">
        <v>17</v>
      </c>
      <c r="C19" s="44" t="s">
        <v>81</v>
      </c>
      <c r="D19" s="44" t="s">
        <v>82</v>
      </c>
      <c r="E19" s="45">
        <v>411.36</v>
      </c>
      <c r="F19" s="45">
        <f>617.04-E19</f>
        <v>205.67999999999995</v>
      </c>
      <c r="G19" s="45">
        <v>68.56</v>
      </c>
      <c r="H19" s="45">
        <f>479.92-G19</f>
        <v>411.36</v>
      </c>
      <c r="I19" s="45">
        <f t="shared" si="0"/>
        <v>1096.96</v>
      </c>
      <c r="J19" s="48">
        <v>1127.27</v>
      </c>
      <c r="K19" s="48">
        <v>2788.02</v>
      </c>
      <c r="L19" s="46">
        <v>2899.5408000000002</v>
      </c>
      <c r="M19" s="46">
        <v>1755.4368000000002</v>
      </c>
      <c r="N19" s="46">
        <v>1843.2086400000003</v>
      </c>
      <c r="O19" s="46">
        <f t="shared" si="1"/>
        <v>1032.5831999999998</v>
      </c>
      <c r="P19" s="47">
        <f t="shared" si="2"/>
        <v>424763.42515199992</v>
      </c>
      <c r="Q19" s="47">
        <f t="shared" si="3"/>
        <v>212381.7125759999</v>
      </c>
      <c r="R19" s="47">
        <f t="shared" si="4"/>
        <v>72422.13288959999</v>
      </c>
      <c r="S19" s="47">
        <f t="shared" si="5"/>
        <v>434532.79733759997</v>
      </c>
      <c r="T19" s="47">
        <f t="shared" si="6"/>
        <v>1144100.0679551999</v>
      </c>
      <c r="U19" s="48"/>
      <c r="V19" s="48"/>
      <c r="W19" s="48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</row>
    <row r="20" spans="1:187" ht="30">
      <c r="A20" s="11"/>
      <c r="B20" s="43" t="s">
        <v>13</v>
      </c>
      <c r="C20" s="44" t="s">
        <v>72</v>
      </c>
      <c r="D20" s="44" t="s">
        <v>355</v>
      </c>
      <c r="E20" s="45">
        <v>40.53</v>
      </c>
      <c r="F20" s="45">
        <f>60.35-E20</f>
        <v>19.82</v>
      </c>
      <c r="G20" s="45">
        <v>7.2</v>
      </c>
      <c r="H20" s="45">
        <f>47.73-G20</f>
        <v>40.529999999999994</v>
      </c>
      <c r="I20" s="45">
        <f t="shared" si="0"/>
        <v>108.07999999999998</v>
      </c>
      <c r="J20" s="48">
        <v>108.08000000000001</v>
      </c>
      <c r="K20" s="48">
        <v>12467.61</v>
      </c>
      <c r="L20" s="46">
        <v>12966.314400000001</v>
      </c>
      <c r="M20" s="46">
        <v>1586</v>
      </c>
      <c r="N20" s="46">
        <v>1586</v>
      </c>
      <c r="O20" s="46">
        <f t="shared" si="1"/>
        <v>10881.61</v>
      </c>
      <c r="P20" s="47">
        <f t="shared" si="2"/>
        <v>441031.65330000006</v>
      </c>
      <c r="Q20" s="47">
        <f t="shared" si="3"/>
        <v>215673.51020000002</v>
      </c>
      <c r="R20" s="47">
        <f t="shared" si="4"/>
        <v>81938.263680000004</v>
      </c>
      <c r="S20" s="47">
        <f t="shared" si="5"/>
        <v>461244.14263199997</v>
      </c>
      <c r="T20" s="47">
        <f t="shared" si="6"/>
        <v>1199887.569812</v>
      </c>
      <c r="U20" s="48"/>
      <c r="V20" s="48"/>
      <c r="W20" s="48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</row>
    <row r="21" spans="1:187" ht="30">
      <c r="A21" s="11"/>
      <c r="B21" s="43" t="s">
        <v>13</v>
      </c>
      <c r="C21" s="44" t="s">
        <v>72</v>
      </c>
      <c r="D21" s="44" t="s">
        <v>354</v>
      </c>
      <c r="E21" s="45">
        <v>532.13199999999995</v>
      </c>
      <c r="F21" s="45">
        <f>750.064-E21</f>
        <v>217.93200000000002</v>
      </c>
      <c r="G21" s="45">
        <v>79.3</v>
      </c>
      <c r="H21" s="45">
        <f>541.058-G21</f>
        <v>461.75799999999998</v>
      </c>
      <c r="I21" s="45">
        <f t="shared" si="0"/>
        <v>1291.1219999999998</v>
      </c>
      <c r="J21" s="46">
        <v>1145.4333333333334</v>
      </c>
      <c r="K21" s="48">
        <v>2242.2800000000002</v>
      </c>
      <c r="L21" s="46">
        <v>2331.9712000000004</v>
      </c>
      <c r="M21" s="46">
        <v>1866.7959672960003</v>
      </c>
      <c r="N21" s="46">
        <v>1827.1468800000002</v>
      </c>
      <c r="O21" s="46">
        <f t="shared" si="1"/>
        <v>375.4840327039999</v>
      </c>
      <c r="P21" s="47">
        <f t="shared" si="2"/>
        <v>199807.06929084487</v>
      </c>
      <c r="Q21" s="47">
        <f t="shared" si="3"/>
        <v>81829.986215248107</v>
      </c>
      <c r="R21" s="47">
        <f t="shared" si="4"/>
        <v>40032.568576000012</v>
      </c>
      <c r="S21" s="47">
        <f t="shared" si="5"/>
        <v>233106.66835456007</v>
      </c>
      <c r="T21" s="47">
        <f t="shared" si="6"/>
        <v>554776.29243665305</v>
      </c>
      <c r="U21" s="48"/>
      <c r="V21" s="48"/>
      <c r="W21" s="48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</row>
    <row r="22" spans="1:187">
      <c r="A22" s="11"/>
      <c r="B22" s="43" t="s">
        <v>2</v>
      </c>
      <c r="C22" s="44" t="s">
        <v>70</v>
      </c>
      <c r="D22" s="44" t="s">
        <v>73</v>
      </c>
      <c r="E22" s="45">
        <v>5160.7849999999999</v>
      </c>
      <c r="F22" s="45">
        <f>7067.368-E22</f>
        <v>1906.5830000000005</v>
      </c>
      <c r="G22" s="45">
        <v>953.62900000000002</v>
      </c>
      <c r="H22" s="45">
        <f>4962.801-G22</f>
        <v>4009.1720000000005</v>
      </c>
      <c r="I22" s="45">
        <f t="shared" si="0"/>
        <v>12030.169000000002</v>
      </c>
      <c r="J22" s="46">
        <v>11891.02925</v>
      </c>
      <c r="K22" s="46">
        <v>2967.0411666666664</v>
      </c>
      <c r="L22" s="46">
        <v>3439.1564707346961</v>
      </c>
      <c r="M22" s="46">
        <v>1551.9064999999998</v>
      </c>
      <c r="N22" s="46">
        <v>1551.9064999999998</v>
      </c>
      <c r="O22" s="46">
        <f t="shared" si="1"/>
        <v>1415.1346666666666</v>
      </c>
      <c r="P22" s="47">
        <f t="shared" si="2"/>
        <v>7303205.7607133323</v>
      </c>
      <c r="Q22" s="47">
        <f t="shared" si="3"/>
        <v>2698071.6981773339</v>
      </c>
      <c r="R22" s="47">
        <f t="shared" si="4"/>
        <v>1799736.3023417578</v>
      </c>
      <c r="S22" s="47">
        <f t="shared" si="5"/>
        <v>7566309.7396703642</v>
      </c>
      <c r="T22" s="47">
        <f t="shared" si="6"/>
        <v>19367323.500902787</v>
      </c>
      <c r="U22" s="48"/>
      <c r="V22" s="48"/>
      <c r="W22" s="48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</row>
    <row r="23" spans="1:187">
      <c r="A23" s="11"/>
      <c r="B23" s="43" t="s">
        <v>27</v>
      </c>
      <c r="C23" s="44" t="s">
        <v>74</v>
      </c>
      <c r="D23" s="44" t="s">
        <v>75</v>
      </c>
      <c r="E23" s="45">
        <v>567.81500000000005</v>
      </c>
      <c r="F23" s="45">
        <f>850.332-E23</f>
        <v>282.51699999999994</v>
      </c>
      <c r="G23" s="45">
        <v>94.103999999999999</v>
      </c>
      <c r="H23" s="45">
        <f>656.874-G23</f>
        <v>562.77</v>
      </c>
      <c r="I23" s="45">
        <f t="shared" si="0"/>
        <v>1507.2060000000001</v>
      </c>
      <c r="J23" s="46">
        <v>1525.2446666666667</v>
      </c>
      <c r="K23" s="48">
        <v>2741.66</v>
      </c>
      <c r="L23" s="46">
        <v>2851.3263999999999</v>
      </c>
      <c r="M23" s="46">
        <v>1550.53</v>
      </c>
      <c r="N23" s="46">
        <v>1628.06</v>
      </c>
      <c r="O23" s="46">
        <f t="shared" si="1"/>
        <v>1191.1299999999999</v>
      </c>
      <c r="P23" s="47">
        <f t="shared" si="2"/>
        <v>676341.48095</v>
      </c>
      <c r="Q23" s="47">
        <f t="shared" si="3"/>
        <v>336514.4742099999</v>
      </c>
      <c r="R23" s="47">
        <f t="shared" si="4"/>
        <v>115114.2613056</v>
      </c>
      <c r="S23" s="47">
        <f t="shared" si="5"/>
        <v>688417.63192800002</v>
      </c>
      <c r="T23" s="47">
        <f t="shared" si="6"/>
        <v>1816387.8483936</v>
      </c>
      <c r="U23" s="48"/>
      <c r="V23" s="48"/>
      <c r="W23" s="48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</row>
    <row r="24" spans="1:187">
      <c r="A24" s="11"/>
      <c r="B24" s="43" t="s">
        <v>7</v>
      </c>
      <c r="C24" s="44" t="s">
        <v>79</v>
      </c>
      <c r="D24" s="44" t="s">
        <v>80</v>
      </c>
      <c r="E24" s="45">
        <v>197.4</v>
      </c>
      <c r="F24" s="45">
        <f>444.15-E24</f>
        <v>246.74999999999997</v>
      </c>
      <c r="G24" s="45">
        <v>62.49</v>
      </c>
      <c r="H24" s="45">
        <f>358.59-G24</f>
        <v>296.09999999999997</v>
      </c>
      <c r="I24" s="45">
        <f t="shared" si="0"/>
        <v>802.74</v>
      </c>
      <c r="J24" s="48">
        <v>789.33</v>
      </c>
      <c r="K24" s="51">
        <v>2735.36</v>
      </c>
      <c r="L24" s="52">
        <v>2844.7744000000002</v>
      </c>
      <c r="M24" s="51">
        <v>1773.16</v>
      </c>
      <c r="N24" s="52">
        <v>1861.8180000000002</v>
      </c>
      <c r="O24" s="46">
        <f t="shared" si="1"/>
        <v>962.2</v>
      </c>
      <c r="P24" s="47">
        <f t="shared" si="2"/>
        <v>189938.28000000003</v>
      </c>
      <c r="Q24" s="47">
        <f t="shared" si="3"/>
        <v>237422.84999999998</v>
      </c>
      <c r="R24" s="47">
        <f t="shared" si="4"/>
        <v>61424.945436000002</v>
      </c>
      <c r="S24" s="47">
        <f t="shared" si="5"/>
        <v>291053.39003999997</v>
      </c>
      <c r="T24" s="47">
        <f t="shared" si="6"/>
        <v>779839.46547599998</v>
      </c>
      <c r="U24" s="48"/>
      <c r="V24" s="48"/>
      <c r="W24" s="48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</row>
    <row r="25" spans="1:187" ht="15.75">
      <c r="A25" s="11"/>
      <c r="B25" s="112" t="s">
        <v>83</v>
      </c>
      <c r="C25" s="112"/>
      <c r="D25" s="112"/>
      <c r="E25" s="49"/>
      <c r="F25" s="49"/>
      <c r="G25" s="42"/>
      <c r="H25" s="42"/>
      <c r="I25" s="45">
        <f t="shared" si="0"/>
        <v>0</v>
      </c>
      <c r="J25" s="48"/>
      <c r="K25" s="40"/>
      <c r="L25" s="40"/>
      <c r="M25" s="40"/>
      <c r="N25" s="40"/>
      <c r="O25" s="46">
        <f t="shared" si="1"/>
        <v>0</v>
      </c>
      <c r="P25" s="47">
        <f t="shared" si="2"/>
        <v>0</v>
      </c>
      <c r="Q25" s="47">
        <f t="shared" si="3"/>
        <v>0</v>
      </c>
      <c r="R25" s="47">
        <f t="shared" si="4"/>
        <v>0</v>
      </c>
      <c r="S25" s="47">
        <f t="shared" si="5"/>
        <v>0</v>
      </c>
      <c r="T25" s="47">
        <f t="shared" si="6"/>
        <v>0</v>
      </c>
      <c r="U25" s="50"/>
      <c r="V25" s="50"/>
      <c r="W25" s="50"/>
    </row>
    <row r="26" spans="1:187">
      <c r="A26" s="11"/>
      <c r="B26" s="43" t="s">
        <v>312</v>
      </c>
      <c r="C26" s="44" t="s">
        <v>86</v>
      </c>
      <c r="D26" s="44" t="s">
        <v>85</v>
      </c>
      <c r="E26" s="45">
        <v>48.66</v>
      </c>
      <c r="F26" s="45">
        <f>71.68-E26</f>
        <v>23.02000000000001</v>
      </c>
      <c r="G26" s="45">
        <v>8.0299999999999994</v>
      </c>
      <c r="H26" s="45">
        <f>56.69-G26</f>
        <v>48.66</v>
      </c>
      <c r="I26" s="45">
        <f t="shared" si="0"/>
        <v>128.37</v>
      </c>
      <c r="J26" s="46">
        <v>159.73801599999999</v>
      </c>
      <c r="K26" s="46">
        <v>3026.57</v>
      </c>
      <c r="L26" s="46">
        <v>3147.6328000000003</v>
      </c>
      <c r="M26" s="46">
        <v>1485.56</v>
      </c>
      <c r="N26" s="46">
        <v>1544.9824000000001</v>
      </c>
      <c r="O26" s="46">
        <f t="shared" si="1"/>
        <v>1541.0100000000002</v>
      </c>
      <c r="P26" s="47">
        <f t="shared" si="2"/>
        <v>74985.546600000001</v>
      </c>
      <c r="Q26" s="47">
        <f t="shared" si="3"/>
        <v>35474.05020000002</v>
      </c>
      <c r="R26" s="47">
        <f t="shared" si="4"/>
        <v>12869.282712</v>
      </c>
      <c r="S26" s="47">
        <f t="shared" si="5"/>
        <v>77984.968464000005</v>
      </c>
      <c r="T26" s="47">
        <f t="shared" si="6"/>
        <v>201313.84797600005</v>
      </c>
      <c r="U26" s="48"/>
      <c r="V26" s="48"/>
      <c r="W26" s="48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</row>
    <row r="27" spans="1:187">
      <c r="A27" s="11"/>
      <c r="B27" s="43" t="s">
        <v>313</v>
      </c>
      <c r="C27" s="44" t="s">
        <v>62</v>
      </c>
      <c r="D27" s="44" t="s">
        <v>84</v>
      </c>
      <c r="E27" s="45">
        <f>37.481+36.507+35.76</f>
        <v>109.74799999999999</v>
      </c>
      <c r="F27" s="45">
        <f>35.76+35.76</f>
        <v>71.52</v>
      </c>
      <c r="G27" s="45">
        <v>37.401000000000003</v>
      </c>
      <c r="H27" s="45">
        <v>76.400000000000006</v>
      </c>
      <c r="I27" s="45">
        <f t="shared" si="0"/>
        <v>295.06899999999996</v>
      </c>
      <c r="J27" s="114">
        <v>1763</v>
      </c>
      <c r="K27" s="46">
        <v>3617.99</v>
      </c>
      <c r="L27" s="46">
        <v>3762.7095999999997</v>
      </c>
      <c r="M27" s="46">
        <v>1514.13</v>
      </c>
      <c r="N27" s="46">
        <v>1544.4126000000001</v>
      </c>
      <c r="O27" s="46">
        <f t="shared" si="1"/>
        <v>2103.8599999999997</v>
      </c>
      <c r="P27" s="47">
        <f t="shared" si="2"/>
        <v>230894.42727999995</v>
      </c>
      <c r="Q27" s="47">
        <f t="shared" si="3"/>
        <v>150468.06719999996</v>
      </c>
      <c r="R27" s="47">
        <f t="shared" si="4"/>
        <v>82966.526096999994</v>
      </c>
      <c r="S27" s="47">
        <f t="shared" si="5"/>
        <v>169477.89079999999</v>
      </c>
      <c r="T27" s="47">
        <f t="shared" si="6"/>
        <v>633806.91137699992</v>
      </c>
      <c r="U27" s="48"/>
      <c r="V27" s="48"/>
      <c r="W27" s="48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</row>
    <row r="28" spans="1:187">
      <c r="A28" s="11"/>
      <c r="B28" s="43" t="s">
        <v>313</v>
      </c>
      <c r="C28" s="44" t="s">
        <v>62</v>
      </c>
      <c r="D28" s="44" t="s">
        <v>85</v>
      </c>
      <c r="E28" s="45">
        <f>420.344-0.266-0.354-0.352</f>
        <v>419.37200000000001</v>
      </c>
      <c r="F28" s="45">
        <f>702.692-E28</f>
        <v>283.32</v>
      </c>
      <c r="G28" s="45">
        <v>291.55</v>
      </c>
      <c r="H28" s="45">
        <v>317.36900000000003</v>
      </c>
      <c r="I28" s="45">
        <f t="shared" si="0"/>
        <v>1311.6109999999999</v>
      </c>
      <c r="J28" s="114"/>
      <c r="K28" s="46">
        <v>3617.99</v>
      </c>
      <c r="L28" s="46">
        <v>3762.7095999999997</v>
      </c>
      <c r="M28" s="46">
        <v>1514.13</v>
      </c>
      <c r="N28" s="46">
        <v>1544.4126000000001</v>
      </c>
      <c r="O28" s="46">
        <f t="shared" si="1"/>
        <v>2103.8599999999997</v>
      </c>
      <c r="P28" s="47">
        <f t="shared" si="2"/>
        <v>882299.97591999988</v>
      </c>
      <c r="Q28" s="47">
        <f t="shared" si="3"/>
        <v>596065.61519999988</v>
      </c>
      <c r="R28" s="47">
        <f t="shared" si="4"/>
        <v>646744.49034999986</v>
      </c>
      <c r="S28" s="47">
        <f t="shared" si="5"/>
        <v>704018.70059299993</v>
      </c>
      <c r="T28" s="47">
        <f t="shared" si="6"/>
        <v>2829128.7820629994</v>
      </c>
      <c r="U28" s="48"/>
      <c r="V28" s="48"/>
      <c r="W28" s="48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</row>
    <row r="29" spans="1:187">
      <c r="A29" s="11"/>
      <c r="B29" s="43" t="s">
        <v>313</v>
      </c>
      <c r="C29" s="44" t="s">
        <v>62</v>
      </c>
      <c r="D29" s="44" t="s">
        <v>92</v>
      </c>
      <c r="E29" s="45">
        <f>525.597</f>
        <v>525.59699999999998</v>
      </c>
      <c r="F29" s="45">
        <f>875.955-E29</f>
        <v>350.35800000000006</v>
      </c>
      <c r="G29" s="45">
        <v>346.79500000000002</v>
      </c>
      <c r="H29" s="45">
        <v>346.79500000000002</v>
      </c>
      <c r="I29" s="45">
        <f t="shared" si="0"/>
        <v>1569.5450000000001</v>
      </c>
      <c r="J29" s="46">
        <v>1613</v>
      </c>
      <c r="K29" s="46">
        <v>4215.43</v>
      </c>
      <c r="L29" s="46">
        <v>4384.0472000000009</v>
      </c>
      <c r="M29" s="46">
        <v>1678.77</v>
      </c>
      <c r="N29" s="46">
        <v>1745.9208000000001</v>
      </c>
      <c r="O29" s="46">
        <f t="shared" si="1"/>
        <v>2536.6600000000003</v>
      </c>
      <c r="P29" s="47">
        <f t="shared" si="2"/>
        <v>1333260.8860200001</v>
      </c>
      <c r="Q29" s="47">
        <f t="shared" si="3"/>
        <v>888739.12428000022</v>
      </c>
      <c r="R29" s="47">
        <f t="shared" si="4"/>
        <v>914889.04488800035</v>
      </c>
      <c r="S29" s="47">
        <f t="shared" si="5"/>
        <v>914889.04488800035</v>
      </c>
      <c r="T29" s="47">
        <f t="shared" si="6"/>
        <v>4051778.1000760011</v>
      </c>
      <c r="U29" s="48"/>
      <c r="V29" s="48"/>
      <c r="W29" s="48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</row>
    <row r="30" spans="1:187">
      <c r="A30" s="11"/>
      <c r="B30" s="43" t="s">
        <v>5</v>
      </c>
      <c r="C30" s="44" t="s">
        <v>90</v>
      </c>
      <c r="D30" s="44" t="s">
        <v>85</v>
      </c>
      <c r="E30" s="45">
        <v>6777.4690000000001</v>
      </c>
      <c r="F30" s="45">
        <f>11278.126-E30</f>
        <v>4500.6570000000002</v>
      </c>
      <c r="G30" s="45">
        <v>2216.4899999999998</v>
      </c>
      <c r="H30" s="45">
        <f>8941.83-G30</f>
        <v>6725.34</v>
      </c>
      <c r="I30" s="45">
        <f t="shared" si="0"/>
        <v>20219.955999999998</v>
      </c>
      <c r="J30" s="46">
        <v>18783</v>
      </c>
      <c r="K30" s="46">
        <v>4104.99</v>
      </c>
      <c r="L30" s="46">
        <v>4269.1895999999997</v>
      </c>
      <c r="M30" s="46">
        <v>1514.13</v>
      </c>
      <c r="N30" s="46">
        <v>1544.4126000000001</v>
      </c>
      <c r="O30" s="46">
        <f t="shared" si="1"/>
        <v>2590.8599999999997</v>
      </c>
      <c r="P30" s="47">
        <f t="shared" si="2"/>
        <v>17559473.333339997</v>
      </c>
      <c r="Q30" s="47">
        <f t="shared" si="3"/>
        <v>11660572.19502</v>
      </c>
      <c r="R30" s="47">
        <f t="shared" si="4"/>
        <v>6039440.9727299986</v>
      </c>
      <c r="S30" s="47">
        <f t="shared" si="5"/>
        <v>18325051.749179997</v>
      </c>
      <c r="T30" s="47">
        <f t="shared" si="6"/>
        <v>53584538.250269987</v>
      </c>
      <c r="U30" s="48"/>
      <c r="V30" s="48"/>
      <c r="W30" s="48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</row>
    <row r="31" spans="1:187">
      <c r="A31" s="11"/>
      <c r="B31" s="43" t="s">
        <v>29</v>
      </c>
      <c r="C31" s="44" t="s">
        <v>87</v>
      </c>
      <c r="D31" s="44" t="s">
        <v>88</v>
      </c>
      <c r="E31" s="45">
        <v>2117.2179999999998</v>
      </c>
      <c r="F31" s="45">
        <f>3359.041-E31</f>
        <v>1241.8230000000003</v>
      </c>
      <c r="G31" s="45">
        <v>546.58699999999999</v>
      </c>
      <c r="H31" s="45">
        <f>2482.738-G31</f>
        <v>1936.1509999999998</v>
      </c>
      <c r="I31" s="45">
        <f t="shared" si="0"/>
        <v>5841.7790000000005</v>
      </c>
      <c r="J31" s="46">
        <v>5751</v>
      </c>
      <c r="K31" s="46">
        <v>3347.75</v>
      </c>
      <c r="L31" s="46">
        <v>3481.6600000000003</v>
      </c>
      <c r="M31" s="46">
        <v>1678.762176</v>
      </c>
      <c r="N31" s="46">
        <v>1745.9126630400001</v>
      </c>
      <c r="O31" s="46">
        <f t="shared" si="1"/>
        <v>1668.987824</v>
      </c>
      <c r="P31" s="47">
        <f t="shared" si="2"/>
        <v>3533611.0627536317</v>
      </c>
      <c r="Q31" s="47">
        <f t="shared" si="3"/>
        <v>2072587.4665631526</v>
      </c>
      <c r="R31" s="47">
        <f t="shared" si="4"/>
        <v>948736.92966695561</v>
      </c>
      <c r="S31" s="47">
        <f t="shared" si="5"/>
        <v>3360668.9422024409</v>
      </c>
      <c r="T31" s="47">
        <f t="shared" si="6"/>
        <v>9915604.4011861812</v>
      </c>
      <c r="U31" s="48"/>
      <c r="V31" s="48"/>
      <c r="W31" s="48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</row>
    <row r="32" spans="1:187">
      <c r="A32" s="11"/>
      <c r="B32" s="43" t="s">
        <v>29</v>
      </c>
      <c r="C32" s="44" t="s">
        <v>87</v>
      </c>
      <c r="D32" s="44" t="s">
        <v>89</v>
      </c>
      <c r="E32" s="45">
        <v>3347.2570000000001</v>
      </c>
      <c r="F32" s="45">
        <f>5483.677-E32</f>
        <v>2136.4199999999996</v>
      </c>
      <c r="G32" s="45">
        <v>855.23299999999995</v>
      </c>
      <c r="H32" s="45">
        <f>4157.942-G32</f>
        <v>3302.7089999999998</v>
      </c>
      <c r="I32" s="45">
        <f t="shared" si="0"/>
        <v>9641.6189999999988</v>
      </c>
      <c r="J32" s="46">
        <v>10756.277</v>
      </c>
      <c r="K32" s="46">
        <v>2972.79</v>
      </c>
      <c r="L32" s="46">
        <v>3091.7015999999999</v>
      </c>
      <c r="M32" s="46">
        <v>1305.7616</v>
      </c>
      <c r="N32" s="46">
        <v>1357.992064</v>
      </c>
      <c r="O32" s="46">
        <f t="shared" si="1"/>
        <v>1667.0283999999999</v>
      </c>
      <c r="P32" s="47">
        <f t="shared" si="2"/>
        <v>5579972.4810988</v>
      </c>
      <c r="Q32" s="47">
        <f t="shared" si="3"/>
        <v>3561472.814327999</v>
      </c>
      <c r="R32" s="47">
        <f t="shared" si="4"/>
        <v>1482725.6076018878</v>
      </c>
      <c r="S32" s="47">
        <f t="shared" si="5"/>
        <v>5725938.0879330235</v>
      </c>
      <c r="T32" s="47">
        <f t="shared" si="6"/>
        <v>16350108.990961712</v>
      </c>
      <c r="U32" s="48"/>
      <c r="V32" s="48"/>
      <c r="W32" s="48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</row>
    <row r="33" spans="1:187" ht="15.75">
      <c r="A33" s="11"/>
      <c r="B33" s="112" t="s">
        <v>93</v>
      </c>
      <c r="C33" s="112"/>
      <c r="D33" s="112"/>
      <c r="E33" s="49"/>
      <c r="F33" s="49"/>
      <c r="G33" s="42"/>
      <c r="H33" s="42"/>
      <c r="I33" s="45">
        <f t="shared" si="0"/>
        <v>0</v>
      </c>
      <c r="J33" s="48"/>
      <c r="K33" s="40"/>
      <c r="L33" s="40"/>
      <c r="M33" s="40"/>
      <c r="N33" s="40"/>
      <c r="O33" s="46">
        <f t="shared" si="1"/>
        <v>0</v>
      </c>
      <c r="P33" s="47">
        <f t="shared" si="2"/>
        <v>0</v>
      </c>
      <c r="Q33" s="47">
        <f t="shared" si="3"/>
        <v>0</v>
      </c>
      <c r="R33" s="47">
        <f t="shared" si="4"/>
        <v>0</v>
      </c>
      <c r="S33" s="47">
        <f t="shared" si="5"/>
        <v>0</v>
      </c>
      <c r="T33" s="47">
        <f t="shared" si="6"/>
        <v>0</v>
      </c>
      <c r="U33" s="50"/>
      <c r="V33" s="50"/>
      <c r="W33" s="50"/>
    </row>
    <row r="34" spans="1:187">
      <c r="A34" s="11"/>
      <c r="B34" s="43" t="s">
        <v>14</v>
      </c>
      <c r="C34" s="44" t="s">
        <v>320</v>
      </c>
      <c r="D34" s="44" t="s">
        <v>98</v>
      </c>
      <c r="E34" s="45">
        <v>5020.0339999999997</v>
      </c>
      <c r="F34" s="45">
        <f>7122.811-E34</f>
        <v>2102.777</v>
      </c>
      <c r="G34" s="45">
        <v>684.80499999999995</v>
      </c>
      <c r="H34" s="45">
        <f>4790.17-G34</f>
        <v>4105.3649999999998</v>
      </c>
      <c r="I34" s="45">
        <f t="shared" si="0"/>
        <v>11912.981</v>
      </c>
      <c r="J34" s="114">
        <v>12692</v>
      </c>
      <c r="K34" s="46">
        <v>2821.52</v>
      </c>
      <c r="L34" s="46">
        <v>2934.3807999999999</v>
      </c>
      <c r="M34" s="46">
        <v>1452.6</v>
      </c>
      <c r="N34" s="46">
        <v>1510.704</v>
      </c>
      <c r="O34" s="46">
        <f t="shared" si="1"/>
        <v>1368.92</v>
      </c>
      <c r="P34" s="47">
        <f t="shared" si="2"/>
        <v>6872024.9432800002</v>
      </c>
      <c r="Q34" s="47">
        <f t="shared" si="3"/>
        <v>2878533.4908400001</v>
      </c>
      <c r="R34" s="47">
        <f t="shared" si="4"/>
        <v>974940.99102399987</v>
      </c>
      <c r="S34" s="47">
        <f t="shared" si="5"/>
        <v>5844712.9060319997</v>
      </c>
      <c r="T34" s="47">
        <f t="shared" si="6"/>
        <v>16570212.331176</v>
      </c>
      <c r="U34" s="48"/>
      <c r="V34" s="48"/>
      <c r="W34" s="48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</row>
    <row r="35" spans="1:187">
      <c r="A35" s="11"/>
      <c r="B35" s="43" t="s">
        <v>14</v>
      </c>
      <c r="C35" s="44" t="s">
        <v>320</v>
      </c>
      <c r="D35" s="44" t="s">
        <v>82</v>
      </c>
      <c r="E35" s="45">
        <v>188.625</v>
      </c>
      <c r="F35" s="45">
        <f>282.195-E35</f>
        <v>93.57</v>
      </c>
      <c r="G35" s="45">
        <v>49.99</v>
      </c>
      <c r="H35" s="45">
        <f>224.67-G35</f>
        <v>174.67999999999998</v>
      </c>
      <c r="I35" s="45">
        <f t="shared" si="0"/>
        <v>506.86500000000001</v>
      </c>
      <c r="J35" s="114"/>
      <c r="K35" s="46">
        <v>2821.52</v>
      </c>
      <c r="L35" s="46">
        <v>2934.3807999999999</v>
      </c>
      <c r="M35" s="46">
        <v>1452.6</v>
      </c>
      <c r="N35" s="46">
        <v>1510.704</v>
      </c>
      <c r="O35" s="46">
        <f t="shared" si="1"/>
        <v>1368.92</v>
      </c>
      <c r="P35" s="47">
        <f t="shared" si="2"/>
        <v>258212.535</v>
      </c>
      <c r="Q35" s="47">
        <f t="shared" si="3"/>
        <v>128089.8444</v>
      </c>
      <c r="R35" s="47">
        <f t="shared" si="4"/>
        <v>71169.603231999994</v>
      </c>
      <c r="S35" s="47">
        <f t="shared" si="5"/>
        <v>248687.86342399995</v>
      </c>
      <c r="T35" s="47">
        <f t="shared" si="6"/>
        <v>706159.84605599998</v>
      </c>
      <c r="U35" s="48"/>
      <c r="V35" s="48"/>
      <c r="W35" s="48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</row>
    <row r="36" spans="1:187" ht="30">
      <c r="A36" s="11" t="s">
        <v>387</v>
      </c>
      <c r="B36" s="43" t="s">
        <v>421</v>
      </c>
      <c r="C36" s="44" t="s">
        <v>422</v>
      </c>
      <c r="D36" s="44" t="s">
        <v>98</v>
      </c>
      <c r="E36" s="45">
        <f>328.2832*0.4</f>
        <v>131.31328000000002</v>
      </c>
      <c r="F36" s="45">
        <f>328.2832*0.6</f>
        <v>196.96992</v>
      </c>
      <c r="G36" s="45">
        <f>257.9368*0.2</f>
        <v>51.587360000000004</v>
      </c>
      <c r="H36" s="45">
        <f>257.9368*0.8</f>
        <v>206.34944000000002</v>
      </c>
      <c r="I36" s="45">
        <f t="shared" si="0"/>
        <v>586.22</v>
      </c>
      <c r="J36" s="46">
        <v>586.22</v>
      </c>
      <c r="K36" s="46">
        <v>2146.13</v>
      </c>
      <c r="L36" s="46">
        <v>2231.98</v>
      </c>
      <c r="M36" s="46">
        <v>1452.6</v>
      </c>
      <c r="N36" s="46">
        <v>1510.7</v>
      </c>
      <c r="O36" s="46">
        <f t="shared" si="1"/>
        <v>693.5300000000002</v>
      </c>
      <c r="P36" s="47">
        <f t="shared" si="2"/>
        <v>91069.699078400037</v>
      </c>
      <c r="Q36" s="47">
        <f t="shared" si="3"/>
        <v>136604.54861760003</v>
      </c>
      <c r="R36" s="47">
        <f t="shared" si="4"/>
        <v>37208.931020800002</v>
      </c>
      <c r="S36" s="47">
        <f t="shared" si="5"/>
        <v>148835.72408320001</v>
      </c>
      <c r="T36" s="47">
        <f t="shared" si="6"/>
        <v>413718.90280000004</v>
      </c>
      <c r="U36" s="48"/>
      <c r="V36" s="48"/>
      <c r="W36" s="48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</row>
    <row r="37" spans="1:187" ht="30">
      <c r="A37" s="11"/>
      <c r="B37" s="43" t="s">
        <v>39</v>
      </c>
      <c r="C37" s="44" t="s">
        <v>102</v>
      </c>
      <c r="D37" s="44" t="s">
        <v>82</v>
      </c>
      <c r="E37" s="45">
        <v>249.64500000000001</v>
      </c>
      <c r="F37" s="45">
        <f>416.075-E37</f>
        <v>166.42999999999998</v>
      </c>
      <c r="G37" s="45">
        <v>83.215000000000003</v>
      </c>
      <c r="H37" s="45">
        <f>332.86-G37</f>
        <v>249.64500000000001</v>
      </c>
      <c r="I37" s="45">
        <f t="shared" si="0"/>
        <v>748.93499999999995</v>
      </c>
      <c r="J37" s="46">
        <v>762.24527999999975</v>
      </c>
      <c r="K37" s="46">
        <v>3279.83</v>
      </c>
      <c r="L37" s="46">
        <v>3411.0232000000001</v>
      </c>
      <c r="M37" s="46">
        <v>1410.78</v>
      </c>
      <c r="N37" s="46">
        <v>1467.2112</v>
      </c>
      <c r="O37" s="46">
        <f t="shared" si="1"/>
        <v>1869.05</v>
      </c>
      <c r="P37" s="47">
        <f t="shared" si="2"/>
        <v>466598.98725000001</v>
      </c>
      <c r="Q37" s="47">
        <f t="shared" si="3"/>
        <v>311065.99149999995</v>
      </c>
      <c r="R37" s="47">
        <f t="shared" si="4"/>
        <v>161754.31558000002</v>
      </c>
      <c r="S37" s="47">
        <f t="shared" si="5"/>
        <v>485262.94674000004</v>
      </c>
      <c r="T37" s="47">
        <f t="shared" si="6"/>
        <v>1424682.24107</v>
      </c>
      <c r="U37" s="48"/>
      <c r="V37" s="48"/>
      <c r="W37" s="48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</row>
    <row r="38" spans="1:187" ht="30">
      <c r="A38" s="11"/>
      <c r="B38" s="43" t="s">
        <v>41</v>
      </c>
      <c r="C38" s="44" t="s">
        <v>103</v>
      </c>
      <c r="D38" s="44" t="s">
        <v>104</v>
      </c>
      <c r="E38" s="45">
        <v>139.65</v>
      </c>
      <c r="F38" s="45">
        <f>230.49-E38</f>
        <v>90.84</v>
      </c>
      <c r="G38" s="45">
        <v>46.55</v>
      </c>
      <c r="H38" s="45">
        <f>186.2-G38</f>
        <v>139.64999999999998</v>
      </c>
      <c r="I38" s="45">
        <f t="shared" si="0"/>
        <v>416.69</v>
      </c>
      <c r="J38" s="46">
        <v>461.75490179999997</v>
      </c>
      <c r="K38" s="46">
        <v>3833.51</v>
      </c>
      <c r="L38" s="46">
        <v>3986.8504000000003</v>
      </c>
      <c r="M38" s="46">
        <v>1383.6</v>
      </c>
      <c r="N38" s="46">
        <v>1438.944</v>
      </c>
      <c r="O38" s="46">
        <f t="shared" si="1"/>
        <v>2449.9100000000003</v>
      </c>
      <c r="P38" s="47">
        <f t="shared" si="2"/>
        <v>342129.93150000006</v>
      </c>
      <c r="Q38" s="47">
        <f t="shared" si="3"/>
        <v>222549.82440000004</v>
      </c>
      <c r="R38" s="47">
        <f t="shared" si="4"/>
        <v>118605.04292000001</v>
      </c>
      <c r="S38" s="47">
        <f t="shared" si="5"/>
        <v>355815.12875999999</v>
      </c>
      <c r="T38" s="47">
        <f t="shared" si="6"/>
        <v>1039099.9275800001</v>
      </c>
      <c r="U38" s="48"/>
      <c r="V38" s="48"/>
      <c r="W38" s="48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</row>
    <row r="39" spans="1:187" ht="30">
      <c r="A39" s="11"/>
      <c r="B39" s="43" t="s">
        <v>40</v>
      </c>
      <c r="C39" s="44" t="s">
        <v>96</v>
      </c>
      <c r="D39" s="44" t="s">
        <v>97</v>
      </c>
      <c r="E39" s="45">
        <v>137.57900000000001</v>
      </c>
      <c r="F39" s="45">
        <f>206.386-E39</f>
        <v>68.806999999999988</v>
      </c>
      <c r="G39" s="45">
        <v>28.872</v>
      </c>
      <c r="H39" s="45">
        <f>165.636-G39</f>
        <v>136.76400000000001</v>
      </c>
      <c r="I39" s="45">
        <f t="shared" si="0"/>
        <v>372.02199999999999</v>
      </c>
      <c r="J39" s="46">
        <v>424.90847700000006</v>
      </c>
      <c r="K39" s="46">
        <v>2862.21</v>
      </c>
      <c r="L39" s="46">
        <v>2976.6984000000002</v>
      </c>
      <c r="M39" s="46">
        <v>1559.6</v>
      </c>
      <c r="N39" s="46">
        <v>1559.6</v>
      </c>
      <c r="O39" s="46">
        <f t="shared" si="1"/>
        <v>1302.6100000000001</v>
      </c>
      <c r="P39" s="47">
        <f t="shared" si="2"/>
        <v>179211.78119000004</v>
      </c>
      <c r="Q39" s="47">
        <f t="shared" si="3"/>
        <v>89628.686269999991</v>
      </c>
      <c r="R39" s="47">
        <f t="shared" si="4"/>
        <v>40914.465004800011</v>
      </c>
      <c r="S39" s="47">
        <f t="shared" si="5"/>
        <v>193808.04557760005</v>
      </c>
      <c r="T39" s="47">
        <f t="shared" si="6"/>
        <v>503562.97804240009</v>
      </c>
      <c r="U39" s="48"/>
      <c r="V39" s="48"/>
      <c r="W39" s="48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</row>
    <row r="40" spans="1:187" ht="30">
      <c r="A40" s="11"/>
      <c r="B40" s="43" t="s">
        <v>311</v>
      </c>
      <c r="C40" s="44" t="s">
        <v>94</v>
      </c>
      <c r="D40" s="44" t="s">
        <v>95</v>
      </c>
      <c r="E40" s="45">
        <v>182.09</v>
      </c>
      <c r="F40" s="45">
        <f>263.43-E40</f>
        <v>81.34</v>
      </c>
      <c r="G40" s="45">
        <v>28.58</v>
      </c>
      <c r="H40" s="45">
        <f>199.4-G40</f>
        <v>170.82</v>
      </c>
      <c r="I40" s="45">
        <f t="shared" si="0"/>
        <v>462.83</v>
      </c>
      <c r="J40" s="46">
        <v>619.14540599999998</v>
      </c>
      <c r="K40" s="46">
        <v>3304.03</v>
      </c>
      <c r="L40" s="46">
        <v>3436.1912000000002</v>
      </c>
      <c r="M40" s="46">
        <v>1355.5</v>
      </c>
      <c r="N40" s="46">
        <v>1409.72</v>
      </c>
      <c r="O40" s="46">
        <f t="shared" si="1"/>
        <v>1948.5300000000002</v>
      </c>
      <c r="P40" s="47">
        <f t="shared" si="2"/>
        <v>354807.82770000002</v>
      </c>
      <c r="Q40" s="47">
        <f t="shared" si="3"/>
        <v>158493.43020000003</v>
      </c>
      <c r="R40" s="47">
        <f t="shared" si="4"/>
        <v>57916.546896</v>
      </c>
      <c r="S40" s="47">
        <f t="shared" si="5"/>
        <v>346161.81038400001</v>
      </c>
      <c r="T40" s="47">
        <f t="shared" si="6"/>
        <v>917379.6151800002</v>
      </c>
      <c r="U40" s="48"/>
      <c r="V40" s="48"/>
      <c r="W40" s="48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</row>
    <row r="41" spans="1:187" ht="30">
      <c r="A41" s="11"/>
      <c r="B41" s="43" t="s">
        <v>38</v>
      </c>
      <c r="C41" s="44" t="s">
        <v>100</v>
      </c>
      <c r="D41" s="44" t="s">
        <v>101</v>
      </c>
      <c r="E41" s="45">
        <v>155.55000000000001</v>
      </c>
      <c r="F41" s="45">
        <f>232.62-E41</f>
        <v>77.069999999999993</v>
      </c>
      <c r="G41" s="45">
        <v>32.840000000000003</v>
      </c>
      <c r="H41" s="45">
        <f>188.39-G41</f>
        <v>155.54999999999998</v>
      </c>
      <c r="I41" s="45">
        <f t="shared" si="0"/>
        <v>421.01</v>
      </c>
      <c r="J41" s="46">
        <v>460.33416</v>
      </c>
      <c r="K41" s="46">
        <v>4009.68</v>
      </c>
      <c r="L41" s="46">
        <v>4170.0672000000004</v>
      </c>
      <c r="M41" s="46">
        <v>1463.98</v>
      </c>
      <c r="N41" s="46">
        <v>1522.5392000000002</v>
      </c>
      <c r="O41" s="46">
        <f t="shared" si="1"/>
        <v>2545.6999999999998</v>
      </c>
      <c r="P41" s="47">
        <f t="shared" si="2"/>
        <v>395983.63500000001</v>
      </c>
      <c r="Q41" s="47">
        <f t="shared" si="3"/>
        <v>196197.09899999996</v>
      </c>
      <c r="R41" s="47">
        <f t="shared" si="4"/>
        <v>86944.819520000019</v>
      </c>
      <c r="S41" s="47">
        <f t="shared" si="5"/>
        <v>411822.9804</v>
      </c>
      <c r="T41" s="47">
        <f t="shared" si="6"/>
        <v>1090948.5339199998</v>
      </c>
      <c r="U41" s="48"/>
      <c r="V41" s="48"/>
      <c r="W41" s="48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</row>
    <row r="42" spans="1:187" ht="30">
      <c r="A42" s="11"/>
      <c r="B42" s="43" t="s">
        <v>42</v>
      </c>
      <c r="C42" s="44" t="s">
        <v>99</v>
      </c>
      <c r="D42" s="44" t="s">
        <v>97</v>
      </c>
      <c r="E42" s="45">
        <v>126.444</v>
      </c>
      <c r="F42" s="45">
        <f>187.627-E42</f>
        <v>61.183000000000007</v>
      </c>
      <c r="G42" s="45">
        <v>26.71</v>
      </c>
      <c r="H42" s="45">
        <f>153.232-G42</f>
        <v>126.52199999999999</v>
      </c>
      <c r="I42" s="45">
        <f t="shared" si="0"/>
        <v>340.85900000000004</v>
      </c>
      <c r="J42" s="46">
        <v>380.6383391999999</v>
      </c>
      <c r="K42" s="46">
        <v>3954.32</v>
      </c>
      <c r="L42" s="46">
        <v>4112.4928</v>
      </c>
      <c r="M42" s="46">
        <v>1537.99</v>
      </c>
      <c r="N42" s="46">
        <v>1537.99</v>
      </c>
      <c r="O42" s="46">
        <f t="shared" si="1"/>
        <v>2416.33</v>
      </c>
      <c r="P42" s="47">
        <f t="shared" si="2"/>
        <v>305530.43051999999</v>
      </c>
      <c r="Q42" s="47">
        <f t="shared" si="3"/>
        <v>147838.31839</v>
      </c>
      <c r="R42" s="47">
        <f t="shared" si="4"/>
        <v>68764.969788000002</v>
      </c>
      <c r="S42" s="47">
        <f t="shared" si="5"/>
        <v>325731.24326160003</v>
      </c>
      <c r="T42" s="47">
        <f t="shared" si="6"/>
        <v>847864.96195959998</v>
      </c>
      <c r="U42" s="48"/>
      <c r="V42" s="48"/>
      <c r="W42" s="48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</row>
    <row r="43" spans="1:187" ht="15.75">
      <c r="A43" s="11"/>
      <c r="B43" s="112" t="s">
        <v>105</v>
      </c>
      <c r="C43" s="112"/>
      <c r="D43" s="112"/>
      <c r="E43" s="49"/>
      <c r="F43" s="49"/>
      <c r="G43" s="42"/>
      <c r="H43" s="42"/>
      <c r="I43" s="45">
        <f t="shared" si="0"/>
        <v>0</v>
      </c>
      <c r="J43" s="48"/>
      <c r="K43" s="40"/>
      <c r="L43" s="40"/>
      <c r="M43" s="40"/>
      <c r="N43" s="40"/>
      <c r="O43" s="46">
        <f t="shared" si="1"/>
        <v>0</v>
      </c>
      <c r="P43" s="47">
        <f t="shared" si="2"/>
        <v>0</v>
      </c>
      <c r="Q43" s="47">
        <f t="shared" si="3"/>
        <v>0</v>
      </c>
      <c r="R43" s="47">
        <f t="shared" si="4"/>
        <v>0</v>
      </c>
      <c r="S43" s="47">
        <f t="shared" si="5"/>
        <v>0</v>
      </c>
      <c r="T43" s="47">
        <f t="shared" si="6"/>
        <v>0</v>
      </c>
      <c r="U43" s="50"/>
      <c r="V43" s="50"/>
      <c r="W43" s="50"/>
    </row>
    <row r="44" spans="1:187" ht="15.75">
      <c r="A44" s="11"/>
      <c r="B44" s="53" t="s">
        <v>21</v>
      </c>
      <c r="C44" s="53" t="s">
        <v>116</v>
      </c>
      <c r="D44" s="54" t="s">
        <v>337</v>
      </c>
      <c r="E44" s="55">
        <v>147.23099999999999</v>
      </c>
      <c r="F44" s="55">
        <f>243.811-E44</f>
        <v>96.580000000000013</v>
      </c>
      <c r="G44" s="55">
        <v>66.087999999999994</v>
      </c>
      <c r="H44" s="55">
        <f>225.647-G44</f>
        <v>159.559</v>
      </c>
      <c r="I44" s="45">
        <f t="shared" si="0"/>
        <v>469.45799999999997</v>
      </c>
      <c r="J44" s="46">
        <v>484.61599999999999</v>
      </c>
      <c r="K44" s="56">
        <v>3252.1684999999998</v>
      </c>
      <c r="L44" s="56">
        <v>3382.25524</v>
      </c>
      <c r="M44" s="56">
        <v>1576.7065599999999</v>
      </c>
      <c r="N44" s="56">
        <v>1639.7748223999999</v>
      </c>
      <c r="O44" s="46">
        <f t="shared" si="1"/>
        <v>1675.4619399999999</v>
      </c>
      <c r="P44" s="47">
        <f t="shared" si="2"/>
        <v>246679.93688813999</v>
      </c>
      <c r="Q44" s="47">
        <f t="shared" si="3"/>
        <v>161816.11416520001</v>
      </c>
      <c r="R44" s="47">
        <f t="shared" si="4"/>
        <v>115157.04583834879</v>
      </c>
      <c r="S44" s="47">
        <f t="shared" si="5"/>
        <v>278028.43295183842</v>
      </c>
      <c r="T44" s="47">
        <f t="shared" si="6"/>
        <v>801681.52984352713</v>
      </c>
      <c r="U44" s="50"/>
      <c r="V44" s="50"/>
      <c r="W44" s="50"/>
    </row>
    <row r="45" spans="1:187">
      <c r="A45" s="11"/>
      <c r="B45" s="43" t="s">
        <v>308</v>
      </c>
      <c r="C45" s="44" t="s">
        <v>113</v>
      </c>
      <c r="D45" s="44" t="s">
        <v>110</v>
      </c>
      <c r="E45" s="45">
        <v>762.6</v>
      </c>
      <c r="F45" s="45">
        <f>1193.7-E45</f>
        <v>431.1</v>
      </c>
      <c r="G45" s="45">
        <v>165.87799999999999</v>
      </c>
      <c r="H45" s="45">
        <f>887.03-G45</f>
        <v>721.15200000000004</v>
      </c>
      <c r="I45" s="45">
        <f t="shared" si="0"/>
        <v>2080.73</v>
      </c>
      <c r="J45" s="57">
        <v>2637.6408626797565</v>
      </c>
      <c r="K45" s="48">
        <v>3702.86</v>
      </c>
      <c r="L45" s="46">
        <v>3850.9744000000001</v>
      </c>
      <c r="M45" s="48">
        <v>1482.94</v>
      </c>
      <c r="N45" s="46">
        <v>1557.0870000000002</v>
      </c>
      <c r="O45" s="46">
        <f t="shared" si="1"/>
        <v>2219.92</v>
      </c>
      <c r="P45" s="47">
        <f t="shared" si="2"/>
        <v>1692910.9920000001</v>
      </c>
      <c r="Q45" s="47">
        <f t="shared" si="3"/>
        <v>957007.5120000001</v>
      </c>
      <c r="R45" s="47">
        <f t="shared" si="4"/>
        <v>380505.45413719991</v>
      </c>
      <c r="S45" s="47">
        <f t="shared" si="5"/>
        <v>1654241.4862847999</v>
      </c>
      <c r="T45" s="47">
        <f t="shared" si="6"/>
        <v>4684665.4444220001</v>
      </c>
      <c r="U45" s="48"/>
      <c r="V45" s="48"/>
      <c r="W45" s="48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</row>
    <row r="46" spans="1:187">
      <c r="A46" s="11"/>
      <c r="B46" s="43" t="s">
        <v>34</v>
      </c>
      <c r="C46" s="44" t="s">
        <v>107</v>
      </c>
      <c r="D46" s="44" t="s">
        <v>108</v>
      </c>
      <c r="E46" s="45">
        <v>3386.902</v>
      </c>
      <c r="F46" s="45">
        <f>5066.528-E46</f>
        <v>1679.6260000000002</v>
      </c>
      <c r="G46" s="45">
        <v>563.83399999999995</v>
      </c>
      <c r="H46" s="45">
        <f>3925.508-G46</f>
        <v>3361.674</v>
      </c>
      <c r="I46" s="45">
        <f t="shared" si="0"/>
        <v>8992.0360000000001</v>
      </c>
      <c r="J46" s="48">
        <v>8907.31</v>
      </c>
      <c r="K46" s="46">
        <v>3015.49</v>
      </c>
      <c r="L46" s="46">
        <v>3136.1095999999998</v>
      </c>
      <c r="M46" s="46">
        <v>1527.959472</v>
      </c>
      <c r="N46" s="46">
        <v>1589.0778508800001</v>
      </c>
      <c r="O46" s="46">
        <f t="shared" si="1"/>
        <v>1487.5305279999998</v>
      </c>
      <c r="P46" s="47">
        <f t="shared" si="2"/>
        <v>5038120.1203442551</v>
      </c>
      <c r="Q46" s="47">
        <f t="shared" si="3"/>
        <v>2498494.9506225279</v>
      </c>
      <c r="R46" s="47">
        <f t="shared" si="4"/>
        <v>872269.0992333258</v>
      </c>
      <c r="S46" s="47">
        <f t="shared" si="5"/>
        <v>5200616.4081912255</v>
      </c>
      <c r="T46" s="47">
        <f t="shared" si="6"/>
        <v>13609500.578391336</v>
      </c>
      <c r="U46" s="48"/>
      <c r="V46" s="48"/>
      <c r="W46" s="48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</row>
    <row r="47" spans="1:187">
      <c r="A47" s="11"/>
      <c r="B47" s="43" t="s">
        <v>34</v>
      </c>
      <c r="C47" s="44" t="s">
        <v>107</v>
      </c>
      <c r="D47" s="44" t="s">
        <v>112</v>
      </c>
      <c r="E47" s="45">
        <v>48.862000000000002</v>
      </c>
      <c r="F47" s="45">
        <f>73.03-E47</f>
        <v>24.167999999999999</v>
      </c>
      <c r="G47" s="45">
        <v>21.33</v>
      </c>
      <c r="H47" s="45">
        <v>127.95</v>
      </c>
      <c r="I47" s="45">
        <f t="shared" si="0"/>
        <v>222.31</v>
      </c>
      <c r="J47" s="46">
        <v>364.10163425999997</v>
      </c>
      <c r="K47" s="46">
        <v>3293.69</v>
      </c>
      <c r="L47" s="46">
        <v>3425.4376000000002</v>
      </c>
      <c r="M47" s="46">
        <v>1510.6618175999999</v>
      </c>
      <c r="N47" s="46">
        <v>1586.1949084800001</v>
      </c>
      <c r="O47" s="46">
        <f t="shared" si="1"/>
        <v>1783.0281824000001</v>
      </c>
      <c r="P47" s="47">
        <f t="shared" si="2"/>
        <v>87122.323048428807</v>
      </c>
      <c r="Q47" s="47">
        <f t="shared" si="3"/>
        <v>43092.225112243199</v>
      </c>
      <c r="R47" s="47">
        <f t="shared" si="4"/>
        <v>39231.046610121601</v>
      </c>
      <c r="S47" s="47">
        <f t="shared" si="5"/>
        <v>235331.10237998402</v>
      </c>
      <c r="T47" s="47">
        <f t="shared" si="6"/>
        <v>404776.69715077768</v>
      </c>
      <c r="U47" s="48"/>
      <c r="V47" s="48"/>
      <c r="W47" s="48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</row>
    <row r="48" spans="1:187">
      <c r="A48" s="11"/>
      <c r="B48" s="43" t="s">
        <v>309</v>
      </c>
      <c r="C48" s="44" t="s">
        <v>111</v>
      </c>
      <c r="D48" s="44" t="s">
        <v>110</v>
      </c>
      <c r="E48" s="45">
        <v>10889.25</v>
      </c>
      <c r="F48" s="45">
        <f>16630.23-E48</f>
        <v>5740.98</v>
      </c>
      <c r="G48" s="45">
        <v>1404.25</v>
      </c>
      <c r="H48" s="45">
        <f>10738.52-G48</f>
        <v>9334.27</v>
      </c>
      <c r="I48" s="45">
        <f t="shared" si="0"/>
        <v>27368.75</v>
      </c>
      <c r="J48" s="46">
        <v>27920</v>
      </c>
      <c r="K48" s="46">
        <v>3242.531833333333</v>
      </c>
      <c r="L48" s="46">
        <v>3372.2331066666666</v>
      </c>
      <c r="M48" s="46">
        <v>1396.0115866666667</v>
      </c>
      <c r="N48" s="46">
        <v>1465.8121660000002</v>
      </c>
      <c r="O48" s="46">
        <f t="shared" si="1"/>
        <v>1846.5202466666663</v>
      </c>
      <c r="P48" s="47">
        <f t="shared" si="2"/>
        <v>20107220.596014995</v>
      </c>
      <c r="Q48" s="47">
        <f t="shared" si="3"/>
        <v>10600835.805708397</v>
      </c>
      <c r="R48" s="47">
        <f t="shared" si="4"/>
        <v>2677091.6059311661</v>
      </c>
      <c r="S48" s="47">
        <f t="shared" si="5"/>
        <v>17795047.793836646</v>
      </c>
      <c r="T48" s="47">
        <f t="shared" si="6"/>
        <v>51180195.801491201</v>
      </c>
      <c r="U48" s="48"/>
      <c r="V48" s="48"/>
      <c r="W48" s="48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</row>
    <row r="49" spans="1:187">
      <c r="A49" s="11"/>
      <c r="B49" s="43" t="s">
        <v>321</v>
      </c>
      <c r="C49" s="44" t="s">
        <v>322</v>
      </c>
      <c r="D49" s="44" t="s">
        <v>106</v>
      </c>
      <c r="E49" s="45">
        <v>77.61</v>
      </c>
      <c r="F49" s="45">
        <f>117.278-E49</f>
        <v>39.668000000000006</v>
      </c>
      <c r="G49" s="45">
        <v>10.94</v>
      </c>
      <c r="H49" s="45">
        <v>78.680000000000007</v>
      </c>
      <c r="I49" s="45">
        <f t="shared" si="0"/>
        <v>206.89800000000002</v>
      </c>
      <c r="J49" s="46">
        <v>211.863834</v>
      </c>
      <c r="K49" s="48">
        <v>3410.03</v>
      </c>
      <c r="L49" s="46">
        <v>3546.4312000000004</v>
      </c>
      <c r="M49" s="46">
        <v>1604.0030240000001</v>
      </c>
      <c r="N49" s="46">
        <v>1668.1631449600002</v>
      </c>
      <c r="O49" s="46">
        <f t="shared" si="1"/>
        <v>1806.0269760000001</v>
      </c>
      <c r="P49" s="47">
        <f t="shared" si="2"/>
        <v>140165.75360736001</v>
      </c>
      <c r="Q49" s="47">
        <f t="shared" si="3"/>
        <v>71641.478083968017</v>
      </c>
      <c r="R49" s="47">
        <f t="shared" si="4"/>
        <v>20548.252522137602</v>
      </c>
      <c r="S49" s="47">
        <f t="shared" si="5"/>
        <v>147782.13057054725</v>
      </c>
      <c r="T49" s="47">
        <f t="shared" si="6"/>
        <v>380137.6147840129</v>
      </c>
      <c r="U49" s="48"/>
      <c r="V49" s="48"/>
      <c r="W49" s="48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</row>
    <row r="50" spans="1:187">
      <c r="A50" s="11"/>
      <c r="B50" s="43" t="s">
        <v>321</v>
      </c>
      <c r="C50" s="44" t="s">
        <v>322</v>
      </c>
      <c r="D50" s="44" t="s">
        <v>114</v>
      </c>
      <c r="E50" s="45">
        <v>34.56</v>
      </c>
      <c r="F50" s="45">
        <f>52.223-E50</f>
        <v>17.662999999999997</v>
      </c>
      <c r="G50" s="45">
        <v>5.94</v>
      </c>
      <c r="H50" s="45">
        <v>33.47</v>
      </c>
      <c r="I50" s="45">
        <f t="shared" si="0"/>
        <v>91.632999999999996</v>
      </c>
      <c r="J50" s="114">
        <v>288.54836</v>
      </c>
      <c r="K50" s="48">
        <v>5063.78</v>
      </c>
      <c r="L50" s="46">
        <v>5266.3311999999996</v>
      </c>
      <c r="M50" s="46">
        <v>1527.9576000000002</v>
      </c>
      <c r="N50" s="46">
        <v>1589.0759040000003</v>
      </c>
      <c r="O50" s="46">
        <f t="shared" si="1"/>
        <v>3535.8223999999996</v>
      </c>
      <c r="P50" s="47">
        <f t="shared" si="2"/>
        <v>122198.02214399999</v>
      </c>
      <c r="Q50" s="47">
        <f t="shared" si="3"/>
        <v>62453.231051199982</v>
      </c>
      <c r="R50" s="47">
        <f t="shared" si="4"/>
        <v>21842.896458239997</v>
      </c>
      <c r="S50" s="47">
        <f t="shared" si="5"/>
        <v>123077.73475711998</v>
      </c>
      <c r="T50" s="47">
        <f t="shared" si="6"/>
        <v>329571.88441055996</v>
      </c>
      <c r="U50" s="48"/>
      <c r="V50" s="48"/>
      <c r="W50" s="48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</row>
    <row r="51" spans="1:187">
      <c r="A51" s="11"/>
      <c r="B51" s="43" t="s">
        <v>321</v>
      </c>
      <c r="C51" s="44" t="s">
        <v>322</v>
      </c>
      <c r="D51" s="44" t="s">
        <v>115</v>
      </c>
      <c r="E51" s="45">
        <v>71.13</v>
      </c>
      <c r="F51" s="45">
        <f>106.743-E51</f>
        <v>35.613</v>
      </c>
      <c r="G51" s="45">
        <v>12.54</v>
      </c>
      <c r="H51" s="45">
        <v>70.099999999999994</v>
      </c>
      <c r="I51" s="45">
        <f t="shared" si="0"/>
        <v>189.38299999999998</v>
      </c>
      <c r="J51" s="114"/>
      <c r="K51" s="48">
        <v>5063.78</v>
      </c>
      <c r="L51" s="46">
        <v>5266.3311999999996</v>
      </c>
      <c r="M51" s="46">
        <v>1527.9576000000002</v>
      </c>
      <c r="N51" s="46">
        <v>1589.0759040000003</v>
      </c>
      <c r="O51" s="46">
        <f t="shared" si="1"/>
        <v>3535.8223999999996</v>
      </c>
      <c r="P51" s="47">
        <f t="shared" si="2"/>
        <v>251503.04731199995</v>
      </c>
      <c r="Q51" s="47">
        <f t="shared" si="3"/>
        <v>125921.24313119998</v>
      </c>
      <c r="R51" s="47">
        <f t="shared" si="4"/>
        <v>46112.781411839991</v>
      </c>
      <c r="S51" s="47">
        <f t="shared" si="5"/>
        <v>257775.59624959994</v>
      </c>
      <c r="T51" s="47">
        <f t="shared" si="6"/>
        <v>681312.66810463986</v>
      </c>
      <c r="U51" s="48"/>
      <c r="V51" s="48"/>
      <c r="W51" s="48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</row>
    <row r="52" spans="1:187">
      <c r="A52" s="11"/>
      <c r="B52" s="43" t="s">
        <v>310</v>
      </c>
      <c r="C52" s="44" t="s">
        <v>109</v>
      </c>
      <c r="D52" s="44" t="s">
        <v>110</v>
      </c>
      <c r="E52" s="45">
        <v>225.751</v>
      </c>
      <c r="F52" s="45">
        <f>342.108-E52</f>
        <v>116.357</v>
      </c>
      <c r="G52" s="45">
        <v>10.215999999999999</v>
      </c>
      <c r="H52" s="45">
        <f>189.128-G52</f>
        <v>178.91199999999998</v>
      </c>
      <c r="I52" s="45">
        <f t="shared" si="0"/>
        <v>531.23599999999999</v>
      </c>
      <c r="J52" s="46">
        <v>506.24666666666667</v>
      </c>
      <c r="K52" s="46">
        <v>2651.41</v>
      </c>
      <c r="L52" s="46">
        <v>2757.4663999999998</v>
      </c>
      <c r="M52" s="46">
        <v>2044.9630240000001</v>
      </c>
      <c r="N52" s="46">
        <v>2126.7615449600003</v>
      </c>
      <c r="O52" s="46">
        <f t="shared" si="1"/>
        <v>606.44697599999972</v>
      </c>
      <c r="P52" s="47">
        <f t="shared" si="2"/>
        <v>136906.01127897593</v>
      </c>
      <c r="Q52" s="47">
        <f t="shared" si="3"/>
        <v>70564.350786431969</v>
      </c>
      <c r="R52" s="47">
        <f t="shared" si="4"/>
        <v>6443.2807990886349</v>
      </c>
      <c r="S52" s="47">
        <f t="shared" si="5"/>
        <v>112840.66702491639</v>
      </c>
      <c r="T52" s="47">
        <f t="shared" si="6"/>
        <v>326754.30988941295</v>
      </c>
      <c r="U52" s="48"/>
      <c r="V52" s="48"/>
      <c r="W52" s="48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</row>
    <row r="53" spans="1:187">
      <c r="A53" s="11" t="s">
        <v>387</v>
      </c>
      <c r="B53" s="43">
        <v>7729314745</v>
      </c>
      <c r="C53" s="44" t="s">
        <v>391</v>
      </c>
      <c r="D53" s="44" t="s">
        <v>110</v>
      </c>
      <c r="E53" s="45">
        <f>476.839*0.6</f>
        <v>286.10339999999997</v>
      </c>
      <c r="F53" s="45">
        <f>476.839*0.4</f>
        <v>190.73560000000001</v>
      </c>
      <c r="G53" s="45">
        <f>390.141*0.8</f>
        <v>312.11280000000005</v>
      </c>
      <c r="H53" s="45">
        <f>390.141*0.2</f>
        <v>78.028200000000012</v>
      </c>
      <c r="I53" s="45">
        <f t="shared" si="0"/>
        <v>866.98</v>
      </c>
      <c r="J53" s="46">
        <v>866.98</v>
      </c>
      <c r="K53" s="46">
        <v>2621.97</v>
      </c>
      <c r="L53" s="46">
        <v>2726.85</v>
      </c>
      <c r="M53" s="46">
        <v>1555.83</v>
      </c>
      <c r="N53" s="46">
        <v>1586.95</v>
      </c>
      <c r="O53" s="46">
        <f t="shared" si="1"/>
        <v>1066.1399999999999</v>
      </c>
      <c r="P53" s="47">
        <f t="shared" si="2"/>
        <v>305026.27887599991</v>
      </c>
      <c r="Q53" s="47">
        <f t="shared" si="3"/>
        <v>203350.85258399998</v>
      </c>
      <c r="R53" s="47">
        <f t="shared" si="4"/>
        <v>355777.38072000002</v>
      </c>
      <c r="S53" s="47">
        <f t="shared" si="5"/>
        <v>88944.345180000004</v>
      </c>
      <c r="T53" s="47">
        <f t="shared" si="6"/>
        <v>953098.85735999979</v>
      </c>
      <c r="U53" s="48"/>
      <c r="V53" s="48"/>
      <c r="W53" s="48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</row>
    <row r="54" spans="1:187">
      <c r="A54" s="11" t="s">
        <v>387</v>
      </c>
      <c r="B54" s="43" t="s">
        <v>398</v>
      </c>
      <c r="C54" s="44" t="s">
        <v>397</v>
      </c>
      <c r="D54" s="44" t="s">
        <v>112</v>
      </c>
      <c r="E54" s="45">
        <f>127.458907317*0.6</f>
        <v>76.475344390199993</v>
      </c>
      <c r="F54" s="45">
        <f>127.458907317*0.4</f>
        <v>50.983562926800005</v>
      </c>
      <c r="G54" s="45">
        <f>83.915731683*0.2</f>
        <v>16.783146336600002</v>
      </c>
      <c r="H54" s="45">
        <f>83.915731683*0.8</f>
        <v>67.132585346400006</v>
      </c>
      <c r="I54" s="45">
        <f t="shared" si="0"/>
        <v>211.374639</v>
      </c>
      <c r="J54" s="46">
        <v>211.374639</v>
      </c>
      <c r="K54" s="46">
        <v>2286.4299999999998</v>
      </c>
      <c r="L54" s="46">
        <v>2377.8872000000001</v>
      </c>
      <c r="M54" s="46">
        <v>1510.66</v>
      </c>
      <c r="N54" s="46">
        <v>1586.1930000000002</v>
      </c>
      <c r="O54" s="46">
        <f t="shared" si="1"/>
        <v>775.76999999999975</v>
      </c>
      <c r="P54" s="47">
        <f t="shared" si="2"/>
        <v>59327.27791758543</v>
      </c>
      <c r="Q54" s="47">
        <f t="shared" si="3"/>
        <v>39551.51861172363</v>
      </c>
      <c r="R54" s="47">
        <f t="shared" si="4"/>
        <v>13287.119612437467</v>
      </c>
      <c r="S54" s="47">
        <f t="shared" si="5"/>
        <v>53148.478449749869</v>
      </c>
      <c r="T54" s="47">
        <f t="shared" si="6"/>
        <v>165314.39459149641</v>
      </c>
      <c r="U54" s="48"/>
      <c r="V54" s="48"/>
      <c r="W54" s="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</row>
    <row r="55" spans="1:187" ht="15.75">
      <c r="A55" s="11"/>
      <c r="B55" s="112" t="s">
        <v>119</v>
      </c>
      <c r="C55" s="112"/>
      <c r="D55" s="112"/>
      <c r="E55" s="49"/>
      <c r="F55" s="49"/>
      <c r="G55" s="42"/>
      <c r="H55" s="42"/>
      <c r="I55" s="45">
        <f t="shared" si="0"/>
        <v>0</v>
      </c>
      <c r="J55" s="48"/>
      <c r="K55" s="40"/>
      <c r="L55" s="40"/>
      <c r="M55" s="40"/>
      <c r="N55" s="40"/>
      <c r="O55" s="46">
        <f t="shared" si="1"/>
        <v>0</v>
      </c>
      <c r="P55" s="47">
        <f t="shared" si="2"/>
        <v>0</v>
      </c>
      <c r="Q55" s="47">
        <f t="shared" si="3"/>
        <v>0</v>
      </c>
      <c r="R55" s="47">
        <f t="shared" si="4"/>
        <v>0</v>
      </c>
      <c r="S55" s="47">
        <f t="shared" si="5"/>
        <v>0</v>
      </c>
      <c r="T55" s="47">
        <f t="shared" si="6"/>
        <v>0</v>
      </c>
      <c r="U55" s="50"/>
      <c r="V55" s="50"/>
      <c r="W55" s="50"/>
    </row>
    <row r="56" spans="1:187">
      <c r="A56" s="11"/>
      <c r="B56" s="43" t="s">
        <v>28</v>
      </c>
      <c r="C56" s="44" t="s">
        <v>123</v>
      </c>
      <c r="D56" s="44" t="s">
        <v>121</v>
      </c>
      <c r="E56" s="45">
        <v>539.83600000000001</v>
      </c>
      <c r="F56" s="45">
        <f>744.701-E56</f>
        <v>204.86500000000001</v>
      </c>
      <c r="G56" s="45">
        <v>70.316999999999993</v>
      </c>
      <c r="H56" s="45">
        <f>511.061-G56</f>
        <v>440.74399999999997</v>
      </c>
      <c r="I56" s="45">
        <f t="shared" si="0"/>
        <v>1255.7619999999999</v>
      </c>
      <c r="J56" s="46">
        <v>1059.4000000000001</v>
      </c>
      <c r="K56" s="46">
        <v>5620.41</v>
      </c>
      <c r="L56" s="46">
        <v>5957.6346000000003</v>
      </c>
      <c r="M56" s="46">
        <v>1510.6312</v>
      </c>
      <c r="N56" s="46">
        <v>1555.9501360000002</v>
      </c>
      <c r="O56" s="46">
        <f t="shared" si="1"/>
        <v>4109.7788</v>
      </c>
      <c r="P56" s="47">
        <f t="shared" si="2"/>
        <v>2218606.5482768002</v>
      </c>
      <c r="Q56" s="47">
        <f t="shared" si="3"/>
        <v>841949.83386200003</v>
      </c>
      <c r="R56" s="47">
        <f t="shared" si="4"/>
        <v>309513.24645508797</v>
      </c>
      <c r="S56" s="47">
        <f t="shared" si="5"/>
        <v>1940016.0174012159</v>
      </c>
      <c r="T56" s="47">
        <f t="shared" si="6"/>
        <v>5310085.6459951038</v>
      </c>
      <c r="U56" s="48"/>
      <c r="V56" s="48"/>
      <c r="W56" s="48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</row>
    <row r="57" spans="1:187" ht="30">
      <c r="A57" s="11"/>
      <c r="B57" s="43" t="s">
        <v>2</v>
      </c>
      <c r="C57" s="44" t="s">
        <v>70</v>
      </c>
      <c r="D57" s="44" t="s">
        <v>347</v>
      </c>
      <c r="E57" s="45">
        <v>574.89300000000003</v>
      </c>
      <c r="F57" s="45">
        <f>766.524-E57</f>
        <v>191.63099999999997</v>
      </c>
      <c r="G57" s="45">
        <v>191.631</v>
      </c>
      <c r="H57" s="45">
        <f>766.524-G57</f>
        <v>574.89300000000003</v>
      </c>
      <c r="I57" s="45">
        <f t="shared" si="0"/>
        <v>1533.048</v>
      </c>
      <c r="J57" s="46">
        <v>1555.9259999999999</v>
      </c>
      <c r="K57" s="46">
        <v>2601.4968333333336</v>
      </c>
      <c r="L57" s="46">
        <v>2705.5567066666672</v>
      </c>
      <c r="M57" s="46">
        <v>1426.6200000000001</v>
      </c>
      <c r="N57" s="46">
        <v>1497.9510000000002</v>
      </c>
      <c r="O57" s="46">
        <f t="shared" si="1"/>
        <v>1174.8768333333335</v>
      </c>
      <c r="P57" s="47">
        <f t="shared" si="2"/>
        <v>675428.46734550013</v>
      </c>
      <c r="Q57" s="47">
        <f t="shared" si="3"/>
        <v>225142.8224485</v>
      </c>
      <c r="R57" s="47">
        <f t="shared" si="4"/>
        <v>231414.68917424005</v>
      </c>
      <c r="S57" s="47">
        <f t="shared" si="5"/>
        <v>694244.0675227202</v>
      </c>
      <c r="T57" s="47">
        <f t="shared" si="6"/>
        <v>1826230.0464909603</v>
      </c>
      <c r="U57" s="48"/>
      <c r="V57" s="48"/>
      <c r="W57" s="48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</row>
    <row r="58" spans="1:187" ht="30">
      <c r="A58" s="11"/>
      <c r="B58" s="43" t="s">
        <v>2</v>
      </c>
      <c r="C58" s="44" t="s">
        <v>70</v>
      </c>
      <c r="D58" s="44" t="s">
        <v>348</v>
      </c>
      <c r="E58" s="45">
        <v>711.60599999999999</v>
      </c>
      <c r="F58" s="45">
        <f>948.808-E58</f>
        <v>237.202</v>
      </c>
      <c r="G58" s="45">
        <v>234.85400000000001</v>
      </c>
      <c r="H58" s="45">
        <f>945.002-G58</f>
        <v>710.14799999999991</v>
      </c>
      <c r="I58" s="45">
        <f t="shared" si="0"/>
        <v>1893.81</v>
      </c>
      <c r="J58" s="46">
        <v>1878.5139999999997</v>
      </c>
      <c r="K58" s="46">
        <v>2601.4968333333336</v>
      </c>
      <c r="L58" s="46">
        <v>2705.5567066666672</v>
      </c>
      <c r="M58" s="46">
        <v>1321.1869999999999</v>
      </c>
      <c r="N58" s="46">
        <v>1387.2463499999999</v>
      </c>
      <c r="O58" s="46">
        <f t="shared" si="1"/>
        <v>1280.3098333333337</v>
      </c>
      <c r="P58" s="47">
        <f t="shared" si="2"/>
        <v>911076.15925900021</v>
      </c>
      <c r="Q58" s="47">
        <f t="shared" si="3"/>
        <v>303692.05308633344</v>
      </c>
      <c r="R58" s="47">
        <f t="shared" si="4"/>
        <v>309610.4605045935</v>
      </c>
      <c r="S58" s="47">
        <f t="shared" si="5"/>
        <v>936195.46316612035</v>
      </c>
      <c r="T58" s="47">
        <f t="shared" si="6"/>
        <v>2460574.1360160476</v>
      </c>
      <c r="U58" s="48"/>
      <c r="V58" s="48"/>
      <c r="W58" s="48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</row>
    <row r="59" spans="1:187">
      <c r="A59" s="11"/>
      <c r="B59" s="43" t="s">
        <v>2</v>
      </c>
      <c r="C59" s="44" t="s">
        <v>70</v>
      </c>
      <c r="D59" s="44" t="s">
        <v>122</v>
      </c>
      <c r="E59" s="45">
        <v>4759.9880000000003</v>
      </c>
      <c r="F59" s="45">
        <f>6408.324-E59</f>
        <v>1648.3359999999993</v>
      </c>
      <c r="G59" s="45">
        <v>1630.97</v>
      </c>
      <c r="H59" s="45">
        <f>6415.395-G59</f>
        <v>4784.4250000000002</v>
      </c>
      <c r="I59" s="45">
        <f t="shared" si="0"/>
        <v>12823.719000000001</v>
      </c>
      <c r="J59" s="46">
        <v>12633.279952000003</v>
      </c>
      <c r="K59" s="46">
        <v>2040.2593333333334</v>
      </c>
      <c r="L59" s="46">
        <v>2121.8697066666668</v>
      </c>
      <c r="M59" s="46">
        <v>1456.5231666666668</v>
      </c>
      <c r="N59" s="46">
        <v>1529.3493250000001</v>
      </c>
      <c r="O59" s="46">
        <f t="shared" si="1"/>
        <v>583.73616666666658</v>
      </c>
      <c r="P59" s="47">
        <f t="shared" si="2"/>
        <v>2778577.1484993333</v>
      </c>
      <c r="Q59" s="47">
        <f t="shared" si="3"/>
        <v>962193.33801866614</v>
      </c>
      <c r="R59" s="47">
        <f t="shared" si="4"/>
        <v>966382.96688688337</v>
      </c>
      <c r="S59" s="47">
        <f t="shared" si="5"/>
        <v>2834869.3270555418</v>
      </c>
      <c r="T59" s="47">
        <f t="shared" si="6"/>
        <v>7542022.7804604247</v>
      </c>
      <c r="U59" s="48"/>
      <c r="V59" s="48"/>
      <c r="W59" s="48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</row>
    <row r="60" spans="1:187" ht="30">
      <c r="A60" s="11"/>
      <c r="B60" s="43" t="s">
        <v>2</v>
      </c>
      <c r="C60" s="44" t="s">
        <v>70</v>
      </c>
      <c r="D60" s="44" t="s">
        <v>349</v>
      </c>
      <c r="E60" s="45">
        <v>4802.9120000000003</v>
      </c>
      <c r="F60" s="45">
        <f>6874.341-E60</f>
        <v>2071.4290000000001</v>
      </c>
      <c r="G60" s="45">
        <v>788.15899999999999</v>
      </c>
      <c r="H60" s="45">
        <f>4714.56-G60</f>
        <v>3926.4010000000003</v>
      </c>
      <c r="I60" s="45">
        <f t="shared" si="0"/>
        <v>11588.901</v>
      </c>
      <c r="J60" s="46">
        <v>11141.36</v>
      </c>
      <c r="K60" s="46">
        <v>4331.9766666666665</v>
      </c>
      <c r="L60" s="46">
        <v>4505.2557333333334</v>
      </c>
      <c r="M60" s="46">
        <v>1433.4840000000002</v>
      </c>
      <c r="N60" s="46">
        <v>1490.8233600000003</v>
      </c>
      <c r="O60" s="46">
        <f t="shared" si="1"/>
        <v>2898.4926666666661</v>
      </c>
      <c r="P60" s="47">
        <f t="shared" si="2"/>
        <v>13921205.210645331</v>
      </c>
      <c r="Q60" s="47">
        <f t="shared" si="3"/>
        <v>6004021.7660206659</v>
      </c>
      <c r="R60" s="47">
        <f t="shared" si="4"/>
        <v>2375852.0049340264</v>
      </c>
      <c r="S60" s="47">
        <f t="shared" si="5"/>
        <v>11835870.285088373</v>
      </c>
      <c r="T60" s="47">
        <f t="shared" si="6"/>
        <v>34136949.266688399</v>
      </c>
      <c r="U60" s="48"/>
      <c r="V60" s="48"/>
      <c r="W60" s="48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</row>
    <row r="61" spans="1:187" ht="30">
      <c r="A61" s="11"/>
      <c r="B61" s="43" t="s">
        <v>2</v>
      </c>
      <c r="C61" s="44" t="s">
        <v>70</v>
      </c>
      <c r="D61" s="44" t="s">
        <v>350</v>
      </c>
      <c r="E61" s="45">
        <v>920.678</v>
      </c>
      <c r="F61" s="45">
        <f>1310.799-E61</f>
        <v>390.12099999999998</v>
      </c>
      <c r="G61" s="45">
        <v>90.331000000000003</v>
      </c>
      <c r="H61" s="45">
        <f>697.524-G61</f>
        <v>607.19299999999998</v>
      </c>
      <c r="I61" s="45">
        <f t="shared" si="0"/>
        <v>2008.3229999999999</v>
      </c>
      <c r="J61" s="46">
        <v>1963.097</v>
      </c>
      <c r="K61" s="46">
        <v>4331.9766666666665</v>
      </c>
      <c r="L61" s="46">
        <v>4505.2557333333334</v>
      </c>
      <c r="M61" s="46">
        <v>2066.8440000000005</v>
      </c>
      <c r="N61" s="46">
        <v>2170.1862000000006</v>
      </c>
      <c r="O61" s="46">
        <f t="shared" si="1"/>
        <v>2265.132666666666</v>
      </c>
      <c r="P61" s="47">
        <f t="shared" si="2"/>
        <v>2085457.8132813326</v>
      </c>
      <c r="Q61" s="47">
        <f t="shared" si="3"/>
        <v>883675.82105266629</v>
      </c>
      <c r="R61" s="47">
        <f t="shared" si="4"/>
        <v>210929.16601553329</v>
      </c>
      <c r="S61" s="47">
        <f t="shared" si="5"/>
        <v>1417837.8751532664</v>
      </c>
      <c r="T61" s="47">
        <f t="shared" si="6"/>
        <v>4597900.6755027985</v>
      </c>
      <c r="U61" s="48"/>
      <c r="V61" s="48"/>
      <c r="W61" s="48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</row>
    <row r="62" spans="1:187" ht="30">
      <c r="A62" s="11"/>
      <c r="B62" s="43" t="s">
        <v>2</v>
      </c>
      <c r="C62" s="44" t="s">
        <v>70</v>
      </c>
      <c r="D62" s="44" t="s">
        <v>351</v>
      </c>
      <c r="E62" s="45">
        <v>458.47699999999998</v>
      </c>
      <c r="F62" s="45">
        <f>626.965-E62</f>
        <v>168.48800000000006</v>
      </c>
      <c r="G62" s="45">
        <v>154.20500000000001</v>
      </c>
      <c r="H62" s="45">
        <f>575.479-G62</f>
        <v>421.274</v>
      </c>
      <c r="I62" s="45">
        <f t="shared" si="0"/>
        <v>1202.444</v>
      </c>
      <c r="J62" s="46">
        <v>1236.471</v>
      </c>
      <c r="K62" s="46">
        <v>4331.9766666666665</v>
      </c>
      <c r="L62" s="46">
        <v>4505.2557333333334</v>
      </c>
      <c r="M62" s="46">
        <v>1346.3753333333334</v>
      </c>
      <c r="N62" s="46">
        <v>1400.2303466666667</v>
      </c>
      <c r="O62" s="46">
        <f t="shared" si="1"/>
        <v>2985.6013333333331</v>
      </c>
      <c r="P62" s="47">
        <f t="shared" si="2"/>
        <v>1368829.5425026664</v>
      </c>
      <c r="Q62" s="47">
        <f t="shared" si="3"/>
        <v>503037.99745066679</v>
      </c>
      <c r="R62" s="47">
        <f t="shared" si="4"/>
        <v>478810.43975093338</v>
      </c>
      <c r="S62" s="47">
        <f t="shared" si="5"/>
        <v>1308066.4647426133</v>
      </c>
      <c r="T62" s="47">
        <f t="shared" si="6"/>
        <v>3658744.4444468794</v>
      </c>
      <c r="U62" s="48"/>
      <c r="V62" s="48"/>
      <c r="W62" s="48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</row>
    <row r="63" spans="1:187">
      <c r="A63" s="11" t="s">
        <v>387</v>
      </c>
      <c r="B63" s="43" t="s">
        <v>384</v>
      </c>
      <c r="C63" s="44" t="s">
        <v>385</v>
      </c>
      <c r="D63" s="44" t="s">
        <v>386</v>
      </c>
      <c r="E63" s="45">
        <f>290.1134384*0.6</f>
        <v>174.06806304</v>
      </c>
      <c r="F63" s="45">
        <f>290.1134384*0.4</f>
        <v>116.04537536000001</v>
      </c>
      <c r="G63" s="45">
        <f>224.4545616*0.2</f>
        <v>44.890912320000005</v>
      </c>
      <c r="H63" s="45">
        <f>224.4545616*0.8</f>
        <v>179.56364928000002</v>
      </c>
      <c r="I63" s="45">
        <f t="shared" si="0"/>
        <v>514.56799999999998</v>
      </c>
      <c r="J63" s="46">
        <v>514.5680000000001</v>
      </c>
      <c r="K63" s="46">
        <v>2276.33</v>
      </c>
      <c r="L63" s="46">
        <v>2367.3832000000002</v>
      </c>
      <c r="M63" s="46">
        <v>1822.2911999999999</v>
      </c>
      <c r="N63" s="46">
        <v>1840.5141119999998</v>
      </c>
      <c r="O63" s="46">
        <f t="shared" si="1"/>
        <v>454.03880000000004</v>
      </c>
      <c r="P63" s="47">
        <f t="shared" si="2"/>
        <v>79033.654461005965</v>
      </c>
      <c r="Q63" s="47">
        <f t="shared" si="3"/>
        <v>52689.102974003974</v>
      </c>
      <c r="R63" s="47">
        <f t="shared" si="4"/>
        <v>23651.634033526385</v>
      </c>
      <c r="S63" s="47">
        <f t="shared" si="5"/>
        <v>94606.53613410554</v>
      </c>
      <c r="T63" s="47">
        <f t="shared" si="6"/>
        <v>249980.92760264187</v>
      </c>
      <c r="U63" s="48"/>
      <c r="V63" s="48"/>
      <c r="W63" s="48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</row>
    <row r="64" spans="1:187">
      <c r="A64" s="11"/>
      <c r="B64" s="43" t="s">
        <v>388</v>
      </c>
      <c r="C64" s="44" t="s">
        <v>389</v>
      </c>
      <c r="D64" s="44" t="s">
        <v>386</v>
      </c>
      <c r="E64" s="45">
        <f>75.3993952909912*0.6</f>
        <v>45.239637174594712</v>
      </c>
      <c r="F64" s="45">
        <f>75.3993952909912*0.4</f>
        <v>30.159758116396478</v>
      </c>
      <c r="G64" s="45">
        <f>59.4095647090088*0.2</f>
        <v>11.88191294180176</v>
      </c>
      <c r="H64" s="45">
        <f>59.4095647090088*0.8</f>
        <v>47.52765176720704</v>
      </c>
      <c r="I64" s="45">
        <f t="shared" si="0"/>
        <v>134.80895999999998</v>
      </c>
      <c r="J64" s="46">
        <v>134.80896000000001</v>
      </c>
      <c r="K64" s="46">
        <v>1739.2905000000001</v>
      </c>
      <c r="L64" s="46">
        <v>1808.8621200000002</v>
      </c>
      <c r="M64" s="46">
        <v>1456.5227733333334</v>
      </c>
      <c r="N64" s="46">
        <v>1529.3489120000002</v>
      </c>
      <c r="O64" s="46">
        <f t="shared" si="1"/>
        <v>282.7677266666667</v>
      </c>
      <c r="P64" s="47">
        <f t="shared" si="2"/>
        <v>12792.309359084971</v>
      </c>
      <c r="Q64" s="47">
        <f t="shared" si="3"/>
        <v>8528.2062393899814</v>
      </c>
      <c r="R64" s="47">
        <f t="shared" si="4"/>
        <v>3321.1516035397281</v>
      </c>
      <c r="S64" s="47">
        <f t="shared" si="5"/>
        <v>13284.606414158912</v>
      </c>
      <c r="T64" s="47">
        <f t="shared" si="6"/>
        <v>37926.273616173596</v>
      </c>
      <c r="U64" s="48"/>
      <c r="V64" s="48"/>
      <c r="W64" s="48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</row>
    <row r="65" spans="1:187">
      <c r="A65" s="11" t="s">
        <v>387</v>
      </c>
      <c r="B65" s="43">
        <v>7729314745</v>
      </c>
      <c r="C65" s="44" t="s">
        <v>391</v>
      </c>
      <c r="D65" s="44" t="s">
        <v>121</v>
      </c>
      <c r="E65" s="45">
        <f>3995.8985*0.6</f>
        <v>2397.5391</v>
      </c>
      <c r="F65" s="45">
        <f>3995.8985*0.4</f>
        <v>1598.3594000000001</v>
      </c>
      <c r="G65" s="45">
        <f>3269.3715*0.2</f>
        <v>653.87430000000006</v>
      </c>
      <c r="H65" s="45">
        <f>3269.3715*0.8</f>
        <v>2615.4972000000002</v>
      </c>
      <c r="I65" s="45">
        <f t="shared" si="0"/>
        <v>7265.27</v>
      </c>
      <c r="J65" s="46">
        <v>7265.27</v>
      </c>
      <c r="K65" s="46">
        <v>1721.9</v>
      </c>
      <c r="L65" s="46">
        <v>1790.77</v>
      </c>
      <c r="M65" s="46">
        <v>1288.77</v>
      </c>
      <c r="N65" s="46">
        <v>1301.6600000000001</v>
      </c>
      <c r="O65" s="46">
        <f t="shared" si="1"/>
        <v>433.13000000000011</v>
      </c>
      <c r="P65" s="47">
        <f t="shared" si="2"/>
        <v>1038446.1103830002</v>
      </c>
      <c r="Q65" s="47">
        <f t="shared" si="3"/>
        <v>692297.40692200023</v>
      </c>
      <c r="R65" s="47">
        <f t="shared" si="4"/>
        <v>319816.45887299994</v>
      </c>
      <c r="S65" s="47">
        <f t="shared" si="5"/>
        <v>1279265.8354919998</v>
      </c>
      <c r="T65" s="47">
        <f t="shared" si="6"/>
        <v>3329825.8116700002</v>
      </c>
      <c r="U65" s="48"/>
      <c r="V65" s="48"/>
      <c r="W65" s="48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</row>
    <row r="66" spans="1:187">
      <c r="A66" s="11"/>
      <c r="B66" s="43" t="s">
        <v>315</v>
      </c>
      <c r="C66" s="44" t="s">
        <v>423</v>
      </c>
      <c r="D66" s="44" t="s">
        <v>120</v>
      </c>
      <c r="E66" s="45">
        <v>206.79900000000001</v>
      </c>
      <c r="F66" s="45">
        <f>311.31-E66</f>
        <v>104.511</v>
      </c>
      <c r="G66" s="45">
        <v>45.954999999999998</v>
      </c>
      <c r="H66" s="45">
        <f>252.754-G66</f>
        <v>206.79899999999998</v>
      </c>
      <c r="I66" s="45">
        <f t="shared" si="0"/>
        <v>564.06399999999996</v>
      </c>
      <c r="J66" s="48">
        <v>605.5</v>
      </c>
      <c r="K66" s="48">
        <v>5015.78</v>
      </c>
      <c r="L66" s="48">
        <v>5216.4111999999996</v>
      </c>
      <c r="M66" s="48">
        <v>1495.063232</v>
      </c>
      <c r="N66" s="48">
        <v>1569.8163936000001</v>
      </c>
      <c r="O66" s="46">
        <f t="shared" si="1"/>
        <v>3520.7167679999998</v>
      </c>
      <c r="P66" s="47">
        <f t="shared" si="2"/>
        <v>728080.70690563193</v>
      </c>
      <c r="Q66" s="47">
        <f t="shared" si="3"/>
        <v>367953.63014044799</v>
      </c>
      <c r="R66" s="47">
        <f t="shared" si="4"/>
        <v>167579.26432811198</v>
      </c>
      <c r="S66" s="47">
        <f t="shared" si="5"/>
        <v>754112.15936871339</v>
      </c>
      <c r="T66" s="47">
        <f t="shared" si="6"/>
        <v>2017725.7607429051</v>
      </c>
      <c r="U66" s="48"/>
      <c r="V66" s="48"/>
      <c r="W66" s="48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</row>
    <row r="67" spans="1:187" s="17" customFormat="1" outlineLevel="1">
      <c r="A67" s="31"/>
      <c r="B67" s="117" t="s">
        <v>117</v>
      </c>
      <c r="C67" s="117"/>
      <c r="D67" s="117"/>
      <c r="E67" s="58"/>
      <c r="F67" s="59"/>
      <c r="G67" s="60"/>
      <c r="H67" s="60"/>
      <c r="I67" s="45">
        <f t="shared" si="0"/>
        <v>0</v>
      </c>
      <c r="J67" s="61"/>
      <c r="K67" s="61"/>
      <c r="L67" s="61"/>
      <c r="M67" s="61"/>
      <c r="N67" s="61"/>
      <c r="O67" s="46">
        <f t="shared" si="1"/>
        <v>0</v>
      </c>
      <c r="P67" s="47">
        <f t="shared" si="2"/>
        <v>0</v>
      </c>
      <c r="Q67" s="47">
        <f t="shared" si="3"/>
        <v>0</v>
      </c>
      <c r="R67" s="47">
        <f t="shared" si="4"/>
        <v>0</v>
      </c>
      <c r="S67" s="47">
        <f t="shared" si="5"/>
        <v>0</v>
      </c>
      <c r="T67" s="47">
        <f t="shared" si="6"/>
        <v>0</v>
      </c>
      <c r="U67" s="47">
        <f>G67*(P67-R67)</f>
        <v>0</v>
      </c>
      <c r="V67" s="47"/>
      <c r="W67" s="47"/>
    </row>
    <row r="68" spans="1:187" s="18" customFormat="1" outlineLevel="1">
      <c r="A68" s="32"/>
      <c r="B68" s="62" t="s">
        <v>21</v>
      </c>
      <c r="C68" s="63" t="s">
        <v>118</v>
      </c>
      <c r="D68" s="63"/>
      <c r="E68" s="64">
        <v>2840.2849999999999</v>
      </c>
      <c r="F68" s="64">
        <f>4092.064-E68</f>
        <v>1251.779</v>
      </c>
      <c r="G68" s="64">
        <v>373.16199999999998</v>
      </c>
      <c r="H68" s="64">
        <f>2148.922-G68</f>
        <v>1775.76</v>
      </c>
      <c r="I68" s="45">
        <f t="shared" si="0"/>
        <v>6240.9859999999999</v>
      </c>
      <c r="J68" s="65">
        <v>5286.866</v>
      </c>
      <c r="K68" s="66">
        <v>1709.7905000000001</v>
      </c>
      <c r="L68" s="66">
        <v>1778.1821200000002</v>
      </c>
      <c r="M68" s="66">
        <v>1591.8514666666667</v>
      </c>
      <c r="N68" s="66">
        <v>1655.5255253333335</v>
      </c>
      <c r="O68" s="46">
        <f t="shared" si="1"/>
        <v>117.93903333333333</v>
      </c>
      <c r="P68" s="47">
        <f t="shared" si="2"/>
        <v>334980.46729116666</v>
      </c>
      <c r="Q68" s="47">
        <f t="shared" si="3"/>
        <v>147633.60520696666</v>
      </c>
      <c r="R68" s="47">
        <f t="shared" si="4"/>
        <v>45770.780179002679</v>
      </c>
      <c r="S68" s="47">
        <f t="shared" si="5"/>
        <v>217808.67454528008</v>
      </c>
      <c r="T68" s="47">
        <f t="shared" si="6"/>
        <v>746193.52722241601</v>
      </c>
      <c r="U68" s="47">
        <f>G68*(P68-R68)</f>
        <v>107922065.26214933</v>
      </c>
      <c r="V68" s="47"/>
      <c r="W68" s="47"/>
    </row>
    <row r="69" spans="1:187" s="18" customFormat="1" outlineLevel="1">
      <c r="A69" s="32" t="s">
        <v>387</v>
      </c>
      <c r="B69" s="43">
        <v>7729314745</v>
      </c>
      <c r="C69" s="44" t="s">
        <v>391</v>
      </c>
      <c r="D69" s="63"/>
      <c r="E69" s="45">
        <f>739.596*0.4</f>
        <v>295.83840000000004</v>
      </c>
      <c r="F69" s="45">
        <f>739.596*0.6</f>
        <v>443.75759999999997</v>
      </c>
      <c r="G69" s="45">
        <f>605.124*0.8</f>
        <v>484.09920000000005</v>
      </c>
      <c r="H69" s="45">
        <f>605.124*0.2</f>
        <v>121.02480000000001</v>
      </c>
      <c r="I69" s="45">
        <f t="shared" si="0"/>
        <v>1344.72</v>
      </c>
      <c r="J69" s="46">
        <v>1344.72</v>
      </c>
      <c r="K69" s="46">
        <v>6304.66</v>
      </c>
      <c r="L69" s="46">
        <v>6556.85</v>
      </c>
      <c r="M69" s="46">
        <v>1916.51</v>
      </c>
      <c r="N69" s="46">
        <v>1993.17</v>
      </c>
      <c r="O69" s="46">
        <f t="shared" si="1"/>
        <v>4388.1499999999996</v>
      </c>
      <c r="P69" s="47">
        <f t="shared" si="2"/>
        <v>1298183.2749600001</v>
      </c>
      <c r="Q69" s="47">
        <f t="shared" si="3"/>
        <v>1947274.9124399996</v>
      </c>
      <c r="R69" s="47">
        <f t="shared" si="4"/>
        <v>2209273.8370560003</v>
      </c>
      <c r="S69" s="47">
        <f t="shared" si="5"/>
        <v>552318.45926400006</v>
      </c>
      <c r="T69" s="47">
        <f t="shared" si="6"/>
        <v>6007050.4837199999</v>
      </c>
      <c r="U69" s="47"/>
      <c r="V69" s="47"/>
      <c r="W69" s="47"/>
    </row>
    <row r="70" spans="1:187" ht="15.75">
      <c r="A70" s="11"/>
      <c r="B70" s="112" t="s">
        <v>124</v>
      </c>
      <c r="C70" s="112"/>
      <c r="D70" s="112"/>
      <c r="E70" s="49"/>
      <c r="F70" s="49"/>
      <c r="G70" s="42"/>
      <c r="H70" s="42"/>
      <c r="I70" s="45">
        <f t="shared" si="0"/>
        <v>0</v>
      </c>
      <c r="J70" s="48"/>
      <c r="K70" s="40"/>
      <c r="L70" s="40"/>
      <c r="M70" s="40"/>
      <c r="N70" s="40"/>
      <c r="O70" s="46">
        <f t="shared" si="1"/>
        <v>0</v>
      </c>
      <c r="P70" s="47">
        <f t="shared" si="2"/>
        <v>0</v>
      </c>
      <c r="Q70" s="47">
        <f t="shared" si="3"/>
        <v>0</v>
      </c>
      <c r="R70" s="47">
        <f t="shared" si="4"/>
        <v>0</v>
      </c>
      <c r="S70" s="47">
        <f t="shared" si="5"/>
        <v>0</v>
      </c>
      <c r="T70" s="47">
        <f t="shared" si="6"/>
        <v>0</v>
      </c>
      <c r="U70" s="50"/>
      <c r="V70" s="50"/>
      <c r="W70" s="50"/>
    </row>
    <row r="71" spans="1:187">
      <c r="A71" s="11"/>
      <c r="B71" s="43" t="s">
        <v>45</v>
      </c>
      <c r="C71" s="44" t="s">
        <v>125</v>
      </c>
      <c r="D71" s="44" t="s">
        <v>126</v>
      </c>
      <c r="E71" s="45">
        <v>302.37</v>
      </c>
      <c r="F71" s="45">
        <f>438.115-E71</f>
        <v>135.745</v>
      </c>
      <c r="G71" s="45">
        <v>55.98</v>
      </c>
      <c r="H71" s="45">
        <f>350.58-G71</f>
        <v>294.59999999999997</v>
      </c>
      <c r="I71" s="45">
        <f t="shared" si="0"/>
        <v>788.69499999999994</v>
      </c>
      <c r="J71" s="48">
        <v>847.09</v>
      </c>
      <c r="K71" s="46">
        <v>4470.7</v>
      </c>
      <c r="L71" s="46">
        <v>4649.5280000000002</v>
      </c>
      <c r="M71" s="46">
        <v>1636.1</v>
      </c>
      <c r="N71" s="46">
        <v>1685.183</v>
      </c>
      <c r="O71" s="46">
        <f t="shared" si="1"/>
        <v>2834.6</v>
      </c>
      <c r="P71" s="47">
        <f t="shared" si="2"/>
        <v>857098.00199999998</v>
      </c>
      <c r="Q71" s="47">
        <f t="shared" si="3"/>
        <v>384782.777</v>
      </c>
      <c r="R71" s="47">
        <f t="shared" si="4"/>
        <v>165944.0331</v>
      </c>
      <c r="S71" s="47">
        <f t="shared" si="5"/>
        <v>873296.03700000001</v>
      </c>
      <c r="T71" s="47">
        <f t="shared" si="6"/>
        <v>2281120.8491000002</v>
      </c>
      <c r="U71" s="48"/>
      <c r="V71" s="48"/>
      <c r="W71" s="48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</row>
    <row r="72" spans="1:187">
      <c r="A72" s="11"/>
      <c r="B72" s="43" t="s">
        <v>323</v>
      </c>
      <c r="C72" s="44" t="s">
        <v>324</v>
      </c>
      <c r="D72" s="44" t="s">
        <v>127</v>
      </c>
      <c r="E72" s="45">
        <v>3330.34</v>
      </c>
      <c r="F72" s="45">
        <f>4790.409-E72</f>
        <v>1460.0689999999995</v>
      </c>
      <c r="G72" s="45">
        <v>805</v>
      </c>
      <c r="H72" s="45">
        <v>2455.67</v>
      </c>
      <c r="I72" s="45">
        <f t="shared" si="0"/>
        <v>8051.0789999999997</v>
      </c>
      <c r="J72" s="46">
        <v>8031.2</v>
      </c>
      <c r="K72" s="46">
        <v>4429.7986666666666</v>
      </c>
      <c r="L72" s="46">
        <v>4606.9906133333334</v>
      </c>
      <c r="M72" s="46">
        <v>1564.4931666666666</v>
      </c>
      <c r="N72" s="46">
        <v>1642.7178249999999</v>
      </c>
      <c r="O72" s="46">
        <f t="shared" si="1"/>
        <v>2865.3054999999999</v>
      </c>
      <c r="P72" s="47">
        <f t="shared" si="2"/>
        <v>9542441.5188699998</v>
      </c>
      <c r="Q72" s="47">
        <f t="shared" si="3"/>
        <v>4183543.7360794987</v>
      </c>
      <c r="R72" s="47">
        <f t="shared" si="4"/>
        <v>2386239.5946083334</v>
      </c>
      <c r="S72" s="47">
        <f t="shared" si="5"/>
        <v>7279275.7581265178</v>
      </c>
      <c r="T72" s="47">
        <f t="shared" si="6"/>
        <v>23391500.607684352</v>
      </c>
      <c r="U72" s="48"/>
      <c r="V72" s="48"/>
      <c r="W72" s="48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</row>
    <row r="73" spans="1:187" ht="30">
      <c r="A73" s="11" t="s">
        <v>387</v>
      </c>
      <c r="B73" s="67">
        <v>2914001089</v>
      </c>
      <c r="C73" s="44" t="s">
        <v>381</v>
      </c>
      <c r="D73" s="44" t="s">
        <v>126</v>
      </c>
      <c r="E73" s="45">
        <f>83.9832*0.4</f>
        <v>33.59328</v>
      </c>
      <c r="F73" s="45">
        <f>83.9832*0.6</f>
        <v>50.389919999999996</v>
      </c>
      <c r="G73" s="45">
        <f>65.9868*0.2</f>
        <v>13.197360000000002</v>
      </c>
      <c r="H73" s="45">
        <f>65.9868*0.8</f>
        <v>52.789440000000006</v>
      </c>
      <c r="I73" s="45">
        <f t="shared" si="0"/>
        <v>149.97</v>
      </c>
      <c r="J73" s="46">
        <v>149.97</v>
      </c>
      <c r="K73" s="46">
        <v>5533.54</v>
      </c>
      <c r="L73" s="46">
        <v>5754.8815999999997</v>
      </c>
      <c r="M73" s="46">
        <v>1636.1</v>
      </c>
      <c r="N73" s="46">
        <v>1677.0024999999998</v>
      </c>
      <c r="O73" s="46">
        <f t="shared" si="1"/>
        <v>3897.44</v>
      </c>
      <c r="P73" s="47">
        <f t="shared" si="2"/>
        <v>130927.7932032</v>
      </c>
      <c r="Q73" s="47">
        <f t="shared" si="3"/>
        <v>196391.6898048</v>
      </c>
      <c r="R73" s="47">
        <f t="shared" si="4"/>
        <v>53817.238519176004</v>
      </c>
      <c r="S73" s="47">
        <f t="shared" si="5"/>
        <v>215268.95407670402</v>
      </c>
      <c r="T73" s="47">
        <f t="shared" si="6"/>
        <v>596405.67560388008</v>
      </c>
      <c r="U73" s="48"/>
      <c r="V73" s="48"/>
      <c r="W73" s="48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</row>
    <row r="74" spans="1:187" ht="15.75">
      <c r="A74" s="11"/>
      <c r="B74" s="112" t="s">
        <v>128</v>
      </c>
      <c r="C74" s="112"/>
      <c r="D74" s="112"/>
      <c r="E74" s="49"/>
      <c r="F74" s="49"/>
      <c r="G74" s="42"/>
      <c r="H74" s="42"/>
      <c r="I74" s="45">
        <f t="shared" ref="I74:I137" si="7">SUM(E74:H74)</f>
        <v>0</v>
      </c>
      <c r="J74" s="48"/>
      <c r="K74" s="40"/>
      <c r="L74" s="40"/>
      <c r="M74" s="40"/>
      <c r="N74" s="40"/>
      <c r="O74" s="46">
        <f t="shared" si="1"/>
        <v>0</v>
      </c>
      <c r="P74" s="47">
        <f t="shared" ref="P74:P137" si="8">(K74-M74)*E74</f>
        <v>0</v>
      </c>
      <c r="Q74" s="47">
        <f t="shared" ref="Q74:Q137" si="9">(K74-M74)*F74</f>
        <v>0</v>
      </c>
      <c r="R74" s="47">
        <f t="shared" ref="R74:R137" si="10">(L74-N74)*G74</f>
        <v>0</v>
      </c>
      <c r="S74" s="47">
        <f t="shared" ref="S74:S137" si="11">(H74*(L74-N74))</f>
        <v>0</v>
      </c>
      <c r="T74" s="47">
        <f t="shared" ref="T74:T137" si="12">SUM(P74:S74)</f>
        <v>0</v>
      </c>
      <c r="U74" s="50"/>
      <c r="V74" s="50"/>
      <c r="W74" s="50"/>
    </row>
    <row r="75" spans="1:187">
      <c r="A75" s="11"/>
      <c r="B75" s="43" t="s">
        <v>307</v>
      </c>
      <c r="C75" s="44" t="s">
        <v>129</v>
      </c>
      <c r="D75" s="44" t="s">
        <v>130</v>
      </c>
      <c r="E75" s="45">
        <v>976.01400000000001</v>
      </c>
      <c r="F75" s="45">
        <f>1522.005-E75</f>
        <v>545.9910000000001</v>
      </c>
      <c r="G75" s="45">
        <v>197.21100000000001</v>
      </c>
      <c r="H75" s="45">
        <f>1131.693-G75</f>
        <v>934.48199999999997</v>
      </c>
      <c r="I75" s="45">
        <f t="shared" si="7"/>
        <v>2653.6980000000003</v>
      </c>
      <c r="J75" s="46">
        <v>2483.6136000000001</v>
      </c>
      <c r="K75" s="46">
        <v>2270.94</v>
      </c>
      <c r="L75" s="46">
        <v>2361.7776000000003</v>
      </c>
      <c r="M75" s="46">
        <v>1597.44</v>
      </c>
      <c r="N75" s="46">
        <v>1677.3120000000001</v>
      </c>
      <c r="O75" s="46">
        <f t="shared" ref="O75:O138" si="13">K75-M75</f>
        <v>673.5</v>
      </c>
      <c r="P75" s="47">
        <f t="shared" si="8"/>
        <v>657345.429</v>
      </c>
      <c r="Q75" s="47">
        <f t="shared" si="9"/>
        <v>367724.93850000005</v>
      </c>
      <c r="R75" s="47">
        <f t="shared" si="10"/>
        <v>134984.14544160006</v>
      </c>
      <c r="S75" s="47">
        <f t="shared" si="11"/>
        <v>639620.78281920019</v>
      </c>
      <c r="T75" s="47">
        <f t="shared" si="12"/>
        <v>1799675.2957608001</v>
      </c>
      <c r="U75" s="48"/>
      <c r="V75" s="48"/>
      <c r="W75" s="48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</row>
    <row r="76" spans="1:187">
      <c r="A76" s="11"/>
      <c r="B76" s="43" t="s">
        <v>306</v>
      </c>
      <c r="C76" s="44" t="s">
        <v>133</v>
      </c>
      <c r="D76" s="44" t="s">
        <v>134</v>
      </c>
      <c r="E76" s="45">
        <v>2681.8690000000001</v>
      </c>
      <c r="F76" s="45">
        <f>3876.244-E76</f>
        <v>1194.375</v>
      </c>
      <c r="G76" s="45">
        <v>468.06</v>
      </c>
      <c r="H76" s="45">
        <f>2877.435-G76</f>
        <v>2409.375</v>
      </c>
      <c r="I76" s="45">
        <f t="shared" si="7"/>
        <v>6753.6790000000001</v>
      </c>
      <c r="J76" s="46">
        <v>6507.2571999999991</v>
      </c>
      <c r="K76" s="46">
        <v>3814.1140000000005</v>
      </c>
      <c r="L76" s="46">
        <v>3966.6785600000007</v>
      </c>
      <c r="M76" s="46">
        <v>1355.1316666666667</v>
      </c>
      <c r="N76" s="46">
        <v>1422.88825</v>
      </c>
      <c r="O76" s="46">
        <f t="shared" si="13"/>
        <v>2458.9823333333338</v>
      </c>
      <c r="P76" s="47">
        <f t="shared" si="8"/>
        <v>6594668.4913143348</v>
      </c>
      <c r="Q76" s="47">
        <f t="shared" si="9"/>
        <v>2936947.0243750005</v>
      </c>
      <c r="R76" s="47">
        <f t="shared" si="10"/>
        <v>1190646.4924986004</v>
      </c>
      <c r="S76" s="47">
        <f t="shared" si="11"/>
        <v>6128944.7781562516</v>
      </c>
      <c r="T76" s="47">
        <f t="shared" si="12"/>
        <v>16851206.786344189</v>
      </c>
      <c r="U76" s="48"/>
      <c r="V76" s="48"/>
      <c r="W76" s="48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</row>
    <row r="77" spans="1:187">
      <c r="A77" s="11"/>
      <c r="B77" s="43" t="s">
        <v>37</v>
      </c>
      <c r="C77" s="44" t="s">
        <v>131</v>
      </c>
      <c r="D77" s="44" t="s">
        <v>132</v>
      </c>
      <c r="E77" s="45">
        <v>493.52499999999998</v>
      </c>
      <c r="F77" s="45">
        <f>703.045-E77</f>
        <v>209.51999999999998</v>
      </c>
      <c r="G77" s="45">
        <v>94.762</v>
      </c>
      <c r="H77" s="45">
        <f>534.088-G77</f>
        <v>439.32599999999996</v>
      </c>
      <c r="I77" s="45">
        <f t="shared" si="7"/>
        <v>1237.133</v>
      </c>
      <c r="J77" s="46">
        <v>1132</v>
      </c>
      <c r="K77" s="46">
        <v>2500.8000000000002</v>
      </c>
      <c r="L77" s="46">
        <v>2600.8320000000003</v>
      </c>
      <c r="M77" s="46">
        <v>1638.28</v>
      </c>
      <c r="N77" s="46">
        <v>1720.194</v>
      </c>
      <c r="O77" s="46">
        <f t="shared" si="13"/>
        <v>862.52000000000021</v>
      </c>
      <c r="P77" s="47">
        <f t="shared" si="8"/>
        <v>425675.18300000008</v>
      </c>
      <c r="Q77" s="47">
        <f t="shared" si="9"/>
        <v>180715.19040000002</v>
      </c>
      <c r="R77" s="47">
        <f t="shared" si="10"/>
        <v>83451.018156000035</v>
      </c>
      <c r="S77" s="47">
        <f t="shared" si="11"/>
        <v>386887.16998800013</v>
      </c>
      <c r="T77" s="47">
        <f t="shared" si="12"/>
        <v>1076728.5615440004</v>
      </c>
      <c r="U77" s="48"/>
      <c r="V77" s="48"/>
      <c r="W77" s="48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</row>
    <row r="78" spans="1:187">
      <c r="A78" s="11"/>
      <c r="B78" s="43" t="s">
        <v>15</v>
      </c>
      <c r="C78" s="44" t="s">
        <v>135</v>
      </c>
      <c r="D78" s="44" t="s">
        <v>134</v>
      </c>
      <c r="E78" s="45">
        <v>44.133000000000003</v>
      </c>
      <c r="F78" s="45">
        <v>65.962000000000003</v>
      </c>
      <c r="G78" s="45">
        <v>4.4130000000000003</v>
      </c>
      <c r="H78" s="45">
        <f>48.546-G78</f>
        <v>44.132999999999996</v>
      </c>
      <c r="I78" s="45">
        <f t="shared" si="7"/>
        <v>158.64099999999999</v>
      </c>
      <c r="J78" s="46">
        <v>225.54720000000003</v>
      </c>
      <c r="K78" s="68">
        <v>4002.8058333333338</v>
      </c>
      <c r="L78" s="68">
        <v>4162.9180666666671</v>
      </c>
      <c r="M78" s="68">
        <v>1344.7968333333333</v>
      </c>
      <c r="N78" s="68">
        <v>1412.0366750000001</v>
      </c>
      <c r="O78" s="46">
        <f t="shared" si="13"/>
        <v>2658.0090000000005</v>
      </c>
      <c r="P78" s="47">
        <f t="shared" si="8"/>
        <v>117305.91119700002</v>
      </c>
      <c r="Q78" s="47">
        <f t="shared" si="9"/>
        <v>175327.58965800004</v>
      </c>
      <c r="R78" s="47">
        <f t="shared" si="10"/>
        <v>12139.639581425001</v>
      </c>
      <c r="S78" s="47">
        <f t="shared" si="11"/>
        <v>121404.648458425</v>
      </c>
      <c r="T78" s="47">
        <f t="shared" si="12"/>
        <v>426177.78889485006</v>
      </c>
      <c r="U78" s="48"/>
      <c r="V78" s="48"/>
      <c r="W78" s="48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</row>
    <row r="79" spans="1:187">
      <c r="A79" s="11"/>
      <c r="B79" s="43" t="s">
        <v>388</v>
      </c>
      <c r="C79" s="44" t="s">
        <v>389</v>
      </c>
      <c r="D79" s="44" t="s">
        <v>134</v>
      </c>
      <c r="E79" s="45">
        <f>12.6340404996014*0.6</f>
        <v>7.58042429976084</v>
      </c>
      <c r="F79" s="45">
        <f>12.6340404996014*0.4</f>
        <v>5.0536161998405609</v>
      </c>
      <c r="G79" s="45">
        <f>9.95475950039862*0.8</f>
        <v>7.963807600318896</v>
      </c>
      <c r="H79" s="45">
        <f>9.95475950039862*0.2</f>
        <v>1.990951900079724</v>
      </c>
      <c r="I79" s="45">
        <f t="shared" si="7"/>
        <v>22.588800000000024</v>
      </c>
      <c r="J79" s="46">
        <v>22.588800000000003</v>
      </c>
      <c r="K79" s="68">
        <v>1785.8611666666666</v>
      </c>
      <c r="L79" s="68">
        <v>1857.2956133333332</v>
      </c>
      <c r="M79" s="68">
        <v>1370.6541576000004</v>
      </c>
      <c r="N79" s="68">
        <v>1425.4803239040004</v>
      </c>
      <c r="O79" s="46">
        <f t="shared" si="13"/>
        <v>415.20700906666616</v>
      </c>
      <c r="P79" s="47">
        <f t="shared" si="8"/>
        <v>3147.4453009599756</v>
      </c>
      <c r="Q79" s="47">
        <f t="shared" si="9"/>
        <v>2098.2968673066507</v>
      </c>
      <c r="R79" s="47">
        <f t="shared" si="10"/>
        <v>3438.893883891224</v>
      </c>
      <c r="S79" s="47">
        <f t="shared" si="11"/>
        <v>859.72347097280601</v>
      </c>
      <c r="T79" s="47">
        <f t="shared" si="12"/>
        <v>9544.3595231306554</v>
      </c>
      <c r="U79" s="48"/>
      <c r="V79" s="48"/>
      <c r="W79" s="48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</row>
    <row r="80" spans="1:187" s="15" customFormat="1">
      <c r="A80" s="16"/>
      <c r="B80" s="62" t="s">
        <v>305</v>
      </c>
      <c r="C80" s="63" t="s">
        <v>136</v>
      </c>
      <c r="D80" s="63" t="s">
        <v>130</v>
      </c>
      <c r="E80" s="61">
        <v>3588.8330000000001</v>
      </c>
      <c r="F80" s="61">
        <f>5503.217-E80</f>
        <v>1914.3839999999996</v>
      </c>
      <c r="G80" s="61">
        <v>783.45399999999995</v>
      </c>
      <c r="H80" s="61">
        <f>4206.889-G80</f>
        <v>3423.4350000000004</v>
      </c>
      <c r="I80" s="45">
        <f t="shared" si="7"/>
        <v>9710.1059999999998</v>
      </c>
      <c r="J80" s="46">
        <v>9750</v>
      </c>
      <c r="K80" s="68">
        <v>1238.6853333333333</v>
      </c>
      <c r="L80" s="68">
        <v>1288.2327466666668</v>
      </c>
      <c r="M80" s="68">
        <v>666.40500000000009</v>
      </c>
      <c r="N80" s="68">
        <v>699.72525000000007</v>
      </c>
      <c r="O80" s="46">
        <f t="shared" si="13"/>
        <v>572.28033333333326</v>
      </c>
      <c r="P80" s="47">
        <f t="shared" si="8"/>
        <v>2053818.5455176665</v>
      </c>
      <c r="Q80" s="47">
        <f t="shared" si="9"/>
        <v>1095564.3136479997</v>
      </c>
      <c r="R80" s="47">
        <f t="shared" si="10"/>
        <v>461068.55229348666</v>
      </c>
      <c r="S80" s="47">
        <f t="shared" si="11"/>
        <v>2014717.1618510503</v>
      </c>
      <c r="T80" s="47">
        <f t="shared" si="12"/>
        <v>5625168.5733102029</v>
      </c>
      <c r="U80" s="69"/>
      <c r="V80" s="69"/>
      <c r="W80" s="69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</row>
    <row r="81" spans="1:187" ht="15.75">
      <c r="A81" s="11"/>
      <c r="B81" s="112" t="s">
        <v>137</v>
      </c>
      <c r="C81" s="112"/>
      <c r="D81" s="112"/>
      <c r="E81" s="49"/>
      <c r="F81" s="49"/>
      <c r="G81" s="42"/>
      <c r="H81" s="42"/>
      <c r="I81" s="45">
        <f t="shared" si="7"/>
        <v>0</v>
      </c>
      <c r="J81" s="48"/>
      <c r="K81" s="40"/>
      <c r="L81" s="40"/>
      <c r="M81" s="40"/>
      <c r="N81" s="40"/>
      <c r="O81" s="46">
        <f t="shared" si="13"/>
        <v>0</v>
      </c>
      <c r="P81" s="47">
        <f t="shared" si="8"/>
        <v>0</v>
      </c>
      <c r="Q81" s="47">
        <f t="shared" si="9"/>
        <v>0</v>
      </c>
      <c r="R81" s="47">
        <f t="shared" si="10"/>
        <v>0</v>
      </c>
      <c r="S81" s="47">
        <f t="shared" si="11"/>
        <v>0</v>
      </c>
      <c r="T81" s="47">
        <f t="shared" si="12"/>
        <v>0</v>
      </c>
      <c r="U81" s="50"/>
      <c r="V81" s="50"/>
      <c r="W81" s="50"/>
    </row>
    <row r="82" spans="1:187">
      <c r="A82" s="11"/>
      <c r="B82" s="43" t="s">
        <v>2</v>
      </c>
      <c r="C82" s="44" t="s">
        <v>70</v>
      </c>
      <c r="D82" s="44" t="s">
        <v>334</v>
      </c>
      <c r="E82" s="45">
        <v>4600.9170000000004</v>
      </c>
      <c r="F82" s="45">
        <f>6796.981-E82</f>
        <v>2196.0639999999994</v>
      </c>
      <c r="G82" s="45">
        <v>904.97900000000004</v>
      </c>
      <c r="H82" s="45">
        <f>4523.845-G82</f>
        <v>3618.866</v>
      </c>
      <c r="I82" s="45">
        <f t="shared" si="7"/>
        <v>11320.826000000001</v>
      </c>
      <c r="J82" s="46">
        <v>11750.248729290326</v>
      </c>
      <c r="K82" s="46">
        <v>5381.6751666666669</v>
      </c>
      <c r="L82" s="46">
        <v>7660.6820887815711</v>
      </c>
      <c r="M82" s="46">
        <v>1482.0308333333335</v>
      </c>
      <c r="N82" s="46">
        <v>1541.3120666666669</v>
      </c>
      <c r="O82" s="46">
        <f t="shared" si="13"/>
        <v>3899.6443333333336</v>
      </c>
      <c r="P82" s="47">
        <f t="shared" si="8"/>
        <v>17941939.907187004</v>
      </c>
      <c r="Q82" s="47">
        <f t="shared" si="9"/>
        <v>8563868.5332373325</v>
      </c>
      <c r="R82" s="47">
        <f t="shared" si="10"/>
        <v>5537901.3632435249</v>
      </c>
      <c r="S82" s="47">
        <f t="shared" si="11"/>
        <v>22145180.114450876</v>
      </c>
      <c r="T82" s="47">
        <f t="shared" si="12"/>
        <v>54188889.918118738</v>
      </c>
      <c r="U82" s="48"/>
      <c r="V82" s="48"/>
      <c r="W82" s="48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</row>
    <row r="83" spans="1:187" ht="15.75">
      <c r="A83" s="11"/>
      <c r="B83" s="112" t="s">
        <v>138</v>
      </c>
      <c r="C83" s="112"/>
      <c r="D83" s="112"/>
      <c r="E83" s="49"/>
      <c r="F83" s="49"/>
      <c r="G83" s="42"/>
      <c r="H83" s="42"/>
      <c r="I83" s="45">
        <f t="shared" si="7"/>
        <v>0</v>
      </c>
      <c r="J83" s="48"/>
      <c r="K83" s="40"/>
      <c r="L83" s="40"/>
      <c r="M83" s="40"/>
      <c r="N83" s="40"/>
      <c r="O83" s="46">
        <f t="shared" si="13"/>
        <v>0</v>
      </c>
      <c r="P83" s="47">
        <f t="shared" si="8"/>
        <v>0</v>
      </c>
      <c r="Q83" s="47">
        <f t="shared" si="9"/>
        <v>0</v>
      </c>
      <c r="R83" s="47">
        <f t="shared" si="10"/>
        <v>0</v>
      </c>
      <c r="S83" s="47">
        <f t="shared" si="11"/>
        <v>0</v>
      </c>
      <c r="T83" s="47">
        <f t="shared" si="12"/>
        <v>0</v>
      </c>
      <c r="U83" s="50"/>
      <c r="V83" s="50"/>
      <c r="W83" s="50"/>
    </row>
    <row r="84" spans="1:187">
      <c r="A84" s="11"/>
      <c r="B84" s="43" t="s">
        <v>2</v>
      </c>
      <c r="C84" s="44" t="s">
        <v>70</v>
      </c>
      <c r="D84" s="44" t="s">
        <v>335</v>
      </c>
      <c r="E84" s="45">
        <v>3562.4659999999999</v>
      </c>
      <c r="F84" s="45">
        <f>5573.974-E84</f>
        <v>2011.5080000000003</v>
      </c>
      <c r="G84" s="45">
        <v>943.68799999999999</v>
      </c>
      <c r="H84" s="45">
        <f>4139.529-G84</f>
        <v>3195.8410000000003</v>
      </c>
      <c r="I84" s="45">
        <f t="shared" si="7"/>
        <v>9713.5030000000006</v>
      </c>
      <c r="J84" s="46">
        <v>10175.688964749994</v>
      </c>
      <c r="K84" s="46">
        <v>4914.5524999999998</v>
      </c>
      <c r="L84" s="46">
        <v>6634.6458750000002</v>
      </c>
      <c r="M84" s="46">
        <v>1255.0873333333332</v>
      </c>
      <c r="N84" s="46">
        <v>1305.2908266666666</v>
      </c>
      <c r="O84" s="46">
        <f t="shared" si="13"/>
        <v>3659.4651666666668</v>
      </c>
      <c r="P84" s="47">
        <f t="shared" si="8"/>
        <v>13036720.234434333</v>
      </c>
      <c r="Q84" s="47">
        <f t="shared" si="9"/>
        <v>7361043.4584713345</v>
      </c>
      <c r="R84" s="47">
        <f t="shared" si="10"/>
        <v>5029248.4068515869</v>
      </c>
      <c r="S84" s="47">
        <f t="shared" si="11"/>
        <v>17031771.367020652</v>
      </c>
      <c r="T84" s="47">
        <f t="shared" si="12"/>
        <v>42458783.466777906</v>
      </c>
      <c r="U84" s="48"/>
      <c r="V84" s="48"/>
      <c r="W84" s="48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</row>
    <row r="85" spans="1:187">
      <c r="A85" s="11" t="s">
        <v>387</v>
      </c>
      <c r="B85" s="43">
        <v>7729314745</v>
      </c>
      <c r="C85" s="44" t="s">
        <v>391</v>
      </c>
      <c r="D85" s="44" t="s">
        <v>392</v>
      </c>
      <c r="E85" s="45">
        <f>60.9235*0.4</f>
        <v>24.369399999999999</v>
      </c>
      <c r="F85" s="45">
        <f>60.9235*0.6</f>
        <v>36.554099999999998</v>
      </c>
      <c r="G85" s="45">
        <f>49.8465*0.2</f>
        <v>9.9693000000000005</v>
      </c>
      <c r="H85" s="45">
        <f>49.8465*0.8</f>
        <v>39.877200000000002</v>
      </c>
      <c r="I85" s="45">
        <f t="shared" si="7"/>
        <v>110.77</v>
      </c>
      <c r="J85" s="48">
        <v>110.77</v>
      </c>
      <c r="K85" s="48">
        <v>5972.85</v>
      </c>
      <c r="L85" s="48">
        <v>6211.76</v>
      </c>
      <c r="M85" s="48">
        <v>1255.0899999999999</v>
      </c>
      <c r="N85" s="48">
        <v>1305.29</v>
      </c>
      <c r="O85" s="46">
        <f t="shared" si="13"/>
        <v>4717.76</v>
      </c>
      <c r="P85" s="47">
        <f t="shared" si="8"/>
        <v>114968.98054400001</v>
      </c>
      <c r="Q85" s="47">
        <f t="shared" si="9"/>
        <v>172453.47081599999</v>
      </c>
      <c r="R85" s="47">
        <f t="shared" si="10"/>
        <v>48914.071371000005</v>
      </c>
      <c r="S85" s="47">
        <f t="shared" si="11"/>
        <v>195656.28548400002</v>
      </c>
      <c r="T85" s="47">
        <f t="shared" si="12"/>
        <v>531992.80821500008</v>
      </c>
      <c r="U85" s="48"/>
      <c r="V85" s="48"/>
      <c r="W85" s="48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</row>
    <row r="86" spans="1:187" ht="15.75">
      <c r="A86" s="11"/>
      <c r="B86" s="112" t="s">
        <v>114</v>
      </c>
      <c r="C86" s="112"/>
      <c r="D86" s="112"/>
      <c r="E86" s="49"/>
      <c r="F86" s="49"/>
      <c r="G86" s="42"/>
      <c r="H86" s="42"/>
      <c r="I86" s="45">
        <f t="shared" si="7"/>
        <v>0</v>
      </c>
      <c r="J86" s="48"/>
      <c r="K86" s="40"/>
      <c r="L86" s="40"/>
      <c r="M86" s="40"/>
      <c r="N86" s="40"/>
      <c r="O86" s="46">
        <f t="shared" si="13"/>
        <v>0</v>
      </c>
      <c r="P86" s="47">
        <f t="shared" si="8"/>
        <v>0</v>
      </c>
      <c r="Q86" s="47">
        <f t="shared" si="9"/>
        <v>0</v>
      </c>
      <c r="R86" s="47">
        <f t="shared" si="10"/>
        <v>0</v>
      </c>
      <c r="S86" s="47">
        <f t="shared" si="11"/>
        <v>0</v>
      </c>
      <c r="T86" s="47">
        <f t="shared" si="12"/>
        <v>0</v>
      </c>
      <c r="U86" s="50"/>
      <c r="V86" s="50"/>
      <c r="W86" s="50"/>
    </row>
    <row r="87" spans="1:187">
      <c r="A87" s="11"/>
      <c r="B87" s="43" t="s">
        <v>35</v>
      </c>
      <c r="C87" s="44" t="s">
        <v>139</v>
      </c>
      <c r="D87" s="44"/>
      <c r="E87" s="45">
        <f>45644.028-5.324</f>
        <v>45638.703999999998</v>
      </c>
      <c r="F87" s="45">
        <f>74077.659-E87</f>
        <v>28438.955000000002</v>
      </c>
      <c r="G87" s="45">
        <v>17436.996999999999</v>
      </c>
      <c r="H87" s="45">
        <f>58162.696-G87</f>
        <v>40725.699000000008</v>
      </c>
      <c r="I87" s="45">
        <f t="shared" si="7"/>
        <v>132240.35500000001</v>
      </c>
      <c r="J87" s="48">
        <v>141521.84</v>
      </c>
      <c r="K87" s="46">
        <v>1826.9350000000002</v>
      </c>
      <c r="L87" s="46">
        <v>1900.0124000000003</v>
      </c>
      <c r="M87" s="46">
        <v>1415.0953333333334</v>
      </c>
      <c r="N87" s="46">
        <v>1471.6991466666668</v>
      </c>
      <c r="O87" s="46">
        <f t="shared" si="13"/>
        <v>411.83966666666674</v>
      </c>
      <c r="P87" s="47">
        <f t="shared" si="8"/>
        <v>18795828.64245867</v>
      </c>
      <c r="Q87" s="47">
        <f t="shared" si="9"/>
        <v>11712289.747548336</v>
      </c>
      <c r="R87" s="47">
        <f t="shared" si="10"/>
        <v>7468496.913433576</v>
      </c>
      <c r="S87" s="47">
        <f t="shared" si="11"/>
        <v>17443356.63296409</v>
      </c>
      <c r="T87" s="47">
        <f t="shared" si="12"/>
        <v>55419971.936404668</v>
      </c>
      <c r="U87" s="48"/>
      <c r="V87" s="48"/>
      <c r="W87" s="48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</row>
    <row r="88" spans="1:187">
      <c r="A88" s="11" t="s">
        <v>387</v>
      </c>
      <c r="B88" s="43">
        <v>7729314745</v>
      </c>
      <c r="C88" s="44" t="s">
        <v>391</v>
      </c>
      <c r="D88" s="44"/>
      <c r="E88" s="45">
        <f>2542.804*0.4</f>
        <v>1017.1216000000001</v>
      </c>
      <c r="F88" s="45">
        <f>2542.804*0.6</f>
        <v>1525.6823999999999</v>
      </c>
      <c r="G88" s="45">
        <f>2080.476*0.2</f>
        <v>416.09520000000003</v>
      </c>
      <c r="H88" s="45">
        <f>2080.476*0.8</f>
        <v>1664.3808000000001</v>
      </c>
      <c r="I88" s="45">
        <f t="shared" si="7"/>
        <v>4623.2800000000007</v>
      </c>
      <c r="J88" s="48">
        <v>4623.28</v>
      </c>
      <c r="K88" s="46">
        <v>1585.96</v>
      </c>
      <c r="L88" s="46">
        <v>1649.4</v>
      </c>
      <c r="M88" s="46">
        <v>1415.09</v>
      </c>
      <c r="N88" s="46">
        <v>1471.7</v>
      </c>
      <c r="O88" s="46">
        <f t="shared" si="13"/>
        <v>170.87000000000012</v>
      </c>
      <c r="P88" s="47">
        <f t="shared" si="8"/>
        <v>173795.56779200013</v>
      </c>
      <c r="Q88" s="47">
        <f t="shared" si="9"/>
        <v>260693.35168800017</v>
      </c>
      <c r="R88" s="47">
        <f t="shared" si="10"/>
        <v>73940.117040000026</v>
      </c>
      <c r="S88" s="47">
        <f t="shared" si="11"/>
        <v>295760.46816000011</v>
      </c>
      <c r="T88" s="47">
        <f t="shared" si="12"/>
        <v>804189.50468000048</v>
      </c>
      <c r="U88" s="48"/>
      <c r="V88" s="48"/>
      <c r="W88" s="48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</row>
    <row r="89" spans="1:187" ht="15.75">
      <c r="A89" s="11"/>
      <c r="B89" s="112" t="s">
        <v>140</v>
      </c>
      <c r="C89" s="112"/>
      <c r="D89" s="112"/>
      <c r="E89" s="49"/>
      <c r="F89" s="49"/>
      <c r="G89" s="42"/>
      <c r="H89" s="42"/>
      <c r="I89" s="45">
        <f t="shared" si="7"/>
        <v>0</v>
      </c>
      <c r="J89" s="48"/>
      <c r="K89" s="40"/>
      <c r="L89" s="40"/>
      <c r="M89" s="40"/>
      <c r="N89" s="40"/>
      <c r="O89" s="46">
        <f t="shared" si="13"/>
        <v>0</v>
      </c>
      <c r="P89" s="47">
        <f t="shared" si="8"/>
        <v>0</v>
      </c>
      <c r="Q89" s="47">
        <f t="shared" si="9"/>
        <v>0</v>
      </c>
      <c r="R89" s="47">
        <f t="shared" si="10"/>
        <v>0</v>
      </c>
      <c r="S89" s="47">
        <f t="shared" si="11"/>
        <v>0</v>
      </c>
      <c r="T89" s="47">
        <f t="shared" si="12"/>
        <v>0</v>
      </c>
      <c r="U89" s="50"/>
      <c r="V89" s="50"/>
      <c r="W89" s="50"/>
    </row>
    <row r="90" spans="1:187">
      <c r="A90" s="11"/>
      <c r="B90" s="43" t="s">
        <v>20</v>
      </c>
      <c r="C90" s="44" t="s">
        <v>145</v>
      </c>
      <c r="D90" s="44"/>
      <c r="E90" s="45">
        <v>9675.4989999999998</v>
      </c>
      <c r="F90" s="45">
        <f>15607.146-E90</f>
        <v>5931.6470000000008</v>
      </c>
      <c r="G90" s="45">
        <v>2750.6880000000001</v>
      </c>
      <c r="H90" s="45">
        <f>11823.414-G90</f>
        <v>9072.7260000000006</v>
      </c>
      <c r="I90" s="45">
        <f t="shared" si="7"/>
        <v>27430.560000000005</v>
      </c>
      <c r="J90" s="46">
        <v>26411.300000000003</v>
      </c>
      <c r="K90" s="46">
        <v>3611.1343333333339</v>
      </c>
      <c r="L90" s="46">
        <v>3755.5797066666673</v>
      </c>
      <c r="M90" s="46">
        <v>1197.8966666666665</v>
      </c>
      <c r="N90" s="46">
        <v>1245.8125333333332</v>
      </c>
      <c r="O90" s="46">
        <f t="shared" si="13"/>
        <v>2413.2376666666673</v>
      </c>
      <c r="P90" s="47">
        <f t="shared" si="8"/>
        <v>23349278.630595673</v>
      </c>
      <c r="Q90" s="47">
        <f t="shared" si="9"/>
        <v>14314473.96577034</v>
      </c>
      <c r="R90" s="47">
        <f t="shared" si="10"/>
        <v>6903586.4464819226</v>
      </c>
      <c r="S90" s="47">
        <f t="shared" si="11"/>
        <v>22770429.887447849</v>
      </c>
      <c r="T90" s="47">
        <f t="shared" si="12"/>
        <v>67337768.93029578</v>
      </c>
      <c r="U90" s="48"/>
      <c r="V90" s="48"/>
      <c r="W90" s="48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</row>
    <row r="91" spans="1:187">
      <c r="A91" s="11"/>
      <c r="B91" s="43" t="s">
        <v>16</v>
      </c>
      <c r="C91" s="44" t="s">
        <v>141</v>
      </c>
      <c r="D91" s="44" t="s">
        <v>142</v>
      </c>
      <c r="E91" s="45">
        <v>28459.891</v>
      </c>
      <c r="F91" s="45">
        <f>44982.626-E91</f>
        <v>16522.734999999997</v>
      </c>
      <c r="G91" s="45">
        <v>7866.3969999999999</v>
      </c>
      <c r="H91" s="45">
        <f>33669.829-G91</f>
        <v>25803.431999999997</v>
      </c>
      <c r="I91" s="45">
        <f t="shared" si="7"/>
        <v>78652.454999999987</v>
      </c>
      <c r="J91" s="46">
        <v>73669.884999999995</v>
      </c>
      <c r="K91" s="46">
        <v>1503.3495</v>
      </c>
      <c r="L91" s="46">
        <v>1638.6509550000001</v>
      </c>
      <c r="M91" s="46">
        <v>1197.8966666666665</v>
      </c>
      <c r="N91" s="46">
        <v>1245.8125333333332</v>
      </c>
      <c r="O91" s="46">
        <f t="shared" si="13"/>
        <v>305.4528333333335</v>
      </c>
      <c r="P91" s="47">
        <f t="shared" si="8"/>
        <v>8693154.3423078377</v>
      </c>
      <c r="Q91" s="47">
        <f t="shared" si="9"/>
        <v>5046916.2201658348</v>
      </c>
      <c r="R91" s="47">
        <f t="shared" si="10"/>
        <v>3090222.9816834028</v>
      </c>
      <c r="S91" s="47">
        <f t="shared" si="11"/>
        <v>10136579.500463163</v>
      </c>
      <c r="T91" s="47">
        <f t="shared" si="12"/>
        <v>26966873.044620238</v>
      </c>
      <c r="U91" s="48"/>
      <c r="V91" s="48"/>
      <c r="W91" s="48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</row>
    <row r="92" spans="1:187" ht="30">
      <c r="A92" s="11"/>
      <c r="B92" s="43" t="s">
        <v>304</v>
      </c>
      <c r="C92" s="44" t="s">
        <v>143</v>
      </c>
      <c r="D92" s="44" t="s">
        <v>427</v>
      </c>
      <c r="E92" s="45">
        <v>40.040999999999997</v>
      </c>
      <c r="F92" s="45">
        <f>58.546-E92</f>
        <v>18.505000000000003</v>
      </c>
      <c r="G92" s="45">
        <v>15.238</v>
      </c>
      <c r="H92" s="45">
        <f>54.472-G92</f>
        <v>39.234000000000002</v>
      </c>
      <c r="I92" s="45">
        <f t="shared" si="7"/>
        <v>113.018</v>
      </c>
      <c r="J92" s="46">
        <v>203.19059328</v>
      </c>
      <c r="K92" s="46">
        <v>3119.03</v>
      </c>
      <c r="L92" s="46">
        <v>3243.7912000000001</v>
      </c>
      <c r="M92" s="46">
        <v>1260.45</v>
      </c>
      <c r="N92" s="46">
        <v>1323.4725000000001</v>
      </c>
      <c r="O92" s="46">
        <f t="shared" si="13"/>
        <v>1858.5800000000002</v>
      </c>
      <c r="P92" s="47">
        <f t="shared" si="8"/>
        <v>74419.40178</v>
      </c>
      <c r="Q92" s="47">
        <f t="shared" si="9"/>
        <v>34393.022900000011</v>
      </c>
      <c r="R92" s="47">
        <f t="shared" si="10"/>
        <v>29261.816350599998</v>
      </c>
      <c r="S92" s="47">
        <f t="shared" si="11"/>
        <v>75341.7838758</v>
      </c>
      <c r="T92" s="47">
        <f t="shared" si="12"/>
        <v>213416.02490640001</v>
      </c>
      <c r="U92" s="48"/>
      <c r="V92" s="48"/>
      <c r="W92" s="48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</row>
    <row r="93" spans="1:187" ht="31.5">
      <c r="A93" s="11"/>
      <c r="B93" s="70" t="s">
        <v>378</v>
      </c>
      <c r="C93" s="71" t="s">
        <v>379</v>
      </c>
      <c r="D93" s="71" t="s">
        <v>426</v>
      </c>
      <c r="E93" s="45">
        <f>200.046*0.4</f>
        <v>80.0184</v>
      </c>
      <c r="F93" s="45">
        <f>200.046*0.6</f>
        <v>120.02759999999999</v>
      </c>
      <c r="G93" s="45">
        <f>163.674*0.8</f>
        <v>130.9392</v>
      </c>
      <c r="H93" s="45">
        <f>163.674*0.2</f>
        <v>32.7348</v>
      </c>
      <c r="I93" s="45">
        <f t="shared" si="7"/>
        <v>363.71999999999997</v>
      </c>
      <c r="J93" s="46">
        <v>363.72198599999996</v>
      </c>
      <c r="K93" s="46">
        <v>2774.8191666666667</v>
      </c>
      <c r="L93" s="46">
        <v>2885.8119333333334</v>
      </c>
      <c r="M93" s="46">
        <v>1239.4424999999999</v>
      </c>
      <c r="N93" s="46">
        <v>1251.8369249999998</v>
      </c>
      <c r="O93" s="46">
        <f t="shared" si="13"/>
        <v>1535.3766666666668</v>
      </c>
      <c r="P93" s="47">
        <f t="shared" si="8"/>
        <v>122858.38426400001</v>
      </c>
      <c r="Q93" s="47">
        <f t="shared" si="9"/>
        <v>184287.57639599999</v>
      </c>
      <c r="R93" s="47">
        <f t="shared" si="10"/>
        <v>213951.38041116003</v>
      </c>
      <c r="S93" s="47">
        <f t="shared" si="11"/>
        <v>53487.845102790008</v>
      </c>
      <c r="T93" s="47">
        <f t="shared" si="12"/>
        <v>574585.18617395009</v>
      </c>
      <c r="U93" s="48"/>
      <c r="V93" s="48"/>
      <c r="W93" s="48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</row>
    <row r="94" spans="1:187" ht="15.75">
      <c r="A94" s="11"/>
      <c r="B94" s="53" t="s">
        <v>21</v>
      </c>
      <c r="C94" s="53" t="s">
        <v>116</v>
      </c>
      <c r="D94" s="44" t="s">
        <v>336</v>
      </c>
      <c r="E94" s="45">
        <v>453.31</v>
      </c>
      <c r="F94" s="45">
        <f>743.647-E94</f>
        <v>290.33700000000005</v>
      </c>
      <c r="G94" s="45">
        <v>151.477</v>
      </c>
      <c r="H94" s="45">
        <f>602.674-G94</f>
        <v>451.197</v>
      </c>
      <c r="I94" s="45">
        <f t="shared" si="7"/>
        <v>1346.3209999999999</v>
      </c>
      <c r="J94" s="46">
        <v>3474.1068333333328</v>
      </c>
      <c r="K94" s="72">
        <v>3474.1068333333328</v>
      </c>
      <c r="L94" s="73">
        <v>3613.0711066666663</v>
      </c>
      <c r="M94" s="72">
        <v>1197.9005999999999</v>
      </c>
      <c r="N94" s="73">
        <v>1245.81</v>
      </c>
      <c r="O94" s="46">
        <f t="shared" si="13"/>
        <v>2276.2062333333329</v>
      </c>
      <c r="P94" s="47">
        <f t="shared" si="8"/>
        <v>1031827.0476323331</v>
      </c>
      <c r="Q94" s="47">
        <f t="shared" si="9"/>
        <v>660866.88916729996</v>
      </c>
      <c r="R94" s="47">
        <f t="shared" si="10"/>
        <v>358585.61065454665</v>
      </c>
      <c r="S94" s="47">
        <f t="shared" si="11"/>
        <v>1068101.1095446798</v>
      </c>
      <c r="T94" s="47">
        <f t="shared" si="12"/>
        <v>3119380.6569988597</v>
      </c>
      <c r="U94" s="48"/>
      <c r="V94" s="48"/>
      <c r="W94" s="48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</row>
    <row r="95" spans="1:187" ht="15.75">
      <c r="A95" s="11"/>
      <c r="B95" s="112" t="s">
        <v>146</v>
      </c>
      <c r="C95" s="112"/>
      <c r="D95" s="112"/>
      <c r="E95" s="49"/>
      <c r="F95" s="49"/>
      <c r="G95" s="42"/>
      <c r="H95" s="42"/>
      <c r="I95" s="45">
        <f t="shared" si="7"/>
        <v>0</v>
      </c>
      <c r="J95" s="48"/>
      <c r="K95" s="40"/>
      <c r="L95" s="40"/>
      <c r="M95" s="40"/>
      <c r="N95" s="40"/>
      <c r="O95" s="46">
        <f t="shared" si="13"/>
        <v>0</v>
      </c>
      <c r="P95" s="47">
        <f t="shared" si="8"/>
        <v>0</v>
      </c>
      <c r="Q95" s="47">
        <f t="shared" si="9"/>
        <v>0</v>
      </c>
      <c r="R95" s="47">
        <f t="shared" si="10"/>
        <v>0</v>
      </c>
      <c r="S95" s="47">
        <f t="shared" si="11"/>
        <v>0</v>
      </c>
      <c r="T95" s="47">
        <f t="shared" si="12"/>
        <v>0</v>
      </c>
      <c r="U95" s="50"/>
      <c r="V95" s="50"/>
      <c r="W95" s="50"/>
    </row>
    <row r="96" spans="1:187">
      <c r="A96" s="11"/>
      <c r="B96" s="43" t="s">
        <v>23</v>
      </c>
      <c r="C96" s="44" t="s">
        <v>147</v>
      </c>
      <c r="D96" s="44" t="s">
        <v>148</v>
      </c>
      <c r="E96" s="45">
        <v>3859.5</v>
      </c>
      <c r="F96" s="45">
        <f>6431.04-E96</f>
        <v>2571.54</v>
      </c>
      <c r="G96" s="45">
        <v>1243.33</v>
      </c>
      <c r="H96" s="45">
        <f>5013.44-G96</f>
        <v>3770.1099999999997</v>
      </c>
      <c r="I96" s="45">
        <f t="shared" si="7"/>
        <v>11444.48</v>
      </c>
      <c r="J96" s="46">
        <v>11753.810000000001</v>
      </c>
      <c r="K96" s="46">
        <v>3851.2446666666665</v>
      </c>
      <c r="L96" s="46">
        <v>4005.2944533333334</v>
      </c>
      <c r="M96" s="46">
        <v>1251.0416533333337</v>
      </c>
      <c r="N96" s="46">
        <v>1313.5937360000005</v>
      </c>
      <c r="O96" s="46">
        <f t="shared" si="13"/>
        <v>2600.2030133333328</v>
      </c>
      <c r="P96" s="47">
        <f t="shared" si="8"/>
        <v>10035483.529959997</v>
      </c>
      <c r="Q96" s="47">
        <f t="shared" si="9"/>
        <v>6686526.0569071984</v>
      </c>
      <c r="R96" s="47">
        <f t="shared" si="10"/>
        <v>3346672.2528820531</v>
      </c>
      <c r="S96" s="47">
        <f t="shared" si="11"/>
        <v>10148007.791425573</v>
      </c>
      <c r="T96" s="47">
        <f t="shared" si="12"/>
        <v>30216689.631174818</v>
      </c>
      <c r="U96" s="48"/>
      <c r="V96" s="48"/>
      <c r="W96" s="48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</row>
    <row r="97" spans="1:187">
      <c r="A97" s="11"/>
      <c r="B97" s="43" t="s">
        <v>303</v>
      </c>
      <c r="C97" s="44" t="s">
        <v>149</v>
      </c>
      <c r="D97" s="44" t="s">
        <v>150</v>
      </c>
      <c r="E97" s="45">
        <v>3385.6610000000001</v>
      </c>
      <c r="F97" s="45">
        <f>5340.214-E97</f>
        <v>1954.5529999999999</v>
      </c>
      <c r="G97" s="45">
        <v>913.73900000000003</v>
      </c>
      <c r="H97" s="45">
        <f>3879.727-G97</f>
        <v>2965.9879999999998</v>
      </c>
      <c r="I97" s="45">
        <f t="shared" si="7"/>
        <v>9219.9409999999989</v>
      </c>
      <c r="J97" s="46">
        <v>6855.8587148000006</v>
      </c>
      <c r="K97" s="46">
        <v>4869.5748333333331</v>
      </c>
      <c r="L97" s="46">
        <v>5064.3578266666664</v>
      </c>
      <c r="M97" s="46">
        <v>1275.1119333333334</v>
      </c>
      <c r="N97" s="46">
        <v>1326.1164106666668</v>
      </c>
      <c r="O97" s="46">
        <f t="shared" si="13"/>
        <v>3594.4628999999995</v>
      </c>
      <c r="P97" s="47">
        <f t="shared" si="8"/>
        <v>12169632.856476899</v>
      </c>
      <c r="Q97" s="47">
        <f t="shared" si="9"/>
        <v>7025568.2445836989</v>
      </c>
      <c r="R97" s="47">
        <f t="shared" si="10"/>
        <v>3415776.9732144237</v>
      </c>
      <c r="S97" s="47">
        <f t="shared" si="11"/>
        <v>11087579.180959007</v>
      </c>
      <c r="T97" s="47">
        <f t="shared" si="12"/>
        <v>33698557.255234033</v>
      </c>
      <c r="U97" s="48"/>
      <c r="V97" s="48"/>
      <c r="W97" s="48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</row>
    <row r="98" spans="1:187">
      <c r="A98" s="11"/>
      <c r="B98" s="43" t="s">
        <v>303</v>
      </c>
      <c r="C98" s="44" t="s">
        <v>149</v>
      </c>
      <c r="D98" s="44" t="s">
        <v>151</v>
      </c>
      <c r="E98" s="45">
        <v>2338.509</v>
      </c>
      <c r="F98" s="45">
        <f>3694.219-E98</f>
        <v>1355.71</v>
      </c>
      <c r="G98" s="45">
        <v>675.68799999999999</v>
      </c>
      <c r="H98" s="45">
        <f>2785.719-G98</f>
        <v>2110.0309999999999</v>
      </c>
      <c r="I98" s="45">
        <f t="shared" si="7"/>
        <v>6479.9380000000001</v>
      </c>
      <c r="J98" s="46">
        <v>5542.3095129999992</v>
      </c>
      <c r="K98" s="46">
        <v>4074.1073333333334</v>
      </c>
      <c r="L98" s="46">
        <v>4237.0716266666668</v>
      </c>
      <c r="M98" s="46">
        <v>1275.1119333333334</v>
      </c>
      <c r="N98" s="46">
        <v>1326.1164106666668</v>
      </c>
      <c r="O98" s="46">
        <f t="shared" si="13"/>
        <v>2798.9953999999998</v>
      </c>
      <c r="P98" s="47">
        <f t="shared" si="8"/>
        <v>6545475.9338585995</v>
      </c>
      <c r="Q98" s="47">
        <f t="shared" si="9"/>
        <v>3794626.0537339998</v>
      </c>
      <c r="R98" s="47">
        <f t="shared" si="10"/>
        <v>1966897.5079886082</v>
      </c>
      <c r="S98" s="47">
        <f t="shared" si="11"/>
        <v>6142205.7453716965</v>
      </c>
      <c r="T98" s="47">
        <f t="shared" si="12"/>
        <v>18449205.240952905</v>
      </c>
      <c r="U98" s="48"/>
      <c r="V98" s="48"/>
      <c r="W98" s="48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</row>
    <row r="99" spans="1:187">
      <c r="A99" s="11"/>
      <c r="B99" s="43" t="s">
        <v>303</v>
      </c>
      <c r="C99" s="44" t="s">
        <v>149</v>
      </c>
      <c r="D99" s="44" t="s">
        <v>152</v>
      </c>
      <c r="E99" s="45">
        <v>4942.4949999999999</v>
      </c>
      <c r="F99" s="45">
        <f>8335.84-E99</f>
        <v>3393.3450000000003</v>
      </c>
      <c r="G99" s="45">
        <v>1724.6949999999999</v>
      </c>
      <c r="H99" s="45">
        <f>6760.059-G99</f>
        <v>5035.3640000000005</v>
      </c>
      <c r="I99" s="45">
        <f t="shared" si="7"/>
        <v>15095.899000000001</v>
      </c>
      <c r="J99" s="46">
        <v>14166.971271599998</v>
      </c>
      <c r="K99" s="46">
        <v>4344.9960000000001</v>
      </c>
      <c r="L99" s="46">
        <v>4518.7958400000007</v>
      </c>
      <c r="M99" s="46">
        <v>1275.1119333333334</v>
      </c>
      <c r="N99" s="46">
        <v>1326.1164106666668</v>
      </c>
      <c r="O99" s="46">
        <f t="shared" si="13"/>
        <v>3069.8840666666665</v>
      </c>
      <c r="P99" s="47">
        <f t="shared" si="8"/>
        <v>15172886.650079666</v>
      </c>
      <c r="Q99" s="47">
        <f t="shared" si="9"/>
        <v>10417175.748203</v>
      </c>
      <c r="R99" s="47">
        <f t="shared" si="10"/>
        <v>5506398.2483740542</v>
      </c>
      <c r="S99" s="47">
        <f t="shared" si="11"/>
        <v>16076303.062005617</v>
      </c>
      <c r="T99" s="47">
        <f t="shared" si="12"/>
        <v>47172763.708662339</v>
      </c>
      <c r="U99" s="48"/>
      <c r="V99" s="48"/>
      <c r="W99" s="48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</row>
    <row r="100" spans="1:187">
      <c r="A100" s="11"/>
      <c r="B100" s="43" t="s">
        <v>303</v>
      </c>
      <c r="C100" s="44" t="s">
        <v>149</v>
      </c>
      <c r="D100" s="44" t="s">
        <v>153</v>
      </c>
      <c r="E100" s="45">
        <v>81.066000000000003</v>
      </c>
      <c r="F100" s="45">
        <f>135.11-E100</f>
        <v>54.044000000000011</v>
      </c>
      <c r="G100" s="45">
        <v>27.021999999999998</v>
      </c>
      <c r="H100" s="45">
        <f>108.088-G100</f>
        <v>81.066000000000003</v>
      </c>
      <c r="I100" s="45">
        <f t="shared" si="7"/>
        <v>243.19800000000001</v>
      </c>
      <c r="J100" s="114">
        <v>1211.51</v>
      </c>
      <c r="K100" s="46">
        <v>6603.3094999999994</v>
      </c>
      <c r="L100" s="46">
        <v>6867.4418799999994</v>
      </c>
      <c r="M100" s="46">
        <v>1260.6718800000001</v>
      </c>
      <c r="N100" s="46">
        <v>1323.7054740000001</v>
      </c>
      <c r="O100" s="46">
        <f t="shared" si="13"/>
        <v>5342.6376199999995</v>
      </c>
      <c r="P100" s="47">
        <f t="shared" si="8"/>
        <v>433106.26130292</v>
      </c>
      <c r="Q100" s="47">
        <f t="shared" si="9"/>
        <v>288737.50753528002</v>
      </c>
      <c r="R100" s="47">
        <f t="shared" si="10"/>
        <v>149802.84516293198</v>
      </c>
      <c r="S100" s="47">
        <f t="shared" si="11"/>
        <v>449408.53548879595</v>
      </c>
      <c r="T100" s="47">
        <f t="shared" si="12"/>
        <v>1321055.149489928</v>
      </c>
      <c r="U100" s="48"/>
      <c r="V100" s="48"/>
      <c r="W100" s="48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</row>
    <row r="101" spans="1:187">
      <c r="A101" s="11"/>
      <c r="B101" s="43" t="s">
        <v>303</v>
      </c>
      <c r="C101" s="44" t="s">
        <v>149</v>
      </c>
      <c r="D101" s="44" t="s">
        <v>154</v>
      </c>
      <c r="E101" s="45">
        <v>190.292</v>
      </c>
      <c r="F101" s="45">
        <f>317.154-E101</f>
        <v>126.86199999999999</v>
      </c>
      <c r="G101" s="45">
        <v>60.963999999999999</v>
      </c>
      <c r="H101" s="45">
        <f>243.856-G101</f>
        <v>182.892</v>
      </c>
      <c r="I101" s="45">
        <f t="shared" si="7"/>
        <v>561.01</v>
      </c>
      <c r="J101" s="114"/>
      <c r="K101" s="46">
        <v>6603.3094999999994</v>
      </c>
      <c r="L101" s="46">
        <v>6867.4418799999994</v>
      </c>
      <c r="M101" s="46">
        <v>1260.6718800000001</v>
      </c>
      <c r="N101" s="46">
        <v>1323.7054740000001</v>
      </c>
      <c r="O101" s="46">
        <f t="shared" si="13"/>
        <v>5342.6376199999995</v>
      </c>
      <c r="P101" s="47">
        <f t="shared" si="8"/>
        <v>1016661.1979850399</v>
      </c>
      <c r="Q101" s="47">
        <f t="shared" si="9"/>
        <v>677777.69374843989</v>
      </c>
      <c r="R101" s="47">
        <f t="shared" si="10"/>
        <v>337968.34625538392</v>
      </c>
      <c r="S101" s="47">
        <f t="shared" si="11"/>
        <v>1013905.0387661518</v>
      </c>
      <c r="T101" s="47">
        <f t="shared" si="12"/>
        <v>3046312.2767550154</v>
      </c>
      <c r="U101" s="48"/>
      <c r="V101" s="48"/>
      <c r="W101" s="48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</row>
    <row r="102" spans="1:187">
      <c r="A102" s="11"/>
      <c r="B102" s="43" t="s">
        <v>303</v>
      </c>
      <c r="C102" s="44" t="s">
        <v>149</v>
      </c>
      <c r="D102" s="44" t="s">
        <v>155</v>
      </c>
      <c r="E102" s="45">
        <v>120.282</v>
      </c>
      <c r="F102" s="45">
        <f>200.47-E102</f>
        <v>80.188000000000002</v>
      </c>
      <c r="G102" s="45">
        <v>25.233000000000001</v>
      </c>
      <c r="H102" s="45">
        <f>145.515-G102</f>
        <v>120.28199999999998</v>
      </c>
      <c r="I102" s="45">
        <f t="shared" si="7"/>
        <v>345.98500000000001</v>
      </c>
      <c r="J102" s="114"/>
      <c r="K102" s="46">
        <v>6603.3094999999994</v>
      </c>
      <c r="L102" s="46">
        <v>6867.4418799999994</v>
      </c>
      <c r="M102" s="46">
        <v>1260.6718800000001</v>
      </c>
      <c r="N102" s="46">
        <v>1323.7054740000001</v>
      </c>
      <c r="O102" s="46">
        <f t="shared" si="13"/>
        <v>5342.6376199999995</v>
      </c>
      <c r="P102" s="47">
        <f t="shared" si="8"/>
        <v>642623.13820883993</v>
      </c>
      <c r="Q102" s="47">
        <f t="shared" si="9"/>
        <v>428415.42547255999</v>
      </c>
      <c r="R102" s="47">
        <f t="shared" si="10"/>
        <v>139885.10073259799</v>
      </c>
      <c r="S102" s="47">
        <f t="shared" si="11"/>
        <v>666811.70238649182</v>
      </c>
      <c r="T102" s="47">
        <f t="shared" si="12"/>
        <v>1877735.3668004898</v>
      </c>
      <c r="U102" s="48"/>
      <c r="V102" s="48"/>
      <c r="W102" s="48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</row>
    <row r="103" spans="1:187">
      <c r="A103" s="11"/>
      <c r="B103" s="43" t="s">
        <v>44</v>
      </c>
      <c r="C103" s="44" t="s">
        <v>43</v>
      </c>
      <c r="D103" s="44" t="s">
        <v>156</v>
      </c>
      <c r="E103" s="45">
        <v>503.3</v>
      </c>
      <c r="F103" s="45">
        <f>803.36-E103</f>
        <v>300.06</v>
      </c>
      <c r="G103" s="45">
        <v>131.69</v>
      </c>
      <c r="H103" s="45">
        <f>596.07-G103</f>
        <v>464.38000000000005</v>
      </c>
      <c r="I103" s="45">
        <f t="shared" si="7"/>
        <v>1399.43</v>
      </c>
      <c r="J103" s="46">
        <v>1419.3314999999998</v>
      </c>
      <c r="K103" s="46">
        <v>6139.57</v>
      </c>
      <c r="L103" s="46">
        <v>6385.1527999999998</v>
      </c>
      <c r="M103" s="46">
        <v>1501.249984</v>
      </c>
      <c r="N103" s="46">
        <v>1576.3124832000001</v>
      </c>
      <c r="O103" s="46">
        <f t="shared" si="13"/>
        <v>4638.3200159999997</v>
      </c>
      <c r="P103" s="47">
        <f t="shared" si="8"/>
        <v>2334466.4640528001</v>
      </c>
      <c r="Q103" s="47">
        <f t="shared" si="9"/>
        <v>1391774.30400096</v>
      </c>
      <c r="R103" s="47">
        <f t="shared" si="10"/>
        <v>633276.18131939194</v>
      </c>
      <c r="S103" s="47">
        <f t="shared" si="11"/>
        <v>2233129.2663155841</v>
      </c>
      <c r="T103" s="47">
        <f t="shared" si="12"/>
        <v>6592646.2156887362</v>
      </c>
      <c r="U103" s="48"/>
      <c r="V103" s="48"/>
      <c r="W103" s="48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</row>
    <row r="104" spans="1:187" s="19" customFormat="1">
      <c r="A104" s="33"/>
      <c r="B104" s="74" t="s">
        <v>19</v>
      </c>
      <c r="C104" s="74" t="s">
        <v>157</v>
      </c>
      <c r="D104" s="74" t="s">
        <v>156</v>
      </c>
      <c r="E104" s="75">
        <v>4.5119999999999996</v>
      </c>
      <c r="F104" s="61">
        <v>1.504</v>
      </c>
      <c r="G104" s="61">
        <v>1.5740000000000001</v>
      </c>
      <c r="H104" s="61">
        <f>5.866-G104</f>
        <v>4.2919999999999998</v>
      </c>
      <c r="I104" s="45">
        <f t="shared" si="7"/>
        <v>11.882</v>
      </c>
      <c r="J104" s="46">
        <v>13.539981600000001</v>
      </c>
      <c r="K104" s="76">
        <v>3213.6316666666667</v>
      </c>
      <c r="L104" s="76">
        <v>3342.1769333333336</v>
      </c>
      <c r="M104" s="76">
        <v>1251.0458333333333</v>
      </c>
      <c r="N104" s="76">
        <v>1313.598125</v>
      </c>
      <c r="O104" s="46">
        <f t="shared" si="13"/>
        <v>1962.5858333333333</v>
      </c>
      <c r="P104" s="47">
        <f t="shared" si="8"/>
        <v>8855.1872799999983</v>
      </c>
      <c r="Q104" s="47">
        <f t="shared" si="9"/>
        <v>2951.7290933333334</v>
      </c>
      <c r="R104" s="47">
        <f t="shared" si="10"/>
        <v>3192.9830443166675</v>
      </c>
      <c r="S104" s="47">
        <f t="shared" si="11"/>
        <v>8706.6602453666674</v>
      </c>
      <c r="T104" s="47">
        <f t="shared" si="12"/>
        <v>23706.559663016666</v>
      </c>
      <c r="U104" s="47"/>
      <c r="V104" s="47"/>
      <c r="W104" s="47"/>
    </row>
    <row r="105" spans="1:187" s="19" customFormat="1">
      <c r="A105" s="33" t="s">
        <v>387</v>
      </c>
      <c r="B105" s="77">
        <v>2919003788</v>
      </c>
      <c r="C105" s="74" t="s">
        <v>406</v>
      </c>
      <c r="D105" s="74" t="s">
        <v>408</v>
      </c>
      <c r="E105" s="75">
        <f>25.240871*0.6</f>
        <v>15.144522599999998</v>
      </c>
      <c r="F105" s="75">
        <f>25.240871*0.4</f>
        <v>10.0963484</v>
      </c>
      <c r="G105" s="61">
        <f>19.049129*0.2</f>
        <v>3.8098258000000005</v>
      </c>
      <c r="H105" s="61">
        <f>19.049129*0.8</f>
        <v>15.239303200000002</v>
      </c>
      <c r="I105" s="45">
        <f t="shared" si="7"/>
        <v>44.29</v>
      </c>
      <c r="J105" s="46">
        <v>44.29</v>
      </c>
      <c r="K105" s="76">
        <v>3559.29</v>
      </c>
      <c r="L105" s="76">
        <v>3701.6615999999999</v>
      </c>
      <c r="M105" s="76">
        <v>1530.1201760000001</v>
      </c>
      <c r="N105" s="76">
        <v>1591.3249830400002</v>
      </c>
      <c r="O105" s="46">
        <f t="shared" si="13"/>
        <v>2029.1698239999998</v>
      </c>
      <c r="P105" s="47">
        <f t="shared" si="8"/>
        <v>30730.808258806017</v>
      </c>
      <c r="Q105" s="47">
        <f t="shared" si="9"/>
        <v>20487.205505870679</v>
      </c>
      <c r="R105" s="47">
        <f t="shared" si="10"/>
        <v>8040.0148899789247</v>
      </c>
      <c r="S105" s="47">
        <f t="shared" si="11"/>
        <v>32160.059559915699</v>
      </c>
      <c r="T105" s="47">
        <f t="shared" si="12"/>
        <v>91418.088214571326</v>
      </c>
      <c r="U105" s="47"/>
      <c r="V105" s="47"/>
      <c r="W105" s="47"/>
    </row>
    <row r="106" spans="1:187" s="19" customFormat="1">
      <c r="A106" s="33" t="s">
        <v>387</v>
      </c>
      <c r="B106" s="77">
        <v>2919003805</v>
      </c>
      <c r="C106" s="74" t="s">
        <v>407</v>
      </c>
      <c r="D106" s="74" t="s">
        <v>409</v>
      </c>
      <c r="E106" s="75">
        <f>29.3936544*0.6</f>
        <v>17.636192639999997</v>
      </c>
      <c r="F106" s="75">
        <f>29.3936544*0.4</f>
        <v>11.75746176</v>
      </c>
      <c r="G106" s="61">
        <f>24.0493536*0.8</f>
        <v>19.239482880000001</v>
      </c>
      <c r="H106" s="61">
        <f>24.0493536*0.2</f>
        <v>4.8098707200000002</v>
      </c>
      <c r="I106" s="45">
        <f t="shared" si="7"/>
        <v>53.443007999999999</v>
      </c>
      <c r="J106" s="46">
        <v>53.443007999999992</v>
      </c>
      <c r="K106" s="76">
        <v>3178.84</v>
      </c>
      <c r="L106" s="76">
        <v>3305.9936000000002</v>
      </c>
      <c r="M106" s="76">
        <v>1530.1201760000001</v>
      </c>
      <c r="N106" s="76">
        <v>1591.3249830400002</v>
      </c>
      <c r="O106" s="46">
        <f t="shared" si="13"/>
        <v>1648.719824</v>
      </c>
      <c r="P106" s="47">
        <f t="shared" si="8"/>
        <v>29077.140425450893</v>
      </c>
      <c r="Q106" s="47">
        <f t="shared" si="9"/>
        <v>19384.760283633932</v>
      </c>
      <c r="R106" s="47">
        <f t="shared" si="10"/>
        <v>32989.337500875197</v>
      </c>
      <c r="S106" s="47">
        <f t="shared" si="11"/>
        <v>8247.3343752187993</v>
      </c>
      <c r="T106" s="47">
        <f t="shared" si="12"/>
        <v>89698.572585178816</v>
      </c>
      <c r="U106" s="47"/>
      <c r="V106" s="47"/>
      <c r="W106" s="47"/>
    </row>
    <row r="107" spans="1:187" ht="15.75">
      <c r="A107" s="11"/>
      <c r="B107" s="112" t="s">
        <v>158</v>
      </c>
      <c r="C107" s="112"/>
      <c r="D107" s="112"/>
      <c r="E107" s="49"/>
      <c r="F107" s="49"/>
      <c r="G107" s="42"/>
      <c r="H107" s="42"/>
      <c r="I107" s="45">
        <f t="shared" si="7"/>
        <v>0</v>
      </c>
      <c r="J107" s="48"/>
      <c r="K107" s="40"/>
      <c r="L107" s="40"/>
      <c r="M107" s="40"/>
      <c r="N107" s="40"/>
      <c r="O107" s="46">
        <f t="shared" si="13"/>
        <v>0</v>
      </c>
      <c r="P107" s="47">
        <f t="shared" si="8"/>
        <v>0</v>
      </c>
      <c r="Q107" s="47">
        <f t="shared" si="9"/>
        <v>0</v>
      </c>
      <c r="R107" s="47">
        <f t="shared" si="10"/>
        <v>0</v>
      </c>
      <c r="S107" s="47">
        <f t="shared" si="11"/>
        <v>0</v>
      </c>
      <c r="T107" s="47">
        <f t="shared" si="12"/>
        <v>0</v>
      </c>
      <c r="U107" s="50"/>
      <c r="V107" s="50"/>
      <c r="W107" s="50"/>
    </row>
    <row r="108" spans="1:187" ht="15.75">
      <c r="A108" s="11"/>
      <c r="B108" s="53" t="s">
        <v>21</v>
      </c>
      <c r="C108" s="53" t="s">
        <v>116</v>
      </c>
      <c r="D108" s="54" t="s">
        <v>338</v>
      </c>
      <c r="E108" s="55">
        <v>1079.895</v>
      </c>
      <c r="F108" s="55">
        <f>1762.155-E108</f>
        <v>682.26</v>
      </c>
      <c r="G108" s="55">
        <v>465.41</v>
      </c>
      <c r="H108" s="55">
        <f>1540.462-G108</f>
        <v>1075.0519999999999</v>
      </c>
      <c r="I108" s="45">
        <f t="shared" si="7"/>
        <v>3302.6170000000002</v>
      </c>
      <c r="J108" s="46">
        <v>3081.9650000000001</v>
      </c>
      <c r="K108" s="56">
        <v>2830.1218333333336</v>
      </c>
      <c r="L108" s="56">
        <v>2943.3267066666672</v>
      </c>
      <c r="M108" s="56">
        <v>1780.5444799999998</v>
      </c>
      <c r="N108" s="56">
        <v>1869.571704</v>
      </c>
      <c r="O108" s="46">
        <f t="shared" si="13"/>
        <v>1049.5773533333338</v>
      </c>
      <c r="P108" s="47">
        <f t="shared" si="8"/>
        <v>1133433.3359779005</v>
      </c>
      <c r="Q108" s="47">
        <f t="shared" si="9"/>
        <v>716084.64508520032</v>
      </c>
      <c r="R108" s="47">
        <f t="shared" si="10"/>
        <v>499736.31579109363</v>
      </c>
      <c r="S108" s="47">
        <f t="shared" si="11"/>
        <v>1154342.4631268058</v>
      </c>
      <c r="T108" s="47">
        <f t="shared" si="12"/>
        <v>3503596.7599810008</v>
      </c>
      <c r="U108" s="50"/>
      <c r="V108" s="50"/>
      <c r="W108" s="50"/>
    </row>
    <row r="109" spans="1:187" ht="30">
      <c r="A109" s="11"/>
      <c r="B109" s="43" t="s">
        <v>301</v>
      </c>
      <c r="C109" s="44" t="s">
        <v>169</v>
      </c>
      <c r="D109" s="44" t="s">
        <v>165</v>
      </c>
      <c r="E109" s="45">
        <v>111.849</v>
      </c>
      <c r="F109" s="45">
        <f>161.869-E109</f>
        <v>50.019999999999996</v>
      </c>
      <c r="G109" s="45">
        <v>21.411999999999999</v>
      </c>
      <c r="H109" s="45">
        <f>122.953-G109</f>
        <v>101.541</v>
      </c>
      <c r="I109" s="45">
        <f t="shared" si="7"/>
        <v>284.822</v>
      </c>
      <c r="J109" s="46">
        <v>292.47000000000003</v>
      </c>
      <c r="K109" s="46">
        <v>5004.58</v>
      </c>
      <c r="L109" s="46">
        <v>5204.7632000000003</v>
      </c>
      <c r="M109" s="46">
        <v>2177.7360800000006</v>
      </c>
      <c r="N109" s="46">
        <v>2264.8455232000006</v>
      </c>
      <c r="O109" s="46">
        <f t="shared" si="13"/>
        <v>2826.8439199999993</v>
      </c>
      <c r="P109" s="47">
        <f t="shared" si="8"/>
        <v>316179.66560807993</v>
      </c>
      <c r="Q109" s="47">
        <f t="shared" si="9"/>
        <v>141398.73287839995</v>
      </c>
      <c r="R109" s="47">
        <f t="shared" si="10"/>
        <v>62949.517295641592</v>
      </c>
      <c r="S109" s="47">
        <f t="shared" si="11"/>
        <v>298522.18081994879</v>
      </c>
      <c r="T109" s="47">
        <f t="shared" si="12"/>
        <v>819050.09660207026</v>
      </c>
      <c r="U109" s="48"/>
      <c r="V109" s="48"/>
      <c r="W109" s="48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</row>
    <row r="110" spans="1:187">
      <c r="A110" s="11"/>
      <c r="B110" s="43" t="s">
        <v>18</v>
      </c>
      <c r="C110" s="44" t="s">
        <v>167</v>
      </c>
      <c r="D110" s="44" t="s">
        <v>165</v>
      </c>
      <c r="E110" s="45">
        <v>82.683999999999997</v>
      </c>
      <c r="F110" s="45">
        <f>130.448-E110</f>
        <v>47.76400000000001</v>
      </c>
      <c r="G110" s="45">
        <v>18.454000000000001</v>
      </c>
      <c r="H110" s="45">
        <f>98.819-G110</f>
        <v>80.365000000000009</v>
      </c>
      <c r="I110" s="45">
        <f t="shared" si="7"/>
        <v>229.26700000000002</v>
      </c>
      <c r="J110" s="46">
        <v>220.71</v>
      </c>
      <c r="K110" s="46">
        <v>3665.76</v>
      </c>
      <c r="L110" s="46">
        <v>3812.3904000000002</v>
      </c>
      <c r="M110" s="46">
        <v>2177.73</v>
      </c>
      <c r="N110" s="46">
        <v>2264.8391999999999</v>
      </c>
      <c r="O110" s="46">
        <f t="shared" si="13"/>
        <v>1488.0300000000002</v>
      </c>
      <c r="P110" s="47">
        <f t="shared" si="8"/>
        <v>123036.27252000001</v>
      </c>
      <c r="Q110" s="47">
        <f t="shared" si="9"/>
        <v>71074.264920000031</v>
      </c>
      <c r="R110" s="47">
        <f t="shared" si="10"/>
        <v>28558.509844800006</v>
      </c>
      <c r="S110" s="47">
        <f t="shared" si="11"/>
        <v>124368.95218800004</v>
      </c>
      <c r="T110" s="47">
        <f t="shared" si="12"/>
        <v>347037.99947280006</v>
      </c>
      <c r="U110" s="48"/>
      <c r="V110" s="48"/>
      <c r="W110" s="48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</row>
    <row r="111" spans="1:187">
      <c r="A111" s="11"/>
      <c r="B111" s="43" t="s">
        <v>2</v>
      </c>
      <c r="C111" s="44" t="s">
        <v>70</v>
      </c>
      <c r="D111" s="44" t="s">
        <v>168</v>
      </c>
      <c r="E111" s="45">
        <v>13388.671</v>
      </c>
      <c r="F111" s="45">
        <f>19141.385-E111</f>
        <v>5752.7139999999981</v>
      </c>
      <c r="G111" s="45">
        <v>1886.11</v>
      </c>
      <c r="H111" s="45">
        <v>9161.1299999999992</v>
      </c>
      <c r="I111" s="45">
        <f t="shared" si="7"/>
        <v>30188.625</v>
      </c>
      <c r="J111" s="46">
        <v>26944.46</v>
      </c>
      <c r="K111" s="46">
        <v>5124.1303333333326</v>
      </c>
      <c r="L111" s="46">
        <v>5329.0955466666665</v>
      </c>
      <c r="M111" s="46">
        <v>1814.7798829333333</v>
      </c>
      <c r="N111" s="46">
        <v>1887.3710782506666</v>
      </c>
      <c r="O111" s="46">
        <f t="shared" si="13"/>
        <v>3309.3504503999993</v>
      </c>
      <c r="P111" s="47">
        <f t="shared" si="8"/>
        <v>44307804.404107407</v>
      </c>
      <c r="Q111" s="47">
        <f t="shared" si="9"/>
        <v>19037746.666922376</v>
      </c>
      <c r="R111" s="47">
        <f t="shared" si="10"/>
        <v>6491470.9371241005</v>
      </c>
      <c r="S111" s="47">
        <f t="shared" si="11"/>
        <v>31530085.279339865</v>
      </c>
      <c r="T111" s="47">
        <f t="shared" si="12"/>
        <v>101367107.28749375</v>
      </c>
      <c r="U111" s="48"/>
      <c r="V111" s="48"/>
      <c r="W111" s="48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</row>
    <row r="112" spans="1:187">
      <c r="A112" s="11"/>
      <c r="B112" s="43" t="s">
        <v>302</v>
      </c>
      <c r="C112" s="44" t="s">
        <v>164</v>
      </c>
      <c r="D112" s="44" t="s">
        <v>165</v>
      </c>
      <c r="E112" s="45">
        <v>13362.852999999999</v>
      </c>
      <c r="F112" s="45">
        <f>20285.5-E112</f>
        <v>6922.6470000000008</v>
      </c>
      <c r="G112" s="45">
        <v>3119.3969999999999</v>
      </c>
      <c r="H112" s="45">
        <f>13951.347-G112</f>
        <v>10831.95</v>
      </c>
      <c r="I112" s="45">
        <f t="shared" si="7"/>
        <v>34236.847000000002</v>
      </c>
      <c r="J112" s="46">
        <v>33440</v>
      </c>
      <c r="K112" s="46">
        <v>2548.8098333333337</v>
      </c>
      <c r="L112" s="46">
        <v>2650.7622266666672</v>
      </c>
      <c r="M112" s="46">
        <v>1814.7798829333333</v>
      </c>
      <c r="N112" s="46">
        <v>1887.3710782506666</v>
      </c>
      <c r="O112" s="46">
        <f t="shared" si="13"/>
        <v>734.02995040000042</v>
      </c>
      <c r="P112" s="47">
        <f t="shared" si="8"/>
        <v>9808734.3247924969</v>
      </c>
      <c r="Q112" s="47">
        <f t="shared" si="9"/>
        <v>5081430.2340467125</v>
      </c>
      <c r="R112" s="47">
        <f t="shared" si="10"/>
        <v>2381320.0581954266</v>
      </c>
      <c r="S112" s="47">
        <f t="shared" si="11"/>
        <v>8269014.7500846973</v>
      </c>
      <c r="T112" s="47">
        <f t="shared" si="12"/>
        <v>25540499.367119335</v>
      </c>
      <c r="U112" s="48"/>
      <c r="V112" s="48"/>
      <c r="W112" s="48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</row>
    <row r="113" spans="1:187">
      <c r="A113" s="11"/>
      <c r="B113" s="43" t="s">
        <v>302</v>
      </c>
      <c r="C113" s="44" t="s">
        <v>164</v>
      </c>
      <c r="D113" s="44" t="s">
        <v>160</v>
      </c>
      <c r="E113" s="45">
        <v>12908.493</v>
      </c>
      <c r="F113" s="45">
        <f>19345.226-E113</f>
        <v>6436.7329999999984</v>
      </c>
      <c r="G113" s="45">
        <v>2945.529</v>
      </c>
      <c r="H113" s="45">
        <f>12523.973-G113</f>
        <v>9578.4439999999995</v>
      </c>
      <c r="I113" s="45">
        <f t="shared" si="7"/>
        <v>31869.198999999997</v>
      </c>
      <c r="J113" s="46">
        <v>28987.989999999998</v>
      </c>
      <c r="K113" s="46">
        <v>2515.3371666666662</v>
      </c>
      <c r="L113" s="46">
        <v>2615.9506533333329</v>
      </c>
      <c r="M113" s="46">
        <v>1814.7798829333333</v>
      </c>
      <c r="N113" s="46">
        <v>1887.3710782506666</v>
      </c>
      <c r="O113" s="46">
        <f t="shared" si="13"/>
        <v>700.55728373333295</v>
      </c>
      <c r="P113" s="47">
        <f t="shared" si="8"/>
        <v>9043138.7931707427</v>
      </c>
      <c r="Q113" s="47">
        <f t="shared" si="9"/>
        <v>4509300.1865967065</v>
      </c>
      <c r="R113" s="47">
        <f t="shared" si="10"/>
        <v>2146052.2672136705</v>
      </c>
      <c r="S113" s="47">
        <f t="shared" si="11"/>
        <v>6978658.6594731137</v>
      </c>
      <c r="T113" s="47">
        <f t="shared" si="12"/>
        <v>22677149.906454235</v>
      </c>
      <c r="U113" s="48"/>
      <c r="V113" s="48"/>
      <c r="W113" s="48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</row>
    <row r="114" spans="1:187">
      <c r="A114" s="11"/>
      <c r="B114" s="43" t="s">
        <v>302</v>
      </c>
      <c r="C114" s="44" t="s">
        <v>164</v>
      </c>
      <c r="D114" s="44" t="s">
        <v>166</v>
      </c>
      <c r="E114" s="45">
        <v>503.46600000000001</v>
      </c>
      <c r="F114" s="45">
        <f>839.11-E114</f>
        <v>335.64400000000001</v>
      </c>
      <c r="G114" s="45">
        <v>167.822</v>
      </c>
      <c r="H114" s="45">
        <f>671.288-G114</f>
        <v>503.46600000000001</v>
      </c>
      <c r="I114" s="45">
        <f t="shared" si="7"/>
        <v>1510.3980000000001</v>
      </c>
      <c r="J114" s="46">
        <v>1496.559</v>
      </c>
      <c r="K114" s="46">
        <v>3177.3269999999998</v>
      </c>
      <c r="L114" s="46">
        <v>3304.4200799999999</v>
      </c>
      <c r="M114" s="46">
        <v>1814.7798829333333</v>
      </c>
      <c r="N114" s="46">
        <v>1887.3710782506666</v>
      </c>
      <c r="O114" s="46">
        <f t="shared" si="13"/>
        <v>1362.5471170666665</v>
      </c>
      <c r="P114" s="47">
        <f t="shared" si="8"/>
        <v>685996.14684108633</v>
      </c>
      <c r="Q114" s="47">
        <f t="shared" si="9"/>
        <v>457330.7645607242</v>
      </c>
      <c r="R114" s="47">
        <f t="shared" si="10"/>
        <v>237811.99757157662</v>
      </c>
      <c r="S114" s="47">
        <f t="shared" si="11"/>
        <v>713435.99271472986</v>
      </c>
      <c r="T114" s="47">
        <f t="shared" si="12"/>
        <v>2094574.9016881171</v>
      </c>
      <c r="U114" s="48"/>
      <c r="V114" s="48"/>
      <c r="W114" s="48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</row>
    <row r="115" spans="1:187">
      <c r="A115" s="11"/>
      <c r="B115" s="43" t="s">
        <v>30</v>
      </c>
      <c r="C115" s="44" t="s">
        <v>159</v>
      </c>
      <c r="D115" s="44" t="s">
        <v>160</v>
      </c>
      <c r="E115" s="45">
        <v>429.38400000000001</v>
      </c>
      <c r="F115" s="45">
        <f>636.822-E115</f>
        <v>207.43799999999999</v>
      </c>
      <c r="G115" s="45">
        <v>73.734999999999999</v>
      </c>
      <c r="H115" s="45">
        <f>465.668-G115</f>
        <v>391.93299999999999</v>
      </c>
      <c r="I115" s="45">
        <f t="shared" si="7"/>
        <v>1102.49</v>
      </c>
      <c r="J115" s="46">
        <v>1315.21</v>
      </c>
      <c r="K115" s="46">
        <v>4026.3959999999997</v>
      </c>
      <c r="L115" s="46">
        <v>4187.4518399999997</v>
      </c>
      <c r="M115" s="46">
        <v>1814.7798829333333</v>
      </c>
      <c r="N115" s="46">
        <v>1887.3710782506666</v>
      </c>
      <c r="O115" s="46">
        <f t="shared" si="13"/>
        <v>2211.6161170666664</v>
      </c>
      <c r="P115" s="47">
        <f t="shared" si="8"/>
        <v>949632.57481055357</v>
      </c>
      <c r="Q115" s="47">
        <f t="shared" si="9"/>
        <v>458773.22409207514</v>
      </c>
      <c r="R115" s="47">
        <f t="shared" si="10"/>
        <v>169596.45496758705</v>
      </c>
      <c r="S115" s="47">
        <f t="shared" si="11"/>
        <v>901477.55319470121</v>
      </c>
      <c r="T115" s="47">
        <f t="shared" si="12"/>
        <v>2479479.8070649169</v>
      </c>
      <c r="U115" s="48"/>
      <c r="V115" s="48"/>
      <c r="W115" s="48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</row>
    <row r="116" spans="1:187">
      <c r="A116" s="11"/>
      <c r="B116" s="43" t="s">
        <v>30</v>
      </c>
      <c r="C116" s="44" t="s">
        <v>159</v>
      </c>
      <c r="D116" s="44" t="s">
        <v>161</v>
      </c>
      <c r="E116" s="45">
        <v>849.53200000000004</v>
      </c>
      <c r="F116" s="45">
        <f>1261.895-E116</f>
        <v>412.36299999999994</v>
      </c>
      <c r="G116" s="45">
        <v>133.97</v>
      </c>
      <c r="H116" s="45">
        <f>835.884-G116</f>
        <v>701.91399999999999</v>
      </c>
      <c r="I116" s="45">
        <f t="shared" si="7"/>
        <v>2097.779</v>
      </c>
      <c r="J116" s="46">
        <v>1875.17</v>
      </c>
      <c r="K116" s="46">
        <v>4026.3959999999997</v>
      </c>
      <c r="L116" s="46">
        <v>4187.4518399999997</v>
      </c>
      <c r="M116" s="46">
        <v>1814.7798829333333</v>
      </c>
      <c r="N116" s="46">
        <v>1887.3710782506666</v>
      </c>
      <c r="O116" s="46">
        <f t="shared" si="13"/>
        <v>2211.6161170666664</v>
      </c>
      <c r="P116" s="47">
        <f t="shared" si="8"/>
        <v>1878838.6631638794</v>
      </c>
      <c r="Q116" s="47">
        <f t="shared" si="9"/>
        <v>911988.65688196162</v>
      </c>
      <c r="R116" s="47">
        <f t="shared" si="10"/>
        <v>308141.81965155812</v>
      </c>
      <c r="S116" s="47">
        <f t="shared" si="11"/>
        <v>1614458.8878025212</v>
      </c>
      <c r="T116" s="47">
        <f t="shared" si="12"/>
        <v>4713428.0274999198</v>
      </c>
      <c r="U116" s="48"/>
      <c r="V116" s="48"/>
      <c r="W116" s="48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</row>
    <row r="117" spans="1:187">
      <c r="A117" s="11"/>
      <c r="B117" s="43" t="s">
        <v>30</v>
      </c>
      <c r="C117" s="44" t="s">
        <v>159</v>
      </c>
      <c r="D117" s="44" t="s">
        <v>162</v>
      </c>
      <c r="E117" s="45">
        <v>61.305</v>
      </c>
      <c r="F117" s="45">
        <f>90.968-E117</f>
        <v>29.663000000000004</v>
      </c>
      <c r="G117" s="45">
        <v>4.9059999999999997</v>
      </c>
      <c r="H117" s="45">
        <f>49.057-G117</f>
        <v>44.151000000000003</v>
      </c>
      <c r="I117" s="45">
        <f t="shared" si="7"/>
        <v>140.02500000000001</v>
      </c>
      <c r="J117" s="46">
        <v>165.5</v>
      </c>
      <c r="K117" s="46">
        <v>4026.3959999999997</v>
      </c>
      <c r="L117" s="46">
        <v>4187.4518399999997</v>
      </c>
      <c r="M117" s="46">
        <v>1814.7798829333333</v>
      </c>
      <c r="N117" s="46">
        <v>1887.3710782506666</v>
      </c>
      <c r="O117" s="46">
        <f t="shared" si="13"/>
        <v>2211.6161170666664</v>
      </c>
      <c r="P117" s="47">
        <f t="shared" si="8"/>
        <v>135583.12605677199</v>
      </c>
      <c r="Q117" s="47">
        <f t="shared" si="9"/>
        <v>65603.168880548532</v>
      </c>
      <c r="R117" s="47">
        <f t="shared" si="10"/>
        <v>11284.196217142226</v>
      </c>
      <c r="S117" s="47">
        <f t="shared" si="11"/>
        <v>101550.8657119948</v>
      </c>
      <c r="T117" s="47">
        <f t="shared" si="12"/>
        <v>314021.35686645756</v>
      </c>
      <c r="U117" s="48"/>
      <c r="V117" s="48"/>
      <c r="W117" s="48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</row>
    <row r="118" spans="1:187">
      <c r="A118" s="11"/>
      <c r="B118" s="43" t="s">
        <v>30</v>
      </c>
      <c r="C118" s="44" t="s">
        <v>159</v>
      </c>
      <c r="D118" s="44" t="s">
        <v>163</v>
      </c>
      <c r="E118" s="45">
        <v>2697.8649999999998</v>
      </c>
      <c r="F118" s="45">
        <f>3912.216-E118</f>
        <v>1214.3510000000001</v>
      </c>
      <c r="G118" s="45">
        <v>479.7</v>
      </c>
      <c r="H118" s="45">
        <f>2999.361-G118</f>
        <v>2519.6610000000001</v>
      </c>
      <c r="I118" s="45">
        <f t="shared" si="7"/>
        <v>6911.5770000000002</v>
      </c>
      <c r="J118" s="46">
        <v>7858.5</v>
      </c>
      <c r="K118" s="46">
        <v>3687.7950000000005</v>
      </c>
      <c r="L118" s="46">
        <v>3835.3068000000007</v>
      </c>
      <c r="M118" s="46">
        <v>1814.7798829333333</v>
      </c>
      <c r="N118" s="46">
        <v>1887.3710782506666</v>
      </c>
      <c r="O118" s="46">
        <f t="shared" si="13"/>
        <v>1873.0151170666672</v>
      </c>
      <c r="P118" s="47">
        <f t="shared" si="8"/>
        <v>5053141.9288050635</v>
      </c>
      <c r="Q118" s="47">
        <f t="shared" si="9"/>
        <v>2274497.7804250247</v>
      </c>
      <c r="R118" s="47">
        <f t="shared" si="10"/>
        <v>934424.76572315558</v>
      </c>
      <c r="S118" s="47">
        <f t="shared" si="11"/>
        <v>4908137.6685986491</v>
      </c>
      <c r="T118" s="47">
        <f t="shared" si="12"/>
        <v>13170202.143551894</v>
      </c>
      <c r="U118" s="48"/>
      <c r="V118" s="48"/>
      <c r="W118" s="48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</row>
    <row r="119" spans="1:187">
      <c r="A119" s="11"/>
      <c r="B119" s="43" t="s">
        <v>30</v>
      </c>
      <c r="C119" s="44" t="s">
        <v>159</v>
      </c>
      <c r="D119" s="44" t="s">
        <v>325</v>
      </c>
      <c r="E119" s="45">
        <v>8.7780000000000005</v>
      </c>
      <c r="F119" s="45">
        <f>13.025-E119</f>
        <v>4.2469999999999999</v>
      </c>
      <c r="G119" s="45">
        <v>0.99</v>
      </c>
      <c r="H119" s="45">
        <v>8.7799999999999994</v>
      </c>
      <c r="I119" s="45">
        <f t="shared" si="7"/>
        <v>22.795000000000002</v>
      </c>
      <c r="J119" s="46">
        <v>23.7</v>
      </c>
      <c r="K119" s="46">
        <v>5919.3126666666667</v>
      </c>
      <c r="L119" s="46">
        <v>6156.0851733333338</v>
      </c>
      <c r="M119" s="46">
        <v>1814.7798829333333</v>
      </c>
      <c r="N119" s="46">
        <v>1887.3710782506666</v>
      </c>
      <c r="O119" s="46">
        <f t="shared" si="13"/>
        <v>4104.5327837333334</v>
      </c>
      <c r="P119" s="47">
        <f t="shared" si="8"/>
        <v>36029.588775611206</v>
      </c>
      <c r="Q119" s="47">
        <f t="shared" si="9"/>
        <v>17431.950732515466</v>
      </c>
      <c r="R119" s="47">
        <f t="shared" si="10"/>
        <v>4226.0269541318403</v>
      </c>
      <c r="S119" s="47">
        <f t="shared" si="11"/>
        <v>37479.309754825816</v>
      </c>
      <c r="T119" s="47">
        <f t="shared" si="12"/>
        <v>95166.876217084326</v>
      </c>
      <c r="U119" s="48"/>
      <c r="V119" s="48"/>
      <c r="W119" s="48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</row>
    <row r="120" spans="1:187">
      <c r="A120" s="11"/>
      <c r="B120" s="43" t="s">
        <v>30</v>
      </c>
      <c r="C120" s="44" t="s">
        <v>159</v>
      </c>
      <c r="D120" s="44" t="s">
        <v>166</v>
      </c>
      <c r="E120" s="45">
        <v>143.04300000000001</v>
      </c>
      <c r="F120" s="45">
        <f>212.257-E120</f>
        <v>69.213999999999999</v>
      </c>
      <c r="G120" s="45">
        <v>22.928000000000001</v>
      </c>
      <c r="H120" s="45">
        <f>120.804-G120</f>
        <v>97.876000000000005</v>
      </c>
      <c r="I120" s="45">
        <f t="shared" si="7"/>
        <v>333.06100000000004</v>
      </c>
      <c r="J120" s="46">
        <v>386.2</v>
      </c>
      <c r="K120" s="46">
        <v>5919.3126666666667</v>
      </c>
      <c r="L120" s="46">
        <v>6156.0851733333338</v>
      </c>
      <c r="M120" s="46">
        <v>1814.7798829333333</v>
      </c>
      <c r="N120" s="46">
        <v>1887.3710782506666</v>
      </c>
      <c r="O120" s="46">
        <f t="shared" si="13"/>
        <v>4104.5327837333334</v>
      </c>
      <c r="P120" s="47">
        <f t="shared" si="8"/>
        <v>587124.68298356724</v>
      </c>
      <c r="Q120" s="47">
        <f t="shared" si="9"/>
        <v>284091.13209331891</v>
      </c>
      <c r="R120" s="47">
        <f t="shared" si="10"/>
        <v>97873.076772055385</v>
      </c>
      <c r="S120" s="47">
        <f t="shared" si="11"/>
        <v>417804.66077031114</v>
      </c>
      <c r="T120" s="47">
        <f t="shared" si="12"/>
        <v>1386893.5526192528</v>
      </c>
      <c r="U120" s="48"/>
      <c r="V120" s="48"/>
      <c r="W120" s="48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</row>
    <row r="121" spans="1:187" ht="30">
      <c r="A121" s="33" t="s">
        <v>387</v>
      </c>
      <c r="B121" s="43" t="s">
        <v>414</v>
      </c>
      <c r="C121" s="44" t="s">
        <v>410</v>
      </c>
      <c r="D121" s="44" t="s">
        <v>165</v>
      </c>
      <c r="E121" s="45">
        <f>61.039*0.4</f>
        <v>24.415600000000001</v>
      </c>
      <c r="F121" s="45">
        <f>61.039*0.6</f>
        <v>36.623399999999997</v>
      </c>
      <c r="G121" s="45">
        <f>49.941*0.2</f>
        <v>9.9882000000000009</v>
      </c>
      <c r="H121" s="45">
        <f>49.941*0.8</f>
        <v>39.952800000000003</v>
      </c>
      <c r="I121" s="45">
        <f t="shared" si="7"/>
        <v>110.98000000000002</v>
      </c>
      <c r="J121" s="46">
        <v>110.97999999999999</v>
      </c>
      <c r="K121" s="46">
        <v>2598.5</v>
      </c>
      <c r="L121" s="46">
        <v>2702.44</v>
      </c>
      <c r="M121" s="46">
        <v>2177.7691520000003</v>
      </c>
      <c r="N121" s="46">
        <v>2264.8799180800006</v>
      </c>
      <c r="O121" s="46">
        <f t="shared" si="13"/>
        <v>420.7308479999997</v>
      </c>
      <c r="P121" s="47">
        <f t="shared" si="8"/>
        <v>10272.396092428793</v>
      </c>
      <c r="Q121" s="47">
        <f t="shared" si="9"/>
        <v>15408.594138643188</v>
      </c>
      <c r="R121" s="47">
        <f t="shared" si="10"/>
        <v>4370.437610233339</v>
      </c>
      <c r="S121" s="47">
        <f t="shared" si="11"/>
        <v>17481.750440933356</v>
      </c>
      <c r="T121" s="47">
        <f t="shared" si="12"/>
        <v>47533.178282238674</v>
      </c>
      <c r="U121" s="48"/>
      <c r="V121" s="48"/>
      <c r="W121" s="48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</row>
    <row r="122" spans="1:187" ht="30">
      <c r="A122" s="33" t="s">
        <v>387</v>
      </c>
      <c r="B122" s="43" t="s">
        <v>415</v>
      </c>
      <c r="C122" s="44" t="s">
        <v>411</v>
      </c>
      <c r="D122" s="44" t="s">
        <v>168</v>
      </c>
      <c r="E122" s="45">
        <f>67.6*0.4</f>
        <v>27.04</v>
      </c>
      <c r="F122" s="45">
        <f>67.6*0.6</f>
        <v>40.559999999999995</v>
      </c>
      <c r="G122" s="45">
        <f>62.4*0.2</f>
        <v>12.48</v>
      </c>
      <c r="H122" s="45">
        <f>62.4*0.8</f>
        <v>49.92</v>
      </c>
      <c r="I122" s="45">
        <f t="shared" si="7"/>
        <v>130</v>
      </c>
      <c r="J122" s="46">
        <v>130</v>
      </c>
      <c r="K122" s="46">
        <v>1778.84</v>
      </c>
      <c r="L122" s="46">
        <v>1849.9936</v>
      </c>
      <c r="M122" s="46">
        <v>1740.4088000000002</v>
      </c>
      <c r="N122" s="46">
        <v>1827.4292400000002</v>
      </c>
      <c r="O122" s="46">
        <f t="shared" si="13"/>
        <v>38.431199999999762</v>
      </c>
      <c r="P122" s="47">
        <f t="shared" si="8"/>
        <v>1039.1796479999934</v>
      </c>
      <c r="Q122" s="47">
        <f t="shared" si="9"/>
        <v>1558.7694719999902</v>
      </c>
      <c r="R122" s="47">
        <f t="shared" si="10"/>
        <v>281.60321279999818</v>
      </c>
      <c r="S122" s="47">
        <f t="shared" si="11"/>
        <v>1126.4128511999927</v>
      </c>
      <c r="T122" s="47">
        <f t="shared" si="12"/>
        <v>4005.9651839999751</v>
      </c>
      <c r="U122" s="48"/>
      <c r="V122" s="48"/>
      <c r="W122" s="48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</row>
    <row r="123" spans="1:187">
      <c r="A123" s="33" t="s">
        <v>387</v>
      </c>
      <c r="B123" s="43" t="s">
        <v>416</v>
      </c>
      <c r="C123" s="44" t="s">
        <v>412</v>
      </c>
      <c r="D123" s="44" t="s">
        <v>166</v>
      </c>
      <c r="E123" s="45">
        <f>258.5658*0.6</f>
        <v>155.13948000000002</v>
      </c>
      <c r="F123" s="45">
        <f>258.5658*0.4</f>
        <v>103.42632000000002</v>
      </c>
      <c r="G123" s="45">
        <f>229.2942*0.2</f>
        <v>45.858840000000001</v>
      </c>
      <c r="H123" s="45">
        <f>229.2942*0.8</f>
        <v>183.43536</v>
      </c>
      <c r="I123" s="45">
        <f t="shared" si="7"/>
        <v>487.86</v>
      </c>
      <c r="J123" s="46">
        <v>487.86</v>
      </c>
      <c r="K123" s="46">
        <v>2827.37</v>
      </c>
      <c r="L123" s="46">
        <v>2940.4648000000002</v>
      </c>
      <c r="M123" s="46">
        <v>2177.7392</v>
      </c>
      <c r="N123" s="46">
        <v>2264.8487679999998</v>
      </c>
      <c r="O123" s="46">
        <f t="shared" si="13"/>
        <v>649.63079999999991</v>
      </c>
      <c r="P123" s="47">
        <f t="shared" si="8"/>
        <v>100783.38450398399</v>
      </c>
      <c r="Q123" s="47">
        <f t="shared" si="9"/>
        <v>67188.923002655996</v>
      </c>
      <c r="R123" s="47">
        <f t="shared" si="10"/>
        <v>30982.967512922896</v>
      </c>
      <c r="S123" s="47">
        <f t="shared" si="11"/>
        <v>123931.87005169159</v>
      </c>
      <c r="T123" s="47">
        <f t="shared" si="12"/>
        <v>322887.14507125446</v>
      </c>
      <c r="U123" s="48"/>
      <c r="V123" s="48"/>
      <c r="W123" s="48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</row>
    <row r="124" spans="1:187" ht="30">
      <c r="A124" s="33" t="s">
        <v>387</v>
      </c>
      <c r="B124" s="43" t="s">
        <v>417</v>
      </c>
      <c r="C124" s="44" t="s">
        <v>413</v>
      </c>
      <c r="D124" s="44" t="s">
        <v>418</v>
      </c>
      <c r="E124" s="45">
        <f>388.84352*0.6</f>
        <v>233.30611199999998</v>
      </c>
      <c r="F124" s="45">
        <f>388.84352*0.4</f>
        <v>155.53740800000003</v>
      </c>
      <c r="G124" s="45">
        <f>261.39648*0.2</f>
        <v>52.279296000000002</v>
      </c>
      <c r="H124" s="45">
        <f>261.39648*0.8</f>
        <v>209.11718400000001</v>
      </c>
      <c r="I124" s="45">
        <f t="shared" si="7"/>
        <v>650.24</v>
      </c>
      <c r="J124" s="46">
        <v>650.24</v>
      </c>
      <c r="K124" s="46">
        <v>2864.09</v>
      </c>
      <c r="L124" s="46">
        <v>2978.6536000000001</v>
      </c>
      <c r="M124" s="46">
        <v>2177.7691520000003</v>
      </c>
      <c r="N124" s="46">
        <v>2264.8799180800006</v>
      </c>
      <c r="O124" s="46">
        <f t="shared" si="13"/>
        <v>686.32084799999984</v>
      </c>
      <c r="P124" s="47">
        <f t="shared" si="8"/>
        <v>160122.84863142294</v>
      </c>
      <c r="Q124" s="47">
        <f t="shared" si="9"/>
        <v>106748.56575428198</v>
      </c>
      <c r="R124" s="47">
        <f t="shared" si="10"/>
        <v>37315.585594105505</v>
      </c>
      <c r="S124" s="47">
        <f t="shared" si="11"/>
        <v>149262.34237642202</v>
      </c>
      <c r="T124" s="47">
        <f t="shared" si="12"/>
        <v>453449.34235623246</v>
      </c>
      <c r="U124" s="48"/>
      <c r="V124" s="48"/>
      <c r="W124" s="48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</row>
    <row r="125" spans="1:187" ht="15.75">
      <c r="A125" s="11"/>
      <c r="B125" s="112" t="s">
        <v>170</v>
      </c>
      <c r="C125" s="112"/>
      <c r="D125" s="112"/>
      <c r="E125" s="49"/>
      <c r="F125" s="49"/>
      <c r="G125" s="42"/>
      <c r="H125" s="42"/>
      <c r="I125" s="45">
        <f t="shared" si="7"/>
        <v>0</v>
      </c>
      <c r="J125" s="48"/>
      <c r="K125" s="40"/>
      <c r="L125" s="40"/>
      <c r="M125" s="40"/>
      <c r="N125" s="40"/>
      <c r="O125" s="46">
        <f t="shared" si="13"/>
        <v>0</v>
      </c>
      <c r="P125" s="47">
        <f t="shared" si="8"/>
        <v>0</v>
      </c>
      <c r="Q125" s="47">
        <f t="shared" si="9"/>
        <v>0</v>
      </c>
      <c r="R125" s="47">
        <f t="shared" si="10"/>
        <v>0</v>
      </c>
      <c r="S125" s="47">
        <f t="shared" si="11"/>
        <v>0</v>
      </c>
      <c r="T125" s="47">
        <f t="shared" si="12"/>
        <v>0</v>
      </c>
      <c r="U125" s="50"/>
      <c r="V125" s="50"/>
      <c r="W125" s="50"/>
    </row>
    <row r="126" spans="1:187">
      <c r="A126" s="11"/>
      <c r="B126" s="43" t="s">
        <v>22</v>
      </c>
      <c r="C126" s="44" t="s">
        <v>180</v>
      </c>
      <c r="D126" s="44" t="s">
        <v>181</v>
      </c>
      <c r="E126" s="45">
        <v>2389.4360000000001</v>
      </c>
      <c r="F126" s="45">
        <f>3528.984-E126</f>
        <v>1139.5479999999998</v>
      </c>
      <c r="G126" s="45">
        <v>435.51</v>
      </c>
      <c r="H126" s="45">
        <f>2104.269-G126</f>
        <v>1668.7589999999998</v>
      </c>
      <c r="I126" s="45">
        <f t="shared" si="7"/>
        <v>5633.2529999999997</v>
      </c>
      <c r="J126" s="46">
        <v>5765</v>
      </c>
      <c r="K126" s="46">
        <v>3699.28</v>
      </c>
      <c r="L126" s="46">
        <v>3847.2512000000002</v>
      </c>
      <c r="M126" s="46">
        <v>2059.7241600000002</v>
      </c>
      <c r="N126" s="46">
        <v>2162.7103680000005</v>
      </c>
      <c r="O126" s="46">
        <f t="shared" si="13"/>
        <v>1639.55584</v>
      </c>
      <c r="P126" s="47">
        <f t="shared" si="8"/>
        <v>3917613.7481062403</v>
      </c>
      <c r="Q126" s="47">
        <f t="shared" si="9"/>
        <v>1868352.5783603196</v>
      </c>
      <c r="R126" s="47">
        <f t="shared" si="10"/>
        <v>733634.37774431985</v>
      </c>
      <c r="S126" s="47">
        <f t="shared" si="11"/>
        <v>2811092.6742674871</v>
      </c>
      <c r="T126" s="47">
        <f t="shared" si="12"/>
        <v>9330693.3784783669</v>
      </c>
      <c r="U126" s="48"/>
      <c r="V126" s="48"/>
      <c r="W126" s="48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</row>
    <row r="127" spans="1:187">
      <c r="A127" s="11"/>
      <c r="B127" s="43" t="s">
        <v>25</v>
      </c>
      <c r="C127" s="44" t="s">
        <v>178</v>
      </c>
      <c r="D127" s="44" t="s">
        <v>173</v>
      </c>
      <c r="E127" s="45">
        <v>409.23899999999998</v>
      </c>
      <c r="F127" s="45">
        <f>682.065-E127</f>
        <v>272.82600000000008</v>
      </c>
      <c r="G127" s="45">
        <v>136.428</v>
      </c>
      <c r="H127" s="45">
        <f>545.697-G127</f>
        <v>409.26900000000001</v>
      </c>
      <c r="I127" s="45">
        <f t="shared" si="7"/>
        <v>1227.7620000000002</v>
      </c>
      <c r="J127" s="46">
        <v>1224</v>
      </c>
      <c r="K127" s="46">
        <v>5640.27</v>
      </c>
      <c r="L127" s="46">
        <v>5865.8808000000008</v>
      </c>
      <c r="M127" s="46">
        <v>2059.7241600000002</v>
      </c>
      <c r="N127" s="46">
        <v>2142.1131264000005</v>
      </c>
      <c r="O127" s="46">
        <f t="shared" si="13"/>
        <v>3580.5458400000002</v>
      </c>
      <c r="P127" s="47">
        <f t="shared" si="8"/>
        <v>1465298.9990157599</v>
      </c>
      <c r="Q127" s="47">
        <f t="shared" si="9"/>
        <v>976865.99934384029</v>
      </c>
      <c r="R127" s="47">
        <f t="shared" si="10"/>
        <v>508026.17617390084</v>
      </c>
      <c r="S127" s="47">
        <f t="shared" si="11"/>
        <v>1524022.6720065984</v>
      </c>
      <c r="T127" s="47">
        <f t="shared" si="12"/>
        <v>4474213.846540099</v>
      </c>
      <c r="U127" s="48"/>
      <c r="V127" s="48"/>
      <c r="W127" s="48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</row>
    <row r="128" spans="1:187">
      <c r="A128" s="11"/>
      <c r="B128" s="43" t="s">
        <v>25</v>
      </c>
      <c r="C128" s="44" t="s">
        <v>178</v>
      </c>
      <c r="D128" s="44" t="s">
        <v>171</v>
      </c>
      <c r="E128" s="45">
        <v>227.42</v>
      </c>
      <c r="F128" s="45">
        <f>324.133-E128</f>
        <v>96.712999999999994</v>
      </c>
      <c r="G128" s="45">
        <v>49.1</v>
      </c>
      <c r="H128" s="45">
        <f>187.581-G128</f>
        <v>138.48099999999999</v>
      </c>
      <c r="I128" s="45">
        <f t="shared" si="7"/>
        <v>511.714</v>
      </c>
      <c r="J128" s="46">
        <v>491</v>
      </c>
      <c r="K128" s="46">
        <v>7172.11</v>
      </c>
      <c r="L128" s="46">
        <v>7458.9943999999996</v>
      </c>
      <c r="M128" s="46">
        <v>2059.7241600000002</v>
      </c>
      <c r="N128" s="46">
        <v>2142.1131264000005</v>
      </c>
      <c r="O128" s="46">
        <f t="shared" si="13"/>
        <v>5112.385839999999</v>
      </c>
      <c r="P128" s="47">
        <f t="shared" si="8"/>
        <v>1162658.7877327998</v>
      </c>
      <c r="Q128" s="47">
        <f t="shared" si="9"/>
        <v>494434.1717439199</v>
      </c>
      <c r="R128" s="47">
        <f t="shared" si="10"/>
        <v>261058.87053375997</v>
      </c>
      <c r="S128" s="47">
        <f t="shared" si="11"/>
        <v>736287.03564940148</v>
      </c>
      <c r="T128" s="47">
        <f t="shared" si="12"/>
        <v>2654438.8656598809</v>
      </c>
      <c r="U128" s="48"/>
      <c r="V128" s="48"/>
      <c r="W128" s="48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</row>
    <row r="129" spans="1:187" ht="30">
      <c r="A129" s="11"/>
      <c r="B129" s="43" t="s">
        <v>299</v>
      </c>
      <c r="C129" s="44" t="s">
        <v>177</v>
      </c>
      <c r="D129" s="44" t="s">
        <v>341</v>
      </c>
      <c r="E129" s="45">
        <v>883.35500000000002</v>
      </c>
      <c r="F129" s="45">
        <f>1462.28-E129</f>
        <v>578.92499999999995</v>
      </c>
      <c r="G129" s="45">
        <v>294.78500000000003</v>
      </c>
      <c r="H129" s="45">
        <f>1178.533-G129</f>
        <v>883.74799999999982</v>
      </c>
      <c r="I129" s="45">
        <f t="shared" si="7"/>
        <v>2640.8130000000001</v>
      </c>
      <c r="J129" s="46">
        <v>2449.6999999999998</v>
      </c>
      <c r="K129" s="46">
        <v>4911.7700000000004</v>
      </c>
      <c r="L129" s="46">
        <v>5108.2408000000005</v>
      </c>
      <c r="M129" s="46">
        <v>2059.7241600000002</v>
      </c>
      <c r="N129" s="46">
        <v>2111.2172639999999</v>
      </c>
      <c r="O129" s="46">
        <f t="shared" si="13"/>
        <v>2852.0458400000002</v>
      </c>
      <c r="P129" s="47">
        <f t="shared" si="8"/>
        <v>2519368.9529932002</v>
      </c>
      <c r="Q129" s="47">
        <f t="shared" si="9"/>
        <v>1651120.6379219999</v>
      </c>
      <c r="R129" s="47">
        <f t="shared" si="10"/>
        <v>883477.58305976028</v>
      </c>
      <c r="S129" s="47">
        <f t="shared" si="11"/>
        <v>2648613.555892928</v>
      </c>
      <c r="T129" s="47">
        <f t="shared" si="12"/>
        <v>7702580.7298678886</v>
      </c>
      <c r="U129" s="48"/>
      <c r="V129" s="48"/>
      <c r="W129" s="48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</row>
    <row r="130" spans="1:187" ht="30">
      <c r="A130" s="11"/>
      <c r="B130" s="43" t="s">
        <v>299</v>
      </c>
      <c r="C130" s="44" t="s">
        <v>177</v>
      </c>
      <c r="D130" s="44" t="s">
        <v>340</v>
      </c>
      <c r="E130" s="45">
        <v>1199.001</v>
      </c>
      <c r="F130" s="45">
        <f>1998.335-E130</f>
        <v>799.33400000000006</v>
      </c>
      <c r="G130" s="45">
        <v>399.66699999999997</v>
      </c>
      <c r="H130" s="45">
        <f>1598.668-G130</f>
        <v>1199.001</v>
      </c>
      <c r="I130" s="45">
        <f t="shared" si="7"/>
        <v>3597.0029999999997</v>
      </c>
      <c r="J130" s="46">
        <v>3367.3</v>
      </c>
      <c r="K130" s="46">
        <v>3667.41</v>
      </c>
      <c r="L130" s="46">
        <v>3814.1064000000001</v>
      </c>
      <c r="M130" s="46">
        <v>1580.5770240000002</v>
      </c>
      <c r="N130" s="46">
        <v>1580.5770240000002</v>
      </c>
      <c r="O130" s="46">
        <f t="shared" si="13"/>
        <v>2086.8329759999997</v>
      </c>
      <c r="P130" s="47">
        <f t="shared" si="8"/>
        <v>2502114.8250569757</v>
      </c>
      <c r="Q130" s="47">
        <f t="shared" si="9"/>
        <v>1668076.5500379838</v>
      </c>
      <c r="R130" s="47">
        <f t="shared" si="10"/>
        <v>892667.98511779192</v>
      </c>
      <c r="S130" s="47">
        <f t="shared" si="11"/>
        <v>2678003.955353376</v>
      </c>
      <c r="T130" s="47">
        <f t="shared" si="12"/>
        <v>7740863.3155661281</v>
      </c>
      <c r="U130" s="48"/>
      <c r="V130" s="48"/>
      <c r="W130" s="48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</row>
    <row r="131" spans="1:187" ht="30">
      <c r="A131" s="11"/>
      <c r="B131" s="43" t="s">
        <v>299</v>
      </c>
      <c r="C131" s="44" t="s">
        <v>177</v>
      </c>
      <c r="D131" s="44" t="s">
        <v>339</v>
      </c>
      <c r="E131" s="45">
        <v>374.33100000000002</v>
      </c>
      <c r="F131" s="45">
        <f>623.885-E131</f>
        <v>249.55399999999997</v>
      </c>
      <c r="G131" s="45">
        <v>124.777</v>
      </c>
      <c r="H131" s="45">
        <f>499.108-G131</f>
        <v>374.33100000000002</v>
      </c>
      <c r="I131" s="45">
        <f t="shared" si="7"/>
        <v>1122.9929999999999</v>
      </c>
      <c r="J131" s="46">
        <v>1044.8</v>
      </c>
      <c r="K131" s="46">
        <v>5582.12</v>
      </c>
      <c r="L131" s="46">
        <v>5805.4048000000003</v>
      </c>
      <c r="M131" s="46">
        <v>2059.7241600000002</v>
      </c>
      <c r="N131" s="46">
        <v>2100.9186432000001</v>
      </c>
      <c r="O131" s="46">
        <f t="shared" si="13"/>
        <v>3522.3958399999997</v>
      </c>
      <c r="P131" s="47">
        <f t="shared" si="8"/>
        <v>1318541.95718304</v>
      </c>
      <c r="Q131" s="47">
        <f t="shared" si="9"/>
        <v>879027.97145535983</v>
      </c>
      <c r="R131" s="47">
        <f t="shared" si="10"/>
        <v>462234.66918703361</v>
      </c>
      <c r="S131" s="47">
        <f t="shared" si="11"/>
        <v>1386704.0075611009</v>
      </c>
      <c r="T131" s="47">
        <f t="shared" si="12"/>
        <v>4046508.6053865338</v>
      </c>
      <c r="U131" s="48"/>
      <c r="V131" s="48"/>
      <c r="W131" s="48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</row>
    <row r="132" spans="1:187">
      <c r="A132" s="11"/>
      <c r="B132" s="43" t="s">
        <v>300</v>
      </c>
      <c r="C132" s="44" t="s">
        <v>172</v>
      </c>
      <c r="D132" s="44" t="s">
        <v>173</v>
      </c>
      <c r="E132" s="45">
        <v>6916.1</v>
      </c>
      <c r="F132" s="45">
        <f>10297.688-E132</f>
        <v>3381.5879999999997</v>
      </c>
      <c r="G132" s="45">
        <v>1356.3589999999999</v>
      </c>
      <c r="H132" s="45">
        <f>6965.679</f>
        <v>6965.6790000000001</v>
      </c>
      <c r="I132" s="45">
        <f t="shared" si="7"/>
        <v>18619.726000000002</v>
      </c>
      <c r="J132" s="46">
        <v>17969.8</v>
      </c>
      <c r="K132" s="46">
        <v>2014.8401666666664</v>
      </c>
      <c r="L132" s="46">
        <v>2095.4337733333332</v>
      </c>
      <c r="M132" s="46">
        <v>1684.0513802666669</v>
      </c>
      <c r="N132" s="46">
        <v>1751.4134354773337</v>
      </c>
      <c r="O132" s="46">
        <f t="shared" si="13"/>
        <v>330.78878639999948</v>
      </c>
      <c r="P132" s="47">
        <f t="shared" si="8"/>
        <v>2287768.3256210363</v>
      </c>
      <c r="Q132" s="47">
        <f t="shared" si="9"/>
        <v>1118591.3906248014</v>
      </c>
      <c r="R132" s="47">
        <f t="shared" si="10"/>
        <v>466615.0814340256</v>
      </c>
      <c r="S132" s="47">
        <f t="shared" si="11"/>
        <v>2396335.242976441</v>
      </c>
      <c r="T132" s="47">
        <f t="shared" si="12"/>
        <v>6269310.040656304</v>
      </c>
      <c r="U132" s="48"/>
      <c r="V132" s="48"/>
      <c r="W132" s="48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</row>
    <row r="133" spans="1:187">
      <c r="A133" s="11"/>
      <c r="B133" s="43" t="s">
        <v>300</v>
      </c>
      <c r="C133" s="44" t="s">
        <v>172</v>
      </c>
      <c r="D133" s="44" t="s">
        <v>174</v>
      </c>
      <c r="E133" s="45">
        <v>4183.0609999999997</v>
      </c>
      <c r="F133" s="45">
        <f>6163.764-E133</f>
        <v>1980.7030000000004</v>
      </c>
      <c r="G133" s="45">
        <v>785.18600000000004</v>
      </c>
      <c r="H133" s="45">
        <f>4054.053-G133</f>
        <v>3268.8669999999997</v>
      </c>
      <c r="I133" s="45">
        <f t="shared" si="7"/>
        <v>10217.816999999999</v>
      </c>
      <c r="J133" s="46">
        <v>9852.4</v>
      </c>
      <c r="K133" s="46">
        <v>2735.4169999999999</v>
      </c>
      <c r="L133" s="46">
        <v>2844.8336800000002</v>
      </c>
      <c r="M133" s="46">
        <v>1684.0513802666669</v>
      </c>
      <c r="N133" s="46">
        <v>1751.4134354773337</v>
      </c>
      <c r="O133" s="46">
        <f t="shared" si="13"/>
        <v>1051.365619733333</v>
      </c>
      <c r="P133" s="47">
        <f t="shared" si="8"/>
        <v>4397926.5206473358</v>
      </c>
      <c r="Q133" s="47">
        <f t="shared" si="9"/>
        <v>2082443.0371026723</v>
      </c>
      <c r="R133" s="47">
        <f t="shared" si="10"/>
        <v>858538.2681157745</v>
      </c>
      <c r="S133" s="47">
        <f t="shared" si="11"/>
        <v>3574245.354452075</v>
      </c>
      <c r="T133" s="47">
        <f t="shared" si="12"/>
        <v>10913153.180317858</v>
      </c>
      <c r="U133" s="48"/>
      <c r="V133" s="48"/>
      <c r="W133" s="48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</row>
    <row r="134" spans="1:187" ht="30">
      <c r="A134" s="11"/>
      <c r="B134" s="43" t="s">
        <v>3</v>
      </c>
      <c r="C134" s="44" t="s">
        <v>179</v>
      </c>
      <c r="D134" s="44" t="s">
        <v>176</v>
      </c>
      <c r="E134" s="45">
        <v>85.022000000000006</v>
      </c>
      <c r="F134" s="45">
        <f>116.446-E134</f>
        <v>31.423999999999992</v>
      </c>
      <c r="G134" s="45">
        <v>5.4509999999999996</v>
      </c>
      <c r="H134" s="45">
        <f>66.902-G134</f>
        <v>61.451000000000001</v>
      </c>
      <c r="I134" s="45">
        <f t="shared" si="7"/>
        <v>183.34799999999998</v>
      </c>
      <c r="J134" s="46">
        <v>199.2</v>
      </c>
      <c r="K134" s="46">
        <v>2899.614</v>
      </c>
      <c r="L134" s="46">
        <v>3015.5985600000004</v>
      </c>
      <c r="M134" s="46">
        <v>1700.2441820000001</v>
      </c>
      <c r="N134" s="46">
        <v>1734.2490656400003</v>
      </c>
      <c r="O134" s="46">
        <f t="shared" si="13"/>
        <v>1199.3698179999999</v>
      </c>
      <c r="P134" s="47">
        <f t="shared" si="8"/>
        <v>101972.820665996</v>
      </c>
      <c r="Q134" s="47">
        <f t="shared" si="9"/>
        <v>37688.99716083199</v>
      </c>
      <c r="R134" s="47">
        <f t="shared" si="10"/>
        <v>6984.6360937563604</v>
      </c>
      <c r="S134" s="47">
        <f t="shared" si="11"/>
        <v>78740.207777916366</v>
      </c>
      <c r="T134" s="47">
        <f t="shared" si="12"/>
        <v>225386.66169850071</v>
      </c>
      <c r="U134" s="48"/>
      <c r="V134" s="48"/>
      <c r="W134" s="48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</row>
    <row r="135" spans="1:187">
      <c r="A135" s="11"/>
      <c r="B135" s="43" t="s">
        <v>298</v>
      </c>
      <c r="C135" s="44" t="s">
        <v>183</v>
      </c>
      <c r="D135" s="44" t="s">
        <v>181</v>
      </c>
      <c r="E135" s="45">
        <v>581.37099999999998</v>
      </c>
      <c r="F135" s="45">
        <f>822.119-E135</f>
        <v>240.74800000000005</v>
      </c>
      <c r="G135" s="45">
        <v>68.978999999999999</v>
      </c>
      <c r="H135" s="45">
        <f>558.056-G135</f>
        <v>489.07700000000006</v>
      </c>
      <c r="I135" s="45">
        <f t="shared" si="7"/>
        <v>1380.1750000000002</v>
      </c>
      <c r="J135" s="46">
        <v>1337</v>
      </c>
      <c r="K135" s="46">
        <v>6247.85</v>
      </c>
      <c r="L135" s="46">
        <v>6497.764000000001</v>
      </c>
      <c r="M135" s="46">
        <v>2020.8614400000004</v>
      </c>
      <c r="N135" s="46">
        <v>2101.6958976000005</v>
      </c>
      <c r="O135" s="46">
        <f t="shared" si="13"/>
        <v>4226.9885599999998</v>
      </c>
      <c r="P135" s="47">
        <f t="shared" si="8"/>
        <v>2457448.5661157598</v>
      </c>
      <c r="Q135" s="47">
        <f t="shared" si="9"/>
        <v>1017639.0418428802</v>
      </c>
      <c r="R135" s="47">
        <f t="shared" si="10"/>
        <v>303236.38163544965</v>
      </c>
      <c r="S135" s="47">
        <f t="shared" si="11"/>
        <v>2150015.7993174852</v>
      </c>
      <c r="T135" s="47">
        <f t="shared" si="12"/>
        <v>5928339.7889115755</v>
      </c>
      <c r="U135" s="48"/>
      <c r="V135" s="48"/>
      <c r="W135" s="48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</row>
    <row r="136" spans="1:187">
      <c r="A136" s="11"/>
      <c r="B136" s="43" t="s">
        <v>298</v>
      </c>
      <c r="C136" s="44" t="s">
        <v>183</v>
      </c>
      <c r="D136" s="44" t="s">
        <v>171</v>
      </c>
      <c r="E136" s="45">
        <v>62.777999999999999</v>
      </c>
      <c r="F136" s="45">
        <f>104.63-E136</f>
        <v>41.851999999999997</v>
      </c>
      <c r="G136" s="45">
        <v>20.925999999999998</v>
      </c>
      <c r="H136" s="45">
        <f>89.704-G136</f>
        <v>68.777999999999992</v>
      </c>
      <c r="I136" s="45">
        <f t="shared" si="7"/>
        <v>194.334</v>
      </c>
      <c r="J136" s="46">
        <v>188.3</v>
      </c>
      <c r="K136" s="46">
        <v>11626.55</v>
      </c>
      <c r="L136" s="46">
        <v>12091.611999999999</v>
      </c>
      <c r="M136" s="46">
        <v>2020.8614400000004</v>
      </c>
      <c r="N136" s="46">
        <v>2121.9045120000005</v>
      </c>
      <c r="O136" s="46">
        <f t="shared" si="13"/>
        <v>9605.6885599999987</v>
      </c>
      <c r="P136" s="47">
        <f t="shared" si="8"/>
        <v>603025.91641967988</v>
      </c>
      <c r="Q136" s="47">
        <f t="shared" si="9"/>
        <v>402017.27761311992</v>
      </c>
      <c r="R136" s="47">
        <f t="shared" si="10"/>
        <v>208626.09889388795</v>
      </c>
      <c r="S136" s="47">
        <f t="shared" si="11"/>
        <v>685696.54160966375</v>
      </c>
      <c r="T136" s="47">
        <f t="shared" si="12"/>
        <v>1899365.8345363515</v>
      </c>
      <c r="U136" s="48"/>
      <c r="V136" s="48"/>
      <c r="W136" s="48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</row>
    <row r="137" spans="1:187">
      <c r="A137" s="11"/>
      <c r="B137" s="43" t="s">
        <v>282</v>
      </c>
      <c r="C137" s="44" t="s">
        <v>91</v>
      </c>
      <c r="D137" s="44" t="s">
        <v>175</v>
      </c>
      <c r="E137" s="45">
        <v>2030.28</v>
      </c>
      <c r="F137" s="45">
        <f>2967.1-E137</f>
        <v>936.81999999999994</v>
      </c>
      <c r="G137" s="45">
        <v>229.73</v>
      </c>
      <c r="H137" s="45">
        <v>1913.88</v>
      </c>
      <c r="I137" s="45">
        <f t="shared" si="7"/>
        <v>5110.71</v>
      </c>
      <c r="J137" s="46">
        <v>4871.83</v>
      </c>
      <c r="K137" s="46">
        <v>4781.3</v>
      </c>
      <c r="L137" s="46">
        <v>4972.5520000000006</v>
      </c>
      <c r="M137" s="46">
        <v>2059.7241600000002</v>
      </c>
      <c r="N137" s="46">
        <v>2111.2172639999999</v>
      </c>
      <c r="O137" s="46">
        <f t="shared" si="13"/>
        <v>2721.57584</v>
      </c>
      <c r="P137" s="47">
        <f t="shared" si="8"/>
        <v>5525560.9964351999</v>
      </c>
      <c r="Q137" s="47">
        <f t="shared" si="9"/>
        <v>2549626.6784287998</v>
      </c>
      <c r="R137" s="47">
        <f t="shared" si="10"/>
        <v>657334.42890128016</v>
      </c>
      <c r="S137" s="47">
        <f t="shared" si="11"/>
        <v>5476251.3245356819</v>
      </c>
      <c r="T137" s="47">
        <f t="shared" si="12"/>
        <v>14208773.428300962</v>
      </c>
      <c r="U137" s="48"/>
      <c r="V137" s="48"/>
      <c r="W137" s="48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</row>
    <row r="138" spans="1:187">
      <c r="A138" s="11"/>
      <c r="B138" s="43" t="s">
        <v>326</v>
      </c>
      <c r="C138" s="44" t="s">
        <v>327</v>
      </c>
      <c r="D138" s="44" t="s">
        <v>171</v>
      </c>
      <c r="E138" s="45">
        <v>1570.693</v>
      </c>
      <c r="F138" s="45">
        <f>2357.73-E138</f>
        <v>787.03700000000003</v>
      </c>
      <c r="G138" s="45">
        <v>191.88</v>
      </c>
      <c r="H138" s="45">
        <v>1343</v>
      </c>
      <c r="I138" s="45">
        <f t="shared" ref="I138:I201" si="14">SUM(E138:H138)</f>
        <v>3892.61</v>
      </c>
      <c r="J138" s="46">
        <v>3837.2</v>
      </c>
      <c r="K138" s="46">
        <v>4879.8999999999996</v>
      </c>
      <c r="L138" s="46">
        <v>5075.0959999999995</v>
      </c>
      <c r="M138" s="46">
        <v>2059.7241600000002</v>
      </c>
      <c r="N138" s="46">
        <v>2162.7103680000005</v>
      </c>
      <c r="O138" s="46">
        <f t="shared" si="13"/>
        <v>2820.1758399999994</v>
      </c>
      <c r="P138" s="47">
        <f t="shared" ref="P138:P201" si="15">(K138-M138)*E138</f>
        <v>4429630.450657119</v>
      </c>
      <c r="Q138" s="47">
        <f t="shared" ref="Q138:Q201" si="16">(K138-M138)*F138</f>
        <v>2219582.7325860797</v>
      </c>
      <c r="R138" s="47">
        <f t="shared" ref="R138:R201" si="17">(L138-N138)*G138</f>
        <v>558828.55506815983</v>
      </c>
      <c r="S138" s="47">
        <f t="shared" ref="S138:S201" si="18">(H138*(L138-N138))</f>
        <v>3911333.9037759989</v>
      </c>
      <c r="T138" s="47">
        <f t="shared" ref="T138:T201" si="19">SUM(P138:S138)</f>
        <v>11119375.642087357</v>
      </c>
      <c r="U138" s="48"/>
      <c r="V138" s="48"/>
      <c r="W138" s="48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</row>
    <row r="139" spans="1:187">
      <c r="A139" s="11"/>
      <c r="B139" s="43" t="s">
        <v>2</v>
      </c>
      <c r="C139" s="44" t="s">
        <v>70</v>
      </c>
      <c r="D139" s="44" t="s">
        <v>181</v>
      </c>
      <c r="E139" s="45">
        <v>767</v>
      </c>
      <c r="F139" s="45">
        <f>1213.26-E139</f>
        <v>446.26</v>
      </c>
      <c r="G139" s="45">
        <v>169.74</v>
      </c>
      <c r="H139" s="45">
        <f>739.98-G139</f>
        <v>570.24</v>
      </c>
      <c r="I139" s="45">
        <f t="shared" si="14"/>
        <v>1953.24</v>
      </c>
      <c r="J139" s="46">
        <v>1815</v>
      </c>
      <c r="K139" s="46">
        <v>2108.7386666666666</v>
      </c>
      <c r="L139" s="46">
        <v>2329.687521926533</v>
      </c>
      <c r="M139" s="46">
        <v>1597.5725</v>
      </c>
      <c r="N139" s="46">
        <v>1661.4754</v>
      </c>
      <c r="O139" s="46">
        <f t="shared" ref="O139:O202" si="20">K139-M139</f>
        <v>511.16616666666664</v>
      </c>
      <c r="P139" s="47">
        <f t="shared" si="15"/>
        <v>392064.44983333332</v>
      </c>
      <c r="Q139" s="47">
        <f t="shared" si="16"/>
        <v>228113.01353666664</v>
      </c>
      <c r="R139" s="47">
        <f t="shared" si="17"/>
        <v>113422.32557580971</v>
      </c>
      <c r="S139" s="47">
        <f t="shared" si="18"/>
        <v>381041.28040738619</v>
      </c>
      <c r="T139" s="47">
        <f t="shared" si="19"/>
        <v>1114641.0693531958</v>
      </c>
      <c r="U139" s="48"/>
      <c r="V139" s="48"/>
      <c r="W139" s="48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</row>
    <row r="140" spans="1:187">
      <c r="A140" s="11"/>
      <c r="B140" s="43" t="s">
        <v>2</v>
      </c>
      <c r="C140" s="44" t="s">
        <v>70</v>
      </c>
      <c r="D140" s="44" t="s">
        <v>184</v>
      </c>
      <c r="E140" s="45">
        <v>993.39700000000005</v>
      </c>
      <c r="F140" s="45">
        <f>1640.751-E140</f>
        <v>647.35399999999993</v>
      </c>
      <c r="G140" s="45">
        <v>319.56200000000001</v>
      </c>
      <c r="H140" s="45">
        <f>1303.672-G140</f>
        <v>984.11</v>
      </c>
      <c r="I140" s="45">
        <f t="shared" si="14"/>
        <v>2944.4230000000002</v>
      </c>
      <c r="J140" s="46">
        <v>2753.2329999999997</v>
      </c>
      <c r="K140" s="46">
        <v>6953.7301666666663</v>
      </c>
      <c r="L140" s="46">
        <v>9457.8420387557071</v>
      </c>
      <c r="M140" s="46">
        <v>1165.6039999999998</v>
      </c>
      <c r="N140" s="46">
        <v>1212.2281599999999</v>
      </c>
      <c r="O140" s="46">
        <f t="shared" si="20"/>
        <v>5788.1261666666669</v>
      </c>
      <c r="P140" s="47">
        <f t="shared" si="15"/>
        <v>5749907.1695881672</v>
      </c>
      <c r="Q140" s="47">
        <f t="shared" si="16"/>
        <v>3746966.6264963332</v>
      </c>
      <c r="R140" s="47">
        <f t="shared" si="17"/>
        <v>2634984.8623229312</v>
      </c>
      <c r="S140" s="47">
        <f t="shared" si="18"/>
        <v>8114591.0742222788</v>
      </c>
      <c r="T140" s="47">
        <f t="shared" si="19"/>
        <v>20246449.732629709</v>
      </c>
      <c r="U140" s="48"/>
      <c r="V140" s="48"/>
      <c r="W140" s="48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</row>
    <row r="141" spans="1:187">
      <c r="A141" s="11"/>
      <c r="B141" s="43" t="s">
        <v>1</v>
      </c>
      <c r="C141" s="44" t="s">
        <v>182</v>
      </c>
      <c r="D141" s="44" t="s">
        <v>176</v>
      </c>
      <c r="E141" s="45">
        <v>8991.7360000000008</v>
      </c>
      <c r="F141" s="45">
        <f>14772.842-E141</f>
        <v>5781.1059999999998</v>
      </c>
      <c r="G141" s="45">
        <v>2690.2040000000002</v>
      </c>
      <c r="H141" s="45">
        <f>11070.059-G141</f>
        <v>8379.8549999999996</v>
      </c>
      <c r="I141" s="45">
        <f t="shared" si="14"/>
        <v>25842.901000000002</v>
      </c>
      <c r="J141" s="46">
        <v>23443</v>
      </c>
      <c r="K141" s="46">
        <v>3936.2931666666668</v>
      </c>
      <c r="L141" s="46">
        <v>4133.107825</v>
      </c>
      <c r="M141" s="46">
        <v>1716.4369837333338</v>
      </c>
      <c r="N141" s="46">
        <v>1785.0944630826673</v>
      </c>
      <c r="O141" s="46">
        <f t="shared" si="20"/>
        <v>2219.856182933333</v>
      </c>
      <c r="P141" s="47">
        <f t="shared" si="15"/>
        <v>19960360.754904237</v>
      </c>
      <c r="Q141" s="47">
        <f t="shared" si="16"/>
        <v>12833223.898292989</v>
      </c>
      <c r="R141" s="47">
        <f t="shared" si="17"/>
        <v>6316634.9382834574</v>
      </c>
      <c r="S141" s="47">
        <f t="shared" si="18"/>
        <v>19676011.510929771</v>
      </c>
      <c r="T141" s="47">
        <f t="shared" si="19"/>
        <v>58786231.102410451</v>
      </c>
      <c r="U141" s="78"/>
      <c r="V141" s="48"/>
      <c r="W141" s="48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</row>
    <row r="142" spans="1:187">
      <c r="A142" s="11"/>
      <c r="B142" s="43" t="s">
        <v>1</v>
      </c>
      <c r="C142" s="44" t="s">
        <v>182</v>
      </c>
      <c r="D142" s="44" t="s">
        <v>171</v>
      </c>
      <c r="E142" s="45">
        <v>2053.3679999999999</v>
      </c>
      <c r="F142" s="45">
        <f>3066.882-E142</f>
        <v>1013.5140000000001</v>
      </c>
      <c r="G142" s="45">
        <v>197.09899999999999</v>
      </c>
      <c r="H142" s="45">
        <f>1678.39-197.099</f>
        <v>1481.2910000000002</v>
      </c>
      <c r="I142" s="45">
        <f t="shared" si="14"/>
        <v>4745.2720000000008</v>
      </c>
      <c r="J142" s="46">
        <v>5299</v>
      </c>
      <c r="K142" s="46">
        <v>4785.952166666666</v>
      </c>
      <c r="L142" s="46">
        <v>5264.5473833333326</v>
      </c>
      <c r="M142" s="46">
        <v>1716.4369837333338</v>
      </c>
      <c r="N142" s="46">
        <v>1785.0944630826673</v>
      </c>
      <c r="O142" s="46">
        <f t="shared" si="20"/>
        <v>3069.5151829333322</v>
      </c>
      <c r="P142" s="47">
        <f t="shared" si="15"/>
        <v>6302844.2521494506</v>
      </c>
      <c r="Q142" s="47">
        <f t="shared" si="16"/>
        <v>3110996.6111154938</v>
      </c>
      <c r="R142" s="47">
        <f t="shared" si="17"/>
        <v>685796.69112848584</v>
      </c>
      <c r="S142" s="47">
        <f t="shared" si="18"/>
        <v>5154082.2956910292</v>
      </c>
      <c r="T142" s="47">
        <f t="shared" si="19"/>
        <v>15253719.850084458</v>
      </c>
      <c r="U142" s="48"/>
      <c r="V142" s="48"/>
      <c r="W142" s="48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</row>
    <row r="143" spans="1:187">
      <c r="A143" s="11"/>
      <c r="B143" s="43" t="s">
        <v>1</v>
      </c>
      <c r="C143" s="44" t="s">
        <v>182</v>
      </c>
      <c r="D143" s="44" t="s">
        <v>174</v>
      </c>
      <c r="E143" s="45">
        <v>1463.472</v>
      </c>
      <c r="F143" s="45">
        <f>2255.315-E143</f>
        <v>791.84300000000007</v>
      </c>
      <c r="G143" s="45">
        <v>313.18400000000003</v>
      </c>
      <c r="H143" s="45">
        <f>1598.219-G143</f>
        <v>1285.0350000000001</v>
      </c>
      <c r="I143" s="45">
        <f t="shared" si="14"/>
        <v>3853.5340000000006</v>
      </c>
      <c r="J143" s="46">
        <v>4424</v>
      </c>
      <c r="K143" s="46">
        <v>4785.952166666666</v>
      </c>
      <c r="L143" s="46">
        <v>5264.5473833333326</v>
      </c>
      <c r="M143" s="46">
        <v>1716.4369837333338</v>
      </c>
      <c r="N143" s="46">
        <v>1785.0944630826673</v>
      </c>
      <c r="O143" s="46">
        <f t="shared" si="20"/>
        <v>3069.5151829333322</v>
      </c>
      <c r="P143" s="47">
        <f t="shared" si="15"/>
        <v>4492149.5237978091</v>
      </c>
      <c r="Q143" s="47">
        <f t="shared" si="16"/>
        <v>2430574.110999479</v>
      </c>
      <c r="R143" s="47">
        <f t="shared" si="17"/>
        <v>1089708.9833757845</v>
      </c>
      <c r="S143" s="47">
        <f t="shared" si="18"/>
        <v>4471218.7833743142</v>
      </c>
      <c r="T143" s="47">
        <f t="shared" si="19"/>
        <v>12483651.401547387</v>
      </c>
      <c r="U143" s="48"/>
      <c r="V143" s="48"/>
      <c r="W143" s="48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</row>
    <row r="144" spans="1:187">
      <c r="A144" s="11"/>
      <c r="B144" s="43" t="s">
        <v>1</v>
      </c>
      <c r="C144" s="44" t="s">
        <v>182</v>
      </c>
      <c r="D144" s="44" t="s">
        <v>175</v>
      </c>
      <c r="E144" s="45">
        <v>778.58799999999997</v>
      </c>
      <c r="F144" s="45">
        <f>1302.725-E144</f>
        <v>524.13699999999994</v>
      </c>
      <c r="G144" s="45">
        <v>269.80700000000002</v>
      </c>
      <c r="H144" s="45">
        <f>984.893-G144</f>
        <v>715.08600000000001</v>
      </c>
      <c r="I144" s="45">
        <f t="shared" si="14"/>
        <v>2287.6179999999999</v>
      </c>
      <c r="J144" s="46">
        <v>2385</v>
      </c>
      <c r="K144" s="46">
        <v>4785.952166666666</v>
      </c>
      <c r="L144" s="46">
        <v>5264.5473833333326</v>
      </c>
      <c r="M144" s="46">
        <v>1716.4369837333338</v>
      </c>
      <c r="N144" s="46">
        <v>1785.0944630826673</v>
      </c>
      <c r="O144" s="46">
        <f t="shared" si="20"/>
        <v>3069.5151829333322</v>
      </c>
      <c r="P144" s="47">
        <f t="shared" si="15"/>
        <v>2389887.6872496973</v>
      </c>
      <c r="Q144" s="47">
        <f t="shared" si="16"/>
        <v>1608846.4794371277</v>
      </c>
      <c r="R144" s="47">
        <f t="shared" si="17"/>
        <v>938780.75405407138</v>
      </c>
      <c r="S144" s="47">
        <f t="shared" si="18"/>
        <v>2488108.0709303673</v>
      </c>
      <c r="T144" s="47">
        <f t="shared" si="19"/>
        <v>7425622.9916712642</v>
      </c>
      <c r="U144" s="48"/>
      <c r="V144" s="48"/>
      <c r="W144" s="48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</row>
    <row r="145" spans="1:187">
      <c r="A145" s="11" t="s">
        <v>387</v>
      </c>
      <c r="B145" s="43">
        <v>7729314745</v>
      </c>
      <c r="C145" s="44" t="s">
        <v>391</v>
      </c>
      <c r="D145" s="44" t="s">
        <v>394</v>
      </c>
      <c r="E145" s="45">
        <f>100.529*0.6</f>
        <v>60.317399999999992</v>
      </c>
      <c r="F145" s="45">
        <f>100.529*0.4</f>
        <v>40.211600000000004</v>
      </c>
      <c r="G145" s="45">
        <f>82.251*0.2</f>
        <v>16.450200000000002</v>
      </c>
      <c r="H145" s="45">
        <f>82.251*0.8</f>
        <v>65.80080000000001</v>
      </c>
      <c r="I145" s="45">
        <f t="shared" si="14"/>
        <v>182.78</v>
      </c>
      <c r="J145" s="46">
        <v>182.78</v>
      </c>
      <c r="K145" s="46">
        <v>7930</v>
      </c>
      <c r="L145" s="46">
        <v>8247.2000000000007</v>
      </c>
      <c r="M145" s="46">
        <v>1726.66</v>
      </c>
      <c r="N145" s="46">
        <v>1795.73</v>
      </c>
      <c r="O145" s="46">
        <f t="shared" si="20"/>
        <v>6203.34</v>
      </c>
      <c r="P145" s="47">
        <f t="shared" si="15"/>
        <v>374169.34011599998</v>
      </c>
      <c r="Q145" s="47">
        <f t="shared" si="16"/>
        <v>249446.22674400004</v>
      </c>
      <c r="R145" s="47">
        <f t="shared" si="17"/>
        <v>106127.97179400004</v>
      </c>
      <c r="S145" s="47">
        <f t="shared" si="18"/>
        <v>424511.88717600016</v>
      </c>
      <c r="T145" s="47">
        <f t="shared" si="19"/>
        <v>1154255.4258300001</v>
      </c>
      <c r="U145" s="48"/>
      <c r="V145" s="48"/>
      <c r="W145" s="48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</row>
    <row r="146" spans="1:187">
      <c r="A146" s="11" t="s">
        <v>387</v>
      </c>
      <c r="B146" s="43">
        <v>7729314745</v>
      </c>
      <c r="C146" s="44" t="s">
        <v>391</v>
      </c>
      <c r="D146" s="44" t="s">
        <v>395</v>
      </c>
      <c r="E146" s="45">
        <f>165.2805*0.6</f>
        <v>99.168299999999988</v>
      </c>
      <c r="F146" s="45">
        <f>165.2805*0.4</f>
        <v>66.112200000000001</v>
      </c>
      <c r="G146" s="45">
        <f>135.2295*0.2</f>
        <v>27.045900000000003</v>
      </c>
      <c r="H146" s="45">
        <f>135.2295*0.8</f>
        <v>108.18360000000001</v>
      </c>
      <c r="I146" s="45">
        <f t="shared" si="14"/>
        <v>300.51</v>
      </c>
      <c r="J146" s="46">
        <v>300.51</v>
      </c>
      <c r="K146" s="46">
        <v>4925.47</v>
      </c>
      <c r="L146" s="46">
        <v>5122.49</v>
      </c>
      <c r="M146" s="46">
        <v>1726.66</v>
      </c>
      <c r="N146" s="46">
        <v>1795.73</v>
      </c>
      <c r="O146" s="46">
        <f t="shared" si="20"/>
        <v>3198.8100000000004</v>
      </c>
      <c r="P146" s="47">
        <f t="shared" si="15"/>
        <v>317220.54972299997</v>
      </c>
      <c r="Q146" s="47">
        <f t="shared" si="16"/>
        <v>211480.36648200004</v>
      </c>
      <c r="R146" s="47">
        <f t="shared" si="17"/>
        <v>89975.218284000002</v>
      </c>
      <c r="S146" s="47">
        <f t="shared" si="18"/>
        <v>359900.87313600001</v>
      </c>
      <c r="T146" s="47">
        <f t="shared" si="19"/>
        <v>978577.00762500009</v>
      </c>
      <c r="U146" s="48"/>
      <c r="V146" s="48"/>
      <c r="W146" s="48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</row>
    <row r="147" spans="1:187">
      <c r="A147" s="11" t="s">
        <v>387</v>
      </c>
      <c r="B147" s="43">
        <v>7729314745</v>
      </c>
      <c r="C147" s="44" t="s">
        <v>391</v>
      </c>
      <c r="D147" s="44" t="s">
        <v>171</v>
      </c>
      <c r="E147" s="45">
        <f>778.25*0.6</f>
        <v>466.95</v>
      </c>
      <c r="F147" s="45">
        <f>778.25*0.4</f>
        <v>311.3</v>
      </c>
      <c r="G147" s="45">
        <f>636.75*0.2</f>
        <v>127.35000000000001</v>
      </c>
      <c r="H147" s="45">
        <f>636.75*0.8</f>
        <v>509.40000000000003</v>
      </c>
      <c r="I147" s="45">
        <f t="shared" si="14"/>
        <v>1415</v>
      </c>
      <c r="J147" s="46">
        <v>1415</v>
      </c>
      <c r="K147" s="46">
        <v>3716.8</v>
      </c>
      <c r="L147" s="46">
        <v>3865.48</v>
      </c>
      <c r="M147" s="46">
        <v>1596.09</v>
      </c>
      <c r="N147" s="46">
        <v>1659.93</v>
      </c>
      <c r="O147" s="46">
        <f t="shared" si="20"/>
        <v>2120.71</v>
      </c>
      <c r="P147" s="47">
        <f t="shared" si="15"/>
        <v>990265.53449999995</v>
      </c>
      <c r="Q147" s="47">
        <f t="shared" si="16"/>
        <v>660177.02300000004</v>
      </c>
      <c r="R147" s="47">
        <f t="shared" si="17"/>
        <v>280876.79250000004</v>
      </c>
      <c r="S147" s="47">
        <f t="shared" si="18"/>
        <v>1123507.1700000002</v>
      </c>
      <c r="T147" s="47">
        <f t="shared" si="19"/>
        <v>3054826.5200000005</v>
      </c>
      <c r="U147" s="48"/>
      <c r="V147" s="48"/>
      <c r="W147" s="48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</row>
    <row r="148" spans="1:187">
      <c r="A148" s="11"/>
      <c r="B148" s="43" t="s">
        <v>330</v>
      </c>
      <c r="C148" s="44" t="s">
        <v>331</v>
      </c>
      <c r="D148" s="44" t="s">
        <v>176</v>
      </c>
      <c r="E148" s="45">
        <v>761.20500000000004</v>
      </c>
      <c r="F148" s="45">
        <f>1156.17-E148</f>
        <v>394.96500000000003</v>
      </c>
      <c r="G148" s="45">
        <v>278.95</v>
      </c>
      <c r="H148" s="45">
        <v>537.28</v>
      </c>
      <c r="I148" s="45">
        <f t="shared" si="14"/>
        <v>1972.4</v>
      </c>
      <c r="J148" s="46">
        <v>1943.3999999999999</v>
      </c>
      <c r="K148" s="46">
        <v>4783.0316666666668</v>
      </c>
      <c r="L148" s="46">
        <v>4974.3529333333336</v>
      </c>
      <c r="M148" s="46">
        <v>1716.4280000000001</v>
      </c>
      <c r="N148" s="46">
        <v>1759.3387</v>
      </c>
      <c r="O148" s="46">
        <f t="shared" si="20"/>
        <v>3066.6036666666669</v>
      </c>
      <c r="P148" s="47">
        <f t="shared" si="15"/>
        <v>2334314.0440850002</v>
      </c>
      <c r="Q148" s="47">
        <f t="shared" si="16"/>
        <v>1211201.1172050002</v>
      </c>
      <c r="R148" s="47">
        <f t="shared" si="17"/>
        <v>896828.22038833331</v>
      </c>
      <c r="S148" s="47">
        <f t="shared" si="18"/>
        <v>1727362.8472853333</v>
      </c>
      <c r="T148" s="47">
        <f t="shared" si="19"/>
        <v>6169706.2289636666</v>
      </c>
      <c r="U148" s="48"/>
      <c r="V148" s="48"/>
      <c r="W148" s="48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</row>
    <row r="149" spans="1:187" ht="15.75">
      <c r="A149" s="11"/>
      <c r="B149" s="112" t="s">
        <v>185</v>
      </c>
      <c r="C149" s="112"/>
      <c r="D149" s="112"/>
      <c r="E149" s="49"/>
      <c r="F149" s="49"/>
      <c r="G149" s="42"/>
      <c r="H149" s="42"/>
      <c r="I149" s="45">
        <f t="shared" si="14"/>
        <v>0</v>
      </c>
      <c r="J149" s="48"/>
      <c r="K149" s="40"/>
      <c r="L149" s="40"/>
      <c r="M149" s="40"/>
      <c r="N149" s="40"/>
      <c r="O149" s="46">
        <f t="shared" si="20"/>
        <v>0</v>
      </c>
      <c r="P149" s="47">
        <f t="shared" si="15"/>
        <v>0</v>
      </c>
      <c r="Q149" s="47">
        <f t="shared" si="16"/>
        <v>0</v>
      </c>
      <c r="R149" s="47">
        <f t="shared" si="17"/>
        <v>0</v>
      </c>
      <c r="S149" s="47">
        <f t="shared" si="18"/>
        <v>0</v>
      </c>
      <c r="T149" s="47">
        <f t="shared" si="19"/>
        <v>0</v>
      </c>
      <c r="U149" s="50"/>
      <c r="V149" s="50"/>
      <c r="W149" s="50"/>
    </row>
    <row r="150" spans="1:187">
      <c r="A150" s="11"/>
      <c r="B150" s="43" t="s">
        <v>32</v>
      </c>
      <c r="C150" s="44" t="s">
        <v>186</v>
      </c>
      <c r="D150" s="44"/>
      <c r="E150" s="45">
        <v>119.37</v>
      </c>
      <c r="F150" s="45">
        <f>196.14-E150</f>
        <v>76.769999999999982</v>
      </c>
      <c r="G150" s="45">
        <v>39.79</v>
      </c>
      <c r="H150" s="45">
        <f>159.16-G150</f>
        <v>119.37</v>
      </c>
      <c r="I150" s="45">
        <f t="shared" si="14"/>
        <v>355.29999999999995</v>
      </c>
      <c r="J150" s="46">
        <v>350.19333333333333</v>
      </c>
      <c r="K150" s="46">
        <v>5437.27</v>
      </c>
      <c r="L150" s="46">
        <v>5654.7608000000009</v>
      </c>
      <c r="M150" s="46">
        <v>1095.05</v>
      </c>
      <c r="N150" s="46">
        <v>1149.8025</v>
      </c>
      <c r="O150" s="46">
        <f t="shared" si="20"/>
        <v>4342.22</v>
      </c>
      <c r="P150" s="47">
        <f t="shared" si="15"/>
        <v>518330.80140000005</v>
      </c>
      <c r="Q150" s="47">
        <f t="shared" si="16"/>
        <v>333352.22939999995</v>
      </c>
      <c r="R150" s="47">
        <f t="shared" si="17"/>
        <v>179252.29075700004</v>
      </c>
      <c r="S150" s="47">
        <f t="shared" si="18"/>
        <v>537756.87227100017</v>
      </c>
      <c r="T150" s="47">
        <f t="shared" si="19"/>
        <v>1568692.1938280002</v>
      </c>
      <c r="U150" s="48"/>
      <c r="V150" s="48"/>
      <c r="W150" s="48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</row>
    <row r="151" spans="1:187">
      <c r="A151" s="11" t="s">
        <v>387</v>
      </c>
      <c r="B151" s="43">
        <v>7729314745</v>
      </c>
      <c r="C151" s="44" t="s">
        <v>391</v>
      </c>
      <c r="D151" s="44"/>
      <c r="E151" s="45">
        <f>2610.465*0.6</f>
        <v>1566.279</v>
      </c>
      <c r="F151" s="45">
        <f>2610.465*0.4</f>
        <v>1044.1860000000001</v>
      </c>
      <c r="G151" s="45">
        <f>2135.835*0.2</f>
        <v>427.16700000000003</v>
      </c>
      <c r="H151" s="45">
        <f>2135.835*0.8</f>
        <v>1708.6680000000001</v>
      </c>
      <c r="I151" s="45">
        <f t="shared" si="14"/>
        <v>4746.3</v>
      </c>
      <c r="J151" s="46">
        <v>4746.3</v>
      </c>
      <c r="K151" s="46">
        <v>5494.74</v>
      </c>
      <c r="L151" s="46">
        <v>5714.53</v>
      </c>
      <c r="M151" s="46">
        <v>1171.7</v>
      </c>
      <c r="N151" s="46">
        <v>1218.57</v>
      </c>
      <c r="O151" s="46">
        <f t="shared" si="20"/>
        <v>4323.04</v>
      </c>
      <c r="P151" s="47">
        <f t="shared" si="15"/>
        <v>6771086.7681599995</v>
      </c>
      <c r="Q151" s="47">
        <f t="shared" si="16"/>
        <v>4514057.8454400003</v>
      </c>
      <c r="R151" s="47">
        <f t="shared" si="17"/>
        <v>1920525.7453200002</v>
      </c>
      <c r="S151" s="47">
        <f t="shared" si="18"/>
        <v>7682102.9812800009</v>
      </c>
      <c r="T151" s="47">
        <f t="shared" si="19"/>
        <v>20887773.3402</v>
      </c>
      <c r="U151" s="48"/>
      <c r="V151" s="48"/>
      <c r="W151" s="48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</row>
    <row r="152" spans="1:187">
      <c r="A152" s="11"/>
      <c r="B152" s="43" t="s">
        <v>297</v>
      </c>
      <c r="C152" s="44" t="s">
        <v>187</v>
      </c>
      <c r="D152" s="44" t="s">
        <v>48</v>
      </c>
      <c r="E152" s="45">
        <v>172.78800000000001</v>
      </c>
      <c r="F152" s="45">
        <f>287.98-E152</f>
        <v>115.19200000000001</v>
      </c>
      <c r="G152" s="45">
        <v>52.86</v>
      </c>
      <c r="H152" s="45">
        <f>230.888-G152</f>
        <v>178.02800000000002</v>
      </c>
      <c r="I152" s="45">
        <f t="shared" si="14"/>
        <v>518.86800000000005</v>
      </c>
      <c r="J152" s="46">
        <v>478.04999999999995</v>
      </c>
      <c r="K152" s="46">
        <v>5263.4489999999996</v>
      </c>
      <c r="L152" s="46">
        <v>5473.9869600000002</v>
      </c>
      <c r="M152" s="46">
        <v>912.09083333333319</v>
      </c>
      <c r="N152" s="46">
        <v>948.57446666666658</v>
      </c>
      <c r="O152" s="46">
        <f t="shared" si="20"/>
        <v>4351.3581666666669</v>
      </c>
      <c r="P152" s="47">
        <f t="shared" si="15"/>
        <v>751862.47490200005</v>
      </c>
      <c r="Q152" s="47">
        <f t="shared" si="16"/>
        <v>501241.6499346667</v>
      </c>
      <c r="R152" s="47">
        <f t="shared" si="17"/>
        <v>239213.3043976</v>
      </c>
      <c r="S152" s="47">
        <f t="shared" si="18"/>
        <v>805650.13536314678</v>
      </c>
      <c r="T152" s="47">
        <f t="shared" si="19"/>
        <v>2297967.5645974134</v>
      </c>
      <c r="U152" s="48"/>
      <c r="V152" s="48"/>
      <c r="W152" s="48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</row>
    <row r="153" spans="1:187">
      <c r="A153" s="11"/>
      <c r="B153" s="43" t="s">
        <v>297</v>
      </c>
      <c r="C153" s="44" t="s">
        <v>187</v>
      </c>
      <c r="D153" s="44" t="s">
        <v>188</v>
      </c>
      <c r="E153" s="45">
        <v>183.53399999999999</v>
      </c>
      <c r="F153" s="45">
        <f>305.89-E153</f>
        <v>122.35599999999999</v>
      </c>
      <c r="G153" s="45">
        <v>68.257000000000005</v>
      </c>
      <c r="H153" s="45">
        <f>273.019-G153</f>
        <v>204.762</v>
      </c>
      <c r="I153" s="45">
        <f t="shared" si="14"/>
        <v>578.90899999999999</v>
      </c>
      <c r="J153" s="46">
        <v>614.28308399999992</v>
      </c>
      <c r="K153" s="46">
        <v>4043.0733333333337</v>
      </c>
      <c r="L153" s="46">
        <v>4204.7962666666672</v>
      </c>
      <c r="M153" s="46">
        <v>912.09083333333319</v>
      </c>
      <c r="N153" s="46">
        <v>948.57446666666658</v>
      </c>
      <c r="O153" s="46">
        <f t="shared" si="20"/>
        <v>3130.9825000000005</v>
      </c>
      <c r="P153" s="47">
        <f t="shared" si="15"/>
        <v>574641.7421550001</v>
      </c>
      <c r="Q153" s="47">
        <f t="shared" si="16"/>
        <v>383094.49477000005</v>
      </c>
      <c r="R153" s="47">
        <f t="shared" si="17"/>
        <v>222259.93140260008</v>
      </c>
      <c r="S153" s="47">
        <f t="shared" si="18"/>
        <v>666750.48821160011</v>
      </c>
      <c r="T153" s="47">
        <f t="shared" si="19"/>
        <v>1846746.6565392003</v>
      </c>
      <c r="U153" s="48"/>
      <c r="V153" s="48"/>
      <c r="W153" s="48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</row>
    <row r="154" spans="1:187" ht="15.75">
      <c r="A154" s="11"/>
      <c r="B154" s="112" t="s">
        <v>189</v>
      </c>
      <c r="C154" s="112"/>
      <c r="D154" s="112"/>
      <c r="E154" s="49"/>
      <c r="F154" s="49"/>
      <c r="G154" s="42"/>
      <c r="H154" s="42"/>
      <c r="I154" s="45">
        <f t="shared" si="14"/>
        <v>0</v>
      </c>
      <c r="J154" s="48"/>
      <c r="K154" s="40"/>
      <c r="L154" s="40"/>
      <c r="M154" s="40"/>
      <c r="N154" s="40"/>
      <c r="O154" s="46">
        <f t="shared" si="20"/>
        <v>0</v>
      </c>
      <c r="P154" s="47">
        <f t="shared" si="15"/>
        <v>0</v>
      </c>
      <c r="Q154" s="47">
        <f t="shared" si="16"/>
        <v>0</v>
      </c>
      <c r="R154" s="47">
        <f t="shared" si="17"/>
        <v>0</v>
      </c>
      <c r="S154" s="47">
        <f t="shared" si="18"/>
        <v>0</v>
      </c>
      <c r="T154" s="47">
        <f t="shared" si="19"/>
        <v>0</v>
      </c>
      <c r="U154" s="50"/>
      <c r="V154" s="50"/>
      <c r="W154" s="50"/>
    </row>
    <row r="155" spans="1:187">
      <c r="A155" s="11"/>
      <c r="B155" s="43" t="s">
        <v>296</v>
      </c>
      <c r="C155" s="44" t="s">
        <v>190</v>
      </c>
      <c r="D155" s="44" t="s">
        <v>191</v>
      </c>
      <c r="E155" s="64">
        <v>17331.576000000001</v>
      </c>
      <c r="F155" s="45">
        <f>25413.258-E155</f>
        <v>8081.6820000000007</v>
      </c>
      <c r="G155" s="45">
        <v>2948.4450000000002</v>
      </c>
      <c r="H155" s="45">
        <f>17725.429-G155</f>
        <v>14776.984</v>
      </c>
      <c r="I155" s="45">
        <f t="shared" si="14"/>
        <v>43138.687000000005</v>
      </c>
      <c r="J155" s="46">
        <v>45829.5</v>
      </c>
      <c r="K155" s="46">
        <v>3812.2554999999998</v>
      </c>
      <c r="L155" s="46">
        <v>4079.1133850000001</v>
      </c>
      <c r="M155" s="46">
        <v>1427.9322858666667</v>
      </c>
      <c r="N155" s="46">
        <v>1485.0495773013333</v>
      </c>
      <c r="O155" s="46">
        <f t="shared" si="20"/>
        <v>2384.3232141333328</v>
      </c>
      <c r="P155" s="47">
        <f t="shared" si="15"/>
        <v>41324078.994316131</v>
      </c>
      <c r="Q155" s="47">
        <f t="shared" si="16"/>
        <v>19269342.001843505</v>
      </c>
      <c r="R155" s="47">
        <f t="shared" si="17"/>
        <v>7648454.4634900969</v>
      </c>
      <c r="S155" s="47">
        <f t="shared" si="18"/>
        <v>38332439.381342277</v>
      </c>
      <c r="T155" s="47">
        <f t="shared" si="19"/>
        <v>106574314.840992</v>
      </c>
      <c r="U155" s="48"/>
      <c r="V155" s="48"/>
      <c r="W155" s="48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</row>
    <row r="156" spans="1:187">
      <c r="A156" s="11"/>
      <c r="B156" s="43" t="s">
        <v>296</v>
      </c>
      <c r="C156" s="44" t="s">
        <v>190</v>
      </c>
      <c r="D156" s="44" t="s">
        <v>201</v>
      </c>
      <c r="E156" s="45">
        <v>6.282</v>
      </c>
      <c r="F156" s="45">
        <f>9.322-E156</f>
        <v>3.0399999999999991</v>
      </c>
      <c r="G156" s="45">
        <v>1.3049999999999999</v>
      </c>
      <c r="H156" s="45">
        <v>7.8330000000000002</v>
      </c>
      <c r="I156" s="45">
        <f t="shared" si="14"/>
        <v>18.46</v>
      </c>
      <c r="J156" s="46">
        <v>20.888000000000002</v>
      </c>
      <c r="K156" s="46">
        <v>4174.4073333333326</v>
      </c>
      <c r="L156" s="46">
        <v>4508.3599199999999</v>
      </c>
      <c r="M156" s="46">
        <v>1097.2426666666665</v>
      </c>
      <c r="N156" s="46">
        <v>1152.1047999999998</v>
      </c>
      <c r="O156" s="46">
        <f t="shared" si="20"/>
        <v>3077.1646666666661</v>
      </c>
      <c r="P156" s="47">
        <f t="shared" si="15"/>
        <v>19330.748435999998</v>
      </c>
      <c r="Q156" s="47">
        <f t="shared" si="16"/>
        <v>9354.5805866666615</v>
      </c>
      <c r="R156" s="47">
        <f t="shared" si="17"/>
        <v>4379.9129315999999</v>
      </c>
      <c r="S156" s="47">
        <f t="shared" si="18"/>
        <v>26289.546354959999</v>
      </c>
      <c r="T156" s="47">
        <f t="shared" si="19"/>
        <v>59354.788309226657</v>
      </c>
      <c r="U156" s="48"/>
      <c r="V156" s="48"/>
      <c r="W156" s="48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</row>
    <row r="157" spans="1:187">
      <c r="A157" s="11"/>
      <c r="B157" s="43" t="s">
        <v>293</v>
      </c>
      <c r="C157" s="44" t="s">
        <v>206</v>
      </c>
      <c r="D157" s="44" t="s">
        <v>207</v>
      </c>
      <c r="E157" s="45">
        <v>2338.0419999999999</v>
      </c>
      <c r="F157" s="45">
        <f>3485.316-E157</f>
        <v>1147.2739999999999</v>
      </c>
      <c r="G157" s="45">
        <v>420.97300000000001</v>
      </c>
      <c r="H157" s="45">
        <f>2787.828-G157</f>
        <v>2366.855</v>
      </c>
      <c r="I157" s="45">
        <f t="shared" si="14"/>
        <v>6273.1440000000002</v>
      </c>
      <c r="J157" s="46">
        <v>6328.9500000000007</v>
      </c>
      <c r="K157" s="46">
        <v>3221.4295000000002</v>
      </c>
      <c r="L157" s="46">
        <v>3414.7152700000001</v>
      </c>
      <c r="M157" s="46">
        <v>1392.9634264000001</v>
      </c>
      <c r="N157" s="46">
        <v>1462.6115977200002</v>
      </c>
      <c r="O157" s="46">
        <f t="shared" si="20"/>
        <v>1828.4660736000001</v>
      </c>
      <c r="P157" s="47">
        <f t="shared" si="15"/>
        <v>4275030.475651891</v>
      </c>
      <c r="Q157" s="47">
        <f t="shared" si="16"/>
        <v>2097751.5861233664</v>
      </c>
      <c r="R157" s="47">
        <f t="shared" si="17"/>
        <v>821782.93923072843</v>
      </c>
      <c r="S157" s="47">
        <f t="shared" si="18"/>
        <v>4620346.3372542793</v>
      </c>
      <c r="T157" s="47">
        <f t="shared" si="19"/>
        <v>11814911.338260267</v>
      </c>
      <c r="U157" s="48"/>
      <c r="V157" s="48"/>
      <c r="W157" s="48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</row>
    <row r="158" spans="1:187">
      <c r="A158" s="11"/>
      <c r="B158" s="43" t="s">
        <v>4</v>
      </c>
      <c r="C158" s="44" t="s">
        <v>200</v>
      </c>
      <c r="D158" s="44" t="s">
        <v>202</v>
      </c>
      <c r="E158" s="45">
        <v>7.6079999999999997</v>
      </c>
      <c r="F158" s="45">
        <f>11.289-E158</f>
        <v>3.681</v>
      </c>
      <c r="G158" s="45">
        <v>1.353</v>
      </c>
      <c r="H158" s="45">
        <f>8.961-G158</f>
        <v>7.6080000000000005</v>
      </c>
      <c r="I158" s="45">
        <f t="shared" si="14"/>
        <v>20.25</v>
      </c>
      <c r="J158" s="46">
        <v>20.288</v>
      </c>
      <c r="K158" s="46">
        <v>3146.95</v>
      </c>
      <c r="L158" s="46">
        <v>3272.828</v>
      </c>
      <c r="M158" s="46">
        <v>1316.6734880000001</v>
      </c>
      <c r="N158" s="46">
        <v>1382.5071624000002</v>
      </c>
      <c r="O158" s="46">
        <f t="shared" si="20"/>
        <v>1830.2765119999997</v>
      </c>
      <c r="P158" s="47">
        <f t="shared" si="15"/>
        <v>13924.743703295997</v>
      </c>
      <c r="Q158" s="47">
        <f t="shared" si="16"/>
        <v>6737.2478406719993</v>
      </c>
      <c r="R158" s="47">
        <f t="shared" si="17"/>
        <v>2557.6040932727997</v>
      </c>
      <c r="S158" s="47">
        <f t="shared" si="18"/>
        <v>14381.560932460799</v>
      </c>
      <c r="T158" s="47">
        <f t="shared" si="19"/>
        <v>37601.156569701598</v>
      </c>
      <c r="U158" s="48"/>
      <c r="V158" s="48"/>
      <c r="W158" s="48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</row>
    <row r="159" spans="1:187">
      <c r="A159" s="11"/>
      <c r="B159" s="43" t="s">
        <v>4</v>
      </c>
      <c r="C159" s="44" t="s">
        <v>200</v>
      </c>
      <c r="D159" s="44" t="s">
        <v>203</v>
      </c>
      <c r="E159" s="45">
        <v>17.234999999999999</v>
      </c>
      <c r="F159" s="45">
        <f>25.574-E159</f>
        <v>8.3390000000000022</v>
      </c>
      <c r="G159" s="45">
        <v>3.0640000000000001</v>
      </c>
      <c r="H159" s="45">
        <f>20.299-G159</f>
        <v>17.234999999999999</v>
      </c>
      <c r="I159" s="45">
        <f t="shared" si="14"/>
        <v>45.873000000000005</v>
      </c>
      <c r="J159" s="46">
        <v>51.697800000000001</v>
      </c>
      <c r="K159" s="46">
        <v>3427.75</v>
      </c>
      <c r="L159" s="46">
        <v>3564.86</v>
      </c>
      <c r="M159" s="46">
        <v>1721.5629600000002</v>
      </c>
      <c r="N159" s="46">
        <v>1807.6411080000003</v>
      </c>
      <c r="O159" s="46">
        <f t="shared" si="20"/>
        <v>1706.1870399999998</v>
      </c>
      <c r="P159" s="47">
        <f t="shared" si="15"/>
        <v>29406.133634399994</v>
      </c>
      <c r="Q159" s="47">
        <f t="shared" si="16"/>
        <v>14227.893726560002</v>
      </c>
      <c r="R159" s="47">
        <f t="shared" si="17"/>
        <v>5384.1186850879994</v>
      </c>
      <c r="S159" s="47">
        <f t="shared" si="18"/>
        <v>30285.667603619997</v>
      </c>
      <c r="T159" s="47">
        <f t="shared" si="19"/>
        <v>79303.813649667994</v>
      </c>
      <c r="U159" s="48"/>
      <c r="V159" s="48"/>
      <c r="W159" s="48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</row>
    <row r="160" spans="1:187">
      <c r="A160" s="11"/>
      <c r="B160" s="43" t="s">
        <v>294</v>
      </c>
      <c r="C160" s="44" t="s">
        <v>196</v>
      </c>
      <c r="D160" s="44" t="s">
        <v>197</v>
      </c>
      <c r="E160" s="45">
        <v>2007.289</v>
      </c>
      <c r="F160" s="45">
        <f>2709.487-E160</f>
        <v>702.19800000000009</v>
      </c>
      <c r="G160" s="45">
        <v>504.88</v>
      </c>
      <c r="H160" s="45">
        <f>2277.348-G160</f>
        <v>1772.4679999999998</v>
      </c>
      <c r="I160" s="45">
        <f t="shared" si="14"/>
        <v>4986.835</v>
      </c>
      <c r="J160" s="46">
        <v>5848.5758000000005</v>
      </c>
      <c r="K160" s="46">
        <v>3401.96</v>
      </c>
      <c r="L160" s="46">
        <v>3538.0384000000004</v>
      </c>
      <c r="M160" s="46">
        <v>1342.7783199999999</v>
      </c>
      <c r="N160" s="46">
        <v>1409.917236</v>
      </c>
      <c r="O160" s="46">
        <f t="shared" si="20"/>
        <v>2059.1816800000001</v>
      </c>
      <c r="P160" s="47">
        <f t="shared" si="15"/>
        <v>4133372.7352655204</v>
      </c>
      <c r="Q160" s="47">
        <f t="shared" si="16"/>
        <v>1445953.2573326402</v>
      </c>
      <c r="R160" s="47">
        <f t="shared" si="17"/>
        <v>1074445.81328032</v>
      </c>
      <c r="S160" s="47">
        <f t="shared" si="18"/>
        <v>3772026.6633127518</v>
      </c>
      <c r="T160" s="47">
        <f t="shared" si="19"/>
        <v>10425798.469191233</v>
      </c>
      <c r="U160" s="48"/>
      <c r="V160" s="48"/>
      <c r="W160" s="48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</row>
    <row r="161" spans="1:187">
      <c r="A161" s="11"/>
      <c r="B161" s="43" t="s">
        <v>11</v>
      </c>
      <c r="C161" s="44" t="s">
        <v>192</v>
      </c>
      <c r="D161" s="44" t="s">
        <v>193</v>
      </c>
      <c r="E161" s="45">
        <v>282.57900000000001</v>
      </c>
      <c r="F161" s="45">
        <f>397.766-E161</f>
        <v>115.18700000000001</v>
      </c>
      <c r="G161" s="45">
        <v>31.08</v>
      </c>
      <c r="H161" s="45">
        <f>247.359-G161</f>
        <v>216.279</v>
      </c>
      <c r="I161" s="45">
        <f t="shared" si="14"/>
        <v>645.125</v>
      </c>
      <c r="J161" s="46">
        <v>639.5</v>
      </c>
      <c r="K161" s="46">
        <v>2710.05</v>
      </c>
      <c r="L161" s="46">
        <v>2899.7535000000003</v>
      </c>
      <c r="M161" s="46">
        <v>1605.82</v>
      </c>
      <c r="N161" s="46">
        <v>1686.1110000000001</v>
      </c>
      <c r="O161" s="46">
        <f t="shared" si="20"/>
        <v>1104.2300000000002</v>
      </c>
      <c r="P161" s="47">
        <f t="shared" si="15"/>
        <v>312032.2091700001</v>
      </c>
      <c r="Q161" s="47">
        <f t="shared" si="16"/>
        <v>127192.94101000004</v>
      </c>
      <c r="R161" s="47">
        <f t="shared" si="17"/>
        <v>37720.008900000001</v>
      </c>
      <c r="S161" s="47">
        <f t="shared" si="18"/>
        <v>262485.38625750004</v>
      </c>
      <c r="T161" s="47">
        <f t="shared" si="19"/>
        <v>739430.54533750017</v>
      </c>
      <c r="U161" s="48"/>
      <c r="V161" s="48"/>
      <c r="W161" s="48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</row>
    <row r="162" spans="1:187">
      <c r="A162" s="11"/>
      <c r="B162" s="43" t="s">
        <v>33</v>
      </c>
      <c r="C162" s="44" t="s">
        <v>198</v>
      </c>
      <c r="D162" s="44" t="s">
        <v>199</v>
      </c>
      <c r="E162" s="45">
        <v>61.494</v>
      </c>
      <c r="F162" s="45">
        <f>91.511-E162</f>
        <v>30.016999999999996</v>
      </c>
      <c r="G162" s="45">
        <v>11.823</v>
      </c>
      <c r="H162" s="45">
        <f>73.317-G162</f>
        <v>61.493999999999993</v>
      </c>
      <c r="I162" s="45">
        <f t="shared" si="14"/>
        <v>164.828</v>
      </c>
      <c r="J162" s="46">
        <v>189.702</v>
      </c>
      <c r="K162" s="46">
        <v>5703.25</v>
      </c>
      <c r="L162" s="46">
        <v>5931.38</v>
      </c>
      <c r="M162" s="46">
        <v>1826.0153600000003</v>
      </c>
      <c r="N162" s="46">
        <v>1917.3161280000004</v>
      </c>
      <c r="O162" s="46">
        <f t="shared" si="20"/>
        <v>3877.2346399999997</v>
      </c>
      <c r="P162" s="47">
        <f t="shared" si="15"/>
        <v>238426.66695215998</v>
      </c>
      <c r="Q162" s="47">
        <f t="shared" si="16"/>
        <v>116382.95218887998</v>
      </c>
      <c r="R162" s="47">
        <f t="shared" si="17"/>
        <v>47458.277158655997</v>
      </c>
      <c r="S162" s="47">
        <f t="shared" si="18"/>
        <v>246840.84374476795</v>
      </c>
      <c r="T162" s="47">
        <f t="shared" si="19"/>
        <v>649108.74004446389</v>
      </c>
      <c r="U162" s="48"/>
      <c r="V162" s="48"/>
      <c r="W162" s="48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</row>
    <row r="163" spans="1:187">
      <c r="A163" s="11"/>
      <c r="B163" s="43" t="s">
        <v>36</v>
      </c>
      <c r="C163" s="44" t="s">
        <v>204</v>
      </c>
      <c r="D163" s="44" t="s">
        <v>205</v>
      </c>
      <c r="E163" s="45">
        <v>16.134</v>
      </c>
      <c r="F163" s="45">
        <f>23.941-E163</f>
        <v>7.8069999999999986</v>
      </c>
      <c r="G163" s="45">
        <v>2.8010000000000002</v>
      </c>
      <c r="H163" s="45">
        <f>18.935-G163</f>
        <v>16.134</v>
      </c>
      <c r="I163" s="45">
        <f t="shared" si="14"/>
        <v>42.875999999999998</v>
      </c>
      <c r="J163" s="46">
        <v>76.082976000000002</v>
      </c>
      <c r="K163" s="46">
        <v>4035.32</v>
      </c>
      <c r="L163" s="46">
        <v>4196.7328000000007</v>
      </c>
      <c r="M163" s="46">
        <v>1346.7800320000003</v>
      </c>
      <c r="N163" s="46">
        <v>1414.1190336000004</v>
      </c>
      <c r="O163" s="46">
        <f t="shared" si="20"/>
        <v>2688.539968</v>
      </c>
      <c r="P163" s="47">
        <f t="shared" si="15"/>
        <v>43376.903843712003</v>
      </c>
      <c r="Q163" s="47">
        <f t="shared" si="16"/>
        <v>20989.431530175996</v>
      </c>
      <c r="R163" s="47">
        <f t="shared" si="17"/>
        <v>7794.1011596864009</v>
      </c>
      <c r="S163" s="47">
        <f t="shared" si="18"/>
        <v>44894.690507097606</v>
      </c>
      <c r="T163" s="47">
        <f t="shared" si="19"/>
        <v>117055.127040672</v>
      </c>
      <c r="U163" s="48"/>
      <c r="V163" s="48"/>
      <c r="W163" s="48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</row>
    <row r="164" spans="1:187">
      <c r="A164" s="11"/>
      <c r="B164" s="43" t="s">
        <v>295</v>
      </c>
      <c r="C164" s="44" t="s">
        <v>194</v>
      </c>
      <c r="D164" s="44" t="s">
        <v>195</v>
      </c>
      <c r="E164" s="45">
        <v>588.83600000000001</v>
      </c>
      <c r="F164" s="45">
        <f>861.203-E164</f>
        <v>272.36699999999996</v>
      </c>
      <c r="G164" s="45">
        <v>103.67</v>
      </c>
      <c r="H164" s="45">
        <f>718.12-G164</f>
        <v>614.45000000000005</v>
      </c>
      <c r="I164" s="45">
        <f t="shared" si="14"/>
        <v>1579.3229999999999</v>
      </c>
      <c r="J164" s="46">
        <v>1926.16326</v>
      </c>
      <c r="K164" s="46">
        <v>2395.3200000000002</v>
      </c>
      <c r="L164" s="46">
        <v>2491.1328000000003</v>
      </c>
      <c r="M164" s="46">
        <v>1518.3758000000003</v>
      </c>
      <c r="N164" s="46">
        <v>1594.2945900000004</v>
      </c>
      <c r="O164" s="46">
        <f t="shared" si="20"/>
        <v>876.94419999999991</v>
      </c>
      <c r="P164" s="47">
        <f t="shared" si="15"/>
        <v>516376.31495119998</v>
      </c>
      <c r="Q164" s="47">
        <f t="shared" si="16"/>
        <v>238850.66092139995</v>
      </c>
      <c r="R164" s="47">
        <f t="shared" si="17"/>
        <v>92975.217230699986</v>
      </c>
      <c r="S164" s="47">
        <f t="shared" si="18"/>
        <v>551062.23813449999</v>
      </c>
      <c r="T164" s="47">
        <f t="shared" si="19"/>
        <v>1399264.4312378</v>
      </c>
      <c r="U164" s="48"/>
      <c r="V164" s="48"/>
      <c r="W164" s="48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</row>
    <row r="165" spans="1:187">
      <c r="A165" s="11"/>
      <c r="B165" s="43" t="s">
        <v>292</v>
      </c>
      <c r="C165" s="44" t="s">
        <v>208</v>
      </c>
      <c r="D165" s="44" t="s">
        <v>209</v>
      </c>
      <c r="E165" s="45">
        <v>52.5</v>
      </c>
      <c r="F165" s="45">
        <f>72.75-E165</f>
        <v>20.25</v>
      </c>
      <c r="G165" s="45">
        <v>1.7030000000000001</v>
      </c>
      <c r="H165" s="45">
        <f>37.442-G165</f>
        <v>35.738999999999997</v>
      </c>
      <c r="I165" s="45">
        <f t="shared" si="14"/>
        <v>110.19200000000001</v>
      </c>
      <c r="J165" s="46">
        <v>135.97333333333333</v>
      </c>
      <c r="K165" s="46">
        <v>3988.08</v>
      </c>
      <c r="L165" s="46">
        <v>4147.6032000000005</v>
      </c>
      <c r="M165" s="46">
        <v>1813.95</v>
      </c>
      <c r="N165" s="46">
        <v>1904.6475</v>
      </c>
      <c r="O165" s="46">
        <f t="shared" si="20"/>
        <v>2174.13</v>
      </c>
      <c r="P165" s="47">
        <f t="shared" si="15"/>
        <v>114141.82500000001</v>
      </c>
      <c r="Q165" s="47">
        <f t="shared" si="16"/>
        <v>44026.1325</v>
      </c>
      <c r="R165" s="47">
        <f t="shared" si="17"/>
        <v>3819.7535571000008</v>
      </c>
      <c r="S165" s="47">
        <f t="shared" si="18"/>
        <v>80160.993762300015</v>
      </c>
      <c r="T165" s="47">
        <f t="shared" si="19"/>
        <v>242148.70481940004</v>
      </c>
      <c r="U165" s="48"/>
      <c r="V165" s="48"/>
      <c r="W165" s="48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</row>
    <row r="166" spans="1:187">
      <c r="A166" s="11"/>
      <c r="B166" s="43" t="s">
        <v>291</v>
      </c>
      <c r="C166" s="44" t="s">
        <v>210</v>
      </c>
      <c r="D166" s="44" t="s">
        <v>211</v>
      </c>
      <c r="E166" s="45">
        <v>7.7489999999999997</v>
      </c>
      <c r="F166" s="45">
        <f>10.331-E166</f>
        <v>2.5819999999999999</v>
      </c>
      <c r="G166" s="45">
        <v>0</v>
      </c>
      <c r="H166" s="45">
        <f>8.999-G166</f>
        <v>8.9990000000000006</v>
      </c>
      <c r="I166" s="45">
        <f t="shared" si="14"/>
        <v>19.329999999999998</v>
      </c>
      <c r="J166" s="46">
        <v>8.8452000000000002</v>
      </c>
      <c r="K166" s="46">
        <v>3443.19</v>
      </c>
      <c r="L166" s="46">
        <v>3790.95219</v>
      </c>
      <c r="M166" s="46">
        <v>1813.7765999999999</v>
      </c>
      <c r="N166" s="46">
        <v>1904.46543</v>
      </c>
      <c r="O166" s="46">
        <f t="shared" si="20"/>
        <v>1629.4134000000001</v>
      </c>
      <c r="P166" s="47">
        <f t="shared" si="15"/>
        <v>12626.3244366</v>
      </c>
      <c r="Q166" s="47">
        <f t="shared" si="16"/>
        <v>4207.1453988000003</v>
      </c>
      <c r="R166" s="47">
        <f t="shared" si="17"/>
        <v>0</v>
      </c>
      <c r="S166" s="47">
        <f t="shared" si="18"/>
        <v>16976.494353239999</v>
      </c>
      <c r="T166" s="47">
        <f t="shared" si="19"/>
        <v>33809.964188639999</v>
      </c>
      <c r="U166" s="48"/>
      <c r="V166" s="48"/>
      <c r="W166" s="48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</row>
    <row r="167" spans="1:187">
      <c r="A167" s="11"/>
      <c r="B167" s="43" t="s">
        <v>290</v>
      </c>
      <c r="C167" s="44" t="s">
        <v>332</v>
      </c>
      <c r="D167" s="44" t="s">
        <v>333</v>
      </c>
      <c r="E167" s="45">
        <v>58.247999999999998</v>
      </c>
      <c r="F167" s="45">
        <f>87.059-E167</f>
        <v>28.811</v>
      </c>
      <c r="G167" s="45">
        <v>7.8739999999999997</v>
      </c>
      <c r="H167" s="45">
        <f>66.122-G167</f>
        <v>58.247999999999998</v>
      </c>
      <c r="I167" s="45">
        <f t="shared" si="14"/>
        <v>153.18099999999998</v>
      </c>
      <c r="J167" s="46">
        <v>330.38370179999998</v>
      </c>
      <c r="K167" s="46">
        <v>3455.66</v>
      </c>
      <c r="L167" s="46">
        <v>4146.7919999999995</v>
      </c>
      <c r="M167" s="46">
        <v>1607.3543200000001</v>
      </c>
      <c r="N167" s="46">
        <v>1687.7220360000001</v>
      </c>
      <c r="O167" s="46">
        <f t="shared" si="20"/>
        <v>1848.3056799999997</v>
      </c>
      <c r="P167" s="47">
        <f t="shared" si="15"/>
        <v>107660.10924863997</v>
      </c>
      <c r="Q167" s="47">
        <f t="shared" si="16"/>
        <v>53251.534946479995</v>
      </c>
      <c r="R167" s="47">
        <f t="shared" si="17"/>
        <v>19362.716896535992</v>
      </c>
      <c r="S167" s="47">
        <f t="shared" si="18"/>
        <v>143235.90726307195</v>
      </c>
      <c r="T167" s="47">
        <f t="shared" si="19"/>
        <v>323510.26835472789</v>
      </c>
      <c r="U167" s="48"/>
      <c r="V167" s="48"/>
      <c r="W167" s="48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</row>
    <row r="168" spans="1:187" ht="15.75">
      <c r="A168" s="11"/>
      <c r="B168" s="112" t="s">
        <v>212</v>
      </c>
      <c r="C168" s="112"/>
      <c r="D168" s="112"/>
      <c r="E168" s="49"/>
      <c r="F168" s="49"/>
      <c r="G168" s="42"/>
      <c r="H168" s="42"/>
      <c r="I168" s="45">
        <f t="shared" si="14"/>
        <v>0</v>
      </c>
      <c r="J168" s="48"/>
      <c r="K168" s="40"/>
      <c r="L168" s="40"/>
      <c r="M168" s="40"/>
      <c r="N168" s="40"/>
      <c r="O168" s="46">
        <f t="shared" si="20"/>
        <v>0</v>
      </c>
      <c r="P168" s="47">
        <f t="shared" si="15"/>
        <v>0</v>
      </c>
      <c r="Q168" s="47">
        <f t="shared" si="16"/>
        <v>0</v>
      </c>
      <c r="R168" s="47">
        <f t="shared" si="17"/>
        <v>0</v>
      </c>
      <c r="S168" s="47">
        <f t="shared" si="18"/>
        <v>0</v>
      </c>
      <c r="T168" s="47">
        <f t="shared" si="19"/>
        <v>0</v>
      </c>
      <c r="U168" s="50"/>
      <c r="V168" s="50"/>
      <c r="W168" s="50"/>
    </row>
    <row r="169" spans="1:187" ht="45">
      <c r="A169" s="11"/>
      <c r="B169" s="43" t="s">
        <v>284</v>
      </c>
      <c r="C169" s="44" t="s">
        <v>227</v>
      </c>
      <c r="D169" s="44" t="s">
        <v>358</v>
      </c>
      <c r="E169" s="45">
        <v>1057.806</v>
      </c>
      <c r="F169" s="45">
        <f>1608.053-E169</f>
        <v>550.24700000000007</v>
      </c>
      <c r="G169" s="45">
        <v>227.54599999999999</v>
      </c>
      <c r="H169" s="45">
        <f>1192.102-G169</f>
        <v>964.55600000000004</v>
      </c>
      <c r="I169" s="45">
        <f t="shared" si="14"/>
        <v>2800.1550000000002</v>
      </c>
      <c r="J169" s="46">
        <v>2981</v>
      </c>
      <c r="K169" s="46">
        <v>3926.29</v>
      </c>
      <c r="L169" s="46">
        <v>4083.3416000000002</v>
      </c>
      <c r="M169" s="46">
        <v>1411.3943999999999</v>
      </c>
      <c r="N169" s="46">
        <v>1453.736232</v>
      </c>
      <c r="O169" s="46">
        <f t="shared" si="20"/>
        <v>2514.8955999999998</v>
      </c>
      <c r="P169" s="47">
        <f t="shared" si="15"/>
        <v>2660271.6550535997</v>
      </c>
      <c r="Q169" s="47">
        <f t="shared" si="16"/>
        <v>1383813.7592132001</v>
      </c>
      <c r="R169" s="47">
        <f t="shared" si="17"/>
        <v>598356.18306692806</v>
      </c>
      <c r="S169" s="47">
        <f t="shared" si="18"/>
        <v>2536401.6353366086</v>
      </c>
      <c r="T169" s="47">
        <f t="shared" si="19"/>
        <v>7178843.232670336</v>
      </c>
      <c r="U169" s="48"/>
      <c r="V169" s="48"/>
      <c r="W169" s="48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</row>
    <row r="170" spans="1:187" ht="30">
      <c r="A170" s="11"/>
      <c r="B170" s="43" t="s">
        <v>284</v>
      </c>
      <c r="C170" s="44" t="s">
        <v>227</v>
      </c>
      <c r="D170" s="44" t="s">
        <v>328</v>
      </c>
      <c r="E170" s="45">
        <v>824.72199999999998</v>
      </c>
      <c r="F170" s="45">
        <f>1308.708-E170</f>
        <v>483.9860000000001</v>
      </c>
      <c r="G170" s="45">
        <v>282.78800000000001</v>
      </c>
      <c r="H170" s="45">
        <v>848.36400000000003</v>
      </c>
      <c r="I170" s="45">
        <f t="shared" si="14"/>
        <v>2439.86</v>
      </c>
      <c r="J170" s="46">
        <v>2570.8000000000002</v>
      </c>
      <c r="K170" s="46">
        <v>3569.37</v>
      </c>
      <c r="L170" s="46">
        <v>3712.1448</v>
      </c>
      <c r="M170" s="46">
        <v>1400.6200000000001</v>
      </c>
      <c r="N170" s="46">
        <v>1456.6448000000003</v>
      </c>
      <c r="O170" s="46">
        <f t="shared" si="20"/>
        <v>2168.75</v>
      </c>
      <c r="P170" s="47">
        <f t="shared" si="15"/>
        <v>1788615.8374999999</v>
      </c>
      <c r="Q170" s="47">
        <f t="shared" si="16"/>
        <v>1049644.6375000002</v>
      </c>
      <c r="R170" s="47">
        <f t="shared" si="17"/>
        <v>637828.33400000003</v>
      </c>
      <c r="S170" s="47">
        <f t="shared" si="18"/>
        <v>1913485.0020000001</v>
      </c>
      <c r="T170" s="47">
        <f t="shared" si="19"/>
        <v>5389573.8110000007</v>
      </c>
      <c r="U170" s="48"/>
      <c r="V170" s="48"/>
      <c r="W170" s="48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</row>
    <row r="171" spans="1:187">
      <c r="A171" s="11"/>
      <c r="B171" s="43" t="s">
        <v>31</v>
      </c>
      <c r="C171" s="44" t="s">
        <v>226</v>
      </c>
      <c r="D171" s="44" t="s">
        <v>218</v>
      </c>
      <c r="E171" s="45">
        <v>3247.299</v>
      </c>
      <c r="F171" s="45">
        <f>4909.36-E171</f>
        <v>1662.0609999999997</v>
      </c>
      <c r="G171" s="45">
        <v>906.15099999999995</v>
      </c>
      <c r="H171" s="45">
        <f>3824.83-G171</f>
        <v>2918.6790000000001</v>
      </c>
      <c r="I171" s="45">
        <f t="shared" si="14"/>
        <v>8734.1899999999987</v>
      </c>
      <c r="J171" s="46">
        <v>8926.7000000000007</v>
      </c>
      <c r="K171" s="46">
        <v>3358.59</v>
      </c>
      <c r="L171" s="46">
        <v>3492.9336000000003</v>
      </c>
      <c r="M171" s="46">
        <v>1400.6179200000001</v>
      </c>
      <c r="N171" s="46">
        <v>1456.6426368000002</v>
      </c>
      <c r="O171" s="46">
        <f t="shared" si="20"/>
        <v>1957.97208</v>
      </c>
      <c r="P171" s="47">
        <f t="shared" si="15"/>
        <v>6358120.77741192</v>
      </c>
      <c r="Q171" s="47">
        <f t="shared" si="16"/>
        <v>3254269.0332568795</v>
      </c>
      <c r="R171" s="47">
        <f t="shared" si="17"/>
        <v>1845187.0925946431</v>
      </c>
      <c r="S171" s="47">
        <f t="shared" si="18"/>
        <v>5943279.6721816128</v>
      </c>
      <c r="T171" s="47">
        <f t="shared" si="19"/>
        <v>17400856.575445056</v>
      </c>
      <c r="U171" s="48"/>
      <c r="V171" s="48"/>
      <c r="W171" s="48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</row>
    <row r="172" spans="1:187">
      <c r="A172" s="11"/>
      <c r="B172" s="43" t="s">
        <v>288</v>
      </c>
      <c r="C172" s="44" t="s">
        <v>215</v>
      </c>
      <c r="D172" s="44" t="s">
        <v>216</v>
      </c>
      <c r="E172" s="45">
        <v>3756.0909999999999</v>
      </c>
      <c r="F172" s="45">
        <f>5455.784-E172</f>
        <v>1699.6929999999998</v>
      </c>
      <c r="G172" s="45">
        <v>702.65700000000004</v>
      </c>
      <c r="H172" s="45">
        <f>3762.125-G172</f>
        <v>3059.4679999999998</v>
      </c>
      <c r="I172" s="45">
        <f t="shared" si="14"/>
        <v>9217.9089999999997</v>
      </c>
      <c r="J172" s="46">
        <v>8376.1</v>
      </c>
      <c r="K172" s="46">
        <v>4980.22</v>
      </c>
      <c r="L172" s="46">
        <v>5179.4288000000006</v>
      </c>
      <c r="M172" s="46">
        <v>1369.6300800000001</v>
      </c>
      <c r="N172" s="46">
        <v>1438.1115840000002</v>
      </c>
      <c r="O172" s="46">
        <f t="shared" si="20"/>
        <v>3610.5899200000003</v>
      </c>
      <c r="P172" s="47">
        <f t="shared" si="15"/>
        <v>13561704.30320272</v>
      </c>
      <c r="Q172" s="47">
        <f t="shared" si="16"/>
        <v>6136894.41289456</v>
      </c>
      <c r="R172" s="47">
        <f t="shared" si="17"/>
        <v>2628862.7310429122</v>
      </c>
      <c r="S172" s="47">
        <f t="shared" si="18"/>
        <v>11446440.300201088</v>
      </c>
      <c r="T172" s="47">
        <f t="shared" si="19"/>
        <v>33773901.747341283</v>
      </c>
      <c r="U172" s="48"/>
      <c r="V172" s="48"/>
      <c r="W172" s="48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</row>
    <row r="173" spans="1:187" ht="30">
      <c r="A173" s="11"/>
      <c r="B173" s="43" t="s">
        <v>8</v>
      </c>
      <c r="C173" s="44" t="s">
        <v>219</v>
      </c>
      <c r="D173" s="44" t="s">
        <v>343</v>
      </c>
      <c r="E173" s="45">
        <v>190.41</v>
      </c>
      <c r="F173" s="45">
        <f>317.35-E173</f>
        <v>126.94000000000003</v>
      </c>
      <c r="G173" s="45">
        <v>48.384999999999998</v>
      </c>
      <c r="H173" s="45">
        <f>242.055-G173</f>
        <v>193.67000000000002</v>
      </c>
      <c r="I173" s="45">
        <f t="shared" si="14"/>
        <v>559.40499999999997</v>
      </c>
      <c r="J173" s="46">
        <v>501.6</v>
      </c>
      <c r="K173" s="46">
        <v>3371.15</v>
      </c>
      <c r="L173" s="46">
        <v>3505.9960000000001</v>
      </c>
      <c r="M173" s="46">
        <v>1427.5528800000002</v>
      </c>
      <c r="N173" s="46">
        <v>1456.1039376000001</v>
      </c>
      <c r="O173" s="46">
        <f t="shared" si="20"/>
        <v>1943.5971199999999</v>
      </c>
      <c r="P173" s="47">
        <f t="shared" si="15"/>
        <v>370080.32761919999</v>
      </c>
      <c r="Q173" s="47">
        <f t="shared" si="16"/>
        <v>246720.21841280005</v>
      </c>
      <c r="R173" s="47">
        <f t="shared" si="17"/>
        <v>99184.02743922401</v>
      </c>
      <c r="S173" s="47">
        <f t="shared" si="18"/>
        <v>397002.59572500805</v>
      </c>
      <c r="T173" s="47">
        <f t="shared" si="19"/>
        <v>1112987.1691962322</v>
      </c>
      <c r="U173" s="48"/>
      <c r="V173" s="48"/>
      <c r="W173" s="48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</row>
    <row r="174" spans="1:187" ht="30">
      <c r="A174" s="11"/>
      <c r="B174" s="43" t="s">
        <v>8</v>
      </c>
      <c r="C174" s="44" t="s">
        <v>219</v>
      </c>
      <c r="D174" s="44" t="s">
        <v>342</v>
      </c>
      <c r="E174" s="45">
        <v>67.700999999999993</v>
      </c>
      <c r="F174" s="45">
        <f>112.835-E174</f>
        <v>45.134</v>
      </c>
      <c r="G174" s="45">
        <v>15.266999999999999</v>
      </c>
      <c r="H174" s="45">
        <f>80.314-G174</f>
        <v>65.046999999999997</v>
      </c>
      <c r="I174" s="45">
        <f t="shared" si="14"/>
        <v>193.149</v>
      </c>
      <c r="J174" s="46">
        <v>184.8</v>
      </c>
      <c r="K174" s="46">
        <v>3371.15</v>
      </c>
      <c r="L174" s="46">
        <v>3505.9960000000001</v>
      </c>
      <c r="M174" s="46">
        <v>1364.6830080000002</v>
      </c>
      <c r="N174" s="46">
        <v>1432.9171584000003</v>
      </c>
      <c r="O174" s="46">
        <f t="shared" si="20"/>
        <v>2006.4669919999999</v>
      </c>
      <c r="P174" s="47">
        <f t="shared" si="15"/>
        <v>135839.82182539199</v>
      </c>
      <c r="Q174" s="47">
        <f t="shared" si="16"/>
        <v>90559.881216927999</v>
      </c>
      <c r="R174" s="47">
        <f t="shared" si="17"/>
        <v>31649.694674707192</v>
      </c>
      <c r="S174" s="47">
        <f t="shared" si="18"/>
        <v>134847.55940955516</v>
      </c>
      <c r="T174" s="47">
        <f t="shared" si="19"/>
        <v>392896.95712658233</v>
      </c>
      <c r="U174" s="48"/>
      <c r="V174" s="48"/>
      <c r="W174" s="48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</row>
    <row r="175" spans="1:187">
      <c r="A175" s="11"/>
      <c r="B175" s="43" t="s">
        <v>287</v>
      </c>
      <c r="C175" s="44" t="s">
        <v>217</v>
      </c>
      <c r="D175" s="44" t="s">
        <v>218</v>
      </c>
      <c r="E175" s="45">
        <v>4684.1090000000004</v>
      </c>
      <c r="F175" s="45">
        <f>6718.721-E175</f>
        <v>2034.6119999999992</v>
      </c>
      <c r="G175" s="45">
        <v>720.75900000000001</v>
      </c>
      <c r="H175" s="45">
        <f>4138.416-G175</f>
        <v>3417.6570000000002</v>
      </c>
      <c r="I175" s="45">
        <f t="shared" si="14"/>
        <v>10857.136999999999</v>
      </c>
      <c r="J175" s="46">
        <v>10758</v>
      </c>
      <c r="K175" s="46">
        <v>3175.65</v>
      </c>
      <c r="L175" s="46">
        <v>3302.6760000000004</v>
      </c>
      <c r="M175" s="46">
        <v>1400.6179200000001</v>
      </c>
      <c r="N175" s="46">
        <v>1456.6426368000002</v>
      </c>
      <c r="O175" s="46">
        <f t="shared" si="20"/>
        <v>1775.03208</v>
      </c>
      <c r="P175" s="47">
        <f t="shared" si="15"/>
        <v>8314443.7412167201</v>
      </c>
      <c r="Q175" s="47">
        <f t="shared" si="16"/>
        <v>3611501.5703529585</v>
      </c>
      <c r="R175" s="47">
        <f t="shared" si="17"/>
        <v>1330545.1608266688</v>
      </c>
      <c r="S175" s="47">
        <f t="shared" si="18"/>
        <v>6309108.8459740235</v>
      </c>
      <c r="T175" s="47">
        <f t="shared" si="19"/>
        <v>19565599.318370372</v>
      </c>
      <c r="U175" s="48"/>
      <c r="V175" s="48"/>
      <c r="W175" s="48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</row>
    <row r="176" spans="1:187" ht="30">
      <c r="A176" s="11"/>
      <c r="B176" s="43" t="s">
        <v>286</v>
      </c>
      <c r="C176" s="44" t="s">
        <v>223</v>
      </c>
      <c r="D176" s="44" t="s">
        <v>352</v>
      </c>
      <c r="E176" s="45">
        <v>446.66899999999998</v>
      </c>
      <c r="F176" s="45">
        <f>664.262-E176</f>
        <v>217.59299999999996</v>
      </c>
      <c r="G176" s="45">
        <v>77.599999999999994</v>
      </c>
      <c r="H176" s="45">
        <f>411.143-G176</f>
        <v>333.54300000000001</v>
      </c>
      <c r="I176" s="45">
        <f t="shared" si="14"/>
        <v>1075.405</v>
      </c>
      <c r="J176" s="46">
        <v>1093.02</v>
      </c>
      <c r="K176" s="46">
        <v>4649.43</v>
      </c>
      <c r="L176" s="46">
        <v>4835.4072000000006</v>
      </c>
      <c r="M176" s="46">
        <v>1400.6179200000001</v>
      </c>
      <c r="N176" s="46">
        <v>1456.6426368000002</v>
      </c>
      <c r="O176" s="46">
        <f t="shared" si="20"/>
        <v>3248.8120800000002</v>
      </c>
      <c r="P176" s="47">
        <f t="shared" si="15"/>
        <v>1451143.64296152</v>
      </c>
      <c r="Q176" s="47">
        <f t="shared" si="16"/>
        <v>706918.76692343992</v>
      </c>
      <c r="R176" s="47">
        <f t="shared" si="17"/>
        <v>262192.13010432001</v>
      </c>
      <c r="S176" s="47">
        <f t="shared" si="18"/>
        <v>1126963.2687034176</v>
      </c>
      <c r="T176" s="47">
        <f t="shared" si="19"/>
        <v>3547217.8086926974</v>
      </c>
      <c r="U176" s="48"/>
      <c r="V176" s="48"/>
      <c r="W176" s="48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</row>
    <row r="177" spans="1:187" ht="30">
      <c r="A177" s="11"/>
      <c r="B177" s="43" t="s">
        <v>286</v>
      </c>
      <c r="C177" s="44" t="s">
        <v>223</v>
      </c>
      <c r="D177" s="44" t="s">
        <v>353</v>
      </c>
      <c r="E177" s="45">
        <v>384.93900000000002</v>
      </c>
      <c r="F177" s="45">
        <f>641.565-E177</f>
        <v>256.62600000000003</v>
      </c>
      <c r="G177" s="45">
        <v>98.373999999999995</v>
      </c>
      <c r="H177" s="45">
        <f>483.313-G177</f>
        <v>384.93899999999996</v>
      </c>
      <c r="I177" s="45">
        <f t="shared" si="14"/>
        <v>1124.8780000000002</v>
      </c>
      <c r="J177" s="46">
        <v>1086.98</v>
      </c>
      <c r="K177" s="46">
        <v>4649.43</v>
      </c>
      <c r="L177" s="46">
        <v>4835.4072000000006</v>
      </c>
      <c r="M177" s="46">
        <v>1359.5495679999999</v>
      </c>
      <c r="N177" s="46">
        <v>1427.5270464</v>
      </c>
      <c r="O177" s="46">
        <f t="shared" si="20"/>
        <v>3289.8804320000004</v>
      </c>
      <c r="P177" s="47">
        <f t="shared" si="15"/>
        <v>1266403.2836136483</v>
      </c>
      <c r="Q177" s="47">
        <f t="shared" si="16"/>
        <v>844268.85574243218</v>
      </c>
      <c r="R177" s="47">
        <f t="shared" si="17"/>
        <v>335246.80223024642</v>
      </c>
      <c r="S177" s="47">
        <f t="shared" si="18"/>
        <v>1311825.9784466305</v>
      </c>
      <c r="T177" s="47">
        <f t="shared" si="19"/>
        <v>3757744.9200329576</v>
      </c>
      <c r="U177" s="48"/>
      <c r="V177" s="48"/>
      <c r="W177" s="48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</row>
    <row r="178" spans="1:187">
      <c r="A178" s="11"/>
      <c r="B178" s="43" t="s">
        <v>289</v>
      </c>
      <c r="C178" s="44" t="s">
        <v>213</v>
      </c>
      <c r="D178" s="44" t="s">
        <v>214</v>
      </c>
      <c r="E178" s="45">
        <v>6560.8829999999998</v>
      </c>
      <c r="F178" s="45">
        <f>9756.465-E178</f>
        <v>3195.5820000000003</v>
      </c>
      <c r="G178" s="45">
        <v>1655.711</v>
      </c>
      <c r="H178" s="45">
        <f>7639.399-G178</f>
        <v>5983.6880000000001</v>
      </c>
      <c r="I178" s="45">
        <f t="shared" si="14"/>
        <v>17395.864000000001</v>
      </c>
      <c r="J178" s="46">
        <v>21529.200000000001</v>
      </c>
      <c r="K178" s="46">
        <v>3644.616833333333</v>
      </c>
      <c r="L178" s="46">
        <v>3790.4015066666666</v>
      </c>
      <c r="M178" s="46">
        <v>1141.3524512000001</v>
      </c>
      <c r="N178" s="46">
        <v>1198.4200737600002</v>
      </c>
      <c r="O178" s="46">
        <f t="shared" si="20"/>
        <v>2503.2643821333331</v>
      </c>
      <c r="P178" s="47">
        <f t="shared" si="15"/>
        <v>16423624.729244089</v>
      </c>
      <c r="Q178" s="47">
        <f t="shared" si="16"/>
        <v>7999386.6007864019</v>
      </c>
      <c r="R178" s="47">
        <f t="shared" si="17"/>
        <v>4291572.1702593304</v>
      </c>
      <c r="S178" s="47">
        <f t="shared" si="18"/>
        <v>15509608.196306426</v>
      </c>
      <c r="T178" s="47">
        <f t="shared" si="19"/>
        <v>44224191.69659625</v>
      </c>
      <c r="U178" s="48"/>
      <c r="V178" s="48"/>
      <c r="W178" s="48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</row>
    <row r="179" spans="1:187">
      <c r="A179" s="11"/>
      <c r="B179" s="43" t="s">
        <v>282</v>
      </c>
      <c r="C179" s="44" t="s">
        <v>91</v>
      </c>
      <c r="D179" s="44" t="s">
        <v>229</v>
      </c>
      <c r="E179" s="45">
        <f>2830.83+79.65</f>
        <v>2910.48</v>
      </c>
      <c r="F179" s="45">
        <f>4168.92-E179</f>
        <v>1258.44</v>
      </c>
      <c r="G179" s="45">
        <v>603.10500000000002</v>
      </c>
      <c r="H179" s="45">
        <f>3023.769-G179</f>
        <v>2420.6639999999998</v>
      </c>
      <c r="I179" s="45">
        <f t="shared" si="14"/>
        <v>7192.6889999999994</v>
      </c>
      <c r="J179" s="46">
        <v>7494.1</v>
      </c>
      <c r="K179" s="46">
        <v>4639.22</v>
      </c>
      <c r="L179" s="46">
        <v>4824.7888000000003</v>
      </c>
      <c r="M179" s="46">
        <v>1338.9342720000002</v>
      </c>
      <c r="N179" s="46">
        <v>1405.8809856000003</v>
      </c>
      <c r="O179" s="46">
        <f t="shared" si="20"/>
        <v>3300.2857279999998</v>
      </c>
      <c r="P179" s="47">
        <f t="shared" si="15"/>
        <v>9605415.6056294404</v>
      </c>
      <c r="Q179" s="47">
        <f t="shared" si="16"/>
        <v>4153211.5715443199</v>
      </c>
      <c r="R179" s="47">
        <f t="shared" si="17"/>
        <v>2061960.3974037122</v>
      </c>
      <c r="S179" s="47">
        <f t="shared" si="18"/>
        <v>8276027.0656367606</v>
      </c>
      <c r="T179" s="47">
        <f t="shared" si="19"/>
        <v>24096614.640214231</v>
      </c>
      <c r="U179" s="48"/>
      <c r="V179" s="48"/>
      <c r="W179" s="48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</row>
    <row r="180" spans="1:187">
      <c r="A180" s="11"/>
      <c r="B180" s="43" t="s">
        <v>9</v>
      </c>
      <c r="C180" s="44" t="s">
        <v>221</v>
      </c>
      <c r="D180" s="44" t="s">
        <v>220</v>
      </c>
      <c r="E180" s="45">
        <v>3297.232</v>
      </c>
      <c r="F180" s="45">
        <f>4870.428-E180</f>
        <v>1573.1959999999999</v>
      </c>
      <c r="G180" s="45">
        <v>606.58199999999999</v>
      </c>
      <c r="H180" s="45">
        <f>3216.866-G180</f>
        <v>2610.2840000000001</v>
      </c>
      <c r="I180" s="45">
        <f t="shared" si="14"/>
        <v>8087.2939999999999</v>
      </c>
      <c r="J180" s="46">
        <v>7605.9</v>
      </c>
      <c r="K180" s="46">
        <v>3734.98</v>
      </c>
      <c r="L180" s="46">
        <v>3884.3792000000003</v>
      </c>
      <c r="M180" s="46">
        <v>1400.6179200000001</v>
      </c>
      <c r="N180" s="46">
        <v>1456.6426368000002</v>
      </c>
      <c r="O180" s="46">
        <f t="shared" si="20"/>
        <v>2334.3620799999999</v>
      </c>
      <c r="P180" s="47">
        <f t="shared" si="15"/>
        <v>7696933.3497625599</v>
      </c>
      <c r="Q180" s="47">
        <f t="shared" si="16"/>
        <v>3672409.0868076794</v>
      </c>
      <c r="R180" s="47">
        <f t="shared" si="17"/>
        <v>1472621.2999789824</v>
      </c>
      <c r="S180" s="47">
        <f t="shared" si="18"/>
        <v>6337081.9071359495</v>
      </c>
      <c r="T180" s="47">
        <f t="shared" si="19"/>
        <v>19179045.64368517</v>
      </c>
      <c r="U180" s="48"/>
      <c r="V180" s="48"/>
      <c r="W180" s="48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</row>
    <row r="181" spans="1:187">
      <c r="A181" s="11"/>
      <c r="B181" s="43" t="s">
        <v>9</v>
      </c>
      <c r="C181" s="44" t="s">
        <v>221</v>
      </c>
      <c r="D181" s="44" t="s">
        <v>222</v>
      </c>
      <c r="E181" s="45">
        <v>1462.5640000000001</v>
      </c>
      <c r="F181" s="45">
        <f>2218.433-E181</f>
        <v>755.86899999999991</v>
      </c>
      <c r="G181" s="45">
        <v>385.95499999999998</v>
      </c>
      <c r="H181" s="45">
        <f>1594.264-G181</f>
        <v>1208.309</v>
      </c>
      <c r="I181" s="45">
        <f t="shared" si="14"/>
        <v>3812.6970000000001</v>
      </c>
      <c r="J181" s="46">
        <v>4375.1000000000004</v>
      </c>
      <c r="K181" s="46">
        <v>4835.45</v>
      </c>
      <c r="L181" s="46">
        <v>5028.8680000000004</v>
      </c>
      <c r="M181" s="46">
        <v>1400.6179200000001</v>
      </c>
      <c r="N181" s="46">
        <v>1456.6426368000002</v>
      </c>
      <c r="O181" s="46">
        <f t="shared" si="20"/>
        <v>3434.8320799999997</v>
      </c>
      <c r="P181" s="47">
        <f t="shared" si="15"/>
        <v>5023661.7462531198</v>
      </c>
      <c r="Q181" s="47">
        <f t="shared" si="16"/>
        <v>2596283.0894775195</v>
      </c>
      <c r="R181" s="47">
        <f t="shared" si="17"/>
        <v>1378718.240053856</v>
      </c>
      <c r="S181" s="47">
        <f t="shared" si="18"/>
        <v>4316352.0563828293</v>
      </c>
      <c r="T181" s="47">
        <f t="shared" si="19"/>
        <v>13315015.132167324</v>
      </c>
      <c r="U181" s="48"/>
      <c r="V181" s="48"/>
      <c r="W181" s="48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</row>
    <row r="182" spans="1:187">
      <c r="A182" s="11"/>
      <c r="B182" s="43" t="s">
        <v>9</v>
      </c>
      <c r="C182" s="44" t="s">
        <v>221</v>
      </c>
      <c r="D182" s="44" t="s">
        <v>69</v>
      </c>
      <c r="E182" s="45">
        <v>707.62800000000004</v>
      </c>
      <c r="F182" s="45">
        <f>1102.977-E182</f>
        <v>395.34900000000005</v>
      </c>
      <c r="G182" s="45">
        <v>182.69300000000001</v>
      </c>
      <c r="H182" s="45">
        <f>824.854-G182</f>
        <v>642.16100000000006</v>
      </c>
      <c r="I182" s="45">
        <f t="shared" si="14"/>
        <v>1927.8310000000001</v>
      </c>
      <c r="J182" s="46">
        <v>2150.4</v>
      </c>
      <c r="K182" s="46">
        <v>4138.99</v>
      </c>
      <c r="L182" s="46">
        <v>4304.5496000000003</v>
      </c>
      <c r="M182" s="46">
        <v>1400.6179200000001</v>
      </c>
      <c r="N182" s="46">
        <v>1456.6426368000002</v>
      </c>
      <c r="O182" s="46">
        <f t="shared" si="20"/>
        <v>2738.3720799999996</v>
      </c>
      <c r="P182" s="47">
        <f t="shared" si="15"/>
        <v>1937748.7582262398</v>
      </c>
      <c r="Q182" s="47">
        <f t="shared" si="16"/>
        <v>1082612.6634559201</v>
      </c>
      <c r="R182" s="47">
        <f t="shared" si="17"/>
        <v>520292.66682789766</v>
      </c>
      <c r="S182" s="47">
        <f t="shared" si="18"/>
        <v>1828814.7833954755</v>
      </c>
      <c r="T182" s="47">
        <f t="shared" si="19"/>
        <v>5369468.8719055327</v>
      </c>
      <c r="U182" s="48"/>
      <c r="V182" s="48"/>
      <c r="W182" s="48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</row>
    <row r="183" spans="1:187">
      <c r="A183" s="11"/>
      <c r="B183" s="43" t="s">
        <v>285</v>
      </c>
      <c r="C183" s="44" t="s">
        <v>224</v>
      </c>
      <c r="D183" s="44" t="s">
        <v>225</v>
      </c>
      <c r="E183" s="45">
        <v>2157.5250000000001</v>
      </c>
      <c r="F183" s="45">
        <f>3247.888-E183</f>
        <v>1090.3629999999998</v>
      </c>
      <c r="G183" s="45">
        <v>551.37</v>
      </c>
      <c r="H183" s="45">
        <f>2708.895-G183</f>
        <v>2157.5250000000001</v>
      </c>
      <c r="I183" s="45">
        <f t="shared" si="14"/>
        <v>5956.7829999999994</v>
      </c>
      <c r="J183" s="46">
        <v>6121</v>
      </c>
      <c r="K183" s="46">
        <v>3899.1</v>
      </c>
      <c r="L183" s="46">
        <v>4055.0639999999999</v>
      </c>
      <c r="M183" s="46">
        <v>1338.9342720000002</v>
      </c>
      <c r="N183" s="46">
        <v>1405.8809856000003</v>
      </c>
      <c r="O183" s="46">
        <f t="shared" si="20"/>
        <v>2560.1657279999999</v>
      </c>
      <c r="P183" s="47">
        <f t="shared" si="15"/>
        <v>5523621.5623032004</v>
      </c>
      <c r="Q183" s="47">
        <f t="shared" si="16"/>
        <v>2791509.9836792634</v>
      </c>
      <c r="R183" s="47">
        <f t="shared" si="17"/>
        <v>1460680.0386497278</v>
      </c>
      <c r="S183" s="47">
        <f t="shared" si="18"/>
        <v>5715678.5831433591</v>
      </c>
      <c r="T183" s="47">
        <f t="shared" si="19"/>
        <v>15491490.167775551</v>
      </c>
      <c r="U183" s="48"/>
      <c r="V183" s="48"/>
      <c r="W183" s="48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</row>
    <row r="184" spans="1:187">
      <c r="A184" s="11" t="s">
        <v>387</v>
      </c>
      <c r="B184" s="43">
        <v>7729314745</v>
      </c>
      <c r="C184" s="44" t="s">
        <v>391</v>
      </c>
      <c r="D184" s="44" t="s">
        <v>396</v>
      </c>
      <c r="E184" s="45">
        <f>1342.0825*0.6</f>
        <v>805.24950000000001</v>
      </c>
      <c r="F184" s="45">
        <f>1342.0825*0.4</f>
        <v>536.83299999999997</v>
      </c>
      <c r="G184" s="45">
        <f>1098.0675*0.2</f>
        <v>219.61350000000004</v>
      </c>
      <c r="H184" s="45">
        <f>1098.0675*0.8</f>
        <v>878.45400000000018</v>
      </c>
      <c r="I184" s="45">
        <f t="shared" si="14"/>
        <v>2440.15</v>
      </c>
      <c r="J184" s="46">
        <v>2440.15</v>
      </c>
      <c r="K184" s="46">
        <v>2999.03</v>
      </c>
      <c r="L184" s="46">
        <v>3118.99</v>
      </c>
      <c r="M184" s="46">
        <v>1115.78</v>
      </c>
      <c r="N184" s="46">
        <v>1160.4100000000001</v>
      </c>
      <c r="O184" s="46">
        <f t="shared" si="20"/>
        <v>1883.2500000000002</v>
      </c>
      <c r="P184" s="47">
        <f t="shared" si="15"/>
        <v>1516486.1208750003</v>
      </c>
      <c r="Q184" s="47">
        <f t="shared" si="16"/>
        <v>1010990.74725</v>
      </c>
      <c r="R184" s="47">
        <f t="shared" si="17"/>
        <v>430130.60883000004</v>
      </c>
      <c r="S184" s="47">
        <f t="shared" si="18"/>
        <v>1720522.4353200002</v>
      </c>
      <c r="T184" s="47">
        <f t="shared" si="19"/>
        <v>4678129.9122750005</v>
      </c>
      <c r="U184" s="48"/>
      <c r="V184" s="48"/>
      <c r="W184" s="48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</row>
    <row r="185" spans="1:187">
      <c r="A185" s="11"/>
      <c r="B185" s="43" t="s">
        <v>283</v>
      </c>
      <c r="C185" s="44" t="s">
        <v>228</v>
      </c>
      <c r="D185" s="44" t="s">
        <v>329</v>
      </c>
      <c r="E185" s="45">
        <v>2831.7330000000002</v>
      </c>
      <c r="F185" s="45">
        <f>4262.825-E185</f>
        <v>1431.0919999999996</v>
      </c>
      <c r="G185" s="45">
        <v>699.79499999999996</v>
      </c>
      <c r="H185" s="45">
        <f>3526.956-G185</f>
        <v>2827.1610000000001</v>
      </c>
      <c r="I185" s="45">
        <f t="shared" si="14"/>
        <v>7789.7809999999999</v>
      </c>
      <c r="J185" s="46">
        <v>7612.8</v>
      </c>
      <c r="K185" s="46">
        <v>3873.61</v>
      </c>
      <c r="L185" s="46">
        <v>4028.5544000000004</v>
      </c>
      <c r="M185" s="46">
        <v>1338.9342720000002</v>
      </c>
      <c r="N185" s="46">
        <v>1405.8809856000003</v>
      </c>
      <c r="O185" s="46">
        <f t="shared" si="20"/>
        <v>2534.6757280000002</v>
      </c>
      <c r="P185" s="47">
        <f t="shared" si="15"/>
        <v>7177524.9032766251</v>
      </c>
      <c r="Q185" s="47">
        <f t="shared" si="16"/>
        <v>3627354.1569349752</v>
      </c>
      <c r="R185" s="47">
        <f t="shared" si="17"/>
        <v>1835333.742030048</v>
      </c>
      <c r="S185" s="47">
        <f t="shared" si="18"/>
        <v>7414719.9929285189</v>
      </c>
      <c r="T185" s="47">
        <f t="shared" si="19"/>
        <v>20054932.795170169</v>
      </c>
      <c r="U185" s="48"/>
      <c r="V185" s="48"/>
      <c r="W185" s="48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</row>
    <row r="186" spans="1:187" ht="30">
      <c r="A186" s="11" t="s">
        <v>387</v>
      </c>
      <c r="B186" s="43" t="s">
        <v>400</v>
      </c>
      <c r="C186" s="44" t="s">
        <v>399</v>
      </c>
      <c r="D186" s="44" t="s">
        <v>229</v>
      </c>
      <c r="E186" s="45">
        <f>87.97428*0.4</f>
        <v>35.189712</v>
      </c>
      <c r="F186" s="45">
        <f>87.97428*0.6</f>
        <v>52.784567999999993</v>
      </c>
      <c r="G186" s="45">
        <f>69.68572*0.2</f>
        <v>13.937144000000002</v>
      </c>
      <c r="H186" s="45">
        <f>69.68572*0.8</f>
        <v>55.748576000000007</v>
      </c>
      <c r="I186" s="45">
        <f t="shared" si="14"/>
        <v>157.66</v>
      </c>
      <c r="J186" s="46">
        <v>157.66</v>
      </c>
      <c r="K186" s="46">
        <v>1702.3</v>
      </c>
      <c r="L186" s="46">
        <v>1770.3920000000001</v>
      </c>
      <c r="M186" s="46">
        <v>1089.0652000000002</v>
      </c>
      <c r="N186" s="46">
        <v>1143.5184600000002</v>
      </c>
      <c r="O186" s="46">
        <f t="shared" si="20"/>
        <v>613.23479999999972</v>
      </c>
      <c r="P186" s="47">
        <f t="shared" si="15"/>
        <v>21579.55600037759</v>
      </c>
      <c r="Q186" s="47">
        <f t="shared" si="16"/>
        <v>32369.334000566381</v>
      </c>
      <c r="R186" s="47">
        <f t="shared" si="17"/>
        <v>8736.8267967697593</v>
      </c>
      <c r="S186" s="47">
        <f t="shared" si="18"/>
        <v>34947.307187079037</v>
      </c>
      <c r="T186" s="47">
        <f t="shared" si="19"/>
        <v>97633.023984792759</v>
      </c>
      <c r="U186" s="48"/>
      <c r="V186" s="48"/>
      <c r="W186" s="48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</row>
    <row r="187" spans="1:187" ht="15.75">
      <c r="A187" s="11"/>
      <c r="B187" s="112" t="s">
        <v>230</v>
      </c>
      <c r="C187" s="112"/>
      <c r="D187" s="112"/>
      <c r="E187" s="49"/>
      <c r="F187" s="49"/>
      <c r="G187" s="42"/>
      <c r="H187" s="42"/>
      <c r="I187" s="45">
        <f t="shared" si="14"/>
        <v>0</v>
      </c>
      <c r="J187" s="48"/>
      <c r="K187" s="40"/>
      <c r="L187" s="40"/>
      <c r="M187" s="40"/>
      <c r="N187" s="40"/>
      <c r="O187" s="46">
        <f t="shared" si="20"/>
        <v>0</v>
      </c>
      <c r="P187" s="47">
        <f t="shared" si="15"/>
        <v>0</v>
      </c>
      <c r="Q187" s="47">
        <f t="shared" si="16"/>
        <v>0</v>
      </c>
      <c r="R187" s="47">
        <f t="shared" si="17"/>
        <v>0</v>
      </c>
      <c r="S187" s="47">
        <f t="shared" si="18"/>
        <v>0</v>
      </c>
      <c r="T187" s="47">
        <f t="shared" si="19"/>
        <v>0</v>
      </c>
      <c r="U187" s="50"/>
      <c r="V187" s="50"/>
      <c r="W187" s="50"/>
    </row>
    <row r="188" spans="1:187">
      <c r="A188" s="11"/>
      <c r="B188" s="43" t="s">
        <v>281</v>
      </c>
      <c r="C188" s="44" t="s">
        <v>231</v>
      </c>
      <c r="D188" s="44" t="s">
        <v>232</v>
      </c>
      <c r="E188" s="45">
        <v>1854.579</v>
      </c>
      <c r="F188" s="45">
        <f>2745.348-E188</f>
        <v>890.76900000000001</v>
      </c>
      <c r="G188" s="45">
        <v>420.50400000000002</v>
      </c>
      <c r="H188" s="45">
        <f>2230.078-G188</f>
        <v>1809.5740000000001</v>
      </c>
      <c r="I188" s="45">
        <f t="shared" si="14"/>
        <v>4975.4259999999995</v>
      </c>
      <c r="J188" s="48">
        <v>4661.3</v>
      </c>
      <c r="K188" s="46">
        <v>3558.19</v>
      </c>
      <c r="L188" s="46">
        <v>3700.5176000000001</v>
      </c>
      <c r="M188" s="46">
        <v>1901.041792</v>
      </c>
      <c r="N188" s="46">
        <v>1977.08346368</v>
      </c>
      <c r="O188" s="46">
        <f t="shared" si="20"/>
        <v>1657.1482080000001</v>
      </c>
      <c r="P188" s="47">
        <f t="shared" si="15"/>
        <v>3073312.2664444321</v>
      </c>
      <c r="Q188" s="47">
        <f t="shared" si="16"/>
        <v>1476136.2520919521</v>
      </c>
      <c r="R188" s="47">
        <f t="shared" si="17"/>
        <v>724710.94805910531</v>
      </c>
      <c r="S188" s="47">
        <f t="shared" si="18"/>
        <v>3118681.603797128</v>
      </c>
      <c r="T188" s="47">
        <f t="shared" si="19"/>
        <v>8392841.070392618</v>
      </c>
      <c r="U188" s="48"/>
      <c r="V188" s="48"/>
      <c r="W188" s="48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</row>
    <row r="189" spans="1:187">
      <c r="A189" s="11"/>
      <c r="B189" s="43" t="s">
        <v>26</v>
      </c>
      <c r="C189" s="44" t="s">
        <v>233</v>
      </c>
      <c r="D189" s="44" t="s">
        <v>232</v>
      </c>
      <c r="E189" s="45">
        <v>2332.665</v>
      </c>
      <c r="F189" s="45">
        <f>3487.96-E189</f>
        <v>1155.2950000000001</v>
      </c>
      <c r="G189" s="45">
        <v>552.88199999999995</v>
      </c>
      <c r="H189" s="45">
        <f>2878.562-G189</f>
        <v>2325.6799999999998</v>
      </c>
      <c r="I189" s="45">
        <f t="shared" si="14"/>
        <v>6366.5219999999999</v>
      </c>
      <c r="J189" s="48">
        <v>7543.17</v>
      </c>
      <c r="K189" s="46">
        <v>3887.9</v>
      </c>
      <c r="L189" s="46">
        <v>4043.4160000000002</v>
      </c>
      <c r="M189" s="46">
        <v>1901.041792</v>
      </c>
      <c r="N189" s="46">
        <v>1977.08346368</v>
      </c>
      <c r="O189" s="46">
        <f t="shared" si="20"/>
        <v>1986.8582080000001</v>
      </c>
      <c r="P189" s="47">
        <f t="shared" si="15"/>
        <v>4634674.6017643204</v>
      </c>
      <c r="Q189" s="47">
        <f t="shared" si="16"/>
        <v>2295407.3534113602</v>
      </c>
      <c r="R189" s="47">
        <f t="shared" si="17"/>
        <v>1142438.0653456743</v>
      </c>
      <c r="S189" s="47">
        <f t="shared" si="18"/>
        <v>4805628.2530686976</v>
      </c>
      <c r="T189" s="47">
        <f t="shared" si="19"/>
        <v>12878148.273590054</v>
      </c>
      <c r="U189" s="48"/>
      <c r="V189" s="48"/>
      <c r="W189" s="48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</row>
    <row r="190" spans="1:187">
      <c r="A190" s="11"/>
      <c r="B190" s="43" t="s">
        <v>26</v>
      </c>
      <c r="C190" s="44" t="s">
        <v>233</v>
      </c>
      <c r="D190" s="44" t="s">
        <v>234</v>
      </c>
      <c r="E190" s="45">
        <v>578.21600000000001</v>
      </c>
      <c r="F190" s="45">
        <f>863.393-E190</f>
        <v>285.17700000000002</v>
      </c>
      <c r="G190" s="45">
        <v>138.613</v>
      </c>
      <c r="H190" s="45">
        <f>712.309-G190</f>
        <v>573.69599999999991</v>
      </c>
      <c r="I190" s="45">
        <f t="shared" si="14"/>
        <v>1575.702</v>
      </c>
      <c r="J190" s="48"/>
      <c r="K190" s="46"/>
      <c r="L190" s="46"/>
      <c r="M190" s="46"/>
      <c r="N190" s="46"/>
      <c r="O190" s="46">
        <f t="shared" si="20"/>
        <v>0</v>
      </c>
      <c r="P190" s="47">
        <f t="shared" si="15"/>
        <v>0</v>
      </c>
      <c r="Q190" s="47">
        <f t="shared" si="16"/>
        <v>0</v>
      </c>
      <c r="R190" s="47">
        <f t="shared" si="17"/>
        <v>0</v>
      </c>
      <c r="S190" s="47">
        <f t="shared" si="18"/>
        <v>0</v>
      </c>
      <c r="T190" s="47">
        <f t="shared" si="19"/>
        <v>0</v>
      </c>
      <c r="U190" s="48"/>
      <c r="V190" s="48"/>
      <c r="W190" s="48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</row>
    <row r="191" spans="1:187">
      <c r="A191" s="11"/>
      <c r="B191" s="43" t="s">
        <v>29</v>
      </c>
      <c r="C191" s="44" t="s">
        <v>87</v>
      </c>
      <c r="D191" s="44" t="s">
        <v>235</v>
      </c>
      <c r="E191" s="45">
        <v>102.801</v>
      </c>
      <c r="F191" s="45">
        <f>153.649-E191</f>
        <v>50.847999999999999</v>
      </c>
      <c r="G191" s="45">
        <v>22.844000000000001</v>
      </c>
      <c r="H191" s="45">
        <f>125.645-G191</f>
        <v>102.80099999999999</v>
      </c>
      <c r="I191" s="45">
        <f t="shared" si="14"/>
        <v>279.29399999999998</v>
      </c>
      <c r="J191" s="48">
        <v>73.94</v>
      </c>
      <c r="K191" s="46">
        <v>3946.62</v>
      </c>
      <c r="L191" s="46">
        <v>4104.4848000000002</v>
      </c>
      <c r="M191" s="46">
        <v>1571.7578240000003</v>
      </c>
      <c r="N191" s="46">
        <v>1650.3457152000003</v>
      </c>
      <c r="O191" s="46">
        <f t="shared" si="20"/>
        <v>2374.8621759999996</v>
      </c>
      <c r="P191" s="47">
        <f t="shared" si="15"/>
        <v>244138.20655497597</v>
      </c>
      <c r="Q191" s="47">
        <f t="shared" si="16"/>
        <v>120756.99192524797</v>
      </c>
      <c r="R191" s="47">
        <f t="shared" si="17"/>
        <v>56062.353253171204</v>
      </c>
      <c r="S191" s="47">
        <f t="shared" si="18"/>
        <v>252287.95205652478</v>
      </c>
      <c r="T191" s="47">
        <f t="shared" si="19"/>
        <v>673245.50378991989</v>
      </c>
      <c r="U191" s="48"/>
      <c r="V191" s="48"/>
      <c r="W191" s="48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</row>
    <row r="192" spans="1:187" ht="45">
      <c r="A192" s="11"/>
      <c r="B192" s="43" t="s">
        <v>29</v>
      </c>
      <c r="C192" s="44" t="s">
        <v>87</v>
      </c>
      <c r="D192" s="44" t="s">
        <v>344</v>
      </c>
      <c r="E192" s="45">
        <v>67.397999999999996</v>
      </c>
      <c r="F192" s="45">
        <f>112.33-E192</f>
        <v>44.932000000000002</v>
      </c>
      <c r="G192" s="45">
        <v>20.968</v>
      </c>
      <c r="H192" s="45">
        <f>88.366-G192</f>
        <v>67.397999999999996</v>
      </c>
      <c r="I192" s="45">
        <f t="shared" si="14"/>
        <v>200.696</v>
      </c>
      <c r="J192" s="48">
        <v>180.35</v>
      </c>
      <c r="K192" s="46">
        <v>3737.91</v>
      </c>
      <c r="L192" s="46">
        <v>3887.4263999999998</v>
      </c>
      <c r="M192" s="46">
        <v>1571.7578240000003</v>
      </c>
      <c r="N192" s="46">
        <v>1650.3457152000003</v>
      </c>
      <c r="O192" s="46">
        <f t="shared" si="20"/>
        <v>2166.1521759999996</v>
      </c>
      <c r="P192" s="47">
        <f t="shared" si="15"/>
        <v>145994.32435804798</v>
      </c>
      <c r="Q192" s="47">
        <f t="shared" si="16"/>
        <v>97329.549572031989</v>
      </c>
      <c r="R192" s="47">
        <f t="shared" si="17"/>
        <v>46907.107798886384</v>
      </c>
      <c r="S192" s="47">
        <f t="shared" si="18"/>
        <v>150774.76399415033</v>
      </c>
      <c r="T192" s="47">
        <f t="shared" si="19"/>
        <v>441005.74572311668</v>
      </c>
      <c r="U192" s="48"/>
      <c r="V192" s="48"/>
      <c r="W192" s="48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</row>
    <row r="193" spans="1:187" ht="45">
      <c r="A193" s="11"/>
      <c r="B193" s="43" t="s">
        <v>29</v>
      </c>
      <c r="C193" s="44" t="s">
        <v>87</v>
      </c>
      <c r="D193" s="44" t="s">
        <v>345</v>
      </c>
      <c r="E193" s="45">
        <v>193.31700000000001</v>
      </c>
      <c r="F193" s="45">
        <f>289.975-E193</f>
        <v>96.658000000000015</v>
      </c>
      <c r="G193" s="45">
        <v>33.991999999999997</v>
      </c>
      <c r="H193" s="45">
        <f>226.606-G193</f>
        <v>192.614</v>
      </c>
      <c r="I193" s="45">
        <f t="shared" si="14"/>
        <v>516.58100000000002</v>
      </c>
      <c r="J193" s="48">
        <v>508.9</v>
      </c>
      <c r="K193" s="46">
        <v>4280.04</v>
      </c>
      <c r="L193" s="46">
        <v>4451.2416000000003</v>
      </c>
      <c r="M193" s="46">
        <v>1571.7578240000003</v>
      </c>
      <c r="N193" s="46">
        <v>1650.3457152000003</v>
      </c>
      <c r="O193" s="46">
        <f t="shared" si="20"/>
        <v>2708.2821759999997</v>
      </c>
      <c r="P193" s="47">
        <f t="shared" si="15"/>
        <v>523556.98541779199</v>
      </c>
      <c r="Q193" s="47">
        <f t="shared" si="16"/>
        <v>261777.13856780803</v>
      </c>
      <c r="R193" s="47">
        <f t="shared" si="17"/>
        <v>95208.052916121596</v>
      </c>
      <c r="S193" s="47">
        <f t="shared" si="18"/>
        <v>539491.7599548673</v>
      </c>
      <c r="T193" s="47">
        <f t="shared" si="19"/>
        <v>1420033.9368565888</v>
      </c>
      <c r="U193" s="48"/>
      <c r="V193" s="48"/>
      <c r="W193" s="48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</row>
    <row r="194" spans="1:187">
      <c r="A194" s="11"/>
      <c r="B194" s="43" t="s">
        <v>29</v>
      </c>
      <c r="C194" s="44" t="s">
        <v>87</v>
      </c>
      <c r="D194" s="44" t="s">
        <v>75</v>
      </c>
      <c r="E194" s="45">
        <v>76.367999999999995</v>
      </c>
      <c r="F194" s="45">
        <f>112.282-E194</f>
        <v>35.914000000000001</v>
      </c>
      <c r="G194" s="45">
        <v>18.106999999999999</v>
      </c>
      <c r="H194" s="45">
        <f>90.687-G194</f>
        <v>72.58</v>
      </c>
      <c r="I194" s="45">
        <f t="shared" si="14"/>
        <v>202.96899999999999</v>
      </c>
      <c r="J194" s="48">
        <v>196.49</v>
      </c>
      <c r="K194" s="46">
        <v>4054.45</v>
      </c>
      <c r="L194" s="46">
        <v>4216.6279999999997</v>
      </c>
      <c r="M194" s="46">
        <v>1231.8768800000003</v>
      </c>
      <c r="N194" s="46">
        <v>1293.4707240000002</v>
      </c>
      <c r="O194" s="46">
        <f t="shared" si="20"/>
        <v>2822.5731199999996</v>
      </c>
      <c r="P194" s="47">
        <f t="shared" si="15"/>
        <v>215554.26402815996</v>
      </c>
      <c r="Q194" s="47">
        <f t="shared" si="16"/>
        <v>101369.89103167999</v>
      </c>
      <c r="R194" s="47">
        <f t="shared" si="17"/>
        <v>52929.608796531989</v>
      </c>
      <c r="S194" s="47">
        <f t="shared" si="18"/>
        <v>212162.75509207995</v>
      </c>
      <c r="T194" s="47">
        <f t="shared" si="19"/>
        <v>582016.51894845185</v>
      </c>
      <c r="U194" s="48"/>
      <c r="V194" s="48"/>
      <c r="W194" s="48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</row>
    <row r="195" spans="1:187" ht="15.75">
      <c r="A195" s="11"/>
      <c r="B195" s="112" t="s">
        <v>236</v>
      </c>
      <c r="C195" s="112"/>
      <c r="D195" s="112"/>
      <c r="E195" s="79"/>
      <c r="F195" s="59"/>
      <c r="G195" s="60"/>
      <c r="H195" s="60"/>
      <c r="I195" s="45">
        <f t="shared" si="14"/>
        <v>0</v>
      </c>
      <c r="J195" s="48"/>
      <c r="K195" s="61"/>
      <c r="L195" s="61"/>
      <c r="M195" s="61"/>
      <c r="N195" s="61"/>
      <c r="O195" s="46">
        <f t="shared" si="20"/>
        <v>0</v>
      </c>
      <c r="P195" s="47">
        <f t="shared" si="15"/>
        <v>0</v>
      </c>
      <c r="Q195" s="47">
        <f t="shared" si="16"/>
        <v>0</v>
      </c>
      <c r="R195" s="47">
        <f t="shared" si="17"/>
        <v>0</v>
      </c>
      <c r="S195" s="47">
        <f t="shared" si="18"/>
        <v>0</v>
      </c>
      <c r="T195" s="47">
        <f t="shared" si="19"/>
        <v>0</v>
      </c>
      <c r="U195" s="47"/>
      <c r="V195" s="47"/>
      <c r="W195" s="47"/>
    </row>
    <row r="196" spans="1:187" ht="15.75">
      <c r="A196" s="11"/>
      <c r="B196" s="53" t="s">
        <v>280</v>
      </c>
      <c r="C196" s="44" t="s">
        <v>70</v>
      </c>
      <c r="D196" s="80" t="s">
        <v>237</v>
      </c>
      <c r="E196" s="61">
        <v>27996.595000000001</v>
      </c>
      <c r="F196" s="61">
        <f>41790.798-E196</f>
        <v>13794.203000000001</v>
      </c>
      <c r="G196" s="61">
        <v>1918.1610000000001</v>
      </c>
      <c r="H196" s="61">
        <v>24296.691999999999</v>
      </c>
      <c r="I196" s="45">
        <f t="shared" si="14"/>
        <v>68005.650999999998</v>
      </c>
      <c r="J196" s="46">
        <v>67091.994282381507</v>
      </c>
      <c r="K196" s="46">
        <v>4003.0025000000001</v>
      </c>
      <c r="L196" s="46">
        <v>4163.1226000000006</v>
      </c>
      <c r="M196" s="46">
        <v>1382.7623263999999</v>
      </c>
      <c r="N196" s="46">
        <v>1438.0728194559999</v>
      </c>
      <c r="O196" s="46">
        <f t="shared" si="20"/>
        <v>2620.2401736000002</v>
      </c>
      <c r="P196" s="47">
        <f t="shared" si="15"/>
        <v>73357802.9430089</v>
      </c>
      <c r="Q196" s="47">
        <f t="shared" si="16"/>
        <v>36144124.863393649</v>
      </c>
      <c r="R196" s="47">
        <f t="shared" si="17"/>
        <v>5227084.2120980611</v>
      </c>
      <c r="S196" s="47">
        <f t="shared" si="18"/>
        <v>66209695.202545181</v>
      </c>
      <c r="T196" s="47">
        <f t="shared" si="19"/>
        <v>180938707.22104579</v>
      </c>
      <c r="U196" s="47"/>
      <c r="V196" s="47"/>
      <c r="W196" s="50"/>
    </row>
    <row r="197" spans="1:187" ht="15.75">
      <c r="A197" s="11"/>
      <c r="B197" s="53" t="s">
        <v>280</v>
      </c>
      <c r="C197" s="44" t="s">
        <v>70</v>
      </c>
      <c r="D197" s="80" t="s">
        <v>238</v>
      </c>
      <c r="E197" s="61">
        <v>1130.731</v>
      </c>
      <c r="F197" s="61">
        <f>1874.703-E197</f>
        <v>743.97199999999998</v>
      </c>
      <c r="G197" s="61">
        <v>157.666</v>
      </c>
      <c r="H197" s="61">
        <v>1135.1949999999999</v>
      </c>
      <c r="I197" s="45">
        <f t="shared" si="14"/>
        <v>3167.5639999999999</v>
      </c>
      <c r="J197" s="48"/>
      <c r="K197" s="46">
        <v>4003.0025000000001</v>
      </c>
      <c r="L197" s="46">
        <v>4163.1226000000006</v>
      </c>
      <c r="M197" s="46">
        <v>1382.7623263999999</v>
      </c>
      <c r="N197" s="46">
        <v>1438.0728194559999</v>
      </c>
      <c r="O197" s="46">
        <f t="shared" si="20"/>
        <v>2620.2401736000002</v>
      </c>
      <c r="P197" s="47">
        <f t="shared" si="15"/>
        <v>2962786.7917349017</v>
      </c>
      <c r="Q197" s="47">
        <f t="shared" si="16"/>
        <v>1949385.3224335392</v>
      </c>
      <c r="R197" s="47">
        <f t="shared" si="17"/>
        <v>429647.69869925041</v>
      </c>
      <c r="S197" s="47">
        <f t="shared" si="18"/>
        <v>3093462.8856246471</v>
      </c>
      <c r="T197" s="47">
        <f t="shared" si="19"/>
        <v>8435282.6984923389</v>
      </c>
      <c r="U197" s="47"/>
      <c r="V197" s="47"/>
      <c r="W197" s="50"/>
    </row>
    <row r="198" spans="1:187" ht="15.75">
      <c r="A198" s="11"/>
      <c r="B198" s="53" t="s">
        <v>30</v>
      </c>
      <c r="C198" s="53" t="s">
        <v>159</v>
      </c>
      <c r="D198" s="80" t="s">
        <v>239</v>
      </c>
      <c r="E198" s="61">
        <v>414.82600000000002</v>
      </c>
      <c r="F198" s="61">
        <f>619.559-E198</f>
        <v>204.73299999999995</v>
      </c>
      <c r="G198" s="61">
        <v>76.114000000000004</v>
      </c>
      <c r="H198" s="61">
        <f>504.256-G198</f>
        <v>428.14199999999994</v>
      </c>
      <c r="I198" s="45">
        <f t="shared" si="14"/>
        <v>1123.8150000000001</v>
      </c>
      <c r="J198" s="46">
        <v>1205.2666666666667</v>
      </c>
      <c r="K198" s="46">
        <v>3858.1095341660703</v>
      </c>
      <c r="L198" s="46">
        <v>4012.4339155327134</v>
      </c>
      <c r="M198" s="46">
        <v>1409.3539096</v>
      </c>
      <c r="N198" s="46">
        <v>1437.5409877919999</v>
      </c>
      <c r="O198" s="46">
        <f t="shared" si="20"/>
        <v>2448.7556245660703</v>
      </c>
      <c r="P198" s="47">
        <f t="shared" si="15"/>
        <v>1015807.5007162447</v>
      </c>
      <c r="Q198" s="47">
        <f t="shared" si="16"/>
        <v>501341.08528428513</v>
      </c>
      <c r="R198" s="47">
        <f t="shared" si="17"/>
        <v>195985.40030205666</v>
      </c>
      <c r="S198" s="47">
        <f t="shared" si="18"/>
        <v>1102419.8078687643</v>
      </c>
      <c r="T198" s="47">
        <f t="shared" si="19"/>
        <v>2815553.794171351</v>
      </c>
      <c r="U198" s="47"/>
      <c r="V198" s="47"/>
      <c r="W198" s="50"/>
    </row>
    <row r="199" spans="1:187" ht="15.75">
      <c r="A199" s="11"/>
      <c r="B199" s="53" t="s">
        <v>24</v>
      </c>
      <c r="C199" s="53" t="s">
        <v>240</v>
      </c>
      <c r="D199" s="80" t="s">
        <v>237</v>
      </c>
      <c r="E199" s="61">
        <v>17.07</v>
      </c>
      <c r="F199" s="61">
        <v>11.38</v>
      </c>
      <c r="G199" s="61">
        <v>2.84</v>
      </c>
      <c r="H199" s="61">
        <v>17.059999999999999</v>
      </c>
      <c r="I199" s="45">
        <f t="shared" si="14"/>
        <v>48.35</v>
      </c>
      <c r="J199" s="48">
        <v>45.4</v>
      </c>
      <c r="K199" s="46">
        <v>6946.45</v>
      </c>
      <c r="L199" s="46">
        <v>7224.308</v>
      </c>
      <c r="M199" s="46">
        <v>1691.2249120000001</v>
      </c>
      <c r="N199" s="46">
        <v>1725.0494102400003</v>
      </c>
      <c r="O199" s="46">
        <f t="shared" si="20"/>
        <v>5255.2250879999992</v>
      </c>
      <c r="P199" s="47">
        <f t="shared" si="15"/>
        <v>89706.692252159992</v>
      </c>
      <c r="Q199" s="47">
        <f t="shared" si="16"/>
        <v>59804.461501439997</v>
      </c>
      <c r="R199" s="47">
        <f t="shared" si="17"/>
        <v>15617.894394918399</v>
      </c>
      <c r="S199" s="47">
        <f t="shared" si="18"/>
        <v>93817.351541305601</v>
      </c>
      <c r="T199" s="47">
        <f t="shared" si="19"/>
        <v>258946.399689824</v>
      </c>
      <c r="U199" s="47"/>
      <c r="V199" s="47"/>
      <c r="W199" s="50"/>
    </row>
    <row r="200" spans="1:187" ht="15.75">
      <c r="A200" s="11"/>
      <c r="B200" s="53" t="s">
        <v>279</v>
      </c>
      <c r="C200" s="53" t="s">
        <v>241</v>
      </c>
      <c r="D200" s="80" t="s">
        <v>238</v>
      </c>
      <c r="E200" s="61">
        <v>529.71299999999997</v>
      </c>
      <c r="F200" s="61">
        <f>786.026-E200</f>
        <v>256.31299999999999</v>
      </c>
      <c r="G200" s="61">
        <v>86.331999999999994</v>
      </c>
      <c r="H200" s="61">
        <f>616.045-G200</f>
        <v>529.71299999999997</v>
      </c>
      <c r="I200" s="45">
        <f t="shared" si="14"/>
        <v>1402.0709999999999</v>
      </c>
      <c r="J200" s="46">
        <v>1490.7</v>
      </c>
      <c r="K200" s="66">
        <v>5422.03</v>
      </c>
      <c r="L200" s="66">
        <v>5638.9111999999996</v>
      </c>
      <c r="M200" s="66">
        <v>1659.315008</v>
      </c>
      <c r="N200" s="66">
        <v>1725.68760832</v>
      </c>
      <c r="O200" s="46">
        <f t="shared" si="20"/>
        <v>3762.7149919999997</v>
      </c>
      <c r="P200" s="47">
        <f t="shared" si="15"/>
        <v>1993159.0465572956</v>
      </c>
      <c r="Q200" s="47">
        <f t="shared" si="16"/>
        <v>964432.76774449588</v>
      </c>
      <c r="R200" s="47">
        <f t="shared" si="17"/>
        <v>337836.41911691771</v>
      </c>
      <c r="S200" s="47">
        <f t="shared" si="18"/>
        <v>2072885.4084195874</v>
      </c>
      <c r="T200" s="47">
        <f t="shared" si="19"/>
        <v>5368313.6418382963</v>
      </c>
      <c r="U200" s="47"/>
      <c r="V200" s="47"/>
      <c r="W200" s="50"/>
    </row>
    <row r="201" spans="1:187" s="15" customFormat="1" ht="15.75">
      <c r="A201" s="16"/>
      <c r="B201" s="53" t="s">
        <v>21</v>
      </c>
      <c r="C201" s="53" t="s">
        <v>116</v>
      </c>
      <c r="D201" s="80" t="s">
        <v>237</v>
      </c>
      <c r="E201" s="61">
        <v>2700.0140000000001</v>
      </c>
      <c r="F201" s="61">
        <f>4341.82-E201</f>
        <v>1641.8059999999996</v>
      </c>
      <c r="G201" s="61">
        <v>656.99900000000002</v>
      </c>
      <c r="H201" s="61">
        <f>3027.224-G201</f>
        <v>2370.2250000000004</v>
      </c>
      <c r="I201" s="45">
        <f t="shared" si="14"/>
        <v>7369.0439999999999</v>
      </c>
      <c r="J201" s="46">
        <v>6801.8810000000003</v>
      </c>
      <c r="K201" s="76">
        <v>2801.7329999999997</v>
      </c>
      <c r="L201" s="76">
        <v>2913.8023199999998</v>
      </c>
      <c r="M201" s="76">
        <v>1382.7516906666667</v>
      </c>
      <c r="N201" s="81">
        <v>1438.0617582933335</v>
      </c>
      <c r="O201" s="46">
        <f t="shared" si="20"/>
        <v>1418.981309333333</v>
      </c>
      <c r="P201" s="47">
        <f t="shared" si="15"/>
        <v>3831269.4009383298</v>
      </c>
      <c r="Q201" s="47">
        <f t="shared" si="16"/>
        <v>2329692.0275513213</v>
      </c>
      <c r="R201" s="47">
        <f t="shared" si="17"/>
        <v>969560.0733007181</v>
      </c>
      <c r="S201" s="47">
        <f t="shared" si="18"/>
        <v>3497837.1728711836</v>
      </c>
      <c r="T201" s="47">
        <f t="shared" si="19"/>
        <v>10628358.674661554</v>
      </c>
      <c r="U201" s="82"/>
      <c r="V201" s="82"/>
      <c r="W201" s="83"/>
    </row>
    <row r="202" spans="1:187" ht="15.75">
      <c r="A202" s="11"/>
      <c r="B202" s="112" t="s">
        <v>242</v>
      </c>
      <c r="C202" s="112"/>
      <c r="D202" s="38"/>
      <c r="E202" s="59"/>
      <c r="F202" s="59"/>
      <c r="G202" s="60"/>
      <c r="H202" s="60"/>
      <c r="I202" s="45">
        <f t="shared" ref="I202:I228" si="21">SUM(E202:H202)</f>
        <v>0</v>
      </c>
      <c r="J202" s="46"/>
      <c r="K202" s="61"/>
      <c r="L202" s="61"/>
      <c r="M202" s="61"/>
      <c r="N202" s="76"/>
      <c r="O202" s="46">
        <f t="shared" si="20"/>
        <v>0</v>
      </c>
      <c r="P202" s="47">
        <f t="shared" ref="P202:P228" si="22">(K202-M202)*E202</f>
        <v>0</v>
      </c>
      <c r="Q202" s="47">
        <f t="shared" ref="Q202:Q228" si="23">(K202-M202)*F202</f>
        <v>0</v>
      </c>
      <c r="R202" s="47">
        <f t="shared" ref="R202:R228" si="24">(L202-N202)*G202</f>
        <v>0</v>
      </c>
      <c r="S202" s="47">
        <f t="shared" ref="S202:S228" si="25">(H202*(L202-N202))</f>
        <v>0</v>
      </c>
      <c r="T202" s="47">
        <f t="shared" ref="T202:T228" si="26">SUM(P202:S202)</f>
        <v>0</v>
      </c>
      <c r="U202" s="47"/>
      <c r="V202" s="47"/>
      <c r="W202" s="50"/>
    </row>
    <row r="203" spans="1:187" ht="15.75">
      <c r="A203" s="11"/>
      <c r="B203" s="53" t="s">
        <v>29</v>
      </c>
      <c r="C203" s="53" t="s">
        <v>243</v>
      </c>
      <c r="D203" s="80" t="s">
        <v>244</v>
      </c>
      <c r="E203" s="61">
        <v>360.822</v>
      </c>
      <c r="F203" s="61">
        <f>534.632-E203</f>
        <v>173.80999999999995</v>
      </c>
      <c r="G203" s="61">
        <v>59.058</v>
      </c>
      <c r="H203" s="61">
        <f>364.227-G203</f>
        <v>305.16899999999998</v>
      </c>
      <c r="I203" s="45">
        <f t="shared" si="21"/>
        <v>898.85899999999992</v>
      </c>
      <c r="J203" s="46">
        <v>1088.26</v>
      </c>
      <c r="K203" s="46">
        <v>3214.69</v>
      </c>
      <c r="L203" s="46">
        <v>3343.2776000000003</v>
      </c>
      <c r="M203" s="46">
        <v>1588.383394</v>
      </c>
      <c r="N203" s="46">
        <v>1636.03489582</v>
      </c>
      <c r="O203" s="46">
        <f t="shared" ref="O203:O228" si="27">K203-M203</f>
        <v>1626.3066060000001</v>
      </c>
      <c r="P203" s="47">
        <f t="shared" si="22"/>
        <v>586807.202190132</v>
      </c>
      <c r="Q203" s="47">
        <f t="shared" si="23"/>
        <v>282668.3511888599</v>
      </c>
      <c r="R203" s="47">
        <f t="shared" si="24"/>
        <v>100826.33962346247</v>
      </c>
      <c r="S203" s="47">
        <f t="shared" si="25"/>
        <v>520997.54879190651</v>
      </c>
      <c r="T203" s="47">
        <f t="shared" si="26"/>
        <v>1491299.441794361</v>
      </c>
      <c r="U203" s="47"/>
      <c r="V203" s="47"/>
      <c r="W203" s="50"/>
    </row>
    <row r="204" spans="1:187" ht="15.75">
      <c r="A204" s="11"/>
      <c r="B204" s="53" t="s">
        <v>29</v>
      </c>
      <c r="C204" s="53" t="s">
        <v>243</v>
      </c>
      <c r="D204" s="80" t="s">
        <v>245</v>
      </c>
      <c r="E204" s="61">
        <v>1431.4590000000001</v>
      </c>
      <c r="F204" s="61">
        <f>2142.433-E204</f>
        <v>710.97399999999993</v>
      </c>
      <c r="G204" s="61">
        <v>224.423</v>
      </c>
      <c r="H204" s="61">
        <f>1717.06-G204</f>
        <v>1492.6369999999999</v>
      </c>
      <c r="I204" s="45">
        <f t="shared" si="21"/>
        <v>3859.4929999999995</v>
      </c>
      <c r="J204" s="46">
        <v>3970.86</v>
      </c>
      <c r="K204" s="46">
        <v>3214.69</v>
      </c>
      <c r="L204" s="46">
        <v>3343.2776000000003</v>
      </c>
      <c r="M204" s="46">
        <v>1574.9988800000001</v>
      </c>
      <c r="N204" s="46">
        <v>1606.4988576000001</v>
      </c>
      <c r="O204" s="46">
        <f t="shared" si="27"/>
        <v>1639.69112</v>
      </c>
      <c r="P204" s="47">
        <f t="shared" si="22"/>
        <v>2347150.6109440802</v>
      </c>
      <c r="Q204" s="47">
        <f t="shared" si="23"/>
        <v>1165777.7543508799</v>
      </c>
      <c r="R204" s="47">
        <f t="shared" si="24"/>
        <v>389773.09570563526</v>
      </c>
      <c r="S204" s="47">
        <f t="shared" si="25"/>
        <v>2592380.211719709</v>
      </c>
      <c r="T204" s="47">
        <f t="shared" si="26"/>
        <v>6495081.6727203047</v>
      </c>
      <c r="U204" s="47"/>
      <c r="V204" s="47"/>
      <c r="W204" s="50"/>
    </row>
    <row r="205" spans="1:187" ht="15.75">
      <c r="A205" s="11"/>
      <c r="B205" s="53" t="s">
        <v>47</v>
      </c>
      <c r="C205" s="53" t="s">
        <v>246</v>
      </c>
      <c r="D205" s="80" t="s">
        <v>247</v>
      </c>
      <c r="E205" s="61">
        <v>81.010000000000005</v>
      </c>
      <c r="F205" s="61">
        <f>120.36-E205</f>
        <v>39.349999999999994</v>
      </c>
      <c r="G205" s="61">
        <v>12.61</v>
      </c>
      <c r="H205" s="61">
        <f>94.64-G205</f>
        <v>82.03</v>
      </c>
      <c r="I205" s="45">
        <f t="shared" si="21"/>
        <v>215</v>
      </c>
      <c r="J205" s="46">
        <v>244.2</v>
      </c>
      <c r="K205" s="46">
        <v>1879.09</v>
      </c>
      <c r="L205" s="46">
        <v>1954.2536</v>
      </c>
      <c r="M205" s="46">
        <v>1632.4</v>
      </c>
      <c r="N205" s="46">
        <v>1714.0200000000002</v>
      </c>
      <c r="O205" s="46">
        <f t="shared" si="27"/>
        <v>246.68999999999983</v>
      </c>
      <c r="P205" s="47">
        <f t="shared" si="22"/>
        <v>19984.356899999988</v>
      </c>
      <c r="Q205" s="47">
        <f t="shared" si="23"/>
        <v>9707.2514999999912</v>
      </c>
      <c r="R205" s="47">
        <f t="shared" si="24"/>
        <v>3029.3456959999971</v>
      </c>
      <c r="S205" s="47">
        <f t="shared" si="25"/>
        <v>19706.362207999984</v>
      </c>
      <c r="T205" s="47">
        <f t="shared" si="26"/>
        <v>52427.316303999964</v>
      </c>
      <c r="U205" s="47"/>
      <c r="V205" s="47"/>
      <c r="W205" s="50"/>
    </row>
    <row r="206" spans="1:187" ht="15.75">
      <c r="A206" s="11"/>
      <c r="B206" s="53" t="s">
        <v>274</v>
      </c>
      <c r="C206" s="53" t="s">
        <v>248</v>
      </c>
      <c r="D206" s="80" t="s">
        <v>249</v>
      </c>
      <c r="E206" s="61">
        <v>68.388000000000005</v>
      </c>
      <c r="F206" s="61">
        <f>101.479-E206</f>
        <v>33.090999999999994</v>
      </c>
      <c r="G206" s="61">
        <v>10.638</v>
      </c>
      <c r="H206" s="61">
        <f>79.026-G206</f>
        <v>68.387999999999991</v>
      </c>
      <c r="I206" s="45">
        <f t="shared" si="21"/>
        <v>180.505</v>
      </c>
      <c r="J206" s="46">
        <v>173.33600000000001</v>
      </c>
      <c r="K206" s="46">
        <v>3901.12</v>
      </c>
      <c r="L206" s="46">
        <v>4057.1648</v>
      </c>
      <c r="M206" s="46">
        <v>1424.6645920000001</v>
      </c>
      <c r="N206" s="46">
        <v>1495.8978216</v>
      </c>
      <c r="O206" s="46">
        <f t="shared" si="27"/>
        <v>2476.4554079999998</v>
      </c>
      <c r="P206" s="47">
        <f t="shared" si="22"/>
        <v>169359.832442304</v>
      </c>
      <c r="Q206" s="47">
        <f t="shared" si="23"/>
        <v>81948.38590612798</v>
      </c>
      <c r="R206" s="47">
        <f t="shared" si="24"/>
        <v>27246.7581162192</v>
      </c>
      <c r="S206" s="47">
        <f t="shared" si="25"/>
        <v>175159.92611881919</v>
      </c>
      <c r="T206" s="47">
        <f t="shared" si="26"/>
        <v>453714.90258347034</v>
      </c>
      <c r="U206" s="47"/>
      <c r="V206" s="47"/>
      <c r="W206" s="50"/>
    </row>
    <row r="207" spans="1:187" ht="15.75">
      <c r="A207" s="11"/>
      <c r="B207" s="53" t="s">
        <v>278</v>
      </c>
      <c r="C207" s="53" t="s">
        <v>243</v>
      </c>
      <c r="D207" s="80" t="s">
        <v>250</v>
      </c>
      <c r="E207" s="61">
        <v>108.432</v>
      </c>
      <c r="F207" s="61">
        <f>162.249-E207</f>
        <v>53.816999999999993</v>
      </c>
      <c r="G207" s="61">
        <v>12.077</v>
      </c>
      <c r="H207" s="61">
        <f>121.608-G207</f>
        <v>109.53100000000001</v>
      </c>
      <c r="I207" s="45">
        <f t="shared" si="21"/>
        <v>283.85699999999997</v>
      </c>
      <c r="J207" s="46">
        <v>385.81000000000006</v>
      </c>
      <c r="K207" s="46">
        <v>3214.69</v>
      </c>
      <c r="L207" s="46">
        <v>3343.2776000000003</v>
      </c>
      <c r="M207" s="46">
        <v>1762.24152</v>
      </c>
      <c r="N207" s="46">
        <v>1850.3535960000002</v>
      </c>
      <c r="O207" s="46">
        <f t="shared" si="27"/>
        <v>1452.44848</v>
      </c>
      <c r="P207" s="47">
        <f t="shared" si="22"/>
        <v>157491.89358336001</v>
      </c>
      <c r="Q207" s="47">
        <f t="shared" si="23"/>
        <v>78166.419848159989</v>
      </c>
      <c r="R207" s="47">
        <f t="shared" si="24"/>
        <v>18030.043196308001</v>
      </c>
      <c r="S207" s="47">
        <f t="shared" si="25"/>
        <v>163521.45908212403</v>
      </c>
      <c r="T207" s="47">
        <f t="shared" si="26"/>
        <v>417209.81570995203</v>
      </c>
      <c r="U207" s="47"/>
      <c r="V207" s="47"/>
      <c r="W207" s="50"/>
    </row>
    <row r="208" spans="1:187" ht="15.75">
      <c r="A208" s="11"/>
      <c r="B208" s="53" t="s">
        <v>277</v>
      </c>
      <c r="C208" s="53" t="s">
        <v>243</v>
      </c>
      <c r="D208" s="80" t="s">
        <v>251</v>
      </c>
      <c r="E208" s="61">
        <v>146.178</v>
      </c>
      <c r="F208" s="61">
        <f>187.974-E208</f>
        <v>41.795999999999992</v>
      </c>
      <c r="G208" s="61">
        <v>29.762</v>
      </c>
      <c r="H208" s="61">
        <f>221.093-G208</f>
        <v>191.33099999999999</v>
      </c>
      <c r="I208" s="45">
        <f t="shared" si="21"/>
        <v>409.06700000000001</v>
      </c>
      <c r="J208" s="46">
        <v>618.91000000000008</v>
      </c>
      <c r="K208" s="46">
        <v>3214.69</v>
      </c>
      <c r="L208" s="46">
        <v>3343.2776000000003</v>
      </c>
      <c r="M208" s="46">
        <v>1265.1286560000001</v>
      </c>
      <c r="N208" s="46">
        <v>1328.3850888000002</v>
      </c>
      <c r="O208" s="46">
        <f t="shared" si="27"/>
        <v>1949.561344</v>
      </c>
      <c r="P208" s="47">
        <f t="shared" si="22"/>
        <v>284982.978143232</v>
      </c>
      <c r="Q208" s="47">
        <f t="shared" si="23"/>
        <v>81483.865933823981</v>
      </c>
      <c r="R208" s="47">
        <f t="shared" si="24"/>
        <v>59967.230918334404</v>
      </c>
      <c r="S208" s="47">
        <f t="shared" si="25"/>
        <v>385511.39906040719</v>
      </c>
      <c r="T208" s="47">
        <f t="shared" si="26"/>
        <v>811945.47405579756</v>
      </c>
      <c r="U208" s="47"/>
      <c r="V208" s="47"/>
      <c r="W208" s="50"/>
    </row>
    <row r="209" spans="1:23" ht="15.75">
      <c r="A209" s="11"/>
      <c r="B209" s="53" t="s">
        <v>274</v>
      </c>
      <c r="C209" s="53" t="s">
        <v>248</v>
      </c>
      <c r="D209" s="80" t="s">
        <v>252</v>
      </c>
      <c r="E209" s="61">
        <v>280.971</v>
      </c>
      <c r="F209" s="61">
        <f>416.925-E209</f>
        <v>135.95400000000001</v>
      </c>
      <c r="G209" s="61">
        <v>43.707000000000001</v>
      </c>
      <c r="H209" s="61">
        <f>324.678-G209</f>
        <v>280.971</v>
      </c>
      <c r="I209" s="45">
        <f t="shared" si="21"/>
        <v>741.60300000000007</v>
      </c>
      <c r="J209" s="46">
        <v>614.44000000000005</v>
      </c>
      <c r="K209" s="46">
        <v>3201.14</v>
      </c>
      <c r="L209" s="46">
        <v>3329.1855999999998</v>
      </c>
      <c r="M209" s="46">
        <v>1677.8528000000001</v>
      </c>
      <c r="N209" s="46">
        <v>1694.6313280000002</v>
      </c>
      <c r="O209" s="46">
        <f t="shared" si="27"/>
        <v>1523.2871999999998</v>
      </c>
      <c r="P209" s="47">
        <f t="shared" si="22"/>
        <v>427999.52787119994</v>
      </c>
      <c r="Q209" s="47">
        <f t="shared" si="23"/>
        <v>207096.98798879999</v>
      </c>
      <c r="R209" s="47">
        <f t="shared" si="24"/>
        <v>71441.463566303981</v>
      </c>
      <c r="S209" s="47">
        <f t="shared" si="25"/>
        <v>459262.34835811192</v>
      </c>
      <c r="T209" s="47">
        <f t="shared" si="26"/>
        <v>1165800.3277844158</v>
      </c>
      <c r="U209" s="47"/>
      <c r="V209" s="47"/>
      <c r="W209" s="50"/>
    </row>
    <row r="210" spans="1:23" ht="15.75">
      <c r="A210" s="11"/>
      <c r="B210" s="53" t="s">
        <v>276</v>
      </c>
      <c r="C210" s="53" t="s">
        <v>253</v>
      </c>
      <c r="D210" s="80" t="s">
        <v>254</v>
      </c>
      <c r="E210" s="61">
        <v>458.59</v>
      </c>
      <c r="F210" s="61">
        <f>671.624-E210</f>
        <v>213.03400000000005</v>
      </c>
      <c r="G210" s="61">
        <v>67.546000000000006</v>
      </c>
      <c r="H210" s="61">
        <f>514.983-G210</f>
        <v>447.43699999999995</v>
      </c>
      <c r="I210" s="45">
        <f t="shared" si="21"/>
        <v>1186.607</v>
      </c>
      <c r="J210" s="46">
        <v>1113</v>
      </c>
      <c r="K210" s="46">
        <v>2259.4</v>
      </c>
      <c r="L210" s="46">
        <v>2349.7760000000003</v>
      </c>
      <c r="M210" s="46">
        <v>1205.8933120000002</v>
      </c>
      <c r="N210" s="46">
        <v>1266.1879776000003</v>
      </c>
      <c r="O210" s="46">
        <f t="shared" si="27"/>
        <v>1053.5066879999999</v>
      </c>
      <c r="P210" s="47">
        <f t="shared" si="22"/>
        <v>483127.63204991992</v>
      </c>
      <c r="Q210" s="47">
        <f t="shared" si="23"/>
        <v>224432.74377139204</v>
      </c>
      <c r="R210" s="47">
        <f t="shared" si="24"/>
        <v>73192.0365610304</v>
      </c>
      <c r="S210" s="47">
        <f t="shared" si="25"/>
        <v>484837.37397858873</v>
      </c>
      <c r="T210" s="47">
        <f t="shared" si="26"/>
        <v>1265589.7863609311</v>
      </c>
      <c r="U210" s="47"/>
      <c r="V210" s="47"/>
      <c r="W210" s="50"/>
    </row>
    <row r="211" spans="1:23" ht="15.75">
      <c r="A211" s="11"/>
      <c r="B211" s="53">
        <v>2907014810</v>
      </c>
      <c r="C211" s="53" t="s">
        <v>243</v>
      </c>
      <c r="D211" s="80" t="s">
        <v>255</v>
      </c>
      <c r="E211" s="61">
        <v>832.79200000000003</v>
      </c>
      <c r="F211" s="61">
        <f>1237.703-E211</f>
        <v>404.91099999999994</v>
      </c>
      <c r="G211" s="61">
        <v>128.26499999999999</v>
      </c>
      <c r="H211" s="61">
        <f>957.355-G211</f>
        <v>829.09</v>
      </c>
      <c r="I211" s="45">
        <f t="shared" si="21"/>
        <v>2195.058</v>
      </c>
      <c r="J211" s="46">
        <v>2207.5300000000002</v>
      </c>
      <c r="K211" s="46">
        <v>3214.69</v>
      </c>
      <c r="L211" s="46">
        <v>3343.2776000000003</v>
      </c>
      <c r="M211" s="46">
        <v>1743.7</v>
      </c>
      <c r="N211" s="46">
        <v>1830.8850000000002</v>
      </c>
      <c r="O211" s="46">
        <f t="shared" si="27"/>
        <v>1470.99</v>
      </c>
      <c r="P211" s="47">
        <f t="shared" si="22"/>
        <v>1225028.7040800001</v>
      </c>
      <c r="Q211" s="47">
        <f t="shared" si="23"/>
        <v>595620.03188999987</v>
      </c>
      <c r="R211" s="47">
        <f t="shared" si="24"/>
        <v>193987.03683900001</v>
      </c>
      <c r="S211" s="47">
        <f t="shared" si="25"/>
        <v>1253909.5807340001</v>
      </c>
      <c r="T211" s="47">
        <f t="shared" si="26"/>
        <v>3268545.3535429998</v>
      </c>
      <c r="U211" s="47"/>
      <c r="V211" s="47"/>
      <c r="W211" s="50"/>
    </row>
    <row r="212" spans="1:23" ht="15.75">
      <c r="A212" s="11"/>
      <c r="B212" s="53" t="s">
        <v>46</v>
      </c>
      <c r="C212" s="53" t="s">
        <v>256</v>
      </c>
      <c r="D212" s="80" t="s">
        <v>257</v>
      </c>
      <c r="E212" s="61">
        <v>250.64099999999999</v>
      </c>
      <c r="F212" s="61">
        <f>374.614-E212</f>
        <v>123.97299999999998</v>
      </c>
      <c r="G212" s="61">
        <v>50.128</v>
      </c>
      <c r="H212" s="61">
        <f>296.551-G212</f>
        <v>246.423</v>
      </c>
      <c r="I212" s="45">
        <f t="shared" si="21"/>
        <v>671.16499999999996</v>
      </c>
      <c r="J212" s="46">
        <v>668.39999999999986</v>
      </c>
      <c r="K212" s="46">
        <v>1614.4661666666666</v>
      </c>
      <c r="L212" s="46">
        <v>1679.0448133333334</v>
      </c>
      <c r="M212" s="46">
        <v>1225.4528000000003</v>
      </c>
      <c r="N212" s="46">
        <v>1286.7254400000004</v>
      </c>
      <c r="O212" s="46">
        <f t="shared" si="27"/>
        <v>389.01336666666634</v>
      </c>
      <c r="P212" s="47">
        <f t="shared" si="22"/>
        <v>97502.699234699918</v>
      </c>
      <c r="Q212" s="47">
        <f t="shared" si="23"/>
        <v>48227.154105766618</v>
      </c>
      <c r="R212" s="47">
        <f t="shared" si="24"/>
        <v>19666.185546453318</v>
      </c>
      <c r="S212" s="47">
        <f t="shared" si="25"/>
        <v>96676.516934919928</v>
      </c>
      <c r="T212" s="47">
        <f t="shared" si="26"/>
        <v>262072.55582183978</v>
      </c>
      <c r="U212" s="47"/>
      <c r="V212" s="47"/>
      <c r="W212" s="50"/>
    </row>
    <row r="213" spans="1:23" ht="15.75">
      <c r="A213" s="11"/>
      <c r="B213" s="53" t="s">
        <v>275</v>
      </c>
      <c r="C213" s="53" t="s">
        <v>243</v>
      </c>
      <c r="D213" s="80" t="s">
        <v>258</v>
      </c>
      <c r="E213" s="61">
        <v>566.34</v>
      </c>
      <c r="F213" s="61">
        <f>834.597-E213</f>
        <v>268.25699999999995</v>
      </c>
      <c r="G213" s="61">
        <v>88.16</v>
      </c>
      <c r="H213" s="61">
        <f>654.499-G213</f>
        <v>566.33900000000006</v>
      </c>
      <c r="I213" s="45">
        <f t="shared" si="21"/>
        <v>1489.096</v>
      </c>
      <c r="J213" s="46">
        <v>1370.5500000000002</v>
      </c>
      <c r="K213" s="46">
        <v>3214.69</v>
      </c>
      <c r="L213" s="46">
        <v>3343.2776000000003</v>
      </c>
      <c r="M213" s="46">
        <v>1624.2210400000001</v>
      </c>
      <c r="N213" s="46">
        <v>1705.4320920000002</v>
      </c>
      <c r="O213" s="46">
        <f t="shared" si="27"/>
        <v>1590.4689599999999</v>
      </c>
      <c r="P213" s="47">
        <f t="shared" si="22"/>
        <v>900746.19080640003</v>
      </c>
      <c r="Q213" s="47">
        <f t="shared" si="23"/>
        <v>426654.43180271989</v>
      </c>
      <c r="R213" s="47">
        <f t="shared" si="24"/>
        <v>144392.45998528</v>
      </c>
      <c r="S213" s="47">
        <f t="shared" si="25"/>
        <v>927575.78715521214</v>
      </c>
      <c r="T213" s="47">
        <f t="shared" si="26"/>
        <v>2399368.8697496122</v>
      </c>
      <c r="U213" s="47"/>
      <c r="V213" s="47"/>
      <c r="W213" s="50"/>
    </row>
    <row r="214" spans="1:23" ht="15.75">
      <c r="A214" s="11"/>
      <c r="B214" s="53" t="s">
        <v>10</v>
      </c>
      <c r="C214" s="53" t="s">
        <v>259</v>
      </c>
      <c r="D214" s="80" t="s">
        <v>260</v>
      </c>
      <c r="E214" s="61">
        <v>131.79</v>
      </c>
      <c r="F214" s="61">
        <f>194.86-E214</f>
        <v>63.070000000000022</v>
      </c>
      <c r="G214" s="61">
        <v>23.43</v>
      </c>
      <c r="H214" s="61">
        <f>155.22-G214</f>
        <v>131.79</v>
      </c>
      <c r="I214" s="45">
        <f t="shared" si="21"/>
        <v>350.08000000000004</v>
      </c>
      <c r="J214" s="46">
        <v>344.5</v>
      </c>
      <c r="K214" s="46">
        <v>2387.4299999999998</v>
      </c>
      <c r="L214" s="46">
        <v>2482.9272000000001</v>
      </c>
      <c r="M214" s="46">
        <v>1893.9232000000002</v>
      </c>
      <c r="N214" s="46">
        <v>1988.6193600000004</v>
      </c>
      <c r="O214" s="46">
        <f t="shared" si="27"/>
        <v>493.50679999999966</v>
      </c>
      <c r="P214" s="47">
        <f t="shared" si="22"/>
        <v>65039.261171999948</v>
      </c>
      <c r="Q214" s="47">
        <f t="shared" si="23"/>
        <v>31125.473875999989</v>
      </c>
      <c r="R214" s="47">
        <f t="shared" si="24"/>
        <v>11581.632691199993</v>
      </c>
      <c r="S214" s="47">
        <f t="shared" si="25"/>
        <v>65144.830233599962</v>
      </c>
      <c r="T214" s="47">
        <f t="shared" si="26"/>
        <v>172891.19797279988</v>
      </c>
      <c r="U214" s="47"/>
      <c r="V214" s="47"/>
      <c r="W214" s="50"/>
    </row>
    <row r="215" spans="1:23" ht="15.75">
      <c r="A215" s="11"/>
      <c r="B215" s="53" t="s">
        <v>274</v>
      </c>
      <c r="C215" s="53" t="s">
        <v>248</v>
      </c>
      <c r="D215" s="80" t="s">
        <v>261</v>
      </c>
      <c r="E215" s="61">
        <v>661.90300000000002</v>
      </c>
      <c r="F215" s="61">
        <f>984.395-E215</f>
        <v>322.49199999999996</v>
      </c>
      <c r="G215" s="61">
        <v>101.879</v>
      </c>
      <c r="H215" s="61">
        <f>762.779-G215</f>
        <v>660.9</v>
      </c>
      <c r="I215" s="45">
        <f t="shared" si="21"/>
        <v>1747.174</v>
      </c>
      <c r="J215" s="46">
        <v>1892.4</v>
      </c>
      <c r="K215" s="46">
        <v>2099.89</v>
      </c>
      <c r="L215" s="46">
        <v>2183.8856000000001</v>
      </c>
      <c r="M215" s="46">
        <v>1497.0592000000001</v>
      </c>
      <c r="N215" s="46">
        <v>1571.9121600000003</v>
      </c>
      <c r="O215" s="46">
        <f t="shared" si="27"/>
        <v>602.83079999999973</v>
      </c>
      <c r="P215" s="47">
        <f t="shared" si="22"/>
        <v>399015.51501239982</v>
      </c>
      <c r="Q215" s="47">
        <f t="shared" si="23"/>
        <v>194408.11035359988</v>
      </c>
      <c r="R215" s="47">
        <f t="shared" si="24"/>
        <v>62347.242093759975</v>
      </c>
      <c r="S215" s="47">
        <f t="shared" si="25"/>
        <v>404453.2464959998</v>
      </c>
      <c r="T215" s="47">
        <f t="shared" si="26"/>
        <v>1060224.1139557594</v>
      </c>
      <c r="U215" s="47"/>
      <c r="V215" s="47"/>
      <c r="W215" s="50"/>
    </row>
    <row r="216" spans="1:23" ht="15.75">
      <c r="A216" s="11"/>
      <c r="B216" s="53" t="s">
        <v>2</v>
      </c>
      <c r="C216" s="53" t="s">
        <v>70</v>
      </c>
      <c r="D216" s="80" t="s">
        <v>262</v>
      </c>
      <c r="E216" s="61">
        <f>2409.134-386.194</f>
        <v>2022.94</v>
      </c>
      <c r="F216" s="61">
        <f>3429.789-E216</f>
        <v>1406.8490000000002</v>
      </c>
      <c r="G216" s="61">
        <v>351.32299999999998</v>
      </c>
      <c r="H216" s="61">
        <v>1756.614</v>
      </c>
      <c r="I216" s="45">
        <f t="shared" si="21"/>
        <v>5537.7260000000006</v>
      </c>
      <c r="J216" s="46">
        <v>5018.8999999999996</v>
      </c>
      <c r="K216" s="46">
        <v>3345.1131666666665</v>
      </c>
      <c r="L216" s="46">
        <v>3478.9176933333333</v>
      </c>
      <c r="M216" s="46">
        <v>1377.9206133333337</v>
      </c>
      <c r="N216" s="46">
        <v>1405.4790256000003</v>
      </c>
      <c r="O216" s="46">
        <f t="shared" si="27"/>
        <v>1967.1925533333329</v>
      </c>
      <c r="P216" s="47">
        <f t="shared" si="22"/>
        <v>3979512.5038401326</v>
      </c>
      <c r="Q216" s="47">
        <f t="shared" si="23"/>
        <v>2767542.8764644461</v>
      </c>
      <c r="R216" s="47">
        <f t="shared" si="24"/>
        <v>728446.69306407776</v>
      </c>
      <c r="S216" s="47">
        <f t="shared" si="25"/>
        <v>3642231.3918817216</v>
      </c>
      <c r="T216" s="47">
        <f t="shared" si="26"/>
        <v>11117733.465250378</v>
      </c>
      <c r="U216" s="47"/>
      <c r="V216" s="47"/>
      <c r="W216" s="50"/>
    </row>
    <row r="217" spans="1:23" ht="15.75">
      <c r="A217" s="11"/>
      <c r="B217" s="84" t="s">
        <v>382</v>
      </c>
      <c r="C217" s="53" t="s">
        <v>424</v>
      </c>
      <c r="D217" s="80" t="s">
        <v>263</v>
      </c>
      <c r="E217" s="61">
        <v>6289.7309999999998</v>
      </c>
      <c r="F217" s="61">
        <f>8710.952-E217</f>
        <v>2421.2209999999995</v>
      </c>
      <c r="G217" s="61">
        <v>767.44299999999998</v>
      </c>
      <c r="H217" s="61">
        <f>5415.633-G217</f>
        <v>4648.1899999999996</v>
      </c>
      <c r="I217" s="45">
        <f t="shared" si="21"/>
        <v>14126.584999999999</v>
      </c>
      <c r="J217" s="46">
        <v>13098</v>
      </c>
      <c r="K217" s="46">
        <v>3557.99</v>
      </c>
      <c r="L217" s="46">
        <v>3700.3096</v>
      </c>
      <c r="M217" s="46">
        <v>2074.44</v>
      </c>
      <c r="N217" s="46">
        <v>2178.1620000000003</v>
      </c>
      <c r="O217" s="46">
        <f t="shared" si="27"/>
        <v>1483.5499999999997</v>
      </c>
      <c r="P217" s="47">
        <f t="shared" si="22"/>
        <v>9331130.4250499979</v>
      </c>
      <c r="Q217" s="47">
        <f t="shared" si="23"/>
        <v>3592002.4145499985</v>
      </c>
      <c r="R217" s="47">
        <f t="shared" si="24"/>
        <v>1168161.5205867998</v>
      </c>
      <c r="S217" s="47">
        <f t="shared" si="25"/>
        <v>7075231.2528439984</v>
      </c>
      <c r="T217" s="47">
        <f t="shared" si="26"/>
        <v>21166525.613030795</v>
      </c>
      <c r="U217" s="47"/>
      <c r="V217" s="47"/>
      <c r="W217" s="50"/>
    </row>
    <row r="218" spans="1:23" ht="15.75">
      <c r="A218" s="11"/>
      <c r="B218" s="53" t="s">
        <v>6</v>
      </c>
      <c r="C218" s="53" t="s">
        <v>264</v>
      </c>
      <c r="D218" s="80" t="s">
        <v>265</v>
      </c>
      <c r="E218" s="61">
        <v>155.4</v>
      </c>
      <c r="F218" s="61">
        <f>229.28-E218</f>
        <v>73.88</v>
      </c>
      <c r="G218" s="61">
        <v>30.17</v>
      </c>
      <c r="H218" s="61">
        <f>193.39-G218</f>
        <v>163.21999999999997</v>
      </c>
      <c r="I218" s="45">
        <f t="shared" si="21"/>
        <v>422.66999999999996</v>
      </c>
      <c r="J218" s="46">
        <v>368</v>
      </c>
      <c r="K218" s="46">
        <v>2388.35</v>
      </c>
      <c r="L218" s="46">
        <v>2483.884</v>
      </c>
      <c r="M218" s="46">
        <v>1624.5944</v>
      </c>
      <c r="N218" s="46">
        <v>1640.840344</v>
      </c>
      <c r="O218" s="46">
        <f t="shared" si="27"/>
        <v>763.75559999999996</v>
      </c>
      <c r="P218" s="47">
        <f t="shared" si="22"/>
        <v>118687.62024</v>
      </c>
      <c r="Q218" s="47">
        <f t="shared" si="23"/>
        <v>56426.263727999991</v>
      </c>
      <c r="R218" s="47">
        <f t="shared" si="24"/>
        <v>25434.627101520004</v>
      </c>
      <c r="S218" s="47">
        <f t="shared" si="25"/>
        <v>137601.58553231999</v>
      </c>
      <c r="T218" s="47">
        <f t="shared" si="26"/>
        <v>338150.09660183999</v>
      </c>
      <c r="U218" s="47"/>
      <c r="V218" s="47"/>
      <c r="W218" s="50"/>
    </row>
    <row r="219" spans="1:23" ht="15.75">
      <c r="A219" s="11"/>
      <c r="B219" s="53" t="s">
        <v>273</v>
      </c>
      <c r="C219" s="53" t="s">
        <v>70</v>
      </c>
      <c r="D219" s="80" t="s">
        <v>265</v>
      </c>
      <c r="E219" s="61">
        <v>26403.424999999999</v>
      </c>
      <c r="F219" s="61">
        <f>39576.728-E219</f>
        <v>13173.303000000004</v>
      </c>
      <c r="G219" s="61">
        <v>0</v>
      </c>
      <c r="H219" s="61">
        <v>25187.68</v>
      </c>
      <c r="I219" s="45">
        <f t="shared" si="21"/>
        <v>64764.408000000003</v>
      </c>
      <c r="J219" s="46">
        <v>61433.36</v>
      </c>
      <c r="K219" s="46">
        <v>2826.7686666666664</v>
      </c>
      <c r="L219" s="46">
        <v>2939.8394133333331</v>
      </c>
      <c r="M219" s="46">
        <v>1355.1415</v>
      </c>
      <c r="N219" s="46">
        <v>1382.24433</v>
      </c>
      <c r="O219" s="46">
        <f t="shared" si="27"/>
        <v>1471.6271666666664</v>
      </c>
      <c r="P219" s="47">
        <f t="shared" si="22"/>
        <v>38855997.523045823</v>
      </c>
      <c r="Q219" s="47">
        <f t="shared" si="23"/>
        <v>19386190.5695315</v>
      </c>
      <c r="R219" s="47">
        <f t="shared" si="24"/>
        <v>0</v>
      </c>
      <c r="S219" s="47">
        <f t="shared" si="25"/>
        <v>39232206.528573327</v>
      </c>
      <c r="T219" s="47">
        <f t="shared" si="26"/>
        <v>97474394.621150643</v>
      </c>
      <c r="U219" s="47"/>
      <c r="V219" s="47"/>
      <c r="W219" s="50"/>
    </row>
    <row r="220" spans="1:23" ht="15.75">
      <c r="A220" s="11"/>
      <c r="B220" s="53" t="s">
        <v>272</v>
      </c>
      <c r="C220" s="53" t="s">
        <v>243</v>
      </c>
      <c r="D220" s="80" t="s">
        <v>266</v>
      </c>
      <c r="E220" s="61">
        <v>232.53700000000001</v>
      </c>
      <c r="F220" s="61">
        <f>345.05-E220</f>
        <v>112.51300000000001</v>
      </c>
      <c r="G220" s="61">
        <v>36.436</v>
      </c>
      <c r="H220" s="61">
        <f>265.266-G220</f>
        <v>228.83</v>
      </c>
      <c r="I220" s="45">
        <f t="shared" si="21"/>
        <v>610.31600000000003</v>
      </c>
      <c r="J220" s="46">
        <v>461.43</v>
      </c>
      <c r="K220" s="46">
        <v>3214.69</v>
      </c>
      <c r="L220" s="46">
        <v>3343.2776000000003</v>
      </c>
      <c r="M220" s="46">
        <v>1624.07052</v>
      </c>
      <c r="N220" s="46">
        <v>1640.3112252000001</v>
      </c>
      <c r="O220" s="46">
        <f t="shared" si="27"/>
        <v>1590.6194800000001</v>
      </c>
      <c r="P220" s="47">
        <f t="shared" si="22"/>
        <v>369877.88202076004</v>
      </c>
      <c r="Q220" s="47">
        <f t="shared" si="23"/>
        <v>178965.36955324002</v>
      </c>
      <c r="R220" s="47">
        <f t="shared" si="24"/>
        <v>62049.282832212812</v>
      </c>
      <c r="S220" s="47">
        <f t="shared" si="25"/>
        <v>389689.79554548406</v>
      </c>
      <c r="T220" s="47">
        <f t="shared" si="26"/>
        <v>1000582.329951697</v>
      </c>
      <c r="U220" s="47"/>
      <c r="V220" s="47"/>
      <c r="W220" s="50"/>
    </row>
    <row r="221" spans="1:23" ht="15.75">
      <c r="A221" s="11"/>
      <c r="B221" s="53" t="s">
        <v>272</v>
      </c>
      <c r="C221" s="53" t="s">
        <v>243</v>
      </c>
      <c r="D221" s="80" t="s">
        <v>267</v>
      </c>
      <c r="E221" s="61">
        <v>173.64400000000001</v>
      </c>
      <c r="F221" s="61">
        <f>254.332-E221</f>
        <v>80.687999999999988</v>
      </c>
      <c r="G221" s="61">
        <v>27.074000000000002</v>
      </c>
      <c r="H221" s="61">
        <f>195.817-G221</f>
        <v>168.74299999999999</v>
      </c>
      <c r="I221" s="45">
        <f t="shared" si="21"/>
        <v>450.149</v>
      </c>
      <c r="J221" s="46">
        <v>377.62</v>
      </c>
      <c r="K221" s="46">
        <v>3214.69</v>
      </c>
      <c r="L221" s="46">
        <v>3343.2776000000003</v>
      </c>
      <c r="M221" s="46">
        <v>1326.4098000000001</v>
      </c>
      <c r="N221" s="46">
        <v>1392.7302900000002</v>
      </c>
      <c r="O221" s="46">
        <f t="shared" si="27"/>
        <v>1888.2801999999999</v>
      </c>
      <c r="P221" s="47">
        <f t="shared" si="22"/>
        <v>327888.52704880002</v>
      </c>
      <c r="Q221" s="47">
        <f t="shared" si="23"/>
        <v>152361.55277759998</v>
      </c>
      <c r="R221" s="47">
        <f t="shared" si="24"/>
        <v>52809.117870940005</v>
      </c>
      <c r="S221" s="47">
        <f t="shared" si="25"/>
        <v>329141.20473133004</v>
      </c>
      <c r="T221" s="47">
        <f t="shared" si="26"/>
        <v>862200.40242867009</v>
      </c>
      <c r="U221" s="47"/>
      <c r="V221" s="47"/>
      <c r="W221" s="50"/>
    </row>
    <row r="222" spans="1:23" ht="15.75">
      <c r="A222" s="11"/>
      <c r="B222" s="53" t="s">
        <v>271</v>
      </c>
      <c r="C222" s="53" t="s">
        <v>268</v>
      </c>
      <c r="D222" s="80" t="s">
        <v>265</v>
      </c>
      <c r="E222" s="61">
        <v>324.13499999999999</v>
      </c>
      <c r="F222" s="61">
        <f>456.897-E222</f>
        <v>132.762</v>
      </c>
      <c r="G222" s="61">
        <v>15.795</v>
      </c>
      <c r="H222" s="61">
        <f>258.23-G222</f>
        <v>242.43500000000003</v>
      </c>
      <c r="I222" s="45">
        <f t="shared" si="21"/>
        <v>715.12700000000007</v>
      </c>
      <c r="J222" s="46">
        <v>670</v>
      </c>
      <c r="K222" s="46">
        <v>2785.2</v>
      </c>
      <c r="L222" s="46">
        <v>2896.6079999999997</v>
      </c>
      <c r="M222" s="46">
        <v>1624.59</v>
      </c>
      <c r="N222" s="46">
        <v>1640.8359</v>
      </c>
      <c r="O222" s="46">
        <f t="shared" si="27"/>
        <v>1160.6099999999999</v>
      </c>
      <c r="P222" s="47">
        <f t="shared" si="22"/>
        <v>376194.32234999997</v>
      </c>
      <c r="Q222" s="47">
        <f t="shared" si="23"/>
        <v>154084.90482</v>
      </c>
      <c r="R222" s="47">
        <f t="shared" si="24"/>
        <v>19834.920319499994</v>
      </c>
      <c r="S222" s="47">
        <f t="shared" si="25"/>
        <v>304443.10906349996</v>
      </c>
      <c r="T222" s="47">
        <f t="shared" si="26"/>
        <v>854557.25655299996</v>
      </c>
      <c r="U222" s="47"/>
      <c r="V222" s="47"/>
      <c r="W222" s="50"/>
    </row>
    <row r="223" spans="1:23" ht="15.75">
      <c r="A223" s="11"/>
      <c r="B223" s="53" t="s">
        <v>270</v>
      </c>
      <c r="C223" s="53" t="s">
        <v>269</v>
      </c>
      <c r="D223" s="80" t="s">
        <v>263</v>
      </c>
      <c r="E223" s="61">
        <v>834.03899999999999</v>
      </c>
      <c r="F223" s="61">
        <f>1204.893-E223</f>
        <v>370.85400000000004</v>
      </c>
      <c r="G223" s="61">
        <v>158.06899999999999</v>
      </c>
      <c r="H223" s="61">
        <f>935.928-G223</f>
        <v>777.85900000000004</v>
      </c>
      <c r="I223" s="45">
        <f t="shared" si="21"/>
        <v>2140.8209999999999</v>
      </c>
      <c r="J223" s="46">
        <v>2310.5500000000002</v>
      </c>
      <c r="K223" s="46">
        <v>4268.78</v>
      </c>
      <c r="L223" s="46">
        <v>4439.5311999999994</v>
      </c>
      <c r="M223" s="46">
        <v>2050.6595200000002</v>
      </c>
      <c r="N223" s="46">
        <v>2153.1924960000001</v>
      </c>
      <c r="O223" s="46">
        <f t="shared" si="27"/>
        <v>2218.1204799999996</v>
      </c>
      <c r="P223" s="47">
        <f t="shared" si="22"/>
        <v>1849998.9870187195</v>
      </c>
      <c r="Q223" s="47">
        <f t="shared" si="23"/>
        <v>822598.85248991998</v>
      </c>
      <c r="R223" s="47">
        <f t="shared" si="24"/>
        <v>361399.27260257589</v>
      </c>
      <c r="S223" s="47">
        <f t="shared" si="25"/>
        <v>1778449.1379547357</v>
      </c>
      <c r="T223" s="47">
        <f t="shared" si="26"/>
        <v>4812446.2500659507</v>
      </c>
      <c r="U223" s="47"/>
      <c r="V223" s="47"/>
      <c r="W223" s="50"/>
    </row>
    <row r="224" spans="1:23" ht="15.75">
      <c r="A224" s="11" t="s">
        <v>387</v>
      </c>
      <c r="B224" s="53" t="s">
        <v>402</v>
      </c>
      <c r="C224" s="53" t="s">
        <v>401</v>
      </c>
      <c r="D224" s="80" t="s">
        <v>262</v>
      </c>
      <c r="E224" s="61">
        <f>45.1773333333333*0.6</f>
        <v>27.106399999999979</v>
      </c>
      <c r="F224" s="61">
        <f>45.1773333333333*0.4</f>
        <v>18.070933333333322</v>
      </c>
      <c r="G224" s="61">
        <f>45.906*0.2</f>
        <v>9.1812000000000005</v>
      </c>
      <c r="H224" s="61">
        <f>45.906*0.8</f>
        <v>36.724800000000002</v>
      </c>
      <c r="I224" s="45">
        <f t="shared" si="21"/>
        <v>91.0833333333333</v>
      </c>
      <c r="J224" s="46">
        <v>91.083333333333329</v>
      </c>
      <c r="K224" s="46">
        <v>2935.8361202087731</v>
      </c>
      <c r="L224" s="46">
        <v>3053.269565017124</v>
      </c>
      <c r="M224" s="46">
        <v>1640.3642040000002</v>
      </c>
      <c r="N224" s="46">
        <v>1656.7678460400002</v>
      </c>
      <c r="O224" s="46">
        <f t="shared" si="27"/>
        <v>1295.4719162087729</v>
      </c>
      <c r="P224" s="47">
        <f t="shared" si="22"/>
        <v>35115.579949521452</v>
      </c>
      <c r="Q224" s="47">
        <f t="shared" si="23"/>
        <v>23410.386633014306</v>
      </c>
      <c r="R224" s="47">
        <f t="shared" si="24"/>
        <v>12821.56158227277</v>
      </c>
      <c r="S224" s="47">
        <f t="shared" si="25"/>
        <v>51286.246329091082</v>
      </c>
      <c r="T224" s="47">
        <f t="shared" si="26"/>
        <v>122633.7744938996</v>
      </c>
      <c r="U224" s="47"/>
      <c r="V224" s="47"/>
      <c r="W224" s="50"/>
    </row>
    <row r="225" spans="1:23" ht="15.75">
      <c r="A225" s="11"/>
      <c r="B225" s="112" t="s">
        <v>390</v>
      </c>
      <c r="C225" s="112"/>
      <c r="D225" s="80"/>
      <c r="E225" s="61"/>
      <c r="F225" s="61"/>
      <c r="G225" s="61"/>
      <c r="H225" s="61"/>
      <c r="I225" s="45">
        <f t="shared" si="21"/>
        <v>0</v>
      </c>
      <c r="J225" s="46"/>
      <c r="K225" s="46"/>
      <c r="L225" s="46"/>
      <c r="M225" s="46"/>
      <c r="N225" s="46"/>
      <c r="O225" s="46">
        <f t="shared" si="27"/>
        <v>0</v>
      </c>
      <c r="P225" s="47">
        <f t="shared" si="22"/>
        <v>0</v>
      </c>
      <c r="Q225" s="47">
        <f t="shared" si="23"/>
        <v>0</v>
      </c>
      <c r="R225" s="47">
        <f t="shared" si="24"/>
        <v>0</v>
      </c>
      <c r="S225" s="47">
        <f t="shared" si="25"/>
        <v>0</v>
      </c>
      <c r="T225" s="47">
        <f t="shared" si="26"/>
        <v>0</v>
      </c>
      <c r="U225" s="47"/>
      <c r="V225" s="47"/>
      <c r="W225" s="50"/>
    </row>
    <row r="226" spans="1:23" ht="15.75">
      <c r="A226" s="11" t="s">
        <v>387</v>
      </c>
      <c r="B226" s="53">
        <v>7729314745</v>
      </c>
      <c r="C226" s="53" t="s">
        <v>391</v>
      </c>
      <c r="D226" s="80"/>
      <c r="E226" s="45">
        <f>523.721*0.6</f>
        <v>314.23259999999999</v>
      </c>
      <c r="F226" s="45">
        <f>523.721*0.4</f>
        <v>209.48840000000001</v>
      </c>
      <c r="G226" s="45">
        <f>428.499*0.2</f>
        <v>85.69980000000001</v>
      </c>
      <c r="H226" s="45">
        <f>428.499*0.8</f>
        <v>342.79920000000004</v>
      </c>
      <c r="I226" s="45">
        <f t="shared" si="21"/>
        <v>952.22</v>
      </c>
      <c r="J226" s="46">
        <v>952.22</v>
      </c>
      <c r="K226" s="46">
        <v>4647.04</v>
      </c>
      <c r="L226" s="46">
        <v>4832.92</v>
      </c>
      <c r="M226" s="46">
        <v>1474.15</v>
      </c>
      <c r="N226" s="46">
        <v>1474.15</v>
      </c>
      <c r="O226" s="46">
        <f t="shared" si="27"/>
        <v>3172.89</v>
      </c>
      <c r="P226" s="47">
        <f t="shared" si="22"/>
        <v>997025.47421399993</v>
      </c>
      <c r="Q226" s="47">
        <f t="shared" si="23"/>
        <v>664683.64947599999</v>
      </c>
      <c r="R226" s="47">
        <f t="shared" si="24"/>
        <v>287845.91724600003</v>
      </c>
      <c r="S226" s="47">
        <f t="shared" si="25"/>
        <v>1151383.6689840001</v>
      </c>
      <c r="T226" s="47">
        <f t="shared" si="26"/>
        <v>3100938.7099199998</v>
      </c>
      <c r="U226" s="47"/>
      <c r="V226" s="47"/>
      <c r="W226" s="50"/>
    </row>
    <row r="227" spans="1:23" ht="15.75">
      <c r="A227" s="11"/>
      <c r="B227" s="112" t="s">
        <v>393</v>
      </c>
      <c r="C227" s="112"/>
      <c r="D227" s="80"/>
      <c r="E227" s="61"/>
      <c r="F227" s="61"/>
      <c r="G227" s="61"/>
      <c r="H227" s="61"/>
      <c r="I227" s="45">
        <f t="shared" si="21"/>
        <v>0</v>
      </c>
      <c r="J227" s="46"/>
      <c r="K227" s="46"/>
      <c r="L227" s="46"/>
      <c r="M227" s="46"/>
      <c r="N227" s="46"/>
      <c r="O227" s="46">
        <f t="shared" si="27"/>
        <v>0</v>
      </c>
      <c r="P227" s="47">
        <f t="shared" si="22"/>
        <v>0</v>
      </c>
      <c r="Q227" s="47">
        <f t="shared" si="23"/>
        <v>0</v>
      </c>
      <c r="R227" s="47">
        <f t="shared" si="24"/>
        <v>0</v>
      </c>
      <c r="S227" s="47">
        <f t="shared" si="25"/>
        <v>0</v>
      </c>
      <c r="T227" s="47">
        <f t="shared" si="26"/>
        <v>0</v>
      </c>
      <c r="U227" s="47"/>
      <c r="V227" s="47"/>
      <c r="W227" s="50"/>
    </row>
    <row r="228" spans="1:23" ht="15.75">
      <c r="A228" s="11" t="s">
        <v>387</v>
      </c>
      <c r="B228" s="53">
        <v>7729314745</v>
      </c>
      <c r="C228" s="53" t="s">
        <v>391</v>
      </c>
      <c r="D228" s="80"/>
      <c r="E228" s="45">
        <f>8464.885*0.6</f>
        <v>5078.9309999999996</v>
      </c>
      <c r="F228" s="45">
        <f>8464.885*0.4</f>
        <v>3385.9540000000002</v>
      </c>
      <c r="G228" s="45">
        <f>6925.815*0.2</f>
        <v>1385.163</v>
      </c>
      <c r="H228" s="45">
        <f>6925.815*0.8</f>
        <v>5540.652</v>
      </c>
      <c r="I228" s="45">
        <f t="shared" si="21"/>
        <v>15390.7</v>
      </c>
      <c r="J228" s="46">
        <v>15390.7</v>
      </c>
      <c r="K228" s="46">
        <v>6895.6</v>
      </c>
      <c r="L228" s="46">
        <v>7171.42</v>
      </c>
      <c r="M228" s="46">
        <v>1916.48</v>
      </c>
      <c r="N228" s="46">
        <v>1993.14</v>
      </c>
      <c r="O228" s="46">
        <f t="shared" si="27"/>
        <v>4979.1200000000008</v>
      </c>
      <c r="P228" s="47">
        <f t="shared" si="22"/>
        <v>25288606.920720004</v>
      </c>
      <c r="Q228" s="47">
        <f t="shared" si="23"/>
        <v>16859071.280480005</v>
      </c>
      <c r="R228" s="47">
        <f t="shared" si="24"/>
        <v>7172761.8596399995</v>
      </c>
      <c r="S228" s="47">
        <f t="shared" si="25"/>
        <v>28691047.438559998</v>
      </c>
      <c r="T228" s="47">
        <f t="shared" si="26"/>
        <v>78011487.499400005</v>
      </c>
      <c r="U228" s="47"/>
      <c r="V228" s="47"/>
      <c r="W228" s="50"/>
    </row>
    <row r="229" spans="1:23" s="20" customFormat="1" ht="21" customHeight="1">
      <c r="A229" s="34"/>
      <c r="B229" s="112" t="s">
        <v>49</v>
      </c>
      <c r="C229" s="112"/>
      <c r="D229" s="39"/>
      <c r="E229" s="85">
        <f>SUM(E9:E228)</f>
        <v>416570.66014814458</v>
      </c>
      <c r="F229" s="85">
        <f t="shared" ref="F229:H229" si="28">SUM(F9:F228)</f>
        <v>222265.81049209635</v>
      </c>
      <c r="G229" s="85">
        <f t="shared" si="28"/>
        <v>91494.567887878758</v>
      </c>
      <c r="H229" s="85">
        <f t="shared" si="28"/>
        <v>369435.14821221365</v>
      </c>
      <c r="I229" s="85">
        <f>SUM(I9:I228)</f>
        <v>1099766.1867403334</v>
      </c>
      <c r="J229" s="85">
        <f>SUM(J9:J228)</f>
        <v>1088820.7024851085</v>
      </c>
      <c r="K229" s="86"/>
      <c r="L229" s="86"/>
      <c r="M229" s="86"/>
      <c r="N229" s="86"/>
      <c r="O229" s="86"/>
      <c r="P229" s="86">
        <f>SUM(P9:P228)</f>
        <v>748118954.40886664</v>
      </c>
      <c r="Q229" s="86">
        <f>SUM(Q9:Q228)</f>
        <v>394536238.44020897</v>
      </c>
      <c r="R229" s="86">
        <f>SUM(R9:R228)</f>
        <v>164663963.40158066</v>
      </c>
      <c r="S229" s="86">
        <f t="shared" ref="S229" si="29">SUM(S9:S228)</f>
        <v>710314479.77847981</v>
      </c>
      <c r="T229" s="86">
        <f>SUM(T9:T228)</f>
        <v>2017633636.0291357</v>
      </c>
      <c r="U229" s="86">
        <v>228801336.69275999</v>
      </c>
      <c r="V229" s="86">
        <f>S229*0.36</f>
        <v>255713212.72025272</v>
      </c>
      <c r="W229" s="86">
        <f>T229+U229-V229</f>
        <v>1990721760.0016429</v>
      </c>
    </row>
    <row r="230" spans="1:23" s="20" customFormat="1" ht="21" customHeight="1">
      <c r="A230" s="35"/>
      <c r="B230" s="28"/>
      <c r="C230" s="28"/>
      <c r="D230" s="29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</row>
    <row r="231" spans="1:23" ht="18" customHeight="1"/>
    <row r="232" spans="1:23" ht="18" customHeight="1"/>
  </sheetData>
  <autoFilter ref="B7:W230"/>
  <mergeCells count="41">
    <mergeCell ref="A5:A6"/>
    <mergeCell ref="B225:C225"/>
    <mergeCell ref="B55:D55"/>
    <mergeCell ref="B89:D89"/>
    <mergeCell ref="B95:D95"/>
    <mergeCell ref="B107:D107"/>
    <mergeCell ref="B125:D125"/>
    <mergeCell ref="B70:D70"/>
    <mergeCell ref="B74:D74"/>
    <mergeCell ref="B81:D81"/>
    <mergeCell ref="B83:D83"/>
    <mergeCell ref="B86:D86"/>
    <mergeCell ref="B67:D67"/>
    <mergeCell ref="B168:D168"/>
    <mergeCell ref="B187:D187"/>
    <mergeCell ref="P5:T5"/>
    <mergeCell ref="U5:U6"/>
    <mergeCell ref="W5:W6"/>
    <mergeCell ref="V5:V6"/>
    <mergeCell ref="J27:J28"/>
    <mergeCell ref="E3:M3"/>
    <mergeCell ref="J50:J51"/>
    <mergeCell ref="J100:J102"/>
    <mergeCell ref="B149:D149"/>
    <mergeCell ref="B154:D154"/>
    <mergeCell ref="B8:D8"/>
    <mergeCell ref="B15:D15"/>
    <mergeCell ref="B25:D25"/>
    <mergeCell ref="B33:D33"/>
    <mergeCell ref="B43:D43"/>
    <mergeCell ref="B5:B6"/>
    <mergeCell ref="C5:C6"/>
    <mergeCell ref="J34:J35"/>
    <mergeCell ref="D5:D6"/>
    <mergeCell ref="E5:I5"/>
    <mergeCell ref="K5:L5"/>
    <mergeCell ref="M5:N5"/>
    <mergeCell ref="B229:C229"/>
    <mergeCell ref="B195:D195"/>
    <mergeCell ref="B202:C202"/>
    <mergeCell ref="B227:C227"/>
  </mergeCells>
  <pageMargins left="0.19685039370078741" right="0.19685039370078741" top="0.98425196850393704" bottom="0.59055118110236227" header="0.31496062992125984" footer="0.31496062992125984"/>
  <pageSetup paperSize="9" scale="48" fitToHeight="0" orientation="landscape" r:id="rId1"/>
  <headerFooter>
    <oddFooter>&amp;C&amp;P</oddFooter>
  </headerFooter>
  <colBreaks count="1" manualBreakCount="1">
    <brk id="1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B231"/>
  <sheetViews>
    <sheetView view="pageBreakPreview" zoomScale="77" zoomScaleNormal="100" zoomScaleSheetLayoutView="77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RowHeight="15"/>
  <cols>
    <col min="1" max="1" width="16.7109375" style="8" customWidth="1"/>
    <col min="2" max="2" width="48.5703125" style="9" customWidth="1"/>
    <col min="3" max="3" width="26.85546875" style="7" customWidth="1"/>
    <col min="4" max="4" width="19" style="7" customWidth="1"/>
    <col min="5" max="5" width="19.140625" style="7" customWidth="1"/>
    <col min="6" max="6" width="17.7109375" style="7" customWidth="1"/>
    <col min="7" max="7" width="19.85546875" style="7" customWidth="1"/>
    <col min="8" max="8" width="20.7109375" style="7" customWidth="1"/>
    <col min="9" max="9" width="20.140625" style="23" customWidth="1"/>
    <col min="10" max="10" width="18.85546875" style="23" customWidth="1"/>
    <col min="11" max="11" width="18.5703125" style="23" customWidth="1"/>
    <col min="12" max="12" width="18.42578125" style="23" customWidth="1"/>
    <col min="13" max="13" width="22.7109375" style="7" customWidth="1"/>
    <col min="14" max="14" width="21.140625" style="7" customWidth="1"/>
    <col min="15" max="15" width="21.28515625" style="7" customWidth="1"/>
    <col min="16" max="16" width="21.140625" style="7" customWidth="1"/>
    <col min="17" max="17" width="24.5703125" style="7" customWidth="1"/>
    <col min="18" max="18" width="20.42578125" style="7" customWidth="1"/>
    <col min="19" max="19" width="20.5703125" style="7" customWidth="1"/>
    <col min="20" max="20" width="23.5703125" style="7" customWidth="1"/>
    <col min="21" max="246" width="9.140625" style="7"/>
    <col min="247" max="247" width="13.28515625" style="7" customWidth="1"/>
    <col min="248" max="248" width="34.7109375" style="7" customWidth="1"/>
    <col min="249" max="249" width="26.85546875" style="7" customWidth="1"/>
    <col min="250" max="258" width="15.140625" style="7" customWidth="1"/>
    <col min="259" max="259" width="14" style="7" customWidth="1"/>
    <col min="260" max="260" width="13.42578125" style="7" customWidth="1"/>
    <col min="261" max="262" width="15" style="7" customWidth="1"/>
    <col min="263" max="263" width="16.5703125" style="7" customWidth="1"/>
    <col min="264" max="267" width="18.7109375" style="7" customWidth="1"/>
    <col min="268" max="502" width="9.140625" style="7"/>
    <col min="503" max="503" width="13.28515625" style="7" customWidth="1"/>
    <col min="504" max="504" width="34.7109375" style="7" customWidth="1"/>
    <col min="505" max="505" width="26.85546875" style="7" customWidth="1"/>
    <col min="506" max="514" width="15.140625" style="7" customWidth="1"/>
    <col min="515" max="515" width="14" style="7" customWidth="1"/>
    <col min="516" max="516" width="13.42578125" style="7" customWidth="1"/>
    <col min="517" max="518" width="15" style="7" customWidth="1"/>
    <col min="519" max="519" width="16.5703125" style="7" customWidth="1"/>
    <col min="520" max="523" width="18.7109375" style="7" customWidth="1"/>
    <col min="524" max="758" width="9.140625" style="7"/>
    <col min="759" max="759" width="13.28515625" style="7" customWidth="1"/>
    <col min="760" max="760" width="34.7109375" style="7" customWidth="1"/>
    <col min="761" max="761" width="26.85546875" style="7" customWidth="1"/>
    <col min="762" max="770" width="15.140625" style="7" customWidth="1"/>
    <col min="771" max="771" width="14" style="7" customWidth="1"/>
    <col min="772" max="772" width="13.42578125" style="7" customWidth="1"/>
    <col min="773" max="774" width="15" style="7" customWidth="1"/>
    <col min="775" max="775" width="16.5703125" style="7" customWidth="1"/>
    <col min="776" max="779" width="18.7109375" style="7" customWidth="1"/>
    <col min="780" max="1014" width="9.140625" style="7"/>
    <col min="1015" max="1015" width="13.28515625" style="7" customWidth="1"/>
    <col min="1016" max="1016" width="34.7109375" style="7" customWidth="1"/>
    <col min="1017" max="1017" width="26.85546875" style="7" customWidth="1"/>
    <col min="1018" max="1026" width="15.140625" style="7" customWidth="1"/>
    <col min="1027" max="1027" width="14" style="7" customWidth="1"/>
    <col min="1028" max="1028" width="13.42578125" style="7" customWidth="1"/>
    <col min="1029" max="1030" width="15" style="7" customWidth="1"/>
    <col min="1031" max="1031" width="16.5703125" style="7" customWidth="1"/>
    <col min="1032" max="1035" width="18.7109375" style="7" customWidth="1"/>
    <col min="1036" max="1270" width="9.140625" style="7"/>
    <col min="1271" max="1271" width="13.28515625" style="7" customWidth="1"/>
    <col min="1272" max="1272" width="34.7109375" style="7" customWidth="1"/>
    <col min="1273" max="1273" width="26.85546875" style="7" customWidth="1"/>
    <col min="1274" max="1282" width="15.140625" style="7" customWidth="1"/>
    <col min="1283" max="1283" width="14" style="7" customWidth="1"/>
    <col min="1284" max="1284" width="13.42578125" style="7" customWidth="1"/>
    <col min="1285" max="1286" width="15" style="7" customWidth="1"/>
    <col min="1287" max="1287" width="16.5703125" style="7" customWidth="1"/>
    <col min="1288" max="1291" width="18.7109375" style="7" customWidth="1"/>
    <col min="1292" max="1526" width="9.140625" style="7"/>
    <col min="1527" max="1527" width="13.28515625" style="7" customWidth="1"/>
    <col min="1528" max="1528" width="34.7109375" style="7" customWidth="1"/>
    <col min="1529" max="1529" width="26.85546875" style="7" customWidth="1"/>
    <col min="1530" max="1538" width="15.140625" style="7" customWidth="1"/>
    <col min="1539" max="1539" width="14" style="7" customWidth="1"/>
    <col min="1540" max="1540" width="13.42578125" style="7" customWidth="1"/>
    <col min="1541" max="1542" width="15" style="7" customWidth="1"/>
    <col min="1543" max="1543" width="16.5703125" style="7" customWidth="1"/>
    <col min="1544" max="1547" width="18.7109375" style="7" customWidth="1"/>
    <col min="1548" max="1782" width="9.140625" style="7"/>
    <col min="1783" max="1783" width="13.28515625" style="7" customWidth="1"/>
    <col min="1784" max="1784" width="34.7109375" style="7" customWidth="1"/>
    <col min="1785" max="1785" width="26.85546875" style="7" customWidth="1"/>
    <col min="1786" max="1794" width="15.140625" style="7" customWidth="1"/>
    <col min="1795" max="1795" width="14" style="7" customWidth="1"/>
    <col min="1796" max="1796" width="13.42578125" style="7" customWidth="1"/>
    <col min="1797" max="1798" width="15" style="7" customWidth="1"/>
    <col min="1799" max="1799" width="16.5703125" style="7" customWidth="1"/>
    <col min="1800" max="1803" width="18.7109375" style="7" customWidth="1"/>
    <col min="1804" max="2038" width="9.140625" style="7"/>
    <col min="2039" max="2039" width="13.28515625" style="7" customWidth="1"/>
    <col min="2040" max="2040" width="34.7109375" style="7" customWidth="1"/>
    <col min="2041" max="2041" width="26.85546875" style="7" customWidth="1"/>
    <col min="2042" max="2050" width="15.140625" style="7" customWidth="1"/>
    <col min="2051" max="2051" width="14" style="7" customWidth="1"/>
    <col min="2052" max="2052" width="13.42578125" style="7" customWidth="1"/>
    <col min="2053" max="2054" width="15" style="7" customWidth="1"/>
    <col min="2055" max="2055" width="16.5703125" style="7" customWidth="1"/>
    <col min="2056" max="2059" width="18.7109375" style="7" customWidth="1"/>
    <col min="2060" max="2294" width="9.140625" style="7"/>
    <col min="2295" max="2295" width="13.28515625" style="7" customWidth="1"/>
    <col min="2296" max="2296" width="34.7109375" style="7" customWidth="1"/>
    <col min="2297" max="2297" width="26.85546875" style="7" customWidth="1"/>
    <col min="2298" max="2306" width="15.140625" style="7" customWidth="1"/>
    <col min="2307" max="2307" width="14" style="7" customWidth="1"/>
    <col min="2308" max="2308" width="13.42578125" style="7" customWidth="1"/>
    <col min="2309" max="2310" width="15" style="7" customWidth="1"/>
    <col min="2311" max="2311" width="16.5703125" style="7" customWidth="1"/>
    <col min="2312" max="2315" width="18.7109375" style="7" customWidth="1"/>
    <col min="2316" max="2550" width="9.140625" style="7"/>
    <col min="2551" max="2551" width="13.28515625" style="7" customWidth="1"/>
    <col min="2552" max="2552" width="34.7109375" style="7" customWidth="1"/>
    <col min="2553" max="2553" width="26.85546875" style="7" customWidth="1"/>
    <col min="2554" max="2562" width="15.140625" style="7" customWidth="1"/>
    <col min="2563" max="2563" width="14" style="7" customWidth="1"/>
    <col min="2564" max="2564" width="13.42578125" style="7" customWidth="1"/>
    <col min="2565" max="2566" width="15" style="7" customWidth="1"/>
    <col min="2567" max="2567" width="16.5703125" style="7" customWidth="1"/>
    <col min="2568" max="2571" width="18.7109375" style="7" customWidth="1"/>
    <col min="2572" max="2806" width="9.140625" style="7"/>
    <col min="2807" max="2807" width="13.28515625" style="7" customWidth="1"/>
    <col min="2808" max="2808" width="34.7109375" style="7" customWidth="1"/>
    <col min="2809" max="2809" width="26.85546875" style="7" customWidth="1"/>
    <col min="2810" max="2818" width="15.140625" style="7" customWidth="1"/>
    <col min="2819" max="2819" width="14" style="7" customWidth="1"/>
    <col min="2820" max="2820" width="13.42578125" style="7" customWidth="1"/>
    <col min="2821" max="2822" width="15" style="7" customWidth="1"/>
    <col min="2823" max="2823" width="16.5703125" style="7" customWidth="1"/>
    <col min="2824" max="2827" width="18.7109375" style="7" customWidth="1"/>
    <col min="2828" max="3062" width="9.140625" style="7"/>
    <col min="3063" max="3063" width="13.28515625" style="7" customWidth="1"/>
    <col min="3064" max="3064" width="34.7109375" style="7" customWidth="1"/>
    <col min="3065" max="3065" width="26.85546875" style="7" customWidth="1"/>
    <col min="3066" max="3074" width="15.140625" style="7" customWidth="1"/>
    <col min="3075" max="3075" width="14" style="7" customWidth="1"/>
    <col min="3076" max="3076" width="13.42578125" style="7" customWidth="1"/>
    <col min="3077" max="3078" width="15" style="7" customWidth="1"/>
    <col min="3079" max="3079" width="16.5703125" style="7" customWidth="1"/>
    <col min="3080" max="3083" width="18.7109375" style="7" customWidth="1"/>
    <col min="3084" max="3318" width="9.140625" style="7"/>
    <col min="3319" max="3319" width="13.28515625" style="7" customWidth="1"/>
    <col min="3320" max="3320" width="34.7109375" style="7" customWidth="1"/>
    <col min="3321" max="3321" width="26.85546875" style="7" customWidth="1"/>
    <col min="3322" max="3330" width="15.140625" style="7" customWidth="1"/>
    <col min="3331" max="3331" width="14" style="7" customWidth="1"/>
    <col min="3332" max="3332" width="13.42578125" style="7" customWidth="1"/>
    <col min="3333" max="3334" width="15" style="7" customWidth="1"/>
    <col min="3335" max="3335" width="16.5703125" style="7" customWidth="1"/>
    <col min="3336" max="3339" width="18.7109375" style="7" customWidth="1"/>
    <col min="3340" max="3574" width="9.140625" style="7"/>
    <col min="3575" max="3575" width="13.28515625" style="7" customWidth="1"/>
    <col min="3576" max="3576" width="34.7109375" style="7" customWidth="1"/>
    <col min="3577" max="3577" width="26.85546875" style="7" customWidth="1"/>
    <col min="3578" max="3586" width="15.140625" style="7" customWidth="1"/>
    <col min="3587" max="3587" width="14" style="7" customWidth="1"/>
    <col min="3588" max="3588" width="13.42578125" style="7" customWidth="1"/>
    <col min="3589" max="3590" width="15" style="7" customWidth="1"/>
    <col min="3591" max="3591" width="16.5703125" style="7" customWidth="1"/>
    <col min="3592" max="3595" width="18.7109375" style="7" customWidth="1"/>
    <col min="3596" max="3830" width="9.140625" style="7"/>
    <col min="3831" max="3831" width="13.28515625" style="7" customWidth="1"/>
    <col min="3832" max="3832" width="34.7109375" style="7" customWidth="1"/>
    <col min="3833" max="3833" width="26.85546875" style="7" customWidth="1"/>
    <col min="3834" max="3842" width="15.140625" style="7" customWidth="1"/>
    <col min="3843" max="3843" width="14" style="7" customWidth="1"/>
    <col min="3844" max="3844" width="13.42578125" style="7" customWidth="1"/>
    <col min="3845" max="3846" width="15" style="7" customWidth="1"/>
    <col min="3847" max="3847" width="16.5703125" style="7" customWidth="1"/>
    <col min="3848" max="3851" width="18.7109375" style="7" customWidth="1"/>
    <col min="3852" max="4086" width="9.140625" style="7"/>
    <col min="4087" max="4087" width="13.28515625" style="7" customWidth="1"/>
    <col min="4088" max="4088" width="34.7109375" style="7" customWidth="1"/>
    <col min="4089" max="4089" width="26.85546875" style="7" customWidth="1"/>
    <col min="4090" max="4098" width="15.140625" style="7" customWidth="1"/>
    <col min="4099" max="4099" width="14" style="7" customWidth="1"/>
    <col min="4100" max="4100" width="13.42578125" style="7" customWidth="1"/>
    <col min="4101" max="4102" width="15" style="7" customWidth="1"/>
    <col min="4103" max="4103" width="16.5703125" style="7" customWidth="1"/>
    <col min="4104" max="4107" width="18.7109375" style="7" customWidth="1"/>
    <col min="4108" max="4342" width="9.140625" style="7"/>
    <col min="4343" max="4343" width="13.28515625" style="7" customWidth="1"/>
    <col min="4344" max="4344" width="34.7109375" style="7" customWidth="1"/>
    <col min="4345" max="4345" width="26.85546875" style="7" customWidth="1"/>
    <col min="4346" max="4354" width="15.140625" style="7" customWidth="1"/>
    <col min="4355" max="4355" width="14" style="7" customWidth="1"/>
    <col min="4356" max="4356" width="13.42578125" style="7" customWidth="1"/>
    <col min="4357" max="4358" width="15" style="7" customWidth="1"/>
    <col min="4359" max="4359" width="16.5703125" style="7" customWidth="1"/>
    <col min="4360" max="4363" width="18.7109375" style="7" customWidth="1"/>
    <col min="4364" max="4598" width="9.140625" style="7"/>
    <col min="4599" max="4599" width="13.28515625" style="7" customWidth="1"/>
    <col min="4600" max="4600" width="34.7109375" style="7" customWidth="1"/>
    <col min="4601" max="4601" width="26.85546875" style="7" customWidth="1"/>
    <col min="4602" max="4610" width="15.140625" style="7" customWidth="1"/>
    <col min="4611" max="4611" width="14" style="7" customWidth="1"/>
    <col min="4612" max="4612" width="13.42578125" style="7" customWidth="1"/>
    <col min="4613" max="4614" width="15" style="7" customWidth="1"/>
    <col min="4615" max="4615" width="16.5703125" style="7" customWidth="1"/>
    <col min="4616" max="4619" width="18.7109375" style="7" customWidth="1"/>
    <col min="4620" max="4854" width="9.140625" style="7"/>
    <col min="4855" max="4855" width="13.28515625" style="7" customWidth="1"/>
    <col min="4856" max="4856" width="34.7109375" style="7" customWidth="1"/>
    <col min="4857" max="4857" width="26.85546875" style="7" customWidth="1"/>
    <col min="4858" max="4866" width="15.140625" style="7" customWidth="1"/>
    <col min="4867" max="4867" width="14" style="7" customWidth="1"/>
    <col min="4868" max="4868" width="13.42578125" style="7" customWidth="1"/>
    <col min="4869" max="4870" width="15" style="7" customWidth="1"/>
    <col min="4871" max="4871" width="16.5703125" style="7" customWidth="1"/>
    <col min="4872" max="4875" width="18.7109375" style="7" customWidth="1"/>
    <col min="4876" max="5110" width="9.140625" style="7"/>
    <col min="5111" max="5111" width="13.28515625" style="7" customWidth="1"/>
    <col min="5112" max="5112" width="34.7109375" style="7" customWidth="1"/>
    <col min="5113" max="5113" width="26.85546875" style="7" customWidth="1"/>
    <col min="5114" max="5122" width="15.140625" style="7" customWidth="1"/>
    <col min="5123" max="5123" width="14" style="7" customWidth="1"/>
    <col min="5124" max="5124" width="13.42578125" style="7" customWidth="1"/>
    <col min="5125" max="5126" width="15" style="7" customWidth="1"/>
    <col min="5127" max="5127" width="16.5703125" style="7" customWidth="1"/>
    <col min="5128" max="5131" width="18.7109375" style="7" customWidth="1"/>
    <col min="5132" max="5366" width="9.140625" style="7"/>
    <col min="5367" max="5367" width="13.28515625" style="7" customWidth="1"/>
    <col min="5368" max="5368" width="34.7109375" style="7" customWidth="1"/>
    <col min="5369" max="5369" width="26.85546875" style="7" customWidth="1"/>
    <col min="5370" max="5378" width="15.140625" style="7" customWidth="1"/>
    <col min="5379" max="5379" width="14" style="7" customWidth="1"/>
    <col min="5380" max="5380" width="13.42578125" style="7" customWidth="1"/>
    <col min="5381" max="5382" width="15" style="7" customWidth="1"/>
    <col min="5383" max="5383" width="16.5703125" style="7" customWidth="1"/>
    <col min="5384" max="5387" width="18.7109375" style="7" customWidth="1"/>
    <col min="5388" max="5622" width="9.140625" style="7"/>
    <col min="5623" max="5623" width="13.28515625" style="7" customWidth="1"/>
    <col min="5624" max="5624" width="34.7109375" style="7" customWidth="1"/>
    <col min="5625" max="5625" width="26.85546875" style="7" customWidth="1"/>
    <col min="5626" max="5634" width="15.140625" style="7" customWidth="1"/>
    <col min="5635" max="5635" width="14" style="7" customWidth="1"/>
    <col min="5636" max="5636" width="13.42578125" style="7" customWidth="1"/>
    <col min="5637" max="5638" width="15" style="7" customWidth="1"/>
    <col min="5639" max="5639" width="16.5703125" style="7" customWidth="1"/>
    <col min="5640" max="5643" width="18.7109375" style="7" customWidth="1"/>
    <col min="5644" max="5878" width="9.140625" style="7"/>
    <col min="5879" max="5879" width="13.28515625" style="7" customWidth="1"/>
    <col min="5880" max="5880" width="34.7109375" style="7" customWidth="1"/>
    <col min="5881" max="5881" width="26.85546875" style="7" customWidth="1"/>
    <col min="5882" max="5890" width="15.140625" style="7" customWidth="1"/>
    <col min="5891" max="5891" width="14" style="7" customWidth="1"/>
    <col min="5892" max="5892" width="13.42578125" style="7" customWidth="1"/>
    <col min="5893" max="5894" width="15" style="7" customWidth="1"/>
    <col min="5895" max="5895" width="16.5703125" style="7" customWidth="1"/>
    <col min="5896" max="5899" width="18.7109375" style="7" customWidth="1"/>
    <col min="5900" max="6134" width="9.140625" style="7"/>
    <col min="6135" max="6135" width="13.28515625" style="7" customWidth="1"/>
    <col min="6136" max="6136" width="34.7109375" style="7" customWidth="1"/>
    <col min="6137" max="6137" width="26.85546875" style="7" customWidth="1"/>
    <col min="6138" max="6146" width="15.140625" style="7" customWidth="1"/>
    <col min="6147" max="6147" width="14" style="7" customWidth="1"/>
    <col min="6148" max="6148" width="13.42578125" style="7" customWidth="1"/>
    <col min="6149" max="6150" width="15" style="7" customWidth="1"/>
    <col min="6151" max="6151" width="16.5703125" style="7" customWidth="1"/>
    <col min="6152" max="6155" width="18.7109375" style="7" customWidth="1"/>
    <col min="6156" max="6390" width="9.140625" style="7"/>
    <col min="6391" max="6391" width="13.28515625" style="7" customWidth="1"/>
    <col min="6392" max="6392" width="34.7109375" style="7" customWidth="1"/>
    <col min="6393" max="6393" width="26.85546875" style="7" customWidth="1"/>
    <col min="6394" max="6402" width="15.140625" style="7" customWidth="1"/>
    <col min="6403" max="6403" width="14" style="7" customWidth="1"/>
    <col min="6404" max="6404" width="13.42578125" style="7" customWidth="1"/>
    <col min="6405" max="6406" width="15" style="7" customWidth="1"/>
    <col min="6407" max="6407" width="16.5703125" style="7" customWidth="1"/>
    <col min="6408" max="6411" width="18.7109375" style="7" customWidth="1"/>
    <col min="6412" max="6646" width="9.140625" style="7"/>
    <col min="6647" max="6647" width="13.28515625" style="7" customWidth="1"/>
    <col min="6648" max="6648" width="34.7109375" style="7" customWidth="1"/>
    <col min="6649" max="6649" width="26.85546875" style="7" customWidth="1"/>
    <col min="6650" max="6658" width="15.140625" style="7" customWidth="1"/>
    <col min="6659" max="6659" width="14" style="7" customWidth="1"/>
    <col min="6660" max="6660" width="13.42578125" style="7" customWidth="1"/>
    <col min="6661" max="6662" width="15" style="7" customWidth="1"/>
    <col min="6663" max="6663" width="16.5703125" style="7" customWidth="1"/>
    <col min="6664" max="6667" width="18.7109375" style="7" customWidth="1"/>
    <col min="6668" max="6902" width="9.140625" style="7"/>
    <col min="6903" max="6903" width="13.28515625" style="7" customWidth="1"/>
    <col min="6904" max="6904" width="34.7109375" style="7" customWidth="1"/>
    <col min="6905" max="6905" width="26.85546875" style="7" customWidth="1"/>
    <col min="6906" max="6914" width="15.140625" style="7" customWidth="1"/>
    <col min="6915" max="6915" width="14" style="7" customWidth="1"/>
    <col min="6916" max="6916" width="13.42578125" style="7" customWidth="1"/>
    <col min="6917" max="6918" width="15" style="7" customWidth="1"/>
    <col min="6919" max="6919" width="16.5703125" style="7" customWidth="1"/>
    <col min="6920" max="6923" width="18.7109375" style="7" customWidth="1"/>
    <col min="6924" max="7158" width="9.140625" style="7"/>
    <col min="7159" max="7159" width="13.28515625" style="7" customWidth="1"/>
    <col min="7160" max="7160" width="34.7109375" style="7" customWidth="1"/>
    <col min="7161" max="7161" width="26.85546875" style="7" customWidth="1"/>
    <col min="7162" max="7170" width="15.140625" style="7" customWidth="1"/>
    <col min="7171" max="7171" width="14" style="7" customWidth="1"/>
    <col min="7172" max="7172" width="13.42578125" style="7" customWidth="1"/>
    <col min="7173" max="7174" width="15" style="7" customWidth="1"/>
    <col min="7175" max="7175" width="16.5703125" style="7" customWidth="1"/>
    <col min="7176" max="7179" width="18.7109375" style="7" customWidth="1"/>
    <col min="7180" max="7414" width="9.140625" style="7"/>
    <col min="7415" max="7415" width="13.28515625" style="7" customWidth="1"/>
    <col min="7416" max="7416" width="34.7109375" style="7" customWidth="1"/>
    <col min="7417" max="7417" width="26.85546875" style="7" customWidth="1"/>
    <col min="7418" max="7426" width="15.140625" style="7" customWidth="1"/>
    <col min="7427" max="7427" width="14" style="7" customWidth="1"/>
    <col min="7428" max="7428" width="13.42578125" style="7" customWidth="1"/>
    <col min="7429" max="7430" width="15" style="7" customWidth="1"/>
    <col min="7431" max="7431" width="16.5703125" style="7" customWidth="1"/>
    <col min="7432" max="7435" width="18.7109375" style="7" customWidth="1"/>
    <col min="7436" max="7670" width="9.140625" style="7"/>
    <col min="7671" max="7671" width="13.28515625" style="7" customWidth="1"/>
    <col min="7672" max="7672" width="34.7109375" style="7" customWidth="1"/>
    <col min="7673" max="7673" width="26.85546875" style="7" customWidth="1"/>
    <col min="7674" max="7682" width="15.140625" style="7" customWidth="1"/>
    <col min="7683" max="7683" width="14" style="7" customWidth="1"/>
    <col min="7684" max="7684" width="13.42578125" style="7" customWidth="1"/>
    <col min="7685" max="7686" width="15" style="7" customWidth="1"/>
    <col min="7687" max="7687" width="16.5703125" style="7" customWidth="1"/>
    <col min="7688" max="7691" width="18.7109375" style="7" customWidth="1"/>
    <col min="7692" max="7926" width="9.140625" style="7"/>
    <col min="7927" max="7927" width="13.28515625" style="7" customWidth="1"/>
    <col min="7928" max="7928" width="34.7109375" style="7" customWidth="1"/>
    <col min="7929" max="7929" width="26.85546875" style="7" customWidth="1"/>
    <col min="7930" max="7938" width="15.140625" style="7" customWidth="1"/>
    <col min="7939" max="7939" width="14" style="7" customWidth="1"/>
    <col min="7940" max="7940" width="13.42578125" style="7" customWidth="1"/>
    <col min="7941" max="7942" width="15" style="7" customWidth="1"/>
    <col min="7943" max="7943" width="16.5703125" style="7" customWidth="1"/>
    <col min="7944" max="7947" width="18.7109375" style="7" customWidth="1"/>
    <col min="7948" max="8182" width="9.140625" style="7"/>
    <col min="8183" max="8183" width="13.28515625" style="7" customWidth="1"/>
    <col min="8184" max="8184" width="34.7109375" style="7" customWidth="1"/>
    <col min="8185" max="8185" width="26.85546875" style="7" customWidth="1"/>
    <col min="8186" max="8194" width="15.140625" style="7" customWidth="1"/>
    <col min="8195" max="8195" width="14" style="7" customWidth="1"/>
    <col min="8196" max="8196" width="13.42578125" style="7" customWidth="1"/>
    <col min="8197" max="8198" width="15" style="7" customWidth="1"/>
    <col min="8199" max="8199" width="16.5703125" style="7" customWidth="1"/>
    <col min="8200" max="8203" width="18.7109375" style="7" customWidth="1"/>
    <col min="8204" max="8438" width="9.140625" style="7"/>
    <col min="8439" max="8439" width="13.28515625" style="7" customWidth="1"/>
    <col min="8440" max="8440" width="34.7109375" style="7" customWidth="1"/>
    <col min="8441" max="8441" width="26.85546875" style="7" customWidth="1"/>
    <col min="8442" max="8450" width="15.140625" style="7" customWidth="1"/>
    <col min="8451" max="8451" width="14" style="7" customWidth="1"/>
    <col min="8452" max="8452" width="13.42578125" style="7" customWidth="1"/>
    <col min="8453" max="8454" width="15" style="7" customWidth="1"/>
    <col min="8455" max="8455" width="16.5703125" style="7" customWidth="1"/>
    <col min="8456" max="8459" width="18.7109375" style="7" customWidth="1"/>
    <col min="8460" max="8694" width="9.140625" style="7"/>
    <col min="8695" max="8695" width="13.28515625" style="7" customWidth="1"/>
    <col min="8696" max="8696" width="34.7109375" style="7" customWidth="1"/>
    <col min="8697" max="8697" width="26.85546875" style="7" customWidth="1"/>
    <col min="8698" max="8706" width="15.140625" style="7" customWidth="1"/>
    <col min="8707" max="8707" width="14" style="7" customWidth="1"/>
    <col min="8708" max="8708" width="13.42578125" style="7" customWidth="1"/>
    <col min="8709" max="8710" width="15" style="7" customWidth="1"/>
    <col min="8711" max="8711" width="16.5703125" style="7" customWidth="1"/>
    <col min="8712" max="8715" width="18.7109375" style="7" customWidth="1"/>
    <col min="8716" max="8950" width="9.140625" style="7"/>
    <col min="8951" max="8951" width="13.28515625" style="7" customWidth="1"/>
    <col min="8952" max="8952" width="34.7109375" style="7" customWidth="1"/>
    <col min="8953" max="8953" width="26.85546875" style="7" customWidth="1"/>
    <col min="8954" max="8962" width="15.140625" style="7" customWidth="1"/>
    <col min="8963" max="8963" width="14" style="7" customWidth="1"/>
    <col min="8964" max="8964" width="13.42578125" style="7" customWidth="1"/>
    <col min="8965" max="8966" width="15" style="7" customWidth="1"/>
    <col min="8967" max="8967" width="16.5703125" style="7" customWidth="1"/>
    <col min="8968" max="8971" width="18.7109375" style="7" customWidth="1"/>
    <col min="8972" max="9206" width="9.140625" style="7"/>
    <col min="9207" max="9207" width="13.28515625" style="7" customWidth="1"/>
    <col min="9208" max="9208" width="34.7109375" style="7" customWidth="1"/>
    <col min="9209" max="9209" width="26.85546875" style="7" customWidth="1"/>
    <col min="9210" max="9218" width="15.140625" style="7" customWidth="1"/>
    <col min="9219" max="9219" width="14" style="7" customWidth="1"/>
    <col min="9220" max="9220" width="13.42578125" style="7" customWidth="1"/>
    <col min="9221" max="9222" width="15" style="7" customWidth="1"/>
    <col min="9223" max="9223" width="16.5703125" style="7" customWidth="1"/>
    <col min="9224" max="9227" width="18.7109375" style="7" customWidth="1"/>
    <col min="9228" max="9462" width="9.140625" style="7"/>
    <col min="9463" max="9463" width="13.28515625" style="7" customWidth="1"/>
    <col min="9464" max="9464" width="34.7109375" style="7" customWidth="1"/>
    <col min="9465" max="9465" width="26.85546875" style="7" customWidth="1"/>
    <col min="9466" max="9474" width="15.140625" style="7" customWidth="1"/>
    <col min="9475" max="9475" width="14" style="7" customWidth="1"/>
    <col min="9476" max="9476" width="13.42578125" style="7" customWidth="1"/>
    <col min="9477" max="9478" width="15" style="7" customWidth="1"/>
    <col min="9479" max="9479" width="16.5703125" style="7" customWidth="1"/>
    <col min="9480" max="9483" width="18.7109375" style="7" customWidth="1"/>
    <col min="9484" max="9718" width="9.140625" style="7"/>
    <col min="9719" max="9719" width="13.28515625" style="7" customWidth="1"/>
    <col min="9720" max="9720" width="34.7109375" style="7" customWidth="1"/>
    <col min="9721" max="9721" width="26.85546875" style="7" customWidth="1"/>
    <col min="9722" max="9730" width="15.140625" style="7" customWidth="1"/>
    <col min="9731" max="9731" width="14" style="7" customWidth="1"/>
    <col min="9732" max="9732" width="13.42578125" style="7" customWidth="1"/>
    <col min="9733" max="9734" width="15" style="7" customWidth="1"/>
    <col min="9735" max="9735" width="16.5703125" style="7" customWidth="1"/>
    <col min="9736" max="9739" width="18.7109375" style="7" customWidth="1"/>
    <col min="9740" max="9974" width="9.140625" style="7"/>
    <col min="9975" max="9975" width="13.28515625" style="7" customWidth="1"/>
    <col min="9976" max="9976" width="34.7109375" style="7" customWidth="1"/>
    <col min="9977" max="9977" width="26.85546875" style="7" customWidth="1"/>
    <col min="9978" max="9986" width="15.140625" style="7" customWidth="1"/>
    <col min="9987" max="9987" width="14" style="7" customWidth="1"/>
    <col min="9988" max="9988" width="13.42578125" style="7" customWidth="1"/>
    <col min="9989" max="9990" width="15" style="7" customWidth="1"/>
    <col min="9991" max="9991" width="16.5703125" style="7" customWidth="1"/>
    <col min="9992" max="9995" width="18.7109375" style="7" customWidth="1"/>
    <col min="9996" max="10230" width="9.140625" style="7"/>
    <col min="10231" max="10231" width="13.28515625" style="7" customWidth="1"/>
    <col min="10232" max="10232" width="34.7109375" style="7" customWidth="1"/>
    <col min="10233" max="10233" width="26.85546875" style="7" customWidth="1"/>
    <col min="10234" max="10242" width="15.140625" style="7" customWidth="1"/>
    <col min="10243" max="10243" width="14" style="7" customWidth="1"/>
    <col min="10244" max="10244" width="13.42578125" style="7" customWidth="1"/>
    <col min="10245" max="10246" width="15" style="7" customWidth="1"/>
    <col min="10247" max="10247" width="16.5703125" style="7" customWidth="1"/>
    <col min="10248" max="10251" width="18.7109375" style="7" customWidth="1"/>
    <col min="10252" max="10486" width="9.140625" style="7"/>
    <col min="10487" max="10487" width="13.28515625" style="7" customWidth="1"/>
    <col min="10488" max="10488" width="34.7109375" style="7" customWidth="1"/>
    <col min="10489" max="10489" width="26.85546875" style="7" customWidth="1"/>
    <col min="10490" max="10498" width="15.140625" style="7" customWidth="1"/>
    <col min="10499" max="10499" width="14" style="7" customWidth="1"/>
    <col min="10500" max="10500" width="13.42578125" style="7" customWidth="1"/>
    <col min="10501" max="10502" width="15" style="7" customWidth="1"/>
    <col min="10503" max="10503" width="16.5703125" style="7" customWidth="1"/>
    <col min="10504" max="10507" width="18.7109375" style="7" customWidth="1"/>
    <col min="10508" max="10742" width="9.140625" style="7"/>
    <col min="10743" max="10743" width="13.28515625" style="7" customWidth="1"/>
    <col min="10744" max="10744" width="34.7109375" style="7" customWidth="1"/>
    <col min="10745" max="10745" width="26.85546875" style="7" customWidth="1"/>
    <col min="10746" max="10754" width="15.140625" style="7" customWidth="1"/>
    <col min="10755" max="10755" width="14" style="7" customWidth="1"/>
    <col min="10756" max="10756" width="13.42578125" style="7" customWidth="1"/>
    <col min="10757" max="10758" width="15" style="7" customWidth="1"/>
    <col min="10759" max="10759" width="16.5703125" style="7" customWidth="1"/>
    <col min="10760" max="10763" width="18.7109375" style="7" customWidth="1"/>
    <col min="10764" max="10998" width="9.140625" style="7"/>
    <col min="10999" max="10999" width="13.28515625" style="7" customWidth="1"/>
    <col min="11000" max="11000" width="34.7109375" style="7" customWidth="1"/>
    <col min="11001" max="11001" width="26.85546875" style="7" customWidth="1"/>
    <col min="11002" max="11010" width="15.140625" style="7" customWidth="1"/>
    <col min="11011" max="11011" width="14" style="7" customWidth="1"/>
    <col min="11012" max="11012" width="13.42578125" style="7" customWidth="1"/>
    <col min="11013" max="11014" width="15" style="7" customWidth="1"/>
    <col min="11015" max="11015" width="16.5703125" style="7" customWidth="1"/>
    <col min="11016" max="11019" width="18.7109375" style="7" customWidth="1"/>
    <col min="11020" max="11254" width="9.140625" style="7"/>
    <col min="11255" max="11255" width="13.28515625" style="7" customWidth="1"/>
    <col min="11256" max="11256" width="34.7109375" style="7" customWidth="1"/>
    <col min="11257" max="11257" width="26.85546875" style="7" customWidth="1"/>
    <col min="11258" max="11266" width="15.140625" style="7" customWidth="1"/>
    <col min="11267" max="11267" width="14" style="7" customWidth="1"/>
    <col min="11268" max="11268" width="13.42578125" style="7" customWidth="1"/>
    <col min="11269" max="11270" width="15" style="7" customWidth="1"/>
    <col min="11271" max="11271" width="16.5703125" style="7" customWidth="1"/>
    <col min="11272" max="11275" width="18.7109375" style="7" customWidth="1"/>
    <col min="11276" max="11510" width="9.140625" style="7"/>
    <col min="11511" max="11511" width="13.28515625" style="7" customWidth="1"/>
    <col min="11512" max="11512" width="34.7109375" style="7" customWidth="1"/>
    <col min="11513" max="11513" width="26.85546875" style="7" customWidth="1"/>
    <col min="11514" max="11522" width="15.140625" style="7" customWidth="1"/>
    <col min="11523" max="11523" width="14" style="7" customWidth="1"/>
    <col min="11524" max="11524" width="13.42578125" style="7" customWidth="1"/>
    <col min="11525" max="11526" width="15" style="7" customWidth="1"/>
    <col min="11527" max="11527" width="16.5703125" style="7" customWidth="1"/>
    <col min="11528" max="11531" width="18.7109375" style="7" customWidth="1"/>
    <col min="11532" max="11766" width="9.140625" style="7"/>
    <col min="11767" max="11767" width="13.28515625" style="7" customWidth="1"/>
    <col min="11768" max="11768" width="34.7109375" style="7" customWidth="1"/>
    <col min="11769" max="11769" width="26.85546875" style="7" customWidth="1"/>
    <col min="11770" max="11778" width="15.140625" style="7" customWidth="1"/>
    <col min="11779" max="11779" width="14" style="7" customWidth="1"/>
    <col min="11780" max="11780" width="13.42578125" style="7" customWidth="1"/>
    <col min="11781" max="11782" width="15" style="7" customWidth="1"/>
    <col min="11783" max="11783" width="16.5703125" style="7" customWidth="1"/>
    <col min="11784" max="11787" width="18.7109375" style="7" customWidth="1"/>
    <col min="11788" max="12022" width="9.140625" style="7"/>
    <col min="12023" max="12023" width="13.28515625" style="7" customWidth="1"/>
    <col min="12024" max="12024" width="34.7109375" style="7" customWidth="1"/>
    <col min="12025" max="12025" width="26.85546875" style="7" customWidth="1"/>
    <col min="12026" max="12034" width="15.140625" style="7" customWidth="1"/>
    <col min="12035" max="12035" width="14" style="7" customWidth="1"/>
    <col min="12036" max="12036" width="13.42578125" style="7" customWidth="1"/>
    <col min="12037" max="12038" width="15" style="7" customWidth="1"/>
    <col min="12039" max="12039" width="16.5703125" style="7" customWidth="1"/>
    <col min="12040" max="12043" width="18.7109375" style="7" customWidth="1"/>
    <col min="12044" max="12278" width="9.140625" style="7"/>
    <col min="12279" max="12279" width="13.28515625" style="7" customWidth="1"/>
    <col min="12280" max="12280" width="34.7109375" style="7" customWidth="1"/>
    <col min="12281" max="12281" width="26.85546875" style="7" customWidth="1"/>
    <col min="12282" max="12290" width="15.140625" style="7" customWidth="1"/>
    <col min="12291" max="12291" width="14" style="7" customWidth="1"/>
    <col min="12292" max="12292" width="13.42578125" style="7" customWidth="1"/>
    <col min="12293" max="12294" width="15" style="7" customWidth="1"/>
    <col min="12295" max="12295" width="16.5703125" style="7" customWidth="1"/>
    <col min="12296" max="12299" width="18.7109375" style="7" customWidth="1"/>
    <col min="12300" max="12534" width="9.140625" style="7"/>
    <col min="12535" max="12535" width="13.28515625" style="7" customWidth="1"/>
    <col min="12536" max="12536" width="34.7109375" style="7" customWidth="1"/>
    <col min="12537" max="12537" width="26.85546875" style="7" customWidth="1"/>
    <col min="12538" max="12546" width="15.140625" style="7" customWidth="1"/>
    <col min="12547" max="12547" width="14" style="7" customWidth="1"/>
    <col min="12548" max="12548" width="13.42578125" style="7" customWidth="1"/>
    <col min="12549" max="12550" width="15" style="7" customWidth="1"/>
    <col min="12551" max="12551" width="16.5703125" style="7" customWidth="1"/>
    <col min="12552" max="12555" width="18.7109375" style="7" customWidth="1"/>
    <col min="12556" max="12790" width="9.140625" style="7"/>
    <col min="12791" max="12791" width="13.28515625" style="7" customWidth="1"/>
    <col min="12792" max="12792" width="34.7109375" style="7" customWidth="1"/>
    <col min="12793" max="12793" width="26.85546875" style="7" customWidth="1"/>
    <col min="12794" max="12802" width="15.140625" style="7" customWidth="1"/>
    <col min="12803" max="12803" width="14" style="7" customWidth="1"/>
    <col min="12804" max="12804" width="13.42578125" style="7" customWidth="1"/>
    <col min="12805" max="12806" width="15" style="7" customWidth="1"/>
    <col min="12807" max="12807" width="16.5703125" style="7" customWidth="1"/>
    <col min="12808" max="12811" width="18.7109375" style="7" customWidth="1"/>
    <col min="12812" max="13046" width="9.140625" style="7"/>
    <col min="13047" max="13047" width="13.28515625" style="7" customWidth="1"/>
    <col min="13048" max="13048" width="34.7109375" style="7" customWidth="1"/>
    <col min="13049" max="13049" width="26.85546875" style="7" customWidth="1"/>
    <col min="13050" max="13058" width="15.140625" style="7" customWidth="1"/>
    <col min="13059" max="13059" width="14" style="7" customWidth="1"/>
    <col min="13060" max="13060" width="13.42578125" style="7" customWidth="1"/>
    <col min="13061" max="13062" width="15" style="7" customWidth="1"/>
    <col min="13063" max="13063" width="16.5703125" style="7" customWidth="1"/>
    <col min="13064" max="13067" width="18.7109375" style="7" customWidth="1"/>
    <col min="13068" max="13302" width="9.140625" style="7"/>
    <col min="13303" max="13303" width="13.28515625" style="7" customWidth="1"/>
    <col min="13304" max="13304" width="34.7109375" style="7" customWidth="1"/>
    <col min="13305" max="13305" width="26.85546875" style="7" customWidth="1"/>
    <col min="13306" max="13314" width="15.140625" style="7" customWidth="1"/>
    <col min="13315" max="13315" width="14" style="7" customWidth="1"/>
    <col min="13316" max="13316" width="13.42578125" style="7" customWidth="1"/>
    <col min="13317" max="13318" width="15" style="7" customWidth="1"/>
    <col min="13319" max="13319" width="16.5703125" style="7" customWidth="1"/>
    <col min="13320" max="13323" width="18.7109375" style="7" customWidth="1"/>
    <col min="13324" max="13558" width="9.140625" style="7"/>
    <col min="13559" max="13559" width="13.28515625" style="7" customWidth="1"/>
    <col min="13560" max="13560" width="34.7109375" style="7" customWidth="1"/>
    <col min="13561" max="13561" width="26.85546875" style="7" customWidth="1"/>
    <col min="13562" max="13570" width="15.140625" style="7" customWidth="1"/>
    <col min="13571" max="13571" width="14" style="7" customWidth="1"/>
    <col min="13572" max="13572" width="13.42578125" style="7" customWidth="1"/>
    <col min="13573" max="13574" width="15" style="7" customWidth="1"/>
    <col min="13575" max="13575" width="16.5703125" style="7" customWidth="1"/>
    <col min="13576" max="13579" width="18.7109375" style="7" customWidth="1"/>
    <col min="13580" max="13814" width="9.140625" style="7"/>
    <col min="13815" max="13815" width="13.28515625" style="7" customWidth="1"/>
    <col min="13816" max="13816" width="34.7109375" style="7" customWidth="1"/>
    <col min="13817" max="13817" width="26.85546875" style="7" customWidth="1"/>
    <col min="13818" max="13826" width="15.140625" style="7" customWidth="1"/>
    <col min="13827" max="13827" width="14" style="7" customWidth="1"/>
    <col min="13828" max="13828" width="13.42578125" style="7" customWidth="1"/>
    <col min="13829" max="13830" width="15" style="7" customWidth="1"/>
    <col min="13831" max="13831" width="16.5703125" style="7" customWidth="1"/>
    <col min="13832" max="13835" width="18.7109375" style="7" customWidth="1"/>
    <col min="13836" max="14070" width="9.140625" style="7"/>
    <col min="14071" max="14071" width="13.28515625" style="7" customWidth="1"/>
    <col min="14072" max="14072" width="34.7109375" style="7" customWidth="1"/>
    <col min="14073" max="14073" width="26.85546875" style="7" customWidth="1"/>
    <col min="14074" max="14082" width="15.140625" style="7" customWidth="1"/>
    <col min="14083" max="14083" width="14" style="7" customWidth="1"/>
    <col min="14084" max="14084" width="13.42578125" style="7" customWidth="1"/>
    <col min="14085" max="14086" width="15" style="7" customWidth="1"/>
    <col min="14087" max="14087" width="16.5703125" style="7" customWidth="1"/>
    <col min="14088" max="14091" width="18.7109375" style="7" customWidth="1"/>
    <col min="14092" max="14326" width="9.140625" style="7"/>
    <col min="14327" max="14327" width="13.28515625" style="7" customWidth="1"/>
    <col min="14328" max="14328" width="34.7109375" style="7" customWidth="1"/>
    <col min="14329" max="14329" width="26.85546875" style="7" customWidth="1"/>
    <col min="14330" max="14338" width="15.140625" style="7" customWidth="1"/>
    <col min="14339" max="14339" width="14" style="7" customWidth="1"/>
    <col min="14340" max="14340" width="13.42578125" style="7" customWidth="1"/>
    <col min="14341" max="14342" width="15" style="7" customWidth="1"/>
    <col min="14343" max="14343" width="16.5703125" style="7" customWidth="1"/>
    <col min="14344" max="14347" width="18.7109375" style="7" customWidth="1"/>
    <col min="14348" max="14582" width="9.140625" style="7"/>
    <col min="14583" max="14583" width="13.28515625" style="7" customWidth="1"/>
    <col min="14584" max="14584" width="34.7109375" style="7" customWidth="1"/>
    <col min="14585" max="14585" width="26.85546875" style="7" customWidth="1"/>
    <col min="14586" max="14594" width="15.140625" style="7" customWidth="1"/>
    <col min="14595" max="14595" width="14" style="7" customWidth="1"/>
    <col min="14596" max="14596" width="13.42578125" style="7" customWidth="1"/>
    <col min="14597" max="14598" width="15" style="7" customWidth="1"/>
    <col min="14599" max="14599" width="16.5703125" style="7" customWidth="1"/>
    <col min="14600" max="14603" width="18.7109375" style="7" customWidth="1"/>
    <col min="14604" max="14838" width="9.140625" style="7"/>
    <col min="14839" max="14839" width="13.28515625" style="7" customWidth="1"/>
    <col min="14840" max="14840" width="34.7109375" style="7" customWidth="1"/>
    <col min="14841" max="14841" width="26.85546875" style="7" customWidth="1"/>
    <col min="14842" max="14850" width="15.140625" style="7" customWidth="1"/>
    <col min="14851" max="14851" width="14" style="7" customWidth="1"/>
    <col min="14852" max="14852" width="13.42578125" style="7" customWidth="1"/>
    <col min="14853" max="14854" width="15" style="7" customWidth="1"/>
    <col min="14855" max="14855" width="16.5703125" style="7" customWidth="1"/>
    <col min="14856" max="14859" width="18.7109375" style="7" customWidth="1"/>
    <col min="14860" max="15094" width="9.140625" style="7"/>
    <col min="15095" max="15095" width="13.28515625" style="7" customWidth="1"/>
    <col min="15096" max="15096" width="34.7109375" style="7" customWidth="1"/>
    <col min="15097" max="15097" width="26.85546875" style="7" customWidth="1"/>
    <col min="15098" max="15106" width="15.140625" style="7" customWidth="1"/>
    <col min="15107" max="15107" width="14" style="7" customWidth="1"/>
    <col min="15108" max="15108" width="13.42578125" style="7" customWidth="1"/>
    <col min="15109" max="15110" width="15" style="7" customWidth="1"/>
    <col min="15111" max="15111" width="16.5703125" style="7" customWidth="1"/>
    <col min="15112" max="15115" width="18.7109375" style="7" customWidth="1"/>
    <col min="15116" max="15350" width="9.140625" style="7"/>
    <col min="15351" max="15351" width="13.28515625" style="7" customWidth="1"/>
    <col min="15352" max="15352" width="34.7109375" style="7" customWidth="1"/>
    <col min="15353" max="15353" width="26.85546875" style="7" customWidth="1"/>
    <col min="15354" max="15362" width="15.140625" style="7" customWidth="1"/>
    <col min="15363" max="15363" width="14" style="7" customWidth="1"/>
    <col min="15364" max="15364" width="13.42578125" style="7" customWidth="1"/>
    <col min="15365" max="15366" width="15" style="7" customWidth="1"/>
    <col min="15367" max="15367" width="16.5703125" style="7" customWidth="1"/>
    <col min="15368" max="15371" width="18.7109375" style="7" customWidth="1"/>
    <col min="15372" max="15606" width="9.140625" style="7"/>
    <col min="15607" max="15607" width="13.28515625" style="7" customWidth="1"/>
    <col min="15608" max="15608" width="34.7109375" style="7" customWidth="1"/>
    <col min="15609" max="15609" width="26.85546875" style="7" customWidth="1"/>
    <col min="15610" max="15618" width="15.140625" style="7" customWidth="1"/>
    <col min="15619" max="15619" width="14" style="7" customWidth="1"/>
    <col min="15620" max="15620" width="13.42578125" style="7" customWidth="1"/>
    <col min="15621" max="15622" width="15" style="7" customWidth="1"/>
    <col min="15623" max="15623" width="16.5703125" style="7" customWidth="1"/>
    <col min="15624" max="15627" width="18.7109375" style="7" customWidth="1"/>
    <col min="15628" max="15862" width="9.140625" style="7"/>
    <col min="15863" max="15863" width="13.28515625" style="7" customWidth="1"/>
    <col min="15864" max="15864" width="34.7109375" style="7" customWidth="1"/>
    <col min="15865" max="15865" width="26.85546875" style="7" customWidth="1"/>
    <col min="15866" max="15874" width="15.140625" style="7" customWidth="1"/>
    <col min="15875" max="15875" width="14" style="7" customWidth="1"/>
    <col min="15876" max="15876" width="13.42578125" style="7" customWidth="1"/>
    <col min="15877" max="15878" width="15" style="7" customWidth="1"/>
    <col min="15879" max="15879" width="16.5703125" style="7" customWidth="1"/>
    <col min="15880" max="15883" width="18.7109375" style="7" customWidth="1"/>
    <col min="15884" max="16118" width="9.140625" style="7"/>
    <col min="16119" max="16119" width="13.28515625" style="7" customWidth="1"/>
    <col min="16120" max="16120" width="34.7109375" style="7" customWidth="1"/>
    <col min="16121" max="16121" width="26.85546875" style="7" customWidth="1"/>
    <col min="16122" max="16130" width="15.140625" style="7" customWidth="1"/>
    <col min="16131" max="16131" width="14" style="7" customWidth="1"/>
    <col min="16132" max="16132" width="13.42578125" style="7" customWidth="1"/>
    <col min="16133" max="16134" width="15" style="7" customWidth="1"/>
    <col min="16135" max="16135" width="16.5703125" style="7" customWidth="1"/>
    <col min="16136" max="16139" width="18.7109375" style="7" customWidth="1"/>
    <col min="16140" max="16384" width="9.140625" style="7"/>
  </cols>
  <sheetData>
    <row r="1" spans="1:184">
      <c r="L1" s="110"/>
    </row>
    <row r="2" spans="1:184">
      <c r="L2" s="110"/>
    </row>
    <row r="3" spans="1:184" s="1" customFormat="1" ht="63" customHeight="1">
      <c r="B3" s="87"/>
      <c r="C3" s="87"/>
      <c r="D3" s="113" t="s">
        <v>362</v>
      </c>
      <c r="E3" s="113"/>
      <c r="F3" s="113"/>
      <c r="G3" s="113"/>
      <c r="H3" s="113"/>
      <c r="I3" s="113"/>
      <c r="J3" s="113"/>
      <c r="K3" s="113"/>
      <c r="L3" s="109"/>
      <c r="M3" s="87"/>
      <c r="N3" s="87"/>
      <c r="O3" s="87"/>
      <c r="P3" s="87"/>
      <c r="Q3" s="87"/>
      <c r="R3" s="87"/>
      <c r="S3" s="87"/>
      <c r="T3" s="87"/>
    </row>
    <row r="4" spans="1:184" s="1" customFormat="1" ht="15" customHeight="1">
      <c r="A4" s="2"/>
      <c r="B4" s="3"/>
    </row>
    <row r="5" spans="1:184" s="4" customFormat="1" ht="123" customHeight="1">
      <c r="A5" s="115" t="s">
        <v>0</v>
      </c>
      <c r="B5" s="111" t="s">
        <v>50</v>
      </c>
      <c r="C5" s="111" t="s">
        <v>51</v>
      </c>
      <c r="D5" s="111" t="s">
        <v>363</v>
      </c>
      <c r="E5" s="111"/>
      <c r="F5" s="111"/>
      <c r="G5" s="111"/>
      <c r="H5" s="111"/>
      <c r="I5" s="111" t="s">
        <v>419</v>
      </c>
      <c r="J5" s="111"/>
      <c r="K5" s="111" t="s">
        <v>420</v>
      </c>
      <c r="L5" s="111"/>
      <c r="M5" s="111" t="s">
        <v>52</v>
      </c>
      <c r="N5" s="111"/>
      <c r="O5" s="111"/>
      <c r="P5" s="111"/>
      <c r="Q5" s="111"/>
      <c r="R5" s="111" t="s">
        <v>368</v>
      </c>
      <c r="S5" s="111" t="s">
        <v>369</v>
      </c>
      <c r="T5" s="111" t="s">
        <v>370</v>
      </c>
    </row>
    <row r="6" spans="1:184" s="4" customFormat="1" ht="41.25" customHeight="1">
      <c r="A6" s="115"/>
      <c r="B6" s="111"/>
      <c r="C6" s="111"/>
      <c r="D6" s="37" t="s">
        <v>364</v>
      </c>
      <c r="E6" s="37" t="s">
        <v>365</v>
      </c>
      <c r="F6" s="37" t="s">
        <v>366</v>
      </c>
      <c r="G6" s="37" t="s">
        <v>367</v>
      </c>
      <c r="H6" s="37" t="s">
        <v>54</v>
      </c>
      <c r="I6" s="37" t="s">
        <v>55</v>
      </c>
      <c r="J6" s="37" t="s">
        <v>56</v>
      </c>
      <c r="K6" s="37" t="s">
        <v>55</v>
      </c>
      <c r="L6" s="37" t="s">
        <v>56</v>
      </c>
      <c r="M6" s="37" t="s">
        <v>57</v>
      </c>
      <c r="N6" s="37" t="s">
        <v>58</v>
      </c>
      <c r="O6" s="37" t="s">
        <v>53</v>
      </c>
      <c r="P6" s="37" t="s">
        <v>59</v>
      </c>
      <c r="Q6" s="37" t="s">
        <v>60</v>
      </c>
      <c r="R6" s="111"/>
      <c r="S6" s="111"/>
      <c r="T6" s="111"/>
    </row>
    <row r="7" spans="1:184" s="4" customFormat="1" ht="15" customHeight="1">
      <c r="A7" s="38"/>
      <c r="B7" s="38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184" s="4" customFormat="1" ht="21" customHeight="1">
      <c r="A8" s="112" t="s">
        <v>61</v>
      </c>
      <c r="B8" s="112"/>
      <c r="C8" s="112"/>
      <c r="D8" s="41"/>
      <c r="E8" s="41"/>
      <c r="F8" s="42"/>
      <c r="G8" s="41"/>
      <c r="H8" s="41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184" s="6" customFormat="1">
      <c r="A9" s="43" t="s">
        <v>318</v>
      </c>
      <c r="B9" s="44" t="s">
        <v>319</v>
      </c>
      <c r="C9" s="44" t="s">
        <v>63</v>
      </c>
      <c r="D9" s="45">
        <v>157.869</v>
      </c>
      <c r="E9" s="45">
        <f>234.172-D9</f>
        <v>76.302999999999997</v>
      </c>
      <c r="F9" s="45">
        <v>27.265999999999998</v>
      </c>
      <c r="G9" s="45">
        <v>163.59299999999999</v>
      </c>
      <c r="H9" s="45">
        <f>SUM(D9:G9)</f>
        <v>425.03099999999995</v>
      </c>
      <c r="I9" s="46">
        <v>3868.0219066666664</v>
      </c>
      <c r="J9" s="46">
        <v>4022.7427829333333</v>
      </c>
      <c r="K9" s="46">
        <v>1205.7535</v>
      </c>
      <c r="L9" s="46">
        <v>1253.9836400000002</v>
      </c>
      <c r="M9" s="47">
        <f>(I9-K9)*D9</f>
        <v>420289.65109205991</v>
      </c>
      <c r="N9" s="47">
        <f>(I9-K9)*E9</f>
        <v>203139.06623388661</v>
      </c>
      <c r="O9" s="47">
        <f>(J9-L9)*F9</f>
        <v>75492.986791220261</v>
      </c>
      <c r="P9" s="47">
        <f>(G9*(J9-L9))</f>
        <v>452949.61446989275</v>
      </c>
      <c r="Q9" s="47">
        <f>SUM(M9:P9)</f>
        <v>1151871.3185870596</v>
      </c>
      <c r="R9" s="48"/>
      <c r="S9" s="48"/>
      <c r="T9" s="48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</row>
    <row r="10" spans="1:184" s="24" customFormat="1">
      <c r="A10" s="43" t="s">
        <v>315</v>
      </c>
      <c r="B10" s="44" t="s">
        <v>68</v>
      </c>
      <c r="C10" s="44" t="s">
        <v>69</v>
      </c>
      <c r="D10" s="45">
        <v>180.07599999999999</v>
      </c>
      <c r="E10" s="45">
        <f>264.987-D10</f>
        <v>84.91100000000003</v>
      </c>
      <c r="F10" s="45">
        <v>41.975999999999999</v>
      </c>
      <c r="G10" s="45">
        <f>213.516-F10</f>
        <v>171.54</v>
      </c>
      <c r="H10" s="45">
        <f t="shared" ref="H10:H73" si="0">SUM(D10:G10)</f>
        <v>478.50300000000004</v>
      </c>
      <c r="I10" s="46">
        <v>3616.0080454281451</v>
      </c>
      <c r="J10" s="46">
        <v>3760.6483672452709</v>
      </c>
      <c r="K10" s="46">
        <v>1326.3362840000002</v>
      </c>
      <c r="L10" s="46">
        <v>1379.3897353600003</v>
      </c>
      <c r="M10" s="47">
        <f t="shared" ref="M10:M73" si="1">(I10-K10)*D10</f>
        <v>412314.93211093463</v>
      </c>
      <c r="N10" s="47">
        <f t="shared" ref="N10:N73" si="2">(I10-K10)*E10</f>
        <v>194418.31893462531</v>
      </c>
      <c r="O10" s="47">
        <f t="shared" ref="O10:O73" si="3">(J10-L10)*F10</f>
        <v>99955.712332016134</v>
      </c>
      <c r="P10" s="47">
        <f t="shared" ref="P10:P73" si="4">(G10*(J10-L10))</f>
        <v>408481.10571359936</v>
      </c>
      <c r="Q10" s="47">
        <f t="shared" ref="Q10:Q73" si="5">SUM(M10:P10)</f>
        <v>1115170.0690911755</v>
      </c>
      <c r="R10" s="48"/>
      <c r="S10" s="48"/>
      <c r="T10" s="48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</row>
    <row r="11" spans="1:184" s="24" customFormat="1">
      <c r="A11" s="43" t="s">
        <v>316</v>
      </c>
      <c r="B11" s="44" t="s">
        <v>66</v>
      </c>
      <c r="C11" s="44" t="s">
        <v>67</v>
      </c>
      <c r="D11" s="45">
        <v>419.7</v>
      </c>
      <c r="E11" s="45">
        <f>622.555-D11</f>
        <v>202.85499999999996</v>
      </c>
      <c r="F11" s="45">
        <v>90.66</v>
      </c>
      <c r="G11" s="45">
        <f>512.97-F11</f>
        <v>422.31000000000006</v>
      </c>
      <c r="H11" s="45">
        <f t="shared" si="0"/>
        <v>1135.5250000000001</v>
      </c>
      <c r="I11" s="46">
        <v>3227.1824000000001</v>
      </c>
      <c r="J11" s="46">
        <v>3356.2696960000003</v>
      </c>
      <c r="K11" s="46">
        <v>1419.43776</v>
      </c>
      <c r="L11" s="46">
        <v>1476.2152704</v>
      </c>
      <c r="M11" s="47">
        <f t="shared" si="1"/>
        <v>758710.42540800001</v>
      </c>
      <c r="N11" s="47">
        <f t="shared" si="2"/>
        <v>366710.03894719994</v>
      </c>
      <c r="O11" s="47">
        <f t="shared" si="3"/>
        <v>170445.73422489603</v>
      </c>
      <c r="P11" s="47">
        <f t="shared" si="4"/>
        <v>793965.7844751362</v>
      </c>
      <c r="Q11" s="47">
        <f t="shared" si="5"/>
        <v>2089831.9830552321</v>
      </c>
      <c r="R11" s="48"/>
      <c r="S11" s="48"/>
      <c r="T11" s="48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</row>
    <row r="12" spans="1:184" s="24" customFormat="1">
      <c r="A12" s="43" t="s">
        <v>2</v>
      </c>
      <c r="B12" s="44" t="s">
        <v>70</v>
      </c>
      <c r="C12" s="44" t="s">
        <v>69</v>
      </c>
      <c r="D12" s="45">
        <v>3044.9839999999999</v>
      </c>
      <c r="E12" s="45">
        <f>4421.044-D12</f>
        <v>1376.06</v>
      </c>
      <c r="F12" s="45">
        <v>520.79499999999996</v>
      </c>
      <c r="G12" s="45">
        <f>2688.203-F12</f>
        <v>2167.4079999999999</v>
      </c>
      <c r="H12" s="45">
        <f t="shared" si="0"/>
        <v>7109.2469999999994</v>
      </c>
      <c r="I12" s="46">
        <v>3088.3306133333335</v>
      </c>
      <c r="J12" s="46">
        <v>3211.8638378666669</v>
      </c>
      <c r="K12" s="46">
        <v>1602.3264250000002</v>
      </c>
      <c r="L12" s="46">
        <v>1666.4194820000002</v>
      </c>
      <c r="M12" s="47">
        <f t="shared" si="1"/>
        <v>4524858.9774079863</v>
      </c>
      <c r="N12" s="47">
        <f t="shared" si="2"/>
        <v>2044830.9233979667</v>
      </c>
      <c r="O12" s="47">
        <f t="shared" si="3"/>
        <v>804859.69331358059</v>
      </c>
      <c r="P12" s="47">
        <f t="shared" si="4"/>
        <v>3349608.46046026</v>
      </c>
      <c r="Q12" s="47">
        <f t="shared" si="5"/>
        <v>10724158.054579794</v>
      </c>
      <c r="R12" s="48"/>
      <c r="S12" s="48"/>
      <c r="T12" s="48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</row>
    <row r="13" spans="1:184" s="24" customFormat="1">
      <c r="A13" s="43" t="s">
        <v>317</v>
      </c>
      <c r="B13" s="44" t="s">
        <v>64</v>
      </c>
      <c r="C13" s="44" t="s">
        <v>65</v>
      </c>
      <c r="D13" s="45">
        <v>1712.37</v>
      </c>
      <c r="E13" s="45">
        <f>2818.55-D13</f>
        <v>1106.1800000000003</v>
      </c>
      <c r="F13" s="45">
        <v>490.08</v>
      </c>
      <c r="G13" s="45">
        <f>2011.33-F13</f>
        <v>1521.25</v>
      </c>
      <c r="H13" s="45">
        <f t="shared" si="0"/>
        <v>4829.88</v>
      </c>
      <c r="I13" s="46">
        <v>3759.7144000000003</v>
      </c>
      <c r="J13" s="46">
        <v>3910.1029760000006</v>
      </c>
      <c r="K13" s="46">
        <v>1419.43776</v>
      </c>
      <c r="L13" s="46">
        <v>1476.2152704</v>
      </c>
      <c r="M13" s="47">
        <f t="shared" si="1"/>
        <v>4007419.5100367996</v>
      </c>
      <c r="N13" s="47">
        <f t="shared" si="2"/>
        <v>2588767.2136352006</v>
      </c>
      <c r="O13" s="47">
        <f t="shared" si="3"/>
        <v>1192799.6867604482</v>
      </c>
      <c r="P13" s="47">
        <f t="shared" si="4"/>
        <v>3702551.6721440009</v>
      </c>
      <c r="Q13" s="47">
        <f t="shared" si="5"/>
        <v>11491538.08257645</v>
      </c>
      <c r="R13" s="48"/>
      <c r="S13" s="48"/>
      <c r="T13" s="48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</row>
    <row r="14" spans="1:184" s="24" customFormat="1">
      <c r="A14" s="43" t="s">
        <v>405</v>
      </c>
      <c r="B14" s="44" t="s">
        <v>403</v>
      </c>
      <c r="C14" s="44" t="s">
        <v>404</v>
      </c>
      <c r="D14" s="45">
        <f>13.2*0.6</f>
        <v>7.919999999999999</v>
      </c>
      <c r="E14" s="45">
        <f>13.2-D14</f>
        <v>5.28</v>
      </c>
      <c r="F14" s="45">
        <f>10.8*0.2</f>
        <v>2.16</v>
      </c>
      <c r="G14" s="45">
        <f>10.8-F14</f>
        <v>8.64</v>
      </c>
      <c r="H14" s="45">
        <f t="shared" si="0"/>
        <v>24</v>
      </c>
      <c r="I14" s="46">
        <v>2778.2248</v>
      </c>
      <c r="J14" s="46">
        <v>2889.3537919999999</v>
      </c>
      <c r="K14" s="46">
        <v>1792.01</v>
      </c>
      <c r="L14" s="46">
        <v>1863.6904</v>
      </c>
      <c r="M14" s="47">
        <f t="shared" si="1"/>
        <v>7810.8212159999985</v>
      </c>
      <c r="N14" s="47">
        <f t="shared" si="2"/>
        <v>5207.2141440000005</v>
      </c>
      <c r="O14" s="47">
        <f t="shared" si="3"/>
        <v>2215.4329267200001</v>
      </c>
      <c r="P14" s="47">
        <f t="shared" si="4"/>
        <v>8861.7317068800003</v>
      </c>
      <c r="Q14" s="47">
        <f t="shared" si="5"/>
        <v>24095.199993599999</v>
      </c>
      <c r="R14" s="48"/>
      <c r="S14" s="48"/>
      <c r="T14" s="48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</row>
    <row r="15" spans="1:184" s="24" customFormat="1" ht="15.75">
      <c r="A15" s="112" t="s">
        <v>71</v>
      </c>
      <c r="B15" s="112"/>
      <c r="C15" s="112"/>
      <c r="D15" s="49"/>
      <c r="E15" s="49"/>
      <c r="F15" s="42"/>
      <c r="G15" s="42"/>
      <c r="H15" s="45">
        <f t="shared" si="0"/>
        <v>0</v>
      </c>
      <c r="I15" s="40"/>
      <c r="J15" s="40"/>
      <c r="K15" s="40"/>
      <c r="L15" s="40"/>
      <c r="M15" s="47">
        <f t="shared" si="1"/>
        <v>0</v>
      </c>
      <c r="N15" s="47">
        <f t="shared" si="2"/>
        <v>0</v>
      </c>
      <c r="O15" s="47">
        <f t="shared" si="3"/>
        <v>0</v>
      </c>
      <c r="P15" s="47">
        <f t="shared" si="4"/>
        <v>0</v>
      </c>
      <c r="Q15" s="47">
        <f t="shared" si="5"/>
        <v>0</v>
      </c>
      <c r="R15" s="88"/>
      <c r="S15" s="88"/>
      <c r="T15" s="88"/>
    </row>
    <row r="16" spans="1:184" s="24" customFormat="1">
      <c r="A16" s="43" t="s">
        <v>12</v>
      </c>
      <c r="B16" s="44" t="s">
        <v>76</v>
      </c>
      <c r="C16" s="44" t="s">
        <v>77</v>
      </c>
      <c r="D16" s="45">
        <v>94.2</v>
      </c>
      <c r="E16" s="45">
        <f>150.72-D16</f>
        <v>56.519999999999996</v>
      </c>
      <c r="F16" s="45">
        <v>6.27</v>
      </c>
      <c r="G16" s="45">
        <f>100.47-F16</f>
        <v>94.2</v>
      </c>
      <c r="H16" s="45">
        <f t="shared" si="0"/>
        <v>251.19</v>
      </c>
      <c r="I16" s="46">
        <v>5940.7088000000003</v>
      </c>
      <c r="J16" s="46">
        <v>6178.337152000001</v>
      </c>
      <c r="K16" s="46">
        <v>2009.6862240000003</v>
      </c>
      <c r="L16" s="46">
        <v>2090.0736729600003</v>
      </c>
      <c r="M16" s="47">
        <f t="shared" si="1"/>
        <v>370302.32665920001</v>
      </c>
      <c r="N16" s="47">
        <f t="shared" si="2"/>
        <v>222181.39599552</v>
      </c>
      <c r="O16" s="47">
        <f t="shared" si="3"/>
        <v>25633.412013580801</v>
      </c>
      <c r="P16" s="47">
        <f t="shared" si="4"/>
        <v>385114.41972556809</v>
      </c>
      <c r="Q16" s="47">
        <f t="shared" si="5"/>
        <v>1003231.5543938689</v>
      </c>
      <c r="R16" s="48"/>
      <c r="S16" s="48"/>
      <c r="T16" s="48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</row>
    <row r="17" spans="1:184" s="24" customFormat="1" ht="30">
      <c r="A17" s="43" t="s">
        <v>314</v>
      </c>
      <c r="B17" s="44" t="s">
        <v>78</v>
      </c>
      <c r="C17" s="44" t="s">
        <v>356</v>
      </c>
      <c r="D17" s="45">
        <v>112.92</v>
      </c>
      <c r="E17" s="45">
        <f>168.64-D17</f>
        <v>55.719999999999985</v>
      </c>
      <c r="F17" s="45">
        <v>13.766999999999999</v>
      </c>
      <c r="G17" s="45">
        <v>82.600999999999999</v>
      </c>
      <c r="H17" s="45">
        <f t="shared" si="0"/>
        <v>265.00799999999998</v>
      </c>
      <c r="I17" s="46">
        <v>3099.0788400000001</v>
      </c>
      <c r="J17" s="46">
        <v>3223.0419936000003</v>
      </c>
      <c r="K17" s="46">
        <v>1187.4576000000002</v>
      </c>
      <c r="L17" s="46">
        <v>1234.9559040000001</v>
      </c>
      <c r="M17" s="47">
        <f t="shared" si="1"/>
        <v>215860.27042079999</v>
      </c>
      <c r="N17" s="47">
        <f t="shared" si="2"/>
        <v>106515.53549279997</v>
      </c>
      <c r="O17" s="47">
        <f t="shared" si="3"/>
        <v>27369.9811955232</v>
      </c>
      <c r="P17" s="47">
        <f t="shared" si="4"/>
        <v>164217.89908704962</v>
      </c>
      <c r="Q17" s="47">
        <f t="shared" si="5"/>
        <v>513963.68619617284</v>
      </c>
      <c r="R17" s="48"/>
      <c r="S17" s="48"/>
      <c r="T17" s="48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</row>
    <row r="18" spans="1:184" s="24" customFormat="1" ht="30">
      <c r="A18" s="43" t="s">
        <v>314</v>
      </c>
      <c r="B18" s="44" t="s">
        <v>78</v>
      </c>
      <c r="C18" s="44" t="s">
        <v>357</v>
      </c>
      <c r="D18" s="45">
        <v>160.21</v>
      </c>
      <c r="E18" s="45">
        <f>238.15-D18</f>
        <v>77.94</v>
      </c>
      <c r="F18" s="45">
        <v>34.808</v>
      </c>
      <c r="G18" s="45">
        <f>194.018-F18</f>
        <v>159.21</v>
      </c>
      <c r="H18" s="45">
        <f t="shared" si="0"/>
        <v>432.16800000000001</v>
      </c>
      <c r="I18" s="46">
        <v>5332.8912</v>
      </c>
      <c r="J18" s="46">
        <v>5546.2068479999998</v>
      </c>
      <c r="K18" s="46">
        <v>1456.0400400000001</v>
      </c>
      <c r="L18" s="46">
        <v>1514.2816416000001</v>
      </c>
      <c r="M18" s="47">
        <f t="shared" si="1"/>
        <v>621110.32434360008</v>
      </c>
      <c r="N18" s="47">
        <f t="shared" si="2"/>
        <v>302161.77941040002</v>
      </c>
      <c r="O18" s="47">
        <f t="shared" si="3"/>
        <v>140343.25258437119</v>
      </c>
      <c r="P18" s="47">
        <f t="shared" si="4"/>
        <v>641922.81211094395</v>
      </c>
      <c r="Q18" s="47">
        <f t="shared" si="5"/>
        <v>1705538.1684493152</v>
      </c>
      <c r="R18" s="48"/>
      <c r="S18" s="48"/>
      <c r="T18" s="48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</row>
    <row r="19" spans="1:184" s="24" customFormat="1">
      <c r="A19" s="43" t="s">
        <v>17</v>
      </c>
      <c r="B19" s="44" t="s">
        <v>81</v>
      </c>
      <c r="C19" s="44" t="s">
        <v>82</v>
      </c>
      <c r="D19" s="45">
        <v>411.36</v>
      </c>
      <c r="E19" s="45">
        <f>617.04-D19</f>
        <v>205.67999999999995</v>
      </c>
      <c r="F19" s="45">
        <v>68.56</v>
      </c>
      <c r="G19" s="45">
        <f>479.92-F19</f>
        <v>411.36</v>
      </c>
      <c r="H19" s="45">
        <f t="shared" si="0"/>
        <v>1096.96</v>
      </c>
      <c r="I19" s="46">
        <v>2899.5408000000002</v>
      </c>
      <c r="J19" s="46">
        <v>3015.5224320000002</v>
      </c>
      <c r="K19" s="46">
        <v>1843.2086400000003</v>
      </c>
      <c r="L19" s="46">
        <v>1916.9369856000003</v>
      </c>
      <c r="M19" s="47">
        <f t="shared" si="1"/>
        <v>434532.79733759997</v>
      </c>
      <c r="N19" s="47">
        <f t="shared" si="2"/>
        <v>217266.39866879993</v>
      </c>
      <c r="O19" s="47">
        <f t="shared" si="3"/>
        <v>75319.018205183995</v>
      </c>
      <c r="P19" s="47">
        <f t="shared" si="4"/>
        <v>451914.10923110397</v>
      </c>
      <c r="Q19" s="47">
        <f t="shared" si="5"/>
        <v>1179032.323442688</v>
      </c>
      <c r="R19" s="48"/>
      <c r="S19" s="48"/>
      <c r="T19" s="48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</row>
    <row r="20" spans="1:184" s="24" customFormat="1" ht="30">
      <c r="A20" s="43" t="s">
        <v>13</v>
      </c>
      <c r="B20" s="44" t="s">
        <v>72</v>
      </c>
      <c r="C20" s="44" t="s">
        <v>355</v>
      </c>
      <c r="D20" s="45">
        <v>40.53</v>
      </c>
      <c r="E20" s="45">
        <f>60.35-D20</f>
        <v>19.82</v>
      </c>
      <c r="F20" s="45">
        <v>7.2</v>
      </c>
      <c r="G20" s="45">
        <f>47.73-F20</f>
        <v>40.529999999999994</v>
      </c>
      <c r="H20" s="45">
        <f t="shared" si="0"/>
        <v>108.07999999999998</v>
      </c>
      <c r="I20" s="46">
        <v>12966.314400000001</v>
      </c>
      <c r="J20" s="46">
        <v>13484.966976000002</v>
      </c>
      <c r="K20" s="46">
        <v>1586</v>
      </c>
      <c r="L20" s="48">
        <v>1649.44</v>
      </c>
      <c r="M20" s="47">
        <f t="shared" si="1"/>
        <v>461244.14263200003</v>
      </c>
      <c r="N20" s="47">
        <f t="shared" si="2"/>
        <v>225557.83140800003</v>
      </c>
      <c r="O20" s="47">
        <f t="shared" si="3"/>
        <v>85215.794227200007</v>
      </c>
      <c r="P20" s="47">
        <f t="shared" si="4"/>
        <v>479693.90833727998</v>
      </c>
      <c r="Q20" s="47">
        <f t="shared" si="5"/>
        <v>1251711.67660448</v>
      </c>
      <c r="R20" s="48"/>
      <c r="S20" s="48"/>
      <c r="T20" s="48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</row>
    <row r="21" spans="1:184" s="24" customFormat="1" ht="30">
      <c r="A21" s="43" t="s">
        <v>13</v>
      </c>
      <c r="B21" s="44" t="s">
        <v>72</v>
      </c>
      <c r="C21" s="44" t="s">
        <v>354</v>
      </c>
      <c r="D21" s="45">
        <v>532.13199999999995</v>
      </c>
      <c r="E21" s="45">
        <f>750.064-D21</f>
        <v>217.93200000000002</v>
      </c>
      <c r="F21" s="45">
        <v>79.3</v>
      </c>
      <c r="G21" s="45">
        <f>541.058-F21</f>
        <v>461.75799999999998</v>
      </c>
      <c r="H21" s="45">
        <f t="shared" si="0"/>
        <v>1291.1219999999998</v>
      </c>
      <c r="I21" s="46">
        <v>2331.9712000000004</v>
      </c>
      <c r="J21" s="46">
        <v>2425.2500480000003</v>
      </c>
      <c r="K21" s="46">
        <v>1918.5042240000002</v>
      </c>
      <c r="L21" s="46">
        <v>1995.2443929600004</v>
      </c>
      <c r="M21" s="47">
        <f t="shared" si="1"/>
        <v>220019.00887283206</v>
      </c>
      <c r="N21" s="47">
        <f t="shared" si="2"/>
        <v>90107.685013632043</v>
      </c>
      <c r="O21" s="47">
        <f t="shared" si="3"/>
        <v>34099.448444671994</v>
      </c>
      <c r="P21" s="47">
        <f t="shared" si="4"/>
        <v>198558.55125996031</v>
      </c>
      <c r="Q21" s="47">
        <f t="shared" si="5"/>
        <v>542784.69359109644</v>
      </c>
      <c r="R21" s="48"/>
      <c r="S21" s="48"/>
      <c r="T21" s="48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</row>
    <row r="22" spans="1:184" s="24" customFormat="1">
      <c r="A22" s="43" t="s">
        <v>2</v>
      </c>
      <c r="B22" s="44" t="s">
        <v>70</v>
      </c>
      <c r="C22" s="44" t="s">
        <v>73</v>
      </c>
      <c r="D22" s="45">
        <v>5160.7849999999999</v>
      </c>
      <c r="E22" s="45">
        <f>7067.368-D22</f>
        <v>1906.5830000000005</v>
      </c>
      <c r="F22" s="45">
        <v>953.62900000000002</v>
      </c>
      <c r="G22" s="45">
        <f>4962.801-F22</f>
        <v>4009.1720000000005</v>
      </c>
      <c r="H22" s="45">
        <f t="shared" si="0"/>
        <v>12030.169000000002</v>
      </c>
      <c r="I22" s="46">
        <v>3439.1564707346961</v>
      </c>
      <c r="J22" s="46">
        <v>3576.7227295640841</v>
      </c>
      <c r="K22" s="46">
        <v>1551.9064999999998</v>
      </c>
      <c r="L22" s="46">
        <v>1613.9827599999999</v>
      </c>
      <c r="M22" s="47">
        <f t="shared" si="1"/>
        <v>9739691.3402180597</v>
      </c>
      <c r="N22" s="47">
        <f t="shared" si="2"/>
        <v>3598198.7109532706</v>
      </c>
      <c r="O22" s="47">
        <f t="shared" si="3"/>
        <v>1871725.7544354282</v>
      </c>
      <c r="P22" s="47">
        <f t="shared" si="4"/>
        <v>7868962.1292571798</v>
      </c>
      <c r="Q22" s="47">
        <f t="shared" si="5"/>
        <v>23078577.93486394</v>
      </c>
      <c r="R22" s="48"/>
      <c r="S22" s="48"/>
      <c r="T22" s="48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</row>
    <row r="23" spans="1:184" s="24" customFormat="1">
      <c r="A23" s="43" t="s">
        <v>27</v>
      </c>
      <c r="B23" s="44" t="s">
        <v>74</v>
      </c>
      <c r="C23" s="44" t="s">
        <v>75</v>
      </c>
      <c r="D23" s="45">
        <v>567.81500000000005</v>
      </c>
      <c r="E23" s="45">
        <f>850.332-D23</f>
        <v>282.51699999999994</v>
      </c>
      <c r="F23" s="45">
        <v>94.103999999999999</v>
      </c>
      <c r="G23" s="45">
        <f>656.874-F23</f>
        <v>562.77</v>
      </c>
      <c r="H23" s="45">
        <f t="shared" si="0"/>
        <v>1507.2060000000001</v>
      </c>
      <c r="I23" s="46">
        <v>2851.3263999999999</v>
      </c>
      <c r="J23" s="46">
        <v>2965.3794560000001</v>
      </c>
      <c r="K23" s="46">
        <v>1628.06</v>
      </c>
      <c r="L23" s="46">
        <v>1693.18</v>
      </c>
      <c r="M23" s="47">
        <f t="shared" si="1"/>
        <v>694589.010916</v>
      </c>
      <c r="N23" s="47">
        <f t="shared" si="2"/>
        <v>345593.55352879991</v>
      </c>
      <c r="O23" s="47">
        <f t="shared" si="3"/>
        <v>119719.05760742401</v>
      </c>
      <c r="P23" s="47">
        <f t="shared" si="4"/>
        <v>715955.68785312003</v>
      </c>
      <c r="Q23" s="47">
        <f t="shared" si="5"/>
        <v>1875857.3099053439</v>
      </c>
      <c r="R23" s="48"/>
      <c r="S23" s="48"/>
      <c r="T23" s="48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</row>
    <row r="24" spans="1:184" s="24" customFormat="1">
      <c r="A24" s="43" t="s">
        <v>7</v>
      </c>
      <c r="B24" s="44" t="s">
        <v>79</v>
      </c>
      <c r="C24" s="44" t="s">
        <v>80</v>
      </c>
      <c r="D24" s="45">
        <v>197.4</v>
      </c>
      <c r="E24" s="45">
        <f>444.15-D24</f>
        <v>246.74999999999997</v>
      </c>
      <c r="F24" s="45">
        <v>62.49</v>
      </c>
      <c r="G24" s="45">
        <f>358.59-F24</f>
        <v>296.09999999999997</v>
      </c>
      <c r="H24" s="45">
        <f t="shared" si="0"/>
        <v>802.74</v>
      </c>
      <c r="I24" s="52">
        <v>2844.7744000000002</v>
      </c>
      <c r="J24" s="52">
        <v>2958.5653760000005</v>
      </c>
      <c r="K24" s="52">
        <v>1861.8180000000002</v>
      </c>
      <c r="L24" s="52">
        <v>1936.2907200000002</v>
      </c>
      <c r="M24" s="47">
        <f t="shared" si="1"/>
        <v>194035.59336</v>
      </c>
      <c r="N24" s="47">
        <f t="shared" si="2"/>
        <v>242544.49169999998</v>
      </c>
      <c r="O24" s="47">
        <f t="shared" si="3"/>
        <v>63881.943253440018</v>
      </c>
      <c r="P24" s="47">
        <f t="shared" si="4"/>
        <v>302695.52564160002</v>
      </c>
      <c r="Q24" s="47">
        <f t="shared" si="5"/>
        <v>803157.55395503994</v>
      </c>
      <c r="R24" s="48"/>
      <c r="S24" s="48"/>
      <c r="T24" s="48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</row>
    <row r="25" spans="1:184" s="24" customFormat="1" ht="15.75">
      <c r="A25" s="112" t="s">
        <v>83</v>
      </c>
      <c r="B25" s="112"/>
      <c r="C25" s="112"/>
      <c r="D25" s="49"/>
      <c r="E25" s="49"/>
      <c r="F25" s="42"/>
      <c r="G25" s="42"/>
      <c r="H25" s="45">
        <f t="shared" si="0"/>
        <v>0</v>
      </c>
      <c r="I25" s="40"/>
      <c r="J25" s="40"/>
      <c r="K25" s="40"/>
      <c r="L25" s="40"/>
      <c r="M25" s="47">
        <f t="shared" si="1"/>
        <v>0</v>
      </c>
      <c r="N25" s="47">
        <f t="shared" si="2"/>
        <v>0</v>
      </c>
      <c r="O25" s="47">
        <f t="shared" si="3"/>
        <v>0</v>
      </c>
      <c r="P25" s="47">
        <f t="shared" si="4"/>
        <v>0</v>
      </c>
      <c r="Q25" s="47">
        <f t="shared" si="5"/>
        <v>0</v>
      </c>
      <c r="R25" s="88"/>
      <c r="S25" s="88"/>
      <c r="T25" s="88"/>
    </row>
    <row r="26" spans="1:184" s="24" customFormat="1">
      <c r="A26" s="43" t="s">
        <v>312</v>
      </c>
      <c r="B26" s="44" t="s">
        <v>86</v>
      </c>
      <c r="C26" s="44" t="s">
        <v>85</v>
      </c>
      <c r="D26" s="45">
        <v>48.66</v>
      </c>
      <c r="E26" s="45">
        <f>71.68-D26</f>
        <v>23.02000000000001</v>
      </c>
      <c r="F26" s="45">
        <v>8.0299999999999994</v>
      </c>
      <c r="G26" s="45">
        <f>56.69-F26</f>
        <v>48.66</v>
      </c>
      <c r="H26" s="45">
        <f t="shared" si="0"/>
        <v>128.37</v>
      </c>
      <c r="I26" s="46">
        <v>3147.6328000000003</v>
      </c>
      <c r="J26" s="46">
        <v>3273.5381120000006</v>
      </c>
      <c r="K26" s="46">
        <v>1544.9824000000001</v>
      </c>
      <c r="L26" s="46">
        <v>1606.7816960000002</v>
      </c>
      <c r="M26" s="47">
        <f t="shared" si="1"/>
        <v>77984.968464000005</v>
      </c>
      <c r="N26" s="47">
        <f t="shared" si="2"/>
        <v>36893.012208000022</v>
      </c>
      <c r="O26" s="47">
        <f t="shared" si="3"/>
        <v>13384.054020480002</v>
      </c>
      <c r="P26" s="47">
        <f t="shared" si="4"/>
        <v>81104.36720256001</v>
      </c>
      <c r="Q26" s="47">
        <f t="shared" si="5"/>
        <v>209366.40189504006</v>
      </c>
      <c r="R26" s="48"/>
      <c r="S26" s="48"/>
      <c r="T26" s="48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</row>
    <row r="27" spans="1:184" s="24" customFormat="1">
      <c r="A27" s="43" t="s">
        <v>313</v>
      </c>
      <c r="B27" s="44" t="s">
        <v>62</v>
      </c>
      <c r="C27" s="44" t="s">
        <v>84</v>
      </c>
      <c r="D27" s="45">
        <f>37.481+36.507+35.76</f>
        <v>109.74799999999999</v>
      </c>
      <c r="E27" s="45">
        <f>35.76+35.76</f>
        <v>71.52</v>
      </c>
      <c r="F27" s="45">
        <v>37.401000000000003</v>
      </c>
      <c r="G27" s="45">
        <v>76.400000000000006</v>
      </c>
      <c r="H27" s="45">
        <f t="shared" si="0"/>
        <v>295.06899999999996</v>
      </c>
      <c r="I27" s="46">
        <v>3762.7095999999997</v>
      </c>
      <c r="J27" s="46">
        <v>3913.2179839999999</v>
      </c>
      <c r="K27" s="46">
        <v>1544.4126000000001</v>
      </c>
      <c r="L27" s="46">
        <v>1606.1891040000003</v>
      </c>
      <c r="M27" s="47">
        <f t="shared" si="1"/>
        <v>243453.65915599992</v>
      </c>
      <c r="N27" s="47">
        <f t="shared" si="2"/>
        <v>158652.60143999997</v>
      </c>
      <c r="O27" s="47">
        <f t="shared" si="3"/>
        <v>86285.187140880007</v>
      </c>
      <c r="P27" s="47">
        <f t="shared" si="4"/>
        <v>176257.00643199999</v>
      </c>
      <c r="Q27" s="47">
        <f t="shared" si="5"/>
        <v>664648.45416887989</v>
      </c>
      <c r="R27" s="48"/>
      <c r="S27" s="48"/>
      <c r="T27" s="48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</row>
    <row r="28" spans="1:184" s="24" customFormat="1">
      <c r="A28" s="43" t="s">
        <v>313</v>
      </c>
      <c r="B28" s="44" t="s">
        <v>62</v>
      </c>
      <c r="C28" s="44" t="s">
        <v>85</v>
      </c>
      <c r="D28" s="45">
        <f>420.344-0.266-0.354-0.352</f>
        <v>419.37200000000001</v>
      </c>
      <c r="E28" s="45">
        <f>702.692-D28</f>
        <v>283.32</v>
      </c>
      <c r="F28" s="45">
        <v>291.55</v>
      </c>
      <c r="G28" s="45">
        <v>317.36900000000003</v>
      </c>
      <c r="H28" s="45">
        <f t="shared" si="0"/>
        <v>1311.6109999999999</v>
      </c>
      <c r="I28" s="46">
        <v>3762.7095999999997</v>
      </c>
      <c r="J28" s="46">
        <v>3913.2179839999999</v>
      </c>
      <c r="K28" s="46">
        <v>1544.4126000000001</v>
      </c>
      <c r="L28" s="46">
        <v>1606.1891040000003</v>
      </c>
      <c r="M28" s="47">
        <f t="shared" si="1"/>
        <v>930291.64948399982</v>
      </c>
      <c r="N28" s="47">
        <f t="shared" si="2"/>
        <v>628487.90603999991</v>
      </c>
      <c r="O28" s="47">
        <f t="shared" si="3"/>
        <v>672614.26996399998</v>
      </c>
      <c r="P28" s="47">
        <f t="shared" si="4"/>
        <v>732179.44861672004</v>
      </c>
      <c r="Q28" s="47">
        <f t="shared" si="5"/>
        <v>2963573.27410472</v>
      </c>
      <c r="R28" s="48"/>
      <c r="S28" s="48"/>
      <c r="T28" s="48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</row>
    <row r="29" spans="1:184" s="24" customFormat="1">
      <c r="A29" s="43" t="s">
        <v>313</v>
      </c>
      <c r="B29" s="44" t="s">
        <v>62</v>
      </c>
      <c r="C29" s="44" t="s">
        <v>92</v>
      </c>
      <c r="D29" s="45">
        <f>525.597</f>
        <v>525.59699999999998</v>
      </c>
      <c r="E29" s="45">
        <f>875.955-D29</f>
        <v>350.35800000000006</v>
      </c>
      <c r="F29" s="45">
        <v>346.79500000000002</v>
      </c>
      <c r="G29" s="45">
        <v>346.79500000000002</v>
      </c>
      <c r="H29" s="45">
        <f t="shared" si="0"/>
        <v>1569.5450000000001</v>
      </c>
      <c r="I29" s="46">
        <v>4384.0472000000009</v>
      </c>
      <c r="J29" s="46">
        <v>4559.4090880000012</v>
      </c>
      <c r="K29" s="46">
        <v>1745.9208000000001</v>
      </c>
      <c r="L29" s="46">
        <v>1815.7576320000001</v>
      </c>
      <c r="M29" s="47">
        <f t="shared" si="1"/>
        <v>1386591.3214608005</v>
      </c>
      <c r="N29" s="47">
        <f t="shared" si="2"/>
        <v>924288.68925120053</v>
      </c>
      <c r="O29" s="47">
        <f t="shared" si="3"/>
        <v>951484.60668352048</v>
      </c>
      <c r="P29" s="47">
        <f t="shared" si="4"/>
        <v>951484.60668352048</v>
      </c>
      <c r="Q29" s="47">
        <f t="shared" si="5"/>
        <v>4213849.2240790417</v>
      </c>
      <c r="R29" s="48"/>
      <c r="S29" s="48"/>
      <c r="T29" s="48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</row>
    <row r="30" spans="1:184" s="24" customFormat="1">
      <c r="A30" s="43" t="s">
        <v>5</v>
      </c>
      <c r="B30" s="44" t="s">
        <v>90</v>
      </c>
      <c r="C30" s="44" t="s">
        <v>85</v>
      </c>
      <c r="D30" s="45">
        <v>6777.4690000000001</v>
      </c>
      <c r="E30" s="45">
        <f>11278.126-D30</f>
        <v>4500.6570000000002</v>
      </c>
      <c r="F30" s="45">
        <v>2216.4899999999998</v>
      </c>
      <c r="G30" s="45">
        <f>8941.83-F30</f>
        <v>6725.34</v>
      </c>
      <c r="H30" s="45">
        <f t="shared" si="0"/>
        <v>20219.955999999998</v>
      </c>
      <c r="I30" s="46">
        <v>4269.1895999999997</v>
      </c>
      <c r="J30" s="46">
        <v>4439.9571839999999</v>
      </c>
      <c r="K30" s="46">
        <v>1544.9782067200001</v>
      </c>
      <c r="L30" s="46">
        <v>1606.7773349888002</v>
      </c>
      <c r="M30" s="47">
        <f t="shared" si="1"/>
        <v>18463258.267402004</v>
      </c>
      <c r="N30" s="47">
        <f t="shared" si="2"/>
        <v>12260741.076645382</v>
      </c>
      <c r="O30" s="47">
        <f t="shared" si="3"/>
        <v>6279714.8035348328</v>
      </c>
      <c r="P30" s="47">
        <f t="shared" si="4"/>
        <v>19054097.765748981</v>
      </c>
      <c r="Q30" s="47">
        <f t="shared" si="5"/>
        <v>56057811.913331196</v>
      </c>
      <c r="R30" s="48"/>
      <c r="S30" s="48"/>
      <c r="T30" s="48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</row>
    <row r="31" spans="1:184" s="24" customFormat="1">
      <c r="A31" s="43" t="s">
        <v>29</v>
      </c>
      <c r="B31" s="44" t="s">
        <v>87</v>
      </c>
      <c r="C31" s="44" t="s">
        <v>88</v>
      </c>
      <c r="D31" s="45">
        <v>2117.2179999999998</v>
      </c>
      <c r="E31" s="45">
        <f>3359.041-D31</f>
        <v>1241.8230000000003</v>
      </c>
      <c r="F31" s="45">
        <v>546.58699999999999</v>
      </c>
      <c r="G31" s="45">
        <f>2482.738-F31</f>
        <v>1936.1509999999998</v>
      </c>
      <c r="H31" s="45">
        <f t="shared" si="0"/>
        <v>5841.7790000000005</v>
      </c>
      <c r="I31" s="48">
        <v>3481.6600000000003</v>
      </c>
      <c r="J31" s="46">
        <v>3620.9264000000003</v>
      </c>
      <c r="K31" s="46">
        <v>1745.9126630400001</v>
      </c>
      <c r="L31" s="46">
        <v>1815.7491695616002</v>
      </c>
      <c r="M31" s="47">
        <f t="shared" si="1"/>
        <v>3674955.5052637774</v>
      </c>
      <c r="N31" s="47">
        <f t="shared" si="2"/>
        <v>2155490.9652256789</v>
      </c>
      <c r="O31" s="47">
        <f t="shared" si="3"/>
        <v>986686.40685363382</v>
      </c>
      <c r="P31" s="47">
        <f t="shared" si="4"/>
        <v>3495095.6998905386</v>
      </c>
      <c r="Q31" s="47">
        <f t="shared" si="5"/>
        <v>10312228.577233629</v>
      </c>
      <c r="R31" s="48"/>
      <c r="S31" s="48"/>
      <c r="T31" s="48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</row>
    <row r="32" spans="1:184" s="24" customFormat="1">
      <c r="A32" s="43" t="s">
        <v>29</v>
      </c>
      <c r="B32" s="44" t="s">
        <v>87</v>
      </c>
      <c r="C32" s="44" t="s">
        <v>89</v>
      </c>
      <c r="D32" s="45">
        <v>3347.2570000000001</v>
      </c>
      <c r="E32" s="45">
        <f>5483.677-D32</f>
        <v>2136.4199999999996</v>
      </c>
      <c r="F32" s="45">
        <v>855.23299999999995</v>
      </c>
      <c r="G32" s="45">
        <f>4157.942-F32</f>
        <v>3302.7089999999998</v>
      </c>
      <c r="H32" s="45">
        <f t="shared" si="0"/>
        <v>9641.6189999999988</v>
      </c>
      <c r="I32" s="46">
        <v>3091.7015999999999</v>
      </c>
      <c r="J32" s="46">
        <v>3215.3696639999998</v>
      </c>
      <c r="K32" s="46">
        <v>1357.992064</v>
      </c>
      <c r="L32" s="46">
        <v>1412.3117465600001</v>
      </c>
      <c r="M32" s="47">
        <f t="shared" si="1"/>
        <v>5803171.3803427517</v>
      </c>
      <c r="N32" s="47">
        <f t="shared" si="2"/>
        <v>3703931.7269011191</v>
      </c>
      <c r="O32" s="47">
        <f t="shared" si="3"/>
        <v>1542034.6319059632</v>
      </c>
      <c r="P32" s="47">
        <f t="shared" si="4"/>
        <v>5954975.6114503434</v>
      </c>
      <c r="Q32" s="47">
        <f t="shared" si="5"/>
        <v>17004113.350600179</v>
      </c>
      <c r="R32" s="48"/>
      <c r="S32" s="48"/>
      <c r="T32" s="48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</row>
    <row r="33" spans="1:184" s="24" customFormat="1" ht="15.75">
      <c r="A33" s="112" t="s">
        <v>93</v>
      </c>
      <c r="B33" s="112"/>
      <c r="C33" s="112"/>
      <c r="D33" s="49"/>
      <c r="E33" s="49"/>
      <c r="F33" s="42"/>
      <c r="G33" s="42"/>
      <c r="H33" s="45">
        <f t="shared" si="0"/>
        <v>0</v>
      </c>
      <c r="I33" s="40"/>
      <c r="J33" s="40"/>
      <c r="K33" s="40"/>
      <c r="L33" s="40"/>
      <c r="M33" s="47">
        <f t="shared" si="1"/>
        <v>0</v>
      </c>
      <c r="N33" s="47">
        <f t="shared" si="2"/>
        <v>0</v>
      </c>
      <c r="O33" s="47">
        <f t="shared" si="3"/>
        <v>0</v>
      </c>
      <c r="P33" s="47">
        <f t="shared" si="4"/>
        <v>0</v>
      </c>
      <c r="Q33" s="47">
        <f t="shared" si="5"/>
        <v>0</v>
      </c>
      <c r="R33" s="88"/>
      <c r="S33" s="88"/>
      <c r="T33" s="88"/>
    </row>
    <row r="34" spans="1:184" s="24" customFormat="1">
      <c r="A34" s="43" t="s">
        <v>14</v>
      </c>
      <c r="B34" s="44" t="s">
        <v>320</v>
      </c>
      <c r="C34" s="44" t="s">
        <v>98</v>
      </c>
      <c r="D34" s="45">
        <v>5020.0339999999997</v>
      </c>
      <c r="E34" s="45">
        <f>7122.811-D34</f>
        <v>2102.777</v>
      </c>
      <c r="F34" s="45">
        <v>684.80499999999995</v>
      </c>
      <c r="G34" s="45">
        <f>4790.17-F34</f>
        <v>4105.3649999999998</v>
      </c>
      <c r="H34" s="45">
        <f t="shared" si="0"/>
        <v>11912.981</v>
      </c>
      <c r="I34" s="46">
        <v>2934.3807999999999</v>
      </c>
      <c r="J34" s="46">
        <v>3051.7560320000002</v>
      </c>
      <c r="K34" s="46">
        <v>1510.704</v>
      </c>
      <c r="L34" s="46">
        <v>1571.1321600000001</v>
      </c>
      <c r="M34" s="47">
        <f t="shared" si="1"/>
        <v>7146905.9410111997</v>
      </c>
      <c r="N34" s="47">
        <f t="shared" si="2"/>
        <v>2993674.8304736</v>
      </c>
      <c r="O34" s="47">
        <f t="shared" si="3"/>
        <v>1013938.63066496</v>
      </c>
      <c r="P34" s="47">
        <f t="shared" si="4"/>
        <v>6078501.4222732801</v>
      </c>
      <c r="Q34" s="47">
        <f t="shared" si="5"/>
        <v>17233020.824423037</v>
      </c>
      <c r="R34" s="48"/>
      <c r="S34" s="48"/>
      <c r="T34" s="48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</row>
    <row r="35" spans="1:184" s="24" customFormat="1">
      <c r="A35" s="43" t="s">
        <v>14</v>
      </c>
      <c r="B35" s="44" t="s">
        <v>320</v>
      </c>
      <c r="C35" s="44" t="s">
        <v>82</v>
      </c>
      <c r="D35" s="45">
        <v>188.625</v>
      </c>
      <c r="E35" s="45">
        <f>282.195-D35</f>
        <v>93.57</v>
      </c>
      <c r="F35" s="45">
        <v>49.99</v>
      </c>
      <c r="G35" s="45">
        <f>224.67-F35</f>
        <v>174.67999999999998</v>
      </c>
      <c r="H35" s="45">
        <f t="shared" si="0"/>
        <v>506.86500000000001</v>
      </c>
      <c r="I35" s="46">
        <v>2934.3807999999999</v>
      </c>
      <c r="J35" s="46">
        <v>3051.7560320000002</v>
      </c>
      <c r="K35" s="46">
        <v>1510.704</v>
      </c>
      <c r="L35" s="46">
        <v>1571.1321600000001</v>
      </c>
      <c r="M35" s="47">
        <f t="shared" si="1"/>
        <v>268541.03639999998</v>
      </c>
      <c r="N35" s="47">
        <f t="shared" si="2"/>
        <v>133213.438176</v>
      </c>
      <c r="O35" s="47">
        <f t="shared" si="3"/>
        <v>74016.387361280009</v>
      </c>
      <c r="P35" s="47">
        <f t="shared" si="4"/>
        <v>258635.37796096</v>
      </c>
      <c r="Q35" s="47">
        <f t="shared" si="5"/>
        <v>734406.23989824008</v>
      </c>
      <c r="R35" s="48"/>
      <c r="S35" s="48"/>
      <c r="T35" s="48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</row>
    <row r="36" spans="1:184" s="24" customFormat="1" ht="30">
      <c r="A36" s="43" t="s">
        <v>421</v>
      </c>
      <c r="B36" s="44" t="s">
        <v>422</v>
      </c>
      <c r="C36" s="44" t="s">
        <v>98</v>
      </c>
      <c r="D36" s="45">
        <f>328.2832*0.4</f>
        <v>131.31328000000002</v>
      </c>
      <c r="E36" s="45">
        <f>328.2832*0.6</f>
        <v>196.96992</v>
      </c>
      <c r="F36" s="45">
        <f>257.9368*0.2</f>
        <v>51.587360000000004</v>
      </c>
      <c r="G36" s="45">
        <f>257.9368*0.8</f>
        <v>206.34944000000002</v>
      </c>
      <c r="H36" s="45">
        <f t="shared" si="0"/>
        <v>586.22</v>
      </c>
      <c r="I36" s="46">
        <v>2231.9752000000003</v>
      </c>
      <c r="J36" s="46">
        <v>2321.2542080000003</v>
      </c>
      <c r="K36" s="46">
        <v>1510.704</v>
      </c>
      <c r="L36" s="46">
        <v>1571.1321600000001</v>
      </c>
      <c r="M36" s="47">
        <f t="shared" si="1"/>
        <v>94712.487041536064</v>
      </c>
      <c r="N36" s="47">
        <f t="shared" si="2"/>
        <v>142068.73056230406</v>
      </c>
      <c r="O36" s="47">
        <f t="shared" si="3"/>
        <v>38696.816134113295</v>
      </c>
      <c r="P36" s="47">
        <f t="shared" si="4"/>
        <v>154787.26453645318</v>
      </c>
      <c r="Q36" s="47">
        <f t="shared" si="5"/>
        <v>430265.29827440658</v>
      </c>
      <c r="R36" s="48"/>
      <c r="S36" s="48"/>
      <c r="T36" s="48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</row>
    <row r="37" spans="1:184" s="24" customFormat="1" ht="30">
      <c r="A37" s="43" t="s">
        <v>39</v>
      </c>
      <c r="B37" s="44" t="s">
        <v>102</v>
      </c>
      <c r="C37" s="44" t="s">
        <v>82</v>
      </c>
      <c r="D37" s="45">
        <v>249.64500000000001</v>
      </c>
      <c r="E37" s="45">
        <f>416.075-D37</f>
        <v>166.42999999999998</v>
      </c>
      <c r="F37" s="45">
        <v>83.215000000000003</v>
      </c>
      <c r="G37" s="45">
        <f>332.86-F37</f>
        <v>249.64500000000001</v>
      </c>
      <c r="H37" s="45">
        <f t="shared" si="0"/>
        <v>748.93499999999995</v>
      </c>
      <c r="I37" s="46">
        <v>3411.0232000000001</v>
      </c>
      <c r="J37" s="46">
        <v>3547.4641280000001</v>
      </c>
      <c r="K37" s="46">
        <v>1467.2112</v>
      </c>
      <c r="L37" s="46">
        <v>1525.8996480000001</v>
      </c>
      <c r="M37" s="47">
        <f t="shared" si="1"/>
        <v>485262.94674000004</v>
      </c>
      <c r="N37" s="47">
        <f t="shared" si="2"/>
        <v>323508.63115999999</v>
      </c>
      <c r="O37" s="47">
        <f t="shared" si="3"/>
        <v>168224.48820320002</v>
      </c>
      <c r="P37" s="47">
        <f t="shared" si="4"/>
        <v>504673.46460960002</v>
      </c>
      <c r="Q37" s="47">
        <f t="shared" si="5"/>
        <v>1481669.5307128001</v>
      </c>
      <c r="R37" s="48"/>
      <c r="S37" s="48"/>
      <c r="T37" s="48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</row>
    <row r="38" spans="1:184" s="24" customFormat="1" ht="30">
      <c r="A38" s="43" t="s">
        <v>41</v>
      </c>
      <c r="B38" s="44" t="s">
        <v>103</v>
      </c>
      <c r="C38" s="44" t="s">
        <v>104</v>
      </c>
      <c r="D38" s="45">
        <v>139.65</v>
      </c>
      <c r="E38" s="45">
        <f>230.49-D38</f>
        <v>90.84</v>
      </c>
      <c r="F38" s="45">
        <v>46.55</v>
      </c>
      <c r="G38" s="45">
        <f>186.2-F38</f>
        <v>139.64999999999998</v>
      </c>
      <c r="H38" s="45">
        <f t="shared" si="0"/>
        <v>416.69</v>
      </c>
      <c r="I38" s="46">
        <v>3986.8504000000003</v>
      </c>
      <c r="J38" s="46">
        <v>4146.3244160000004</v>
      </c>
      <c r="K38" s="46">
        <v>1438.944</v>
      </c>
      <c r="L38" s="46">
        <v>1496.5017600000001</v>
      </c>
      <c r="M38" s="47">
        <f t="shared" si="1"/>
        <v>355815.12876000005</v>
      </c>
      <c r="N38" s="47">
        <f t="shared" si="2"/>
        <v>231451.81737600005</v>
      </c>
      <c r="O38" s="47">
        <f t="shared" si="3"/>
        <v>123349.24463680001</v>
      </c>
      <c r="P38" s="47">
        <f t="shared" si="4"/>
        <v>370047.73391039995</v>
      </c>
      <c r="Q38" s="47">
        <f t="shared" si="5"/>
        <v>1080663.9246832002</v>
      </c>
      <c r="R38" s="48"/>
      <c r="S38" s="48"/>
      <c r="T38" s="48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</row>
    <row r="39" spans="1:184" s="24" customFormat="1" ht="30">
      <c r="A39" s="43" t="s">
        <v>40</v>
      </c>
      <c r="B39" s="44" t="s">
        <v>96</v>
      </c>
      <c r="C39" s="44" t="s">
        <v>97</v>
      </c>
      <c r="D39" s="45">
        <v>137.57900000000001</v>
      </c>
      <c r="E39" s="45">
        <f>206.386-D39</f>
        <v>68.806999999999988</v>
      </c>
      <c r="F39" s="45">
        <v>28.872</v>
      </c>
      <c r="G39" s="45">
        <f>165.636-F39</f>
        <v>136.76400000000001</v>
      </c>
      <c r="H39" s="45">
        <f t="shared" si="0"/>
        <v>372.02199999999999</v>
      </c>
      <c r="I39" s="46">
        <v>2976.6984000000002</v>
      </c>
      <c r="J39" s="46">
        <v>3095.7663360000001</v>
      </c>
      <c r="K39" s="46">
        <v>1559.6</v>
      </c>
      <c r="L39" s="46">
        <v>1621.9839999999999</v>
      </c>
      <c r="M39" s="47">
        <f t="shared" si="1"/>
        <v>194962.98077360005</v>
      </c>
      <c r="N39" s="47">
        <f t="shared" si="2"/>
        <v>97506.289608799998</v>
      </c>
      <c r="O39" s="47">
        <f t="shared" si="3"/>
        <v>42551.043604992003</v>
      </c>
      <c r="P39" s="47">
        <f t="shared" si="4"/>
        <v>201560.36740070404</v>
      </c>
      <c r="Q39" s="47">
        <f t="shared" si="5"/>
        <v>536580.68138809607</v>
      </c>
      <c r="R39" s="48"/>
      <c r="S39" s="48"/>
      <c r="T39" s="48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</row>
    <row r="40" spans="1:184" s="24" customFormat="1" ht="30">
      <c r="A40" s="43" t="s">
        <v>311</v>
      </c>
      <c r="B40" s="44" t="s">
        <v>94</v>
      </c>
      <c r="C40" s="44" t="s">
        <v>95</v>
      </c>
      <c r="D40" s="45">
        <v>182.09</v>
      </c>
      <c r="E40" s="45">
        <f>263.43-D40</f>
        <v>81.34</v>
      </c>
      <c r="F40" s="45">
        <v>28.58</v>
      </c>
      <c r="G40" s="45">
        <f>199.4-F40</f>
        <v>170.82</v>
      </c>
      <c r="H40" s="45">
        <f t="shared" si="0"/>
        <v>462.83</v>
      </c>
      <c r="I40" s="46">
        <v>3436.1912000000002</v>
      </c>
      <c r="J40" s="46">
        <v>3573.6388480000005</v>
      </c>
      <c r="K40" s="46">
        <v>1409.72</v>
      </c>
      <c r="L40" s="46">
        <v>1466.1088</v>
      </c>
      <c r="M40" s="47">
        <f t="shared" si="1"/>
        <v>369000.14080800005</v>
      </c>
      <c r="N40" s="47">
        <f t="shared" si="2"/>
        <v>164833.16740800001</v>
      </c>
      <c r="O40" s="47">
        <f t="shared" si="3"/>
        <v>60233.208771840014</v>
      </c>
      <c r="P40" s="47">
        <f t="shared" si="4"/>
        <v>360008.28279936005</v>
      </c>
      <c r="Q40" s="47">
        <f t="shared" si="5"/>
        <v>954074.79978720006</v>
      </c>
      <c r="R40" s="48"/>
      <c r="S40" s="48"/>
      <c r="T40" s="48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</row>
    <row r="41" spans="1:184" s="24" customFormat="1" ht="30">
      <c r="A41" s="43" t="s">
        <v>38</v>
      </c>
      <c r="B41" s="44" t="s">
        <v>100</v>
      </c>
      <c r="C41" s="44" t="s">
        <v>101</v>
      </c>
      <c r="D41" s="45">
        <v>155.55000000000001</v>
      </c>
      <c r="E41" s="45">
        <f>232.62-D41</f>
        <v>77.069999999999993</v>
      </c>
      <c r="F41" s="45">
        <v>32.840000000000003</v>
      </c>
      <c r="G41" s="45">
        <f>188.39-F41</f>
        <v>155.54999999999998</v>
      </c>
      <c r="H41" s="45">
        <f t="shared" si="0"/>
        <v>421.01</v>
      </c>
      <c r="I41" s="46">
        <v>4170.0672000000004</v>
      </c>
      <c r="J41" s="46">
        <v>4336.8698880000002</v>
      </c>
      <c r="K41" s="46">
        <v>1522.5392000000002</v>
      </c>
      <c r="L41" s="46">
        <v>1583.4407680000002</v>
      </c>
      <c r="M41" s="47">
        <f t="shared" si="1"/>
        <v>411822.98040000006</v>
      </c>
      <c r="N41" s="47">
        <f t="shared" si="2"/>
        <v>204044.98295999999</v>
      </c>
      <c r="O41" s="47">
        <f t="shared" si="3"/>
        <v>90422.6123008</v>
      </c>
      <c r="P41" s="47">
        <f t="shared" si="4"/>
        <v>428295.89961599989</v>
      </c>
      <c r="Q41" s="47">
        <f t="shared" si="5"/>
        <v>1134586.4752767999</v>
      </c>
      <c r="R41" s="48"/>
      <c r="S41" s="48"/>
      <c r="T41" s="48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</row>
    <row r="42" spans="1:184" s="24" customFormat="1" ht="30">
      <c r="A42" s="43" t="s">
        <v>42</v>
      </c>
      <c r="B42" s="44" t="s">
        <v>99</v>
      </c>
      <c r="C42" s="44" t="s">
        <v>97</v>
      </c>
      <c r="D42" s="45">
        <v>126.444</v>
      </c>
      <c r="E42" s="45">
        <f>187.627-D42</f>
        <v>61.183000000000007</v>
      </c>
      <c r="F42" s="45">
        <v>26.71</v>
      </c>
      <c r="G42" s="45">
        <f>153.232-F42</f>
        <v>126.52199999999999</v>
      </c>
      <c r="H42" s="45">
        <f t="shared" si="0"/>
        <v>340.85900000000004</v>
      </c>
      <c r="I42" s="46">
        <v>4112.4928</v>
      </c>
      <c r="J42" s="46">
        <v>4276.9925119999998</v>
      </c>
      <c r="K42" s="46">
        <v>1537.99</v>
      </c>
      <c r="L42" s="46">
        <v>1599.5096000000001</v>
      </c>
      <c r="M42" s="47">
        <f t="shared" si="1"/>
        <v>325530.43204320001</v>
      </c>
      <c r="N42" s="47">
        <f t="shared" si="2"/>
        <v>157515.80481240002</v>
      </c>
      <c r="O42" s="47">
        <f t="shared" si="3"/>
        <v>71515.568579519982</v>
      </c>
      <c r="P42" s="47">
        <f t="shared" si="4"/>
        <v>338760.49299206393</v>
      </c>
      <c r="Q42" s="47">
        <f t="shared" si="5"/>
        <v>893322.29842718388</v>
      </c>
      <c r="R42" s="48"/>
      <c r="S42" s="48"/>
      <c r="T42" s="48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</row>
    <row r="43" spans="1:184" s="24" customFormat="1" ht="15.75">
      <c r="A43" s="112" t="s">
        <v>105</v>
      </c>
      <c r="B43" s="112"/>
      <c r="C43" s="112"/>
      <c r="D43" s="49"/>
      <c r="E43" s="49"/>
      <c r="F43" s="42"/>
      <c r="G43" s="42"/>
      <c r="H43" s="45">
        <f t="shared" si="0"/>
        <v>0</v>
      </c>
      <c r="I43" s="40"/>
      <c r="J43" s="40"/>
      <c r="K43" s="40"/>
      <c r="L43" s="40"/>
      <c r="M43" s="47">
        <f t="shared" si="1"/>
        <v>0</v>
      </c>
      <c r="N43" s="47">
        <f t="shared" si="2"/>
        <v>0</v>
      </c>
      <c r="O43" s="47">
        <f t="shared" si="3"/>
        <v>0</v>
      </c>
      <c r="P43" s="47">
        <f t="shared" si="4"/>
        <v>0</v>
      </c>
      <c r="Q43" s="47">
        <f t="shared" si="5"/>
        <v>0</v>
      </c>
      <c r="R43" s="88"/>
      <c r="S43" s="88"/>
      <c r="T43" s="88"/>
    </row>
    <row r="44" spans="1:184" s="24" customFormat="1" ht="15.75">
      <c r="A44" s="89" t="s">
        <v>21</v>
      </c>
      <c r="B44" s="89" t="s">
        <v>116</v>
      </c>
      <c r="C44" s="54" t="s">
        <v>337</v>
      </c>
      <c r="D44" s="55">
        <v>147.23099999999999</v>
      </c>
      <c r="E44" s="55">
        <f>243.811-D44</f>
        <v>96.580000000000013</v>
      </c>
      <c r="F44" s="55">
        <v>66.087999999999994</v>
      </c>
      <c r="G44" s="55">
        <f>225.647-F44</f>
        <v>159.559</v>
      </c>
      <c r="H44" s="45">
        <f t="shared" si="0"/>
        <v>469.45799999999997</v>
      </c>
      <c r="I44" s="56">
        <v>3382.25524</v>
      </c>
      <c r="J44" s="56">
        <v>3517.5454496000002</v>
      </c>
      <c r="K44" s="56">
        <v>1639.7748223999999</v>
      </c>
      <c r="L44" s="56">
        <v>1705.3658152959999</v>
      </c>
      <c r="M44" s="47">
        <f t="shared" si="1"/>
        <v>256547.13436366559</v>
      </c>
      <c r="N44" s="47">
        <f t="shared" si="2"/>
        <v>168288.75873180802</v>
      </c>
      <c r="O44" s="47">
        <f t="shared" si="3"/>
        <v>119763.32767188275</v>
      </c>
      <c r="P44" s="47">
        <f t="shared" si="4"/>
        <v>289149.57026991196</v>
      </c>
      <c r="Q44" s="47">
        <f t="shared" si="5"/>
        <v>833748.79103726847</v>
      </c>
      <c r="R44" s="88"/>
      <c r="S44" s="88"/>
      <c r="T44" s="88"/>
    </row>
    <row r="45" spans="1:184" s="24" customFormat="1">
      <c r="A45" s="43" t="s">
        <v>308</v>
      </c>
      <c r="B45" s="44" t="s">
        <v>113</v>
      </c>
      <c r="C45" s="44" t="s">
        <v>110</v>
      </c>
      <c r="D45" s="45">
        <v>762.6</v>
      </c>
      <c r="E45" s="45">
        <f>1193.7-D45</f>
        <v>431.1</v>
      </c>
      <c r="F45" s="45">
        <v>165.87799999999999</v>
      </c>
      <c r="G45" s="45">
        <f>887.03-F45</f>
        <v>721.15200000000004</v>
      </c>
      <c r="H45" s="45">
        <f t="shared" si="0"/>
        <v>2080.73</v>
      </c>
      <c r="I45" s="46">
        <v>3850.9744000000001</v>
      </c>
      <c r="J45" s="46">
        <v>4005.0133760000003</v>
      </c>
      <c r="K45" s="46">
        <v>1557.0870000000002</v>
      </c>
      <c r="L45" s="46">
        <v>1619.3704800000003</v>
      </c>
      <c r="M45" s="47">
        <f t="shared" si="1"/>
        <v>1749318.5312399997</v>
      </c>
      <c r="N45" s="47">
        <f t="shared" si="2"/>
        <v>988894.85813999991</v>
      </c>
      <c r="O45" s="47">
        <f t="shared" si="3"/>
        <v>395725.67230268801</v>
      </c>
      <c r="P45" s="47">
        <f t="shared" si="4"/>
        <v>1720411.1457361924</v>
      </c>
      <c r="Q45" s="47">
        <f t="shared" si="5"/>
        <v>4854350.2074188795</v>
      </c>
      <c r="R45" s="48"/>
      <c r="S45" s="48"/>
      <c r="T45" s="48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</row>
    <row r="46" spans="1:184" s="24" customFormat="1">
      <c r="A46" s="43" t="s">
        <v>34</v>
      </c>
      <c r="B46" s="44" t="s">
        <v>107</v>
      </c>
      <c r="C46" s="44" t="s">
        <v>108</v>
      </c>
      <c r="D46" s="45">
        <v>3386.902</v>
      </c>
      <c r="E46" s="45">
        <f>5066.528-D46</f>
        <v>1679.6260000000002</v>
      </c>
      <c r="F46" s="45">
        <v>563.83399999999995</v>
      </c>
      <c r="G46" s="45">
        <f>3925.508-F46</f>
        <v>3361.674</v>
      </c>
      <c r="H46" s="45">
        <f t="shared" si="0"/>
        <v>8992.0360000000001</v>
      </c>
      <c r="I46" s="46">
        <v>3136.1095999999998</v>
      </c>
      <c r="J46" s="46">
        <v>3261.5539839999997</v>
      </c>
      <c r="K46" s="46">
        <v>1589.0778508800001</v>
      </c>
      <c r="L46" s="46">
        <v>1652.6409649152001</v>
      </c>
      <c r="M46" s="47">
        <f t="shared" si="1"/>
        <v>5239644.9251580248</v>
      </c>
      <c r="N46" s="47">
        <f t="shared" si="2"/>
        <v>2598434.7486474286</v>
      </c>
      <c r="O46" s="47">
        <f t="shared" si="3"/>
        <v>907159.86320265883</v>
      </c>
      <c r="P46" s="47">
        <f t="shared" si="4"/>
        <v>5408641.0645188745</v>
      </c>
      <c r="Q46" s="47">
        <f t="shared" si="5"/>
        <v>14153880.601526987</v>
      </c>
      <c r="R46" s="48"/>
      <c r="S46" s="48"/>
      <c r="T46" s="48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</row>
    <row r="47" spans="1:184" s="24" customFormat="1">
      <c r="A47" s="43" t="s">
        <v>34</v>
      </c>
      <c r="B47" s="44" t="s">
        <v>107</v>
      </c>
      <c r="C47" s="44" t="s">
        <v>112</v>
      </c>
      <c r="D47" s="45">
        <v>48.862000000000002</v>
      </c>
      <c r="E47" s="45">
        <f>73.03-D47</f>
        <v>24.167999999999999</v>
      </c>
      <c r="F47" s="45">
        <v>21.33</v>
      </c>
      <c r="G47" s="45">
        <v>127.95</v>
      </c>
      <c r="H47" s="45">
        <f t="shared" si="0"/>
        <v>222.31</v>
      </c>
      <c r="I47" s="46">
        <v>3425.4376000000002</v>
      </c>
      <c r="J47" s="46">
        <v>3562.4551040000001</v>
      </c>
      <c r="K47" s="46">
        <v>1586.1949084800001</v>
      </c>
      <c r="L47" s="46">
        <v>1649.6427048192002</v>
      </c>
      <c r="M47" s="47">
        <f t="shared" si="1"/>
        <v>89869.076393050243</v>
      </c>
      <c r="N47" s="47">
        <f t="shared" si="2"/>
        <v>44450.817368655364</v>
      </c>
      <c r="O47" s="47">
        <f t="shared" si="3"/>
        <v>40800.28847452646</v>
      </c>
      <c r="P47" s="47">
        <f t="shared" si="4"/>
        <v>244744.34647518335</v>
      </c>
      <c r="Q47" s="47">
        <f t="shared" si="5"/>
        <v>419864.52871141542</v>
      </c>
      <c r="R47" s="48"/>
      <c r="S47" s="48"/>
      <c r="T47" s="48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</row>
    <row r="48" spans="1:184" s="24" customFormat="1">
      <c r="A48" s="43" t="s">
        <v>309</v>
      </c>
      <c r="B48" s="44" t="s">
        <v>111</v>
      </c>
      <c r="C48" s="44" t="s">
        <v>110</v>
      </c>
      <c r="D48" s="45">
        <v>10889.25</v>
      </c>
      <c r="E48" s="45">
        <f>16630.23-D48</f>
        <v>5740.98</v>
      </c>
      <c r="F48" s="45">
        <v>1404.25</v>
      </c>
      <c r="G48" s="45">
        <f>10738.52-F48</f>
        <v>9334.27</v>
      </c>
      <c r="H48" s="45">
        <f t="shared" si="0"/>
        <v>27368.75</v>
      </c>
      <c r="I48" s="46">
        <v>3372.2331066666666</v>
      </c>
      <c r="J48" s="46">
        <v>3507.1224309333334</v>
      </c>
      <c r="K48" s="46">
        <v>1465.8121660000002</v>
      </c>
      <c r="L48" s="46">
        <v>1524.4446526400002</v>
      </c>
      <c r="M48" s="47">
        <f t="shared" si="1"/>
        <v>20759494.228154495</v>
      </c>
      <c r="N48" s="47">
        <f t="shared" si="2"/>
        <v>10944724.491948517</v>
      </c>
      <c r="O48" s="47">
        <f t="shared" si="3"/>
        <v>2784175.2701684129</v>
      </c>
      <c r="P48" s="47">
        <f t="shared" si="4"/>
        <v>18506849.70559011</v>
      </c>
      <c r="Q48" s="47">
        <f t="shared" si="5"/>
        <v>52995243.695861533</v>
      </c>
      <c r="R48" s="48"/>
      <c r="S48" s="48"/>
      <c r="T48" s="48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</row>
    <row r="49" spans="1:184" s="24" customFormat="1">
      <c r="A49" s="43" t="s">
        <v>321</v>
      </c>
      <c r="B49" s="44" t="s">
        <v>322</v>
      </c>
      <c r="C49" s="44" t="s">
        <v>106</v>
      </c>
      <c r="D49" s="45">
        <v>77.61</v>
      </c>
      <c r="E49" s="45">
        <f>117.278-D49</f>
        <v>39.668000000000006</v>
      </c>
      <c r="F49" s="45">
        <v>10.94</v>
      </c>
      <c r="G49" s="45">
        <v>78.680000000000007</v>
      </c>
      <c r="H49" s="45">
        <f t="shared" si="0"/>
        <v>206.89800000000002</v>
      </c>
      <c r="I49" s="46">
        <v>3546.4312000000004</v>
      </c>
      <c r="J49" s="46">
        <v>3688.2884480000007</v>
      </c>
      <c r="K49" s="46">
        <v>1668.1631449600002</v>
      </c>
      <c r="L49" s="46">
        <v>1734.8896707584001</v>
      </c>
      <c r="M49" s="47">
        <f t="shared" si="1"/>
        <v>145772.38375165442</v>
      </c>
      <c r="N49" s="47">
        <f t="shared" si="2"/>
        <v>74507.137207326741</v>
      </c>
      <c r="O49" s="47">
        <f t="shared" si="3"/>
        <v>21370.182623023109</v>
      </c>
      <c r="P49" s="47">
        <f t="shared" si="4"/>
        <v>153693.41579336915</v>
      </c>
      <c r="Q49" s="47">
        <f t="shared" si="5"/>
        <v>395343.11937537341</v>
      </c>
      <c r="R49" s="48"/>
      <c r="S49" s="48"/>
      <c r="T49" s="48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</row>
    <row r="50" spans="1:184" s="24" customFormat="1">
      <c r="A50" s="43" t="s">
        <v>321</v>
      </c>
      <c r="B50" s="44" t="s">
        <v>322</v>
      </c>
      <c r="C50" s="44" t="s">
        <v>114</v>
      </c>
      <c r="D50" s="45">
        <v>34.56</v>
      </c>
      <c r="E50" s="45">
        <f>52.223-D50</f>
        <v>17.662999999999997</v>
      </c>
      <c r="F50" s="45">
        <v>5.94</v>
      </c>
      <c r="G50" s="45">
        <v>33.47</v>
      </c>
      <c r="H50" s="45">
        <f t="shared" si="0"/>
        <v>91.632999999999996</v>
      </c>
      <c r="I50" s="46">
        <v>5266.3311999999996</v>
      </c>
      <c r="J50" s="46">
        <v>5476.9844480000002</v>
      </c>
      <c r="K50" s="46">
        <v>1589.0759040000003</v>
      </c>
      <c r="L50" s="46">
        <v>1652.6389401600004</v>
      </c>
      <c r="M50" s="47">
        <f t="shared" si="1"/>
        <v>127085.94302975999</v>
      </c>
      <c r="N50" s="47">
        <f t="shared" si="2"/>
        <v>64951.360293247977</v>
      </c>
      <c r="O50" s="47">
        <f t="shared" si="3"/>
        <v>22716.612316569601</v>
      </c>
      <c r="P50" s="47">
        <f t="shared" si="4"/>
        <v>128000.84414740479</v>
      </c>
      <c r="Q50" s="47">
        <f t="shared" si="5"/>
        <v>342754.75978698238</v>
      </c>
      <c r="R50" s="48"/>
      <c r="S50" s="48"/>
      <c r="T50" s="48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</row>
    <row r="51" spans="1:184" s="24" customFormat="1">
      <c r="A51" s="43" t="s">
        <v>321</v>
      </c>
      <c r="B51" s="44" t="s">
        <v>322</v>
      </c>
      <c r="C51" s="44" t="s">
        <v>115</v>
      </c>
      <c r="D51" s="45">
        <v>71.13</v>
      </c>
      <c r="E51" s="45">
        <f>106.743-D51</f>
        <v>35.613</v>
      </c>
      <c r="F51" s="45">
        <v>12.54</v>
      </c>
      <c r="G51" s="45">
        <v>70.099999999999994</v>
      </c>
      <c r="H51" s="45">
        <f t="shared" si="0"/>
        <v>189.38299999999998</v>
      </c>
      <c r="I51" s="46">
        <v>5266.3311999999996</v>
      </c>
      <c r="J51" s="46">
        <v>5476.9844480000002</v>
      </c>
      <c r="K51" s="46">
        <v>1589.0759040000003</v>
      </c>
      <c r="L51" s="46">
        <v>1652.6389401600004</v>
      </c>
      <c r="M51" s="47">
        <f t="shared" si="1"/>
        <v>261563.16920447993</v>
      </c>
      <c r="N51" s="47">
        <f t="shared" si="2"/>
        <v>130958.09285644797</v>
      </c>
      <c r="O51" s="47">
        <f t="shared" si="3"/>
        <v>47957.292668313596</v>
      </c>
      <c r="P51" s="47">
        <f t="shared" si="4"/>
        <v>268086.62009958399</v>
      </c>
      <c r="Q51" s="47">
        <f t="shared" si="5"/>
        <v>708565.17482882552</v>
      </c>
      <c r="R51" s="48"/>
      <c r="S51" s="48"/>
      <c r="T51" s="48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</row>
    <row r="52" spans="1:184" s="24" customFormat="1">
      <c r="A52" s="43" t="s">
        <v>310</v>
      </c>
      <c r="B52" s="44" t="s">
        <v>109</v>
      </c>
      <c r="C52" s="44" t="s">
        <v>110</v>
      </c>
      <c r="D52" s="45">
        <v>225.751</v>
      </c>
      <c r="E52" s="45">
        <f>342.108-D52</f>
        <v>116.357</v>
      </c>
      <c r="F52" s="45">
        <v>10.215999999999999</v>
      </c>
      <c r="G52" s="45">
        <f>189.128-F52</f>
        <v>178.91199999999998</v>
      </c>
      <c r="H52" s="45">
        <f t="shared" si="0"/>
        <v>531.23599999999999</v>
      </c>
      <c r="I52" s="46">
        <v>2757.4663999999998</v>
      </c>
      <c r="J52" s="46">
        <v>2867.7650559999997</v>
      </c>
      <c r="K52" s="46">
        <v>2126.7615449600003</v>
      </c>
      <c r="L52" s="46">
        <v>2211.8320067584004</v>
      </c>
      <c r="M52" s="47">
        <f t="shared" si="1"/>
        <v>142382.25173013494</v>
      </c>
      <c r="N52" s="47">
        <f t="shared" si="2"/>
        <v>73386.92481788923</v>
      </c>
      <c r="O52" s="47">
        <f t="shared" si="3"/>
        <v>6701.0120310521779</v>
      </c>
      <c r="P52" s="47">
        <f t="shared" si="4"/>
        <v>117354.29370591299</v>
      </c>
      <c r="Q52" s="47">
        <f t="shared" si="5"/>
        <v>339824.48228498932</v>
      </c>
      <c r="R52" s="48"/>
      <c r="S52" s="48"/>
      <c r="T52" s="48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</row>
    <row r="53" spans="1:184" s="24" customFormat="1">
      <c r="A53" s="43">
        <v>7729314745</v>
      </c>
      <c r="B53" s="44" t="s">
        <v>391</v>
      </c>
      <c r="C53" s="44" t="s">
        <v>110</v>
      </c>
      <c r="D53" s="45">
        <f>476.839*0.6</f>
        <v>286.10339999999997</v>
      </c>
      <c r="E53" s="45">
        <f>476.839*0.4</f>
        <v>190.73560000000001</v>
      </c>
      <c r="F53" s="45">
        <f>390.141*0.8</f>
        <v>312.11280000000005</v>
      </c>
      <c r="G53" s="45">
        <f>390.141*0.2</f>
        <v>78.028200000000012</v>
      </c>
      <c r="H53" s="45">
        <f t="shared" si="0"/>
        <v>866.98</v>
      </c>
      <c r="I53" s="46">
        <v>2726.85</v>
      </c>
      <c r="J53" s="46">
        <v>2835.92</v>
      </c>
      <c r="K53" s="46">
        <v>1586.95</v>
      </c>
      <c r="L53" s="46">
        <v>1650.43</v>
      </c>
      <c r="M53" s="47">
        <f t="shared" si="1"/>
        <v>326129.26565999992</v>
      </c>
      <c r="N53" s="47">
        <f t="shared" si="2"/>
        <v>217419.51043999998</v>
      </c>
      <c r="O53" s="47">
        <f t="shared" si="3"/>
        <v>370006.60327200004</v>
      </c>
      <c r="P53" s="47">
        <f t="shared" si="4"/>
        <v>92501.650818000009</v>
      </c>
      <c r="Q53" s="47">
        <f t="shared" si="5"/>
        <v>1006057.03019</v>
      </c>
      <c r="R53" s="48"/>
      <c r="S53" s="48"/>
      <c r="T53" s="48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</row>
    <row r="54" spans="1:184" s="24" customFormat="1">
      <c r="A54" s="43" t="s">
        <v>398</v>
      </c>
      <c r="B54" s="44" t="s">
        <v>397</v>
      </c>
      <c r="C54" s="44" t="s">
        <v>112</v>
      </c>
      <c r="D54" s="45">
        <f>127.458907317*0.6</f>
        <v>76.475344390199993</v>
      </c>
      <c r="E54" s="45">
        <f>127.458907317*0.4</f>
        <v>50.983562926800005</v>
      </c>
      <c r="F54" s="45">
        <f>83.915731683*0.2</f>
        <v>16.783146336600002</v>
      </c>
      <c r="G54" s="45">
        <f>83.915731683*0.8</f>
        <v>67.132585346400006</v>
      </c>
      <c r="H54" s="45">
        <f t="shared" si="0"/>
        <v>211.374639</v>
      </c>
      <c r="I54" s="46">
        <v>2377.8872000000001</v>
      </c>
      <c r="J54" s="46">
        <v>2473.002688</v>
      </c>
      <c r="K54" s="46">
        <v>1586.1930000000002</v>
      </c>
      <c r="L54" s="46">
        <v>1649.6407200000003</v>
      </c>
      <c r="M54" s="47">
        <f t="shared" si="1"/>
        <v>60545.086596723864</v>
      </c>
      <c r="N54" s="47">
        <f t="shared" si="2"/>
        <v>40363.391064482581</v>
      </c>
      <c r="O54" s="47">
        <f t="shared" si="3"/>
        <v>13818.604396934963</v>
      </c>
      <c r="P54" s="47">
        <f t="shared" si="4"/>
        <v>55274.417587739852</v>
      </c>
      <c r="Q54" s="47">
        <f t="shared" si="5"/>
        <v>170001.49964588127</v>
      </c>
      <c r="R54" s="48"/>
      <c r="S54" s="48"/>
      <c r="T54" s="48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</row>
    <row r="55" spans="1:184" s="24" customFormat="1" ht="15.75">
      <c r="A55" s="112" t="s">
        <v>119</v>
      </c>
      <c r="B55" s="112"/>
      <c r="C55" s="112"/>
      <c r="D55" s="49"/>
      <c r="E55" s="49"/>
      <c r="F55" s="42"/>
      <c r="G55" s="42"/>
      <c r="H55" s="45">
        <f t="shared" si="0"/>
        <v>0</v>
      </c>
      <c r="I55" s="40"/>
      <c r="J55" s="40"/>
      <c r="K55" s="40"/>
      <c r="L55" s="40"/>
      <c r="M55" s="47">
        <f t="shared" si="1"/>
        <v>0</v>
      </c>
      <c r="N55" s="47">
        <f t="shared" si="2"/>
        <v>0</v>
      </c>
      <c r="O55" s="47">
        <f t="shared" si="3"/>
        <v>0</v>
      </c>
      <c r="P55" s="47">
        <f t="shared" si="4"/>
        <v>0</v>
      </c>
      <c r="Q55" s="47">
        <f t="shared" si="5"/>
        <v>0</v>
      </c>
      <c r="R55" s="88"/>
      <c r="S55" s="88"/>
      <c r="T55" s="88"/>
    </row>
    <row r="56" spans="1:184" s="24" customFormat="1">
      <c r="A56" s="43" t="s">
        <v>28</v>
      </c>
      <c r="B56" s="44" t="s">
        <v>123</v>
      </c>
      <c r="C56" s="44" t="s">
        <v>121</v>
      </c>
      <c r="D56" s="45">
        <v>539.83600000000001</v>
      </c>
      <c r="E56" s="45">
        <f>744.701-D56</f>
        <v>204.86500000000001</v>
      </c>
      <c r="F56" s="45">
        <v>70.316999999999993</v>
      </c>
      <c r="G56" s="45">
        <f>511.061-F56</f>
        <v>440.74399999999997</v>
      </c>
      <c r="H56" s="45">
        <f t="shared" si="0"/>
        <v>1255.7619999999999</v>
      </c>
      <c r="I56" s="46">
        <v>5957.6346000000003</v>
      </c>
      <c r="J56" s="46">
        <v>6195.9399840000005</v>
      </c>
      <c r="K56" s="46">
        <v>1555.9501360000002</v>
      </c>
      <c r="L56" s="46">
        <v>1618.1881414400002</v>
      </c>
      <c r="M56" s="47">
        <f t="shared" si="1"/>
        <v>2376187.7343079038</v>
      </c>
      <c r="N56" s="47">
        <f t="shared" si="2"/>
        <v>901751.08771736</v>
      </c>
      <c r="O56" s="47">
        <f t="shared" si="3"/>
        <v>321893.77631329151</v>
      </c>
      <c r="P56" s="47">
        <f t="shared" si="4"/>
        <v>2017616.6580972646</v>
      </c>
      <c r="Q56" s="47">
        <f t="shared" si="5"/>
        <v>5617449.2564358199</v>
      </c>
      <c r="R56" s="48"/>
      <c r="S56" s="48"/>
      <c r="T56" s="48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</row>
    <row r="57" spans="1:184" s="24" customFormat="1" ht="30">
      <c r="A57" s="43" t="s">
        <v>2</v>
      </c>
      <c r="B57" s="44" t="s">
        <v>70</v>
      </c>
      <c r="C57" s="44" t="s">
        <v>347</v>
      </c>
      <c r="D57" s="45">
        <v>574.89300000000003</v>
      </c>
      <c r="E57" s="45">
        <f>766.524-D57</f>
        <v>191.63099999999997</v>
      </c>
      <c r="F57" s="45">
        <v>191.631</v>
      </c>
      <c r="G57" s="45">
        <f>766.524-F57</f>
        <v>574.89300000000003</v>
      </c>
      <c r="H57" s="45">
        <f t="shared" si="0"/>
        <v>1533.048</v>
      </c>
      <c r="I57" s="46">
        <v>2705.5567066666672</v>
      </c>
      <c r="J57" s="46">
        <v>2813.7789749333338</v>
      </c>
      <c r="K57" s="46">
        <v>1497.9510000000002</v>
      </c>
      <c r="L57" s="46">
        <v>1557.8690400000003</v>
      </c>
      <c r="M57" s="47">
        <f t="shared" si="1"/>
        <v>694244.0675227202</v>
      </c>
      <c r="N57" s="47">
        <f t="shared" si="2"/>
        <v>231414.68917424002</v>
      </c>
      <c r="O57" s="47">
        <f t="shared" si="3"/>
        <v>240671.27674120964</v>
      </c>
      <c r="P57" s="47">
        <f t="shared" si="4"/>
        <v>722013.8302236289</v>
      </c>
      <c r="Q57" s="47">
        <f t="shared" si="5"/>
        <v>1888343.8636617986</v>
      </c>
      <c r="R57" s="48"/>
      <c r="S57" s="48"/>
      <c r="T57" s="48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</row>
    <row r="58" spans="1:184" s="24" customFormat="1" ht="30">
      <c r="A58" s="43" t="s">
        <v>2</v>
      </c>
      <c r="B58" s="44" t="s">
        <v>70</v>
      </c>
      <c r="C58" s="44" t="s">
        <v>348</v>
      </c>
      <c r="D58" s="45">
        <v>711.60599999999999</v>
      </c>
      <c r="E58" s="45">
        <f>948.808-D58</f>
        <v>237.202</v>
      </c>
      <c r="F58" s="45">
        <v>234.85400000000001</v>
      </c>
      <c r="G58" s="45">
        <f>945.002-F58</f>
        <v>710.14799999999991</v>
      </c>
      <c r="H58" s="45">
        <f t="shared" si="0"/>
        <v>1893.81</v>
      </c>
      <c r="I58" s="46">
        <v>2705.5567066666672</v>
      </c>
      <c r="J58" s="46">
        <v>2813.7789749333338</v>
      </c>
      <c r="K58" s="46">
        <v>1387.2463499999999</v>
      </c>
      <c r="L58" s="46">
        <v>1442.736204</v>
      </c>
      <c r="M58" s="47">
        <f t="shared" si="1"/>
        <v>938117.55966614047</v>
      </c>
      <c r="N58" s="47">
        <f t="shared" si="2"/>
        <v>312705.8532220468</v>
      </c>
      <c r="O58" s="47">
        <f t="shared" si="3"/>
        <v>321994.87892477715</v>
      </c>
      <c r="P58" s="47">
        <f t="shared" si="4"/>
        <v>973643.28169276495</v>
      </c>
      <c r="Q58" s="47">
        <f t="shared" si="5"/>
        <v>2546461.5735057294</v>
      </c>
      <c r="R58" s="48"/>
      <c r="S58" s="48"/>
      <c r="T58" s="48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</row>
    <row r="59" spans="1:184" s="24" customFormat="1">
      <c r="A59" s="43" t="s">
        <v>2</v>
      </c>
      <c r="B59" s="44" t="s">
        <v>70</v>
      </c>
      <c r="C59" s="44" t="s">
        <v>122</v>
      </c>
      <c r="D59" s="45">
        <v>4759.9880000000003</v>
      </c>
      <c r="E59" s="45">
        <f>6408.324-D59</f>
        <v>1648.3359999999993</v>
      </c>
      <c r="F59" s="45">
        <v>1630.97</v>
      </c>
      <c r="G59" s="45">
        <f>6415.395-F59</f>
        <v>4784.4250000000002</v>
      </c>
      <c r="H59" s="45">
        <f t="shared" si="0"/>
        <v>12823.719000000001</v>
      </c>
      <c r="I59" s="46">
        <v>2121.8697066666668</v>
      </c>
      <c r="J59" s="46">
        <v>2206.7444949333335</v>
      </c>
      <c r="K59" s="46">
        <v>1529.3493250000001</v>
      </c>
      <c r="L59" s="46">
        <v>1590.5232980000003</v>
      </c>
      <c r="M59" s="47">
        <f t="shared" si="1"/>
        <v>2820389.9064887539</v>
      </c>
      <c r="N59" s="47">
        <f t="shared" si="2"/>
        <v>976672.67583490629</v>
      </c>
      <c r="O59" s="47">
        <f t="shared" si="3"/>
        <v>1005038.2855623584</v>
      </c>
      <c r="P59" s="47">
        <f t="shared" si="4"/>
        <v>2948264.1001377627</v>
      </c>
      <c r="Q59" s="47">
        <f t="shared" si="5"/>
        <v>7750364.9680237817</v>
      </c>
      <c r="R59" s="48"/>
      <c r="S59" s="48"/>
      <c r="T59" s="48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</row>
    <row r="60" spans="1:184" s="24" customFormat="1" ht="30">
      <c r="A60" s="43" t="s">
        <v>2</v>
      </c>
      <c r="B60" s="44" t="s">
        <v>70</v>
      </c>
      <c r="C60" s="44" t="s">
        <v>349</v>
      </c>
      <c r="D60" s="45">
        <v>4802.9120000000003</v>
      </c>
      <c r="E60" s="45">
        <f>6874.341-D60</f>
        <v>2071.4290000000001</v>
      </c>
      <c r="F60" s="45">
        <v>788.15899999999999</v>
      </c>
      <c r="G60" s="45">
        <f>4714.56-F60</f>
        <v>3926.4010000000003</v>
      </c>
      <c r="H60" s="45">
        <f t="shared" si="0"/>
        <v>11588.901</v>
      </c>
      <c r="I60" s="46">
        <v>4505.2557333333334</v>
      </c>
      <c r="J60" s="46">
        <v>4685.4659626666671</v>
      </c>
      <c r="K60" s="46">
        <v>1490.8233600000003</v>
      </c>
      <c r="L60" s="46">
        <v>1550.4562944000004</v>
      </c>
      <c r="M60" s="47">
        <f t="shared" si="1"/>
        <v>14478053.419071145</v>
      </c>
      <c r="N60" s="47">
        <f t="shared" si="2"/>
        <v>6244182.6366614932</v>
      </c>
      <c r="O60" s="47">
        <f t="shared" si="3"/>
        <v>2470886.0851313877</v>
      </c>
      <c r="P60" s="47">
        <f t="shared" si="4"/>
        <v>12309305.096491909</v>
      </c>
      <c r="Q60" s="47">
        <f t="shared" si="5"/>
        <v>35502427.237355933</v>
      </c>
      <c r="R60" s="48"/>
      <c r="S60" s="48"/>
      <c r="T60" s="48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</row>
    <row r="61" spans="1:184" s="24" customFormat="1" ht="30">
      <c r="A61" s="43" t="s">
        <v>2</v>
      </c>
      <c r="B61" s="44" t="s">
        <v>70</v>
      </c>
      <c r="C61" s="44" t="s">
        <v>350</v>
      </c>
      <c r="D61" s="45">
        <v>920.678</v>
      </c>
      <c r="E61" s="45">
        <f>1310.799-D61</f>
        <v>390.12099999999998</v>
      </c>
      <c r="F61" s="45">
        <v>90.331000000000003</v>
      </c>
      <c r="G61" s="45">
        <f>697.524-F61</f>
        <v>607.19299999999998</v>
      </c>
      <c r="H61" s="45">
        <f t="shared" si="0"/>
        <v>2008.3229999999999</v>
      </c>
      <c r="I61" s="46">
        <v>4505.2557333333334</v>
      </c>
      <c r="J61" s="46">
        <v>4685.4659626666671</v>
      </c>
      <c r="K61" s="46">
        <v>2170.1862000000006</v>
      </c>
      <c r="L61" s="46">
        <v>2256.9936480000006</v>
      </c>
      <c r="M61" s="47">
        <f t="shared" si="1"/>
        <v>2149847.1478102664</v>
      </c>
      <c r="N61" s="47">
        <f t="shared" si="2"/>
        <v>910959.66141353315</v>
      </c>
      <c r="O61" s="47">
        <f t="shared" si="3"/>
        <v>219366.33265615467</v>
      </c>
      <c r="P61" s="47">
        <f t="shared" si="4"/>
        <v>1474551.3901593972</v>
      </c>
      <c r="Q61" s="47">
        <f t="shared" si="5"/>
        <v>4754724.5320393518</v>
      </c>
      <c r="R61" s="48"/>
      <c r="S61" s="48"/>
      <c r="T61" s="48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</row>
    <row r="62" spans="1:184" s="24" customFormat="1" ht="30">
      <c r="A62" s="43" t="s">
        <v>2</v>
      </c>
      <c r="B62" s="44" t="s">
        <v>70</v>
      </c>
      <c r="C62" s="44" t="s">
        <v>351</v>
      </c>
      <c r="D62" s="45">
        <v>458.47699999999998</v>
      </c>
      <c r="E62" s="45">
        <f>626.965-D62</f>
        <v>168.48800000000006</v>
      </c>
      <c r="F62" s="45">
        <v>154.20500000000001</v>
      </c>
      <c r="G62" s="45">
        <f>575.479-F62</f>
        <v>421.274</v>
      </c>
      <c r="H62" s="45">
        <f t="shared" si="0"/>
        <v>1202.444</v>
      </c>
      <c r="I62" s="46">
        <v>4505.2557333333334</v>
      </c>
      <c r="J62" s="46">
        <v>4685.4659626666671</v>
      </c>
      <c r="K62" s="46">
        <v>1400.2303466666667</v>
      </c>
      <c r="L62" s="46">
        <v>1456.2395605333334</v>
      </c>
      <c r="M62" s="47">
        <f t="shared" si="1"/>
        <v>1423582.7242027733</v>
      </c>
      <c r="N62" s="47">
        <f t="shared" si="2"/>
        <v>523159.51734869351</v>
      </c>
      <c r="O62" s="47">
        <f t="shared" si="3"/>
        <v>497962.85734097083</v>
      </c>
      <c r="P62" s="47">
        <f t="shared" si="4"/>
        <v>1360389.1233323182</v>
      </c>
      <c r="Q62" s="47">
        <f t="shared" si="5"/>
        <v>3805094.2222247561</v>
      </c>
      <c r="R62" s="48"/>
      <c r="S62" s="48"/>
      <c r="T62" s="48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</row>
    <row r="63" spans="1:184" s="24" customFormat="1">
      <c r="A63" s="43" t="s">
        <v>384</v>
      </c>
      <c r="B63" s="44" t="s">
        <v>385</v>
      </c>
      <c r="C63" s="44" t="s">
        <v>386</v>
      </c>
      <c r="D63" s="45">
        <f>290.1134384*0.6</f>
        <v>174.06806304</v>
      </c>
      <c r="E63" s="45">
        <f>290.1134384*0.4</f>
        <v>116.04537536000001</v>
      </c>
      <c r="F63" s="45">
        <f>224.4545616*0.2</f>
        <v>44.890912320000005</v>
      </c>
      <c r="G63" s="45">
        <f>224.4545616*0.8</f>
        <v>179.56364928000002</v>
      </c>
      <c r="H63" s="45">
        <f t="shared" si="0"/>
        <v>514.56799999999998</v>
      </c>
      <c r="I63" s="46">
        <v>2367.3832000000002</v>
      </c>
      <c r="J63" s="46">
        <v>2462.0785280000005</v>
      </c>
      <c r="K63" s="46">
        <v>1840.5141119999998</v>
      </c>
      <c r="L63" s="46">
        <v>1914.1346764799998</v>
      </c>
      <c r="M63" s="47">
        <f t="shared" si="1"/>
        <v>91711.081623811377</v>
      </c>
      <c r="N63" s="47">
        <f t="shared" si="2"/>
        <v>61140.72108254092</v>
      </c>
      <c r="O63" s="47">
        <f t="shared" si="3"/>
        <v>24597.69939486745</v>
      </c>
      <c r="P63" s="47">
        <f t="shared" si="4"/>
        <v>98390.7975794698</v>
      </c>
      <c r="Q63" s="47">
        <f t="shared" si="5"/>
        <v>275840.29968068952</v>
      </c>
      <c r="R63" s="48"/>
      <c r="S63" s="48"/>
      <c r="T63" s="48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</row>
    <row r="64" spans="1:184" s="24" customFormat="1">
      <c r="A64" s="43" t="s">
        <v>388</v>
      </c>
      <c r="B64" s="44" t="s">
        <v>389</v>
      </c>
      <c r="C64" s="44" t="s">
        <v>386</v>
      </c>
      <c r="D64" s="45">
        <f>75.3993952909912*0.6</f>
        <v>45.239637174594712</v>
      </c>
      <c r="E64" s="45">
        <f>75.3993952909912*0.4</f>
        <v>30.159758116396478</v>
      </c>
      <c r="F64" s="45">
        <f>59.4095647090088*0.2</f>
        <v>11.88191294180176</v>
      </c>
      <c r="G64" s="45">
        <f>59.4095647090088*0.8</f>
        <v>47.52765176720704</v>
      </c>
      <c r="H64" s="45">
        <f t="shared" si="0"/>
        <v>134.80895999999998</v>
      </c>
      <c r="I64" s="46">
        <v>1808.8621200000002</v>
      </c>
      <c r="J64" s="46">
        <v>1881.2166048000004</v>
      </c>
      <c r="K64" s="46">
        <v>1529.3489120000002</v>
      </c>
      <c r="L64" s="46">
        <v>1590.5228684800002</v>
      </c>
      <c r="M64" s="47">
        <f t="shared" si="1"/>
        <v>12645.076115427028</v>
      </c>
      <c r="N64" s="47">
        <f t="shared" si="2"/>
        <v>8430.0507436180196</v>
      </c>
      <c r="O64" s="47">
        <f t="shared" si="3"/>
        <v>3453.9976676813185</v>
      </c>
      <c r="P64" s="47">
        <f t="shared" si="4"/>
        <v>13815.990670725274</v>
      </c>
      <c r="Q64" s="47">
        <f t="shared" si="5"/>
        <v>38345.11519745164</v>
      </c>
      <c r="R64" s="48"/>
      <c r="S64" s="48"/>
      <c r="T64" s="48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</row>
    <row r="65" spans="1:184" s="24" customFormat="1">
      <c r="A65" s="43">
        <v>7729314745</v>
      </c>
      <c r="B65" s="44" t="s">
        <v>391</v>
      </c>
      <c r="C65" s="44" t="s">
        <v>121</v>
      </c>
      <c r="D65" s="45">
        <f>3995.8985*0.6</f>
        <v>2397.5391</v>
      </c>
      <c r="E65" s="45">
        <f>3995.8985*0.4</f>
        <v>1598.3594000000001</v>
      </c>
      <c r="F65" s="45">
        <f>3269.3715*0.2</f>
        <v>653.87430000000006</v>
      </c>
      <c r="G65" s="45">
        <f>3269.3715*0.8</f>
        <v>2615.4972000000002</v>
      </c>
      <c r="H65" s="45">
        <f t="shared" si="0"/>
        <v>7265.27</v>
      </c>
      <c r="I65" s="46">
        <v>1790.77</v>
      </c>
      <c r="J65" s="46">
        <v>1862.4</v>
      </c>
      <c r="K65" s="46">
        <v>1301.6600000000001</v>
      </c>
      <c r="L65" s="46">
        <v>1353.73</v>
      </c>
      <c r="M65" s="47">
        <f t="shared" si="1"/>
        <v>1172660.3492009998</v>
      </c>
      <c r="N65" s="47">
        <f t="shared" si="2"/>
        <v>781773.56613399985</v>
      </c>
      <c r="O65" s="47">
        <f t="shared" si="3"/>
        <v>332606.24018100009</v>
      </c>
      <c r="P65" s="47">
        <f t="shared" si="4"/>
        <v>1330424.9607240004</v>
      </c>
      <c r="Q65" s="47">
        <f t="shared" si="5"/>
        <v>3617465.1162399999</v>
      </c>
      <c r="R65" s="48"/>
      <c r="S65" s="48"/>
      <c r="T65" s="48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</row>
    <row r="66" spans="1:184" s="24" customFormat="1">
      <c r="A66" s="43" t="s">
        <v>315</v>
      </c>
      <c r="B66" s="44" t="s">
        <v>425</v>
      </c>
      <c r="C66" s="44" t="s">
        <v>120</v>
      </c>
      <c r="D66" s="45">
        <v>206.79900000000001</v>
      </c>
      <c r="E66" s="45">
        <f>311.31-D66</f>
        <v>104.511</v>
      </c>
      <c r="F66" s="45">
        <v>45.954999999999998</v>
      </c>
      <c r="G66" s="45">
        <f>252.754-F66</f>
        <v>206.79899999999998</v>
      </c>
      <c r="H66" s="45">
        <f t="shared" si="0"/>
        <v>564.06399999999996</v>
      </c>
      <c r="I66" s="46">
        <v>5425.0676479999993</v>
      </c>
      <c r="J66" s="46">
        <v>5425.0676479999993</v>
      </c>
      <c r="K66" s="46">
        <v>1569.8163936000001</v>
      </c>
      <c r="L66" s="46">
        <v>1632.6090493440001</v>
      </c>
      <c r="M66" s="47">
        <f t="shared" si="1"/>
        <v>797262.1041586654</v>
      </c>
      <c r="N66" s="47">
        <f t="shared" si="2"/>
        <v>402916.16384859831</v>
      </c>
      <c r="O66" s="47">
        <f t="shared" si="3"/>
        <v>174282.43490123644</v>
      </c>
      <c r="P66" s="47">
        <f t="shared" si="4"/>
        <v>784276.64574346191</v>
      </c>
      <c r="Q66" s="47">
        <f t="shared" si="5"/>
        <v>2158737.3486519619</v>
      </c>
      <c r="R66" s="48"/>
      <c r="S66" s="48"/>
      <c r="T66" s="48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</row>
    <row r="67" spans="1:184" s="25" customFormat="1">
      <c r="A67" s="117" t="s">
        <v>117</v>
      </c>
      <c r="B67" s="117"/>
      <c r="C67" s="117"/>
      <c r="D67" s="90"/>
      <c r="E67" s="59"/>
      <c r="F67" s="60"/>
      <c r="G67" s="60"/>
      <c r="H67" s="45">
        <f t="shared" si="0"/>
        <v>0</v>
      </c>
      <c r="I67" s="61"/>
      <c r="J67" s="61"/>
      <c r="K67" s="61"/>
      <c r="L67" s="61"/>
      <c r="M67" s="47">
        <f t="shared" si="1"/>
        <v>0</v>
      </c>
      <c r="N67" s="47">
        <f t="shared" si="2"/>
        <v>0</v>
      </c>
      <c r="O67" s="47">
        <f t="shared" si="3"/>
        <v>0</v>
      </c>
      <c r="P67" s="47">
        <f t="shared" si="4"/>
        <v>0</v>
      </c>
      <c r="Q67" s="47">
        <f t="shared" si="5"/>
        <v>0</v>
      </c>
      <c r="R67" s="47">
        <f t="shared" ref="R67" si="6">F67*(M67-O67)</f>
        <v>0</v>
      </c>
      <c r="S67" s="47"/>
      <c r="T67" s="47"/>
    </row>
    <row r="68" spans="1:184" s="19" customFormat="1">
      <c r="A68" s="62" t="s">
        <v>21</v>
      </c>
      <c r="B68" s="63" t="s">
        <v>118</v>
      </c>
      <c r="C68" s="63"/>
      <c r="D68" s="64">
        <v>2840.2849999999999</v>
      </c>
      <c r="E68" s="64">
        <f>4092.064-D68</f>
        <v>1251.779</v>
      </c>
      <c r="F68" s="64">
        <v>373.16199999999998</v>
      </c>
      <c r="G68" s="64">
        <f>2148.922-F68</f>
        <v>1775.76</v>
      </c>
      <c r="H68" s="45">
        <f t="shared" si="0"/>
        <v>6240.9859999999999</v>
      </c>
      <c r="I68" s="61">
        <v>1778.1821200000002</v>
      </c>
      <c r="J68" s="61">
        <v>1849.3094048000003</v>
      </c>
      <c r="K68" s="61">
        <v>1655.5255253333335</v>
      </c>
      <c r="L68" s="61">
        <v>1721.7465463466669</v>
      </c>
      <c r="M68" s="47">
        <f t="shared" si="1"/>
        <v>348379.68598281342</v>
      </c>
      <c r="N68" s="47">
        <f t="shared" si="2"/>
        <v>153538.94941524538</v>
      </c>
      <c r="O68" s="47">
        <f t="shared" si="3"/>
        <v>47601.611386162767</v>
      </c>
      <c r="P68" s="47">
        <f t="shared" si="4"/>
        <v>226521.02152709119</v>
      </c>
      <c r="Q68" s="47">
        <f t="shared" si="5"/>
        <v>776041.26831131277</v>
      </c>
      <c r="R68" s="47"/>
      <c r="S68" s="47"/>
      <c r="T68" s="47"/>
    </row>
    <row r="69" spans="1:184" s="19" customFormat="1">
      <c r="A69" s="43">
        <v>7729314745</v>
      </c>
      <c r="B69" s="44" t="s">
        <v>391</v>
      </c>
      <c r="C69" s="63"/>
      <c r="D69" s="45">
        <f>739.596*0.4</f>
        <v>295.83840000000004</v>
      </c>
      <c r="E69" s="45">
        <f>739.596*0.6</f>
        <v>443.75759999999997</v>
      </c>
      <c r="F69" s="45">
        <f>605.124*0.8</f>
        <v>484.09920000000005</v>
      </c>
      <c r="G69" s="45">
        <f>605.124*0.2</f>
        <v>121.02480000000001</v>
      </c>
      <c r="H69" s="45">
        <f t="shared" si="0"/>
        <v>1344.72</v>
      </c>
      <c r="I69" s="66">
        <v>6556.85</v>
      </c>
      <c r="J69" s="66">
        <v>6819.12</v>
      </c>
      <c r="K69" s="66">
        <v>1993.17</v>
      </c>
      <c r="L69" s="66">
        <v>2072.9</v>
      </c>
      <c r="M69" s="47">
        <f t="shared" si="1"/>
        <v>1350111.7893120002</v>
      </c>
      <c r="N69" s="47">
        <f t="shared" si="2"/>
        <v>2025167.6839679999</v>
      </c>
      <c r="O69" s="47">
        <f t="shared" si="3"/>
        <v>2297641.3050239999</v>
      </c>
      <c r="P69" s="47">
        <f t="shared" si="4"/>
        <v>574410.32625599997</v>
      </c>
      <c r="Q69" s="47">
        <f t="shared" si="5"/>
        <v>6247331.104559999</v>
      </c>
      <c r="R69" s="47"/>
      <c r="S69" s="47"/>
      <c r="T69" s="47"/>
    </row>
    <row r="70" spans="1:184" s="24" customFormat="1" ht="15.75">
      <c r="A70" s="112" t="s">
        <v>124</v>
      </c>
      <c r="B70" s="112"/>
      <c r="C70" s="112"/>
      <c r="D70" s="49"/>
      <c r="E70" s="49"/>
      <c r="F70" s="42"/>
      <c r="G70" s="42"/>
      <c r="H70" s="45">
        <f t="shared" si="0"/>
        <v>0</v>
      </c>
      <c r="I70" s="40"/>
      <c r="J70" s="40"/>
      <c r="K70" s="40"/>
      <c r="L70" s="40"/>
      <c r="M70" s="47">
        <f t="shared" si="1"/>
        <v>0</v>
      </c>
      <c r="N70" s="47">
        <f t="shared" si="2"/>
        <v>0</v>
      </c>
      <c r="O70" s="47">
        <f t="shared" si="3"/>
        <v>0</v>
      </c>
      <c r="P70" s="47">
        <f t="shared" si="4"/>
        <v>0</v>
      </c>
      <c r="Q70" s="47">
        <f t="shared" si="5"/>
        <v>0</v>
      </c>
      <c r="R70" s="88"/>
      <c r="S70" s="88"/>
      <c r="T70" s="88"/>
    </row>
    <row r="71" spans="1:184" s="24" customFormat="1">
      <c r="A71" s="43" t="s">
        <v>45</v>
      </c>
      <c r="B71" s="44" t="s">
        <v>125</v>
      </c>
      <c r="C71" s="44" t="s">
        <v>126</v>
      </c>
      <c r="D71" s="45">
        <v>302.37</v>
      </c>
      <c r="E71" s="45">
        <f>438.115-D71</f>
        <v>135.745</v>
      </c>
      <c r="F71" s="45">
        <v>55.98</v>
      </c>
      <c r="G71" s="45">
        <f>350.58-F71</f>
        <v>294.59999999999997</v>
      </c>
      <c r="H71" s="45">
        <f t="shared" si="0"/>
        <v>788.69499999999994</v>
      </c>
      <c r="I71" s="46">
        <v>4649.5280000000002</v>
      </c>
      <c r="J71" s="46">
        <v>4835.5091200000006</v>
      </c>
      <c r="K71" s="46">
        <v>1685.183</v>
      </c>
      <c r="L71" s="46">
        <v>1752.59032</v>
      </c>
      <c r="M71" s="47">
        <f t="shared" si="1"/>
        <v>896328.99765000003</v>
      </c>
      <c r="N71" s="47">
        <f t="shared" si="2"/>
        <v>402395.01202500006</v>
      </c>
      <c r="O71" s="47">
        <f t="shared" si="3"/>
        <v>172581.79442400002</v>
      </c>
      <c r="P71" s="47">
        <f t="shared" si="4"/>
        <v>908227.87847999996</v>
      </c>
      <c r="Q71" s="47">
        <f t="shared" si="5"/>
        <v>2379533.682579</v>
      </c>
      <c r="R71" s="48"/>
      <c r="S71" s="48"/>
      <c r="T71" s="48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</row>
    <row r="72" spans="1:184" s="24" customFormat="1">
      <c r="A72" s="43" t="s">
        <v>323</v>
      </c>
      <c r="B72" s="44" t="s">
        <v>324</v>
      </c>
      <c r="C72" s="44" t="s">
        <v>127</v>
      </c>
      <c r="D72" s="45">
        <v>3330.34</v>
      </c>
      <c r="E72" s="45">
        <f>4790.409-D72</f>
        <v>1460.0689999999995</v>
      </c>
      <c r="F72" s="45">
        <v>805</v>
      </c>
      <c r="G72" s="45">
        <v>2455.67</v>
      </c>
      <c r="H72" s="45">
        <f t="shared" si="0"/>
        <v>8051.0789999999997</v>
      </c>
      <c r="I72" s="46">
        <v>4606.9906133333334</v>
      </c>
      <c r="J72" s="46">
        <v>4791.2702378666672</v>
      </c>
      <c r="K72" s="46">
        <v>1642.7178249999999</v>
      </c>
      <c r="L72" s="46">
        <v>1708.4265379999999</v>
      </c>
      <c r="M72" s="47">
        <f t="shared" si="1"/>
        <v>9872036.237898035</v>
      </c>
      <c r="N72" s="47">
        <f t="shared" si="2"/>
        <v>4328042.8057890609</v>
      </c>
      <c r="O72" s="47">
        <f t="shared" si="3"/>
        <v>2481689.1783926673</v>
      </c>
      <c r="P72" s="47">
        <f t="shared" si="4"/>
        <v>7570446.7884515794</v>
      </c>
      <c r="Q72" s="47">
        <f t="shared" si="5"/>
        <v>24252215.010531344</v>
      </c>
      <c r="R72" s="48"/>
      <c r="S72" s="48"/>
      <c r="T72" s="48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</row>
    <row r="73" spans="1:184" s="24" customFormat="1" ht="30">
      <c r="A73" s="67">
        <v>2914001089</v>
      </c>
      <c r="B73" s="44" t="s">
        <v>381</v>
      </c>
      <c r="C73" s="44" t="s">
        <v>126</v>
      </c>
      <c r="D73" s="45">
        <f>83.9832*0.4</f>
        <v>33.59328</v>
      </c>
      <c r="E73" s="45">
        <f>83.9832*0.6</f>
        <v>50.389919999999996</v>
      </c>
      <c r="F73" s="45">
        <f>65.9868*0.2</f>
        <v>13.197360000000002</v>
      </c>
      <c r="G73" s="45">
        <f>65.9868*0.8</f>
        <v>52.789440000000006</v>
      </c>
      <c r="H73" s="45">
        <f t="shared" si="0"/>
        <v>149.97</v>
      </c>
      <c r="I73" s="46">
        <v>5754.8815999999997</v>
      </c>
      <c r="J73" s="46">
        <v>5985.0768639999997</v>
      </c>
      <c r="K73" s="46">
        <v>1677.0024999999998</v>
      </c>
      <c r="L73" s="46">
        <v>1744.0826</v>
      </c>
      <c r="M73" s="47">
        <f t="shared" si="1"/>
        <v>136989.33441244799</v>
      </c>
      <c r="N73" s="47">
        <f t="shared" si="2"/>
        <v>205484.00161867199</v>
      </c>
      <c r="O73" s="47">
        <f t="shared" si="3"/>
        <v>55969.928059943042</v>
      </c>
      <c r="P73" s="47">
        <f t="shared" si="4"/>
        <v>223879.71223977217</v>
      </c>
      <c r="Q73" s="47">
        <f t="shared" si="5"/>
        <v>622322.97633083514</v>
      </c>
      <c r="R73" s="48"/>
      <c r="S73" s="48"/>
      <c r="T73" s="48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</row>
    <row r="74" spans="1:184" s="24" customFormat="1" ht="15.75">
      <c r="A74" s="112" t="s">
        <v>128</v>
      </c>
      <c r="B74" s="112"/>
      <c r="C74" s="112"/>
      <c r="D74" s="49"/>
      <c r="E74" s="49"/>
      <c r="F74" s="42"/>
      <c r="G74" s="42"/>
      <c r="H74" s="45">
        <f t="shared" ref="H74:H137" si="7">SUM(D74:G74)</f>
        <v>0</v>
      </c>
      <c r="I74" s="40"/>
      <c r="J74" s="40"/>
      <c r="K74" s="40"/>
      <c r="L74" s="40"/>
      <c r="M74" s="47">
        <f t="shared" ref="M74:M137" si="8">(I74-K74)*D74</f>
        <v>0</v>
      </c>
      <c r="N74" s="47">
        <f t="shared" ref="N74:N137" si="9">(I74-K74)*E74</f>
        <v>0</v>
      </c>
      <c r="O74" s="47">
        <f t="shared" ref="O74:O137" si="10">(J74-L74)*F74</f>
        <v>0</v>
      </c>
      <c r="P74" s="47">
        <f t="shared" ref="P74:P137" si="11">(G74*(J74-L74))</f>
        <v>0</v>
      </c>
      <c r="Q74" s="47">
        <f t="shared" ref="Q74:Q137" si="12">SUM(M74:P74)</f>
        <v>0</v>
      </c>
      <c r="R74" s="88"/>
      <c r="S74" s="88"/>
      <c r="T74" s="88"/>
    </row>
    <row r="75" spans="1:184" s="24" customFormat="1">
      <c r="A75" s="43" t="s">
        <v>307</v>
      </c>
      <c r="B75" s="44" t="s">
        <v>129</v>
      </c>
      <c r="C75" s="44" t="s">
        <v>130</v>
      </c>
      <c r="D75" s="45">
        <v>976.01400000000001</v>
      </c>
      <c r="E75" s="45">
        <f>1522.005-D75</f>
        <v>545.9910000000001</v>
      </c>
      <c r="F75" s="45">
        <v>197.21100000000001</v>
      </c>
      <c r="G75" s="45">
        <f>1131.693-F75</f>
        <v>934.48199999999997</v>
      </c>
      <c r="H75" s="45">
        <f t="shared" si="7"/>
        <v>2653.6980000000003</v>
      </c>
      <c r="I75" s="46">
        <v>2361.7776000000003</v>
      </c>
      <c r="J75" s="46">
        <v>2456.2487040000005</v>
      </c>
      <c r="K75" s="46">
        <v>1677.3120000000001</v>
      </c>
      <c r="L75" s="46">
        <v>1744.4044800000001</v>
      </c>
      <c r="M75" s="47">
        <f t="shared" si="8"/>
        <v>668048.00811840023</v>
      </c>
      <c r="N75" s="47">
        <f t="shared" si="9"/>
        <v>373712.05740960018</v>
      </c>
      <c r="O75" s="47">
        <f t="shared" si="10"/>
        <v>140383.51125926408</v>
      </c>
      <c r="P75" s="47">
        <f t="shared" si="11"/>
        <v>665205.61413196835</v>
      </c>
      <c r="Q75" s="47">
        <f t="shared" si="12"/>
        <v>1847349.190919233</v>
      </c>
      <c r="R75" s="48"/>
      <c r="S75" s="48"/>
      <c r="T75" s="48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</row>
    <row r="76" spans="1:184" s="24" customFormat="1">
      <c r="A76" s="43" t="s">
        <v>306</v>
      </c>
      <c r="B76" s="44" t="s">
        <v>133</v>
      </c>
      <c r="C76" s="44" t="s">
        <v>134</v>
      </c>
      <c r="D76" s="45">
        <v>2681.8690000000001</v>
      </c>
      <c r="E76" s="45">
        <f>3876.244-D76</f>
        <v>1194.375</v>
      </c>
      <c r="F76" s="45">
        <v>468.06</v>
      </c>
      <c r="G76" s="45">
        <f>2877.435-F76</f>
        <v>2409.375</v>
      </c>
      <c r="H76" s="45">
        <f t="shared" si="7"/>
        <v>6753.6790000000001</v>
      </c>
      <c r="I76" s="46">
        <v>3966.6785600000007</v>
      </c>
      <c r="J76" s="46">
        <v>4125.3457024000008</v>
      </c>
      <c r="K76" s="46">
        <v>1422.88825</v>
      </c>
      <c r="L76" s="46">
        <v>1479.80378</v>
      </c>
      <c r="M76" s="47">
        <f t="shared" si="8"/>
        <v>6822112.3748893924</v>
      </c>
      <c r="N76" s="47">
        <f t="shared" si="9"/>
        <v>3038239.5515062511</v>
      </c>
      <c r="O76" s="47">
        <f t="shared" si="10"/>
        <v>1238272.3521985444</v>
      </c>
      <c r="P76" s="47">
        <f t="shared" si="11"/>
        <v>6374102.5692825019</v>
      </c>
      <c r="Q76" s="47">
        <f t="shared" si="12"/>
        <v>17472726.84787669</v>
      </c>
      <c r="R76" s="48"/>
      <c r="S76" s="48"/>
      <c r="T76" s="48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</row>
    <row r="77" spans="1:184" s="24" customFormat="1">
      <c r="A77" s="43" t="s">
        <v>37</v>
      </c>
      <c r="B77" s="44" t="s">
        <v>131</v>
      </c>
      <c r="C77" s="44" t="s">
        <v>132</v>
      </c>
      <c r="D77" s="45">
        <v>493.52499999999998</v>
      </c>
      <c r="E77" s="45">
        <f>703.045-D77</f>
        <v>209.51999999999998</v>
      </c>
      <c r="F77" s="45">
        <v>94.762</v>
      </c>
      <c r="G77" s="45">
        <f>534.088-F77</f>
        <v>439.32599999999996</v>
      </c>
      <c r="H77" s="45">
        <f t="shared" si="7"/>
        <v>1237.133</v>
      </c>
      <c r="I77" s="46">
        <v>2600.8320000000003</v>
      </c>
      <c r="J77" s="46">
        <v>2704.8652800000004</v>
      </c>
      <c r="K77" s="46">
        <v>1720.194</v>
      </c>
      <c r="L77" s="46">
        <v>1789.0017600000001</v>
      </c>
      <c r="M77" s="47">
        <f t="shared" si="8"/>
        <v>434616.86895000015</v>
      </c>
      <c r="N77" s="47">
        <f t="shared" si="9"/>
        <v>184511.27376000007</v>
      </c>
      <c r="O77" s="47">
        <f t="shared" si="10"/>
        <v>86789.058882240031</v>
      </c>
      <c r="P77" s="47">
        <f t="shared" si="11"/>
        <v>402362.6567875201</v>
      </c>
      <c r="Q77" s="47">
        <f t="shared" si="12"/>
        <v>1108279.8583797603</v>
      </c>
      <c r="R77" s="48"/>
      <c r="S77" s="48"/>
      <c r="T77" s="48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</row>
    <row r="78" spans="1:184" s="24" customFormat="1">
      <c r="A78" s="43" t="s">
        <v>15</v>
      </c>
      <c r="B78" s="44" t="s">
        <v>135</v>
      </c>
      <c r="C78" s="44" t="s">
        <v>134</v>
      </c>
      <c r="D78" s="45">
        <v>44.133000000000003</v>
      </c>
      <c r="E78" s="45">
        <v>65.962000000000003</v>
      </c>
      <c r="F78" s="45">
        <v>4.4130000000000003</v>
      </c>
      <c r="G78" s="45">
        <f>48.546-F78</f>
        <v>44.132999999999996</v>
      </c>
      <c r="H78" s="45">
        <f t="shared" si="7"/>
        <v>158.64099999999999</v>
      </c>
      <c r="I78" s="68">
        <v>4162.9180666666671</v>
      </c>
      <c r="J78" s="68">
        <v>4329.4347893333343</v>
      </c>
      <c r="K78" s="68">
        <v>1412.0366750000001</v>
      </c>
      <c r="L78" s="68">
        <v>1468.5181420000001</v>
      </c>
      <c r="M78" s="47">
        <f t="shared" si="8"/>
        <v>121404.64845842501</v>
      </c>
      <c r="N78" s="47">
        <f t="shared" si="9"/>
        <v>181453.6383571167</v>
      </c>
      <c r="O78" s="47">
        <f t="shared" si="10"/>
        <v>12625.225164682006</v>
      </c>
      <c r="P78" s="47">
        <f t="shared" si="11"/>
        <v>126260.83439676203</v>
      </c>
      <c r="Q78" s="47">
        <f t="shared" si="12"/>
        <v>441744.34637698572</v>
      </c>
      <c r="R78" s="48"/>
      <c r="S78" s="48"/>
      <c r="T78" s="48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</row>
    <row r="79" spans="1:184" s="24" customFormat="1">
      <c r="A79" s="43" t="s">
        <v>388</v>
      </c>
      <c r="B79" s="44" t="s">
        <v>389</v>
      </c>
      <c r="C79" s="44" t="s">
        <v>134</v>
      </c>
      <c r="D79" s="45">
        <f>12.6340404996014*0.6</f>
        <v>7.58042429976084</v>
      </c>
      <c r="E79" s="45">
        <f>12.6340404996014*0.4</f>
        <v>5.0536161998405609</v>
      </c>
      <c r="F79" s="45">
        <f>9.95475950039862*0.8</f>
        <v>7.963807600318896</v>
      </c>
      <c r="G79" s="45">
        <f>9.95475950039862*0.2</f>
        <v>1.990951900079724</v>
      </c>
      <c r="H79" s="45">
        <f t="shared" si="7"/>
        <v>22.588800000000024</v>
      </c>
      <c r="I79" s="68">
        <v>1857.2956133333332</v>
      </c>
      <c r="J79" s="68">
        <v>1931.5874378666665</v>
      </c>
      <c r="K79" s="68">
        <v>1425.4803239040004</v>
      </c>
      <c r="L79" s="68">
        <v>1482.4995368601606</v>
      </c>
      <c r="M79" s="47">
        <f t="shared" si="8"/>
        <v>3273.3431129983742</v>
      </c>
      <c r="N79" s="47">
        <f t="shared" si="9"/>
        <v>2182.2287419989166</v>
      </c>
      <c r="O79" s="47">
        <f t="shared" si="10"/>
        <v>3576.4496392468718</v>
      </c>
      <c r="P79" s="47">
        <f t="shared" si="11"/>
        <v>894.11240981171795</v>
      </c>
      <c r="Q79" s="47">
        <f t="shared" si="12"/>
        <v>9926.1339040558814</v>
      </c>
      <c r="R79" s="48"/>
      <c r="S79" s="48"/>
      <c r="T79" s="48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</row>
    <row r="80" spans="1:184" s="26" customFormat="1">
      <c r="A80" s="62" t="s">
        <v>305</v>
      </c>
      <c r="B80" s="63" t="s">
        <v>136</v>
      </c>
      <c r="C80" s="63" t="s">
        <v>130</v>
      </c>
      <c r="D80" s="61">
        <v>3588.8330000000001</v>
      </c>
      <c r="E80" s="61">
        <f>5503.217-D80</f>
        <v>1914.3839999999996</v>
      </c>
      <c r="F80" s="61">
        <v>783.45399999999995</v>
      </c>
      <c r="G80" s="61">
        <f>4206.889-F80</f>
        <v>3423.4350000000004</v>
      </c>
      <c r="H80" s="45">
        <f t="shared" si="7"/>
        <v>9710.1059999999998</v>
      </c>
      <c r="I80" s="68">
        <v>1288.2327466666668</v>
      </c>
      <c r="J80" s="68">
        <v>1339.7620565333334</v>
      </c>
      <c r="K80" s="68">
        <v>699.72525000000007</v>
      </c>
      <c r="L80" s="68">
        <v>727.71426000000008</v>
      </c>
      <c r="M80" s="47">
        <f t="shared" si="8"/>
        <v>2112055.1247847234</v>
      </c>
      <c r="N80" s="47">
        <f t="shared" si="9"/>
        <v>1126629.3354987199</v>
      </c>
      <c r="O80" s="47">
        <f t="shared" si="10"/>
        <v>479511.29438522609</v>
      </c>
      <c r="P80" s="47">
        <f t="shared" si="11"/>
        <v>2095305.8483250921</v>
      </c>
      <c r="Q80" s="47">
        <f t="shared" si="12"/>
        <v>5813501.6029937612</v>
      </c>
      <c r="R80" s="69"/>
      <c r="S80" s="69"/>
      <c r="T80" s="69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</row>
    <row r="81" spans="1:184" s="24" customFormat="1" ht="15.75">
      <c r="A81" s="112" t="s">
        <v>137</v>
      </c>
      <c r="B81" s="112"/>
      <c r="C81" s="112"/>
      <c r="D81" s="49"/>
      <c r="E81" s="49"/>
      <c r="F81" s="42"/>
      <c r="G81" s="42"/>
      <c r="H81" s="45">
        <f t="shared" si="7"/>
        <v>0</v>
      </c>
      <c r="I81" s="40"/>
      <c r="J81" s="40"/>
      <c r="K81" s="40"/>
      <c r="L81" s="40"/>
      <c r="M81" s="47">
        <f t="shared" si="8"/>
        <v>0</v>
      </c>
      <c r="N81" s="47">
        <f t="shared" si="9"/>
        <v>0</v>
      </c>
      <c r="O81" s="47">
        <f t="shared" si="10"/>
        <v>0</v>
      </c>
      <c r="P81" s="47">
        <f t="shared" si="11"/>
        <v>0</v>
      </c>
      <c r="Q81" s="47">
        <f t="shared" si="12"/>
        <v>0</v>
      </c>
      <c r="R81" s="88"/>
      <c r="S81" s="88"/>
      <c r="T81" s="88"/>
    </row>
    <row r="82" spans="1:184" s="24" customFormat="1" ht="30">
      <c r="A82" s="43" t="s">
        <v>2</v>
      </c>
      <c r="B82" s="44" t="s">
        <v>70</v>
      </c>
      <c r="C82" s="44" t="s">
        <v>334</v>
      </c>
      <c r="D82" s="45">
        <v>4600.9170000000004</v>
      </c>
      <c r="E82" s="45">
        <f>6796.981-D82</f>
        <v>2196.0639999999994</v>
      </c>
      <c r="F82" s="45">
        <v>904.97900000000004</v>
      </c>
      <c r="G82" s="45">
        <f>4523.845-F82</f>
        <v>3618.866</v>
      </c>
      <c r="H82" s="45">
        <f t="shared" si="7"/>
        <v>11320.826000000001</v>
      </c>
      <c r="I82" s="46">
        <v>7660.6820887815711</v>
      </c>
      <c r="J82" s="46">
        <v>8048.8171503785643</v>
      </c>
      <c r="K82" s="46">
        <v>1541.3120666666669</v>
      </c>
      <c r="L82" s="46">
        <v>1602.9645493333335</v>
      </c>
      <c r="M82" s="47">
        <f t="shared" si="8"/>
        <v>28154713.564038843</v>
      </c>
      <c r="N82" s="47">
        <f t="shared" si="9"/>
        <v>13438528.208245743</v>
      </c>
      <c r="O82" s="47">
        <f t="shared" si="10"/>
        <v>5833361.241041312</v>
      </c>
      <c r="P82" s="47">
        <f t="shared" si="11"/>
        <v>23326676.81893415</v>
      </c>
      <c r="Q82" s="47">
        <f t="shared" si="12"/>
        <v>70753279.832260042</v>
      </c>
      <c r="R82" s="48"/>
      <c r="S82" s="48"/>
      <c r="T82" s="48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</row>
    <row r="83" spans="1:184" s="24" customFormat="1" ht="15.75">
      <c r="A83" s="112" t="s">
        <v>138</v>
      </c>
      <c r="B83" s="112"/>
      <c r="C83" s="112"/>
      <c r="D83" s="49"/>
      <c r="E83" s="49"/>
      <c r="F83" s="42"/>
      <c r="G83" s="42"/>
      <c r="H83" s="45">
        <f t="shared" si="7"/>
        <v>0</v>
      </c>
      <c r="I83" s="40"/>
      <c r="J83" s="40"/>
      <c r="K83" s="40"/>
      <c r="L83" s="40"/>
      <c r="M83" s="47">
        <f t="shared" si="8"/>
        <v>0</v>
      </c>
      <c r="N83" s="47">
        <f t="shared" si="9"/>
        <v>0</v>
      </c>
      <c r="O83" s="47">
        <f t="shared" si="10"/>
        <v>0</v>
      </c>
      <c r="P83" s="47">
        <f t="shared" si="11"/>
        <v>0</v>
      </c>
      <c r="Q83" s="47">
        <f t="shared" si="12"/>
        <v>0</v>
      </c>
      <c r="R83" s="88"/>
      <c r="S83" s="88"/>
      <c r="T83" s="88"/>
    </row>
    <row r="84" spans="1:184" s="24" customFormat="1">
      <c r="A84" s="43" t="s">
        <v>2</v>
      </c>
      <c r="B84" s="44" t="s">
        <v>70</v>
      </c>
      <c r="C84" s="44" t="s">
        <v>335</v>
      </c>
      <c r="D84" s="45">
        <v>3562.4659999999999</v>
      </c>
      <c r="E84" s="45">
        <f>5573.974-D84</f>
        <v>2011.5080000000003</v>
      </c>
      <c r="F84" s="45">
        <v>943.68799999999999</v>
      </c>
      <c r="G84" s="45">
        <f>4139.529-F84</f>
        <v>3195.8410000000003</v>
      </c>
      <c r="H84" s="45">
        <f t="shared" si="7"/>
        <v>9713.5030000000006</v>
      </c>
      <c r="I84" s="46">
        <v>6634.6458750000002</v>
      </c>
      <c r="J84" s="46">
        <v>6900.0317100000002</v>
      </c>
      <c r="K84" s="46">
        <v>1305.2908266666666</v>
      </c>
      <c r="L84" s="46">
        <v>1357.5024597333334</v>
      </c>
      <c r="M84" s="47">
        <f t="shared" si="8"/>
        <v>18985646.161615856</v>
      </c>
      <c r="N84" s="47">
        <f t="shared" si="9"/>
        <v>10720040.314562889</v>
      </c>
      <c r="O84" s="47">
        <f t="shared" si="10"/>
        <v>5230418.3431256507</v>
      </c>
      <c r="P84" s="47">
        <f t="shared" si="11"/>
        <v>17713042.221701477</v>
      </c>
      <c r="Q84" s="47">
        <f t="shared" si="12"/>
        <v>52649147.041005865</v>
      </c>
      <c r="R84" s="48"/>
      <c r="S84" s="48"/>
      <c r="T84" s="48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</row>
    <row r="85" spans="1:184" s="24" customFormat="1">
      <c r="A85" s="43">
        <v>7729314745</v>
      </c>
      <c r="B85" s="44" t="s">
        <v>391</v>
      </c>
      <c r="C85" s="44" t="s">
        <v>392</v>
      </c>
      <c r="D85" s="45">
        <f>60.9235*0.4</f>
        <v>24.369399999999999</v>
      </c>
      <c r="E85" s="45">
        <f>60.9235*0.6</f>
        <v>36.554099999999998</v>
      </c>
      <c r="F85" s="45">
        <f>49.8465*0.2</f>
        <v>9.9693000000000005</v>
      </c>
      <c r="G85" s="45">
        <f>49.8465*0.8</f>
        <v>39.877200000000002</v>
      </c>
      <c r="H85" s="45">
        <f t="shared" si="7"/>
        <v>110.77</v>
      </c>
      <c r="I85" s="48">
        <v>6211.76</v>
      </c>
      <c r="J85" s="48">
        <v>6460.23</v>
      </c>
      <c r="K85" s="48">
        <v>1305.29</v>
      </c>
      <c r="L85" s="48">
        <v>1357.5</v>
      </c>
      <c r="M85" s="47">
        <f t="shared" si="8"/>
        <v>119567.730018</v>
      </c>
      <c r="N85" s="47">
        <f t="shared" si="9"/>
        <v>179351.595027</v>
      </c>
      <c r="O85" s="47">
        <f t="shared" si="10"/>
        <v>50870.646188999999</v>
      </c>
      <c r="P85" s="47">
        <f t="shared" si="11"/>
        <v>203482.584756</v>
      </c>
      <c r="Q85" s="47">
        <f t="shared" si="12"/>
        <v>553272.55599000002</v>
      </c>
      <c r="R85" s="48"/>
      <c r="S85" s="48"/>
      <c r="T85" s="48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</row>
    <row r="86" spans="1:184" s="24" customFormat="1" ht="15.75">
      <c r="A86" s="112" t="s">
        <v>114</v>
      </c>
      <c r="B86" s="112"/>
      <c r="C86" s="112"/>
      <c r="D86" s="49"/>
      <c r="E86" s="49"/>
      <c r="F86" s="42"/>
      <c r="G86" s="42"/>
      <c r="H86" s="45">
        <f t="shared" si="7"/>
        <v>0</v>
      </c>
      <c r="I86" s="40"/>
      <c r="J86" s="40"/>
      <c r="K86" s="40"/>
      <c r="L86" s="40"/>
      <c r="M86" s="47">
        <f t="shared" si="8"/>
        <v>0</v>
      </c>
      <c r="N86" s="47">
        <f t="shared" si="9"/>
        <v>0</v>
      </c>
      <c r="O86" s="47">
        <f t="shared" si="10"/>
        <v>0</v>
      </c>
      <c r="P86" s="47">
        <f t="shared" si="11"/>
        <v>0</v>
      </c>
      <c r="Q86" s="47">
        <f t="shared" si="12"/>
        <v>0</v>
      </c>
      <c r="R86" s="88"/>
      <c r="S86" s="88"/>
      <c r="T86" s="88"/>
    </row>
    <row r="87" spans="1:184" s="24" customFormat="1">
      <c r="A87" s="43" t="s">
        <v>35</v>
      </c>
      <c r="B87" s="44" t="s">
        <v>139</v>
      </c>
      <c r="C87" s="44"/>
      <c r="D87" s="45">
        <f>45644.028-5.324</f>
        <v>45638.703999999998</v>
      </c>
      <c r="E87" s="45">
        <f>74077.659-D87</f>
        <v>28438.955000000002</v>
      </c>
      <c r="F87" s="45">
        <v>17436.996999999999</v>
      </c>
      <c r="G87" s="45">
        <f>58162.696-F87</f>
        <v>40725.699000000008</v>
      </c>
      <c r="H87" s="45">
        <f t="shared" si="7"/>
        <v>132240.35500000001</v>
      </c>
      <c r="I87" s="46">
        <v>1900.0124000000003</v>
      </c>
      <c r="J87" s="46">
        <v>1976.0128960000004</v>
      </c>
      <c r="K87" s="46">
        <v>1471.6991466666668</v>
      </c>
      <c r="L87" s="46">
        <v>1530.5671125333336</v>
      </c>
      <c r="M87" s="47">
        <f t="shared" si="8"/>
        <v>19547661.78815702</v>
      </c>
      <c r="N87" s="47">
        <f t="shared" si="9"/>
        <v>12180781.337450271</v>
      </c>
      <c r="O87" s="47">
        <f t="shared" si="10"/>
        <v>7767236.7899709195</v>
      </c>
      <c r="P87" s="47">
        <f t="shared" si="11"/>
        <v>18141090.898282655</v>
      </c>
      <c r="Q87" s="47">
        <f t="shared" si="12"/>
        <v>57636770.813860863</v>
      </c>
      <c r="R87" s="48"/>
      <c r="S87" s="48"/>
      <c r="T87" s="48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</row>
    <row r="88" spans="1:184" s="24" customFormat="1">
      <c r="A88" s="43">
        <v>7729314745</v>
      </c>
      <c r="B88" s="44" t="s">
        <v>391</v>
      </c>
      <c r="C88" s="44"/>
      <c r="D88" s="45">
        <f>2542.804*0.4</f>
        <v>1017.1216000000001</v>
      </c>
      <c r="E88" s="45">
        <f>2542.804*0.6</f>
        <v>1525.6823999999999</v>
      </c>
      <c r="F88" s="45">
        <f>2080.476*0.2</f>
        <v>416.09520000000003</v>
      </c>
      <c r="G88" s="45">
        <f>2080.476*0.8</f>
        <v>1664.3808000000001</v>
      </c>
      <c r="H88" s="45">
        <f t="shared" si="7"/>
        <v>4623.2800000000007</v>
      </c>
      <c r="I88" s="46">
        <v>1649.4</v>
      </c>
      <c r="J88" s="46">
        <v>1715.37</v>
      </c>
      <c r="K88" s="46">
        <v>1471.7</v>
      </c>
      <c r="L88" s="46">
        <v>1530.57</v>
      </c>
      <c r="M88" s="47">
        <f t="shared" si="8"/>
        <v>180742.50832000005</v>
      </c>
      <c r="N88" s="47">
        <f t="shared" si="9"/>
        <v>271113.76248000003</v>
      </c>
      <c r="O88" s="47">
        <f t="shared" si="10"/>
        <v>76894.392959999983</v>
      </c>
      <c r="P88" s="47">
        <f t="shared" si="11"/>
        <v>307577.57183999993</v>
      </c>
      <c r="Q88" s="47">
        <f t="shared" si="12"/>
        <v>836328.23560000001</v>
      </c>
      <c r="R88" s="48"/>
      <c r="S88" s="48"/>
      <c r="T88" s="48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</row>
    <row r="89" spans="1:184" s="24" customFormat="1" ht="15.75">
      <c r="A89" s="112" t="s">
        <v>140</v>
      </c>
      <c r="B89" s="112"/>
      <c r="C89" s="112"/>
      <c r="D89" s="49"/>
      <c r="E89" s="49"/>
      <c r="F89" s="42"/>
      <c r="G89" s="42"/>
      <c r="H89" s="45">
        <f t="shared" si="7"/>
        <v>0</v>
      </c>
      <c r="I89" s="40"/>
      <c r="J89" s="40"/>
      <c r="K89" s="40"/>
      <c r="L89" s="40"/>
      <c r="M89" s="47">
        <f t="shared" si="8"/>
        <v>0</v>
      </c>
      <c r="N89" s="47">
        <f t="shared" si="9"/>
        <v>0</v>
      </c>
      <c r="O89" s="47">
        <f t="shared" si="10"/>
        <v>0</v>
      </c>
      <c r="P89" s="47">
        <f t="shared" si="11"/>
        <v>0</v>
      </c>
      <c r="Q89" s="47">
        <f t="shared" si="12"/>
        <v>0</v>
      </c>
      <c r="R89" s="88"/>
      <c r="S89" s="88"/>
      <c r="T89" s="88"/>
    </row>
    <row r="90" spans="1:184" s="24" customFormat="1">
      <c r="A90" s="43" t="s">
        <v>20</v>
      </c>
      <c r="B90" s="44" t="s">
        <v>145</v>
      </c>
      <c r="C90" s="44"/>
      <c r="D90" s="45">
        <v>9675.4989999999998</v>
      </c>
      <c r="E90" s="45">
        <f>15607.146-D90</f>
        <v>5931.6470000000008</v>
      </c>
      <c r="F90" s="45">
        <v>2750.6880000000001</v>
      </c>
      <c r="G90" s="45">
        <f>11823.414-F90</f>
        <v>9072.7260000000006</v>
      </c>
      <c r="H90" s="45">
        <f t="shared" si="7"/>
        <v>27430.560000000005</v>
      </c>
      <c r="I90" s="46">
        <v>3755.5797066666673</v>
      </c>
      <c r="J90" s="46">
        <v>3905.8028949333343</v>
      </c>
      <c r="K90" s="46">
        <v>1245.8125333333332</v>
      </c>
      <c r="L90" s="46">
        <v>1295.6450346666666</v>
      </c>
      <c r="M90" s="47">
        <f t="shared" si="8"/>
        <v>24283249.775819499</v>
      </c>
      <c r="N90" s="47">
        <f t="shared" si="9"/>
        <v>14887052.924401153</v>
      </c>
      <c r="O90" s="47">
        <f t="shared" si="10"/>
        <v>7179729.9043412004</v>
      </c>
      <c r="P90" s="47">
        <f t="shared" si="11"/>
        <v>23681247.082945764</v>
      </c>
      <c r="Q90" s="47">
        <f t="shared" si="12"/>
        <v>70031279.687507614</v>
      </c>
      <c r="R90" s="48"/>
      <c r="S90" s="48"/>
      <c r="T90" s="48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</row>
    <row r="91" spans="1:184" s="24" customFormat="1">
      <c r="A91" s="43" t="s">
        <v>16</v>
      </c>
      <c r="B91" s="44" t="s">
        <v>141</v>
      </c>
      <c r="C91" s="44" t="s">
        <v>142</v>
      </c>
      <c r="D91" s="45">
        <v>28459.891</v>
      </c>
      <c r="E91" s="45">
        <f>44982.626-D91</f>
        <v>16522.734999999997</v>
      </c>
      <c r="F91" s="45">
        <v>7866.3969999999999</v>
      </c>
      <c r="G91" s="45">
        <f>33669.829-F91</f>
        <v>25803.431999999997</v>
      </c>
      <c r="H91" s="45">
        <f t="shared" si="7"/>
        <v>78652.454999999987</v>
      </c>
      <c r="I91" s="46">
        <v>1638.6509550000001</v>
      </c>
      <c r="J91" s="46">
        <v>1884.44859825</v>
      </c>
      <c r="K91" s="46">
        <v>1245.8125333333332</v>
      </c>
      <c r="L91" s="46">
        <v>1295.6450346666666</v>
      </c>
      <c r="M91" s="47">
        <f t="shared" si="8"/>
        <v>11180138.661245376</v>
      </c>
      <c r="N91" s="47">
        <f t="shared" si="9"/>
        <v>6490765.1390165929</v>
      </c>
      <c r="O91" s="47">
        <f t="shared" si="10"/>
        <v>4631762.5861612437</v>
      </c>
      <c r="P91" s="47">
        <f t="shared" si="11"/>
        <v>15193152.71428022</v>
      </c>
      <c r="Q91" s="47">
        <f t="shared" si="12"/>
        <v>37495819.100703433</v>
      </c>
      <c r="R91" s="48"/>
      <c r="S91" s="48"/>
      <c r="T91" s="48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</row>
    <row r="92" spans="1:184" s="24" customFormat="1" ht="30">
      <c r="A92" s="43" t="s">
        <v>304</v>
      </c>
      <c r="B92" s="44" t="s">
        <v>143</v>
      </c>
      <c r="C92" s="44" t="s">
        <v>144</v>
      </c>
      <c r="D92" s="45">
        <v>40.040999999999997</v>
      </c>
      <c r="E92" s="45">
        <f>58.546-D92</f>
        <v>18.505000000000003</v>
      </c>
      <c r="F92" s="45">
        <v>15.238</v>
      </c>
      <c r="G92" s="45">
        <f>54.472-F92</f>
        <v>39.234000000000002</v>
      </c>
      <c r="H92" s="45">
        <f t="shared" si="7"/>
        <v>113.018</v>
      </c>
      <c r="I92" s="46">
        <v>3243.7912000000001</v>
      </c>
      <c r="J92" s="46">
        <v>3373.542848</v>
      </c>
      <c r="K92" s="46">
        <v>1323.4725000000001</v>
      </c>
      <c r="L92" s="46">
        <v>1376.4114000000002</v>
      </c>
      <c r="M92" s="47">
        <f t="shared" si="8"/>
        <v>76891.481066699998</v>
      </c>
      <c r="N92" s="47">
        <f t="shared" si="9"/>
        <v>35535.497543500009</v>
      </c>
      <c r="O92" s="47">
        <f t="shared" si="10"/>
        <v>30432.289004623995</v>
      </c>
      <c r="P92" s="47">
        <f t="shared" si="11"/>
        <v>78355.455230831998</v>
      </c>
      <c r="Q92" s="47">
        <f t="shared" si="12"/>
        <v>221214.72284565598</v>
      </c>
      <c r="R92" s="48"/>
      <c r="S92" s="48"/>
      <c r="T92" s="48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</row>
    <row r="93" spans="1:184" s="24" customFormat="1" ht="15.75">
      <c r="A93" s="70" t="s">
        <v>378</v>
      </c>
      <c r="B93" s="71" t="s">
        <v>379</v>
      </c>
      <c r="C93" s="71" t="s">
        <v>380</v>
      </c>
      <c r="D93" s="45">
        <f>200.046*0.4</f>
        <v>80.0184</v>
      </c>
      <c r="E93" s="45">
        <f>200.046*0.6</f>
        <v>120.02759999999999</v>
      </c>
      <c r="F93" s="45">
        <f>163.674*0.8</f>
        <v>130.9392</v>
      </c>
      <c r="G93" s="45">
        <f>163.674*0.2</f>
        <v>32.7348</v>
      </c>
      <c r="H93" s="45">
        <f t="shared" si="7"/>
        <v>363.71999999999997</v>
      </c>
      <c r="I93" s="46">
        <v>2885.8119333333334</v>
      </c>
      <c r="J93" s="46">
        <v>3001.2444106666667</v>
      </c>
      <c r="K93" s="46">
        <v>1251.8369249999998</v>
      </c>
      <c r="L93" s="46">
        <v>1301.910402</v>
      </c>
      <c r="M93" s="47">
        <f t="shared" si="8"/>
        <v>130748.06580682001</v>
      </c>
      <c r="N93" s="47">
        <f t="shared" si="9"/>
        <v>196122.09871023003</v>
      </c>
      <c r="O93" s="47">
        <f t="shared" si="10"/>
        <v>222509.43562760641</v>
      </c>
      <c r="P93" s="47">
        <f t="shared" si="11"/>
        <v>55627.358906901602</v>
      </c>
      <c r="Q93" s="47">
        <f t="shared" si="12"/>
        <v>605006.95905155793</v>
      </c>
      <c r="R93" s="48"/>
      <c r="S93" s="48"/>
      <c r="T93" s="48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</row>
    <row r="94" spans="1:184" s="24" customFormat="1">
      <c r="A94" s="89" t="s">
        <v>21</v>
      </c>
      <c r="B94" s="89" t="s">
        <v>116</v>
      </c>
      <c r="C94" s="44" t="s">
        <v>336</v>
      </c>
      <c r="D94" s="45">
        <v>453.31</v>
      </c>
      <c r="E94" s="45">
        <f>743.647-D94</f>
        <v>290.33700000000005</v>
      </c>
      <c r="F94" s="45">
        <v>151.477</v>
      </c>
      <c r="G94" s="45">
        <f>602.674-F94</f>
        <v>451.197</v>
      </c>
      <c r="H94" s="45">
        <f t="shared" si="7"/>
        <v>1346.3209999999999</v>
      </c>
      <c r="I94" s="72">
        <v>3613.0711066666663</v>
      </c>
      <c r="J94" s="72">
        <v>3757.593950933333</v>
      </c>
      <c r="K94" s="72">
        <v>1245.816624</v>
      </c>
      <c r="L94" s="72">
        <v>1295.6492889600001</v>
      </c>
      <c r="M94" s="47">
        <f t="shared" si="8"/>
        <v>1073100.1295376264</v>
      </c>
      <c r="N94" s="47">
        <f t="shared" si="9"/>
        <v>687301.56473399198</v>
      </c>
      <c r="O94" s="47">
        <f t="shared" si="10"/>
        <v>372927.99156173453</v>
      </c>
      <c r="P94" s="47">
        <f t="shared" si="11"/>
        <v>1110822.0456483818</v>
      </c>
      <c r="Q94" s="47">
        <f t="shared" si="12"/>
        <v>3244151.7314817347</v>
      </c>
      <c r="R94" s="48"/>
      <c r="S94" s="48"/>
      <c r="T94" s="48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</row>
    <row r="95" spans="1:184" s="24" customFormat="1" ht="15.75">
      <c r="A95" s="112" t="s">
        <v>146</v>
      </c>
      <c r="B95" s="112"/>
      <c r="C95" s="112"/>
      <c r="D95" s="49"/>
      <c r="E95" s="49"/>
      <c r="F95" s="42"/>
      <c r="G95" s="42"/>
      <c r="H95" s="45">
        <f t="shared" si="7"/>
        <v>0</v>
      </c>
      <c r="I95" s="40"/>
      <c r="J95" s="40"/>
      <c r="K95" s="40"/>
      <c r="L95" s="40"/>
      <c r="M95" s="47">
        <f t="shared" si="8"/>
        <v>0</v>
      </c>
      <c r="N95" s="47">
        <f t="shared" si="9"/>
        <v>0</v>
      </c>
      <c r="O95" s="47">
        <f t="shared" si="10"/>
        <v>0</v>
      </c>
      <c r="P95" s="47">
        <f t="shared" si="11"/>
        <v>0</v>
      </c>
      <c r="Q95" s="47">
        <f t="shared" si="12"/>
        <v>0</v>
      </c>
      <c r="R95" s="88"/>
      <c r="S95" s="88"/>
      <c r="T95" s="88"/>
    </row>
    <row r="96" spans="1:184" s="24" customFormat="1">
      <c r="A96" s="43" t="s">
        <v>23</v>
      </c>
      <c r="B96" s="44" t="s">
        <v>147</v>
      </c>
      <c r="C96" s="44" t="s">
        <v>148</v>
      </c>
      <c r="D96" s="45">
        <v>3859.5</v>
      </c>
      <c r="E96" s="45">
        <f>6431.04-D96</f>
        <v>2571.54</v>
      </c>
      <c r="F96" s="45">
        <v>1243.33</v>
      </c>
      <c r="G96" s="45">
        <f>5013.44-F96</f>
        <v>3770.1099999999997</v>
      </c>
      <c r="H96" s="45">
        <f t="shared" si="7"/>
        <v>11444.48</v>
      </c>
      <c r="I96" s="46">
        <v>4005.2944533333334</v>
      </c>
      <c r="J96" s="46">
        <v>4165.5062314666666</v>
      </c>
      <c r="K96" s="46">
        <v>1313.5937360000005</v>
      </c>
      <c r="L96" s="46">
        <v>1366.1374854400005</v>
      </c>
      <c r="M96" s="47">
        <f t="shared" si="8"/>
        <v>10388618.918547999</v>
      </c>
      <c r="N96" s="47">
        <f t="shared" si="9"/>
        <v>6921816.0626513595</v>
      </c>
      <c r="O96" s="47">
        <f t="shared" si="10"/>
        <v>3480539.1429973342</v>
      </c>
      <c r="P96" s="47">
        <f t="shared" si="11"/>
        <v>10553928.103082594</v>
      </c>
      <c r="Q96" s="47">
        <f t="shared" si="12"/>
        <v>31344902.227279287</v>
      </c>
      <c r="R96" s="48"/>
      <c r="S96" s="48"/>
      <c r="T96" s="48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</row>
    <row r="97" spans="1:184" s="24" customFormat="1">
      <c r="A97" s="43" t="s">
        <v>303</v>
      </c>
      <c r="B97" s="44" t="s">
        <v>149</v>
      </c>
      <c r="C97" s="44" t="s">
        <v>150</v>
      </c>
      <c r="D97" s="45">
        <v>3385.6610000000001</v>
      </c>
      <c r="E97" s="45">
        <f>5340.214-D97</f>
        <v>1954.5529999999999</v>
      </c>
      <c r="F97" s="45">
        <v>913.73900000000003</v>
      </c>
      <c r="G97" s="45">
        <f>3879.727-F97</f>
        <v>2965.9879999999998</v>
      </c>
      <c r="H97" s="45">
        <f t="shared" si="7"/>
        <v>9219.9409999999989</v>
      </c>
      <c r="I97" s="46">
        <v>5064.3578266666664</v>
      </c>
      <c r="J97" s="46">
        <v>5266.9321397333333</v>
      </c>
      <c r="K97" s="46">
        <v>1326.1164106666668</v>
      </c>
      <c r="L97" s="46">
        <v>1379.1610670933335</v>
      </c>
      <c r="M97" s="47">
        <f t="shared" si="8"/>
        <v>12656418.170735976</v>
      </c>
      <c r="N97" s="47">
        <f t="shared" si="9"/>
        <v>7306590.9743670477</v>
      </c>
      <c r="O97" s="47">
        <f t="shared" si="10"/>
        <v>3552408.052143001</v>
      </c>
      <c r="P97" s="47">
        <f t="shared" si="11"/>
        <v>11531082.348197367</v>
      </c>
      <c r="Q97" s="47">
        <f t="shared" si="12"/>
        <v>35046499.545443386</v>
      </c>
      <c r="R97" s="48"/>
      <c r="S97" s="48"/>
      <c r="T97" s="48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</row>
    <row r="98" spans="1:184" s="24" customFormat="1">
      <c r="A98" s="43" t="s">
        <v>303</v>
      </c>
      <c r="B98" s="44" t="s">
        <v>149</v>
      </c>
      <c r="C98" s="44" t="s">
        <v>151</v>
      </c>
      <c r="D98" s="45">
        <v>2338.509</v>
      </c>
      <c r="E98" s="45">
        <f>3694.219-D98</f>
        <v>1355.71</v>
      </c>
      <c r="F98" s="45">
        <v>675.68799999999999</v>
      </c>
      <c r="G98" s="45">
        <f>2785.719-F98</f>
        <v>2110.0309999999999</v>
      </c>
      <c r="H98" s="45">
        <f t="shared" si="7"/>
        <v>6479.9380000000001</v>
      </c>
      <c r="I98" s="46">
        <v>4237.0716266666668</v>
      </c>
      <c r="J98" s="46">
        <v>4406.5544917333336</v>
      </c>
      <c r="K98" s="46">
        <v>1326.1164106666668</v>
      </c>
      <c r="L98" s="46">
        <v>1379.1610670933335</v>
      </c>
      <c r="M98" s="47">
        <f t="shared" si="8"/>
        <v>6807294.9712129449</v>
      </c>
      <c r="N98" s="47">
        <f t="shared" si="9"/>
        <v>3946411.0958833606</v>
      </c>
      <c r="O98" s="47">
        <f t="shared" si="10"/>
        <v>2045573.4083081526</v>
      </c>
      <c r="P98" s="47">
        <f t="shared" si="11"/>
        <v>6387893.975186564</v>
      </c>
      <c r="Q98" s="47">
        <f t="shared" si="12"/>
        <v>19187173.45059102</v>
      </c>
      <c r="R98" s="48"/>
      <c r="S98" s="48"/>
      <c r="T98" s="48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</row>
    <row r="99" spans="1:184" s="24" customFormat="1">
      <c r="A99" s="43" t="s">
        <v>303</v>
      </c>
      <c r="B99" s="44" t="s">
        <v>149</v>
      </c>
      <c r="C99" s="44" t="s">
        <v>152</v>
      </c>
      <c r="D99" s="45">
        <v>4942.4949999999999</v>
      </c>
      <c r="E99" s="45">
        <f>8335.84-D99</f>
        <v>3393.3450000000003</v>
      </c>
      <c r="F99" s="45">
        <v>1724.6949999999999</v>
      </c>
      <c r="G99" s="45">
        <f>6760.059-F99</f>
        <v>5035.3640000000005</v>
      </c>
      <c r="H99" s="45">
        <f t="shared" si="7"/>
        <v>15095.899000000001</v>
      </c>
      <c r="I99" s="46">
        <v>4518.7958400000007</v>
      </c>
      <c r="J99" s="46">
        <v>4699.547673600001</v>
      </c>
      <c r="K99" s="46">
        <v>1326.1164106666668</v>
      </c>
      <c r="L99" s="46">
        <v>1379.1610670933335</v>
      </c>
      <c r="M99" s="47">
        <f t="shared" si="8"/>
        <v>15779802.116082856</v>
      </c>
      <c r="N99" s="47">
        <f t="shared" si="9"/>
        <v>10833862.778131124</v>
      </c>
      <c r="O99" s="47">
        <f t="shared" si="10"/>
        <v>5726654.1783090169</v>
      </c>
      <c r="P99" s="47">
        <f t="shared" si="11"/>
        <v>16719355.184485842</v>
      </c>
      <c r="Q99" s="47">
        <f t="shared" si="12"/>
        <v>49059674.257008836</v>
      </c>
      <c r="R99" s="48"/>
      <c r="S99" s="48"/>
      <c r="T99" s="48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</row>
    <row r="100" spans="1:184" s="24" customFormat="1">
      <c r="A100" s="43" t="s">
        <v>303</v>
      </c>
      <c r="B100" s="44" t="s">
        <v>149</v>
      </c>
      <c r="C100" s="44" t="s">
        <v>153</v>
      </c>
      <c r="D100" s="45">
        <v>81.066000000000003</v>
      </c>
      <c r="E100" s="45">
        <f>135.11-D100</f>
        <v>54.044000000000011</v>
      </c>
      <c r="F100" s="45">
        <v>27.021999999999998</v>
      </c>
      <c r="G100" s="45">
        <f>108.088-F100</f>
        <v>81.066000000000003</v>
      </c>
      <c r="H100" s="45">
        <f t="shared" si="7"/>
        <v>243.19800000000001</v>
      </c>
      <c r="I100" s="46">
        <v>6867.4418799999994</v>
      </c>
      <c r="J100" s="46">
        <v>7142.1395551999994</v>
      </c>
      <c r="K100" s="46">
        <v>1323.7054740000001</v>
      </c>
      <c r="L100" s="46">
        <v>1376.6536929600002</v>
      </c>
      <c r="M100" s="47">
        <f t="shared" si="8"/>
        <v>449408.53548879595</v>
      </c>
      <c r="N100" s="47">
        <f t="shared" si="9"/>
        <v>299605.69032586401</v>
      </c>
      <c r="O100" s="47">
        <f t="shared" si="10"/>
        <v>155794.95896944925</v>
      </c>
      <c r="P100" s="47">
        <f t="shared" si="11"/>
        <v>467384.87690834777</v>
      </c>
      <c r="Q100" s="47">
        <f t="shared" si="12"/>
        <v>1372194.0616924569</v>
      </c>
      <c r="R100" s="48"/>
      <c r="S100" s="48"/>
      <c r="T100" s="48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</row>
    <row r="101" spans="1:184" s="24" customFormat="1">
      <c r="A101" s="43" t="s">
        <v>303</v>
      </c>
      <c r="B101" s="44" t="s">
        <v>149</v>
      </c>
      <c r="C101" s="44" t="s">
        <v>154</v>
      </c>
      <c r="D101" s="45">
        <v>190.292</v>
      </c>
      <c r="E101" s="45">
        <f>317.154-D101</f>
        <v>126.86199999999999</v>
      </c>
      <c r="F101" s="45">
        <v>60.963999999999999</v>
      </c>
      <c r="G101" s="45">
        <f>243.856-F101</f>
        <v>182.892</v>
      </c>
      <c r="H101" s="45">
        <f t="shared" si="7"/>
        <v>561.01</v>
      </c>
      <c r="I101" s="46">
        <v>6867.4418799999994</v>
      </c>
      <c r="J101" s="46">
        <v>7142.1395551999994</v>
      </c>
      <c r="K101" s="46">
        <v>1323.7054740000001</v>
      </c>
      <c r="L101" s="46">
        <v>1376.6536929600002</v>
      </c>
      <c r="M101" s="47">
        <f t="shared" si="8"/>
        <v>1054928.6881705518</v>
      </c>
      <c r="N101" s="47">
        <f t="shared" si="9"/>
        <v>703289.48793797183</v>
      </c>
      <c r="O101" s="47">
        <f t="shared" si="10"/>
        <v>351487.08010559931</v>
      </c>
      <c r="P101" s="47">
        <f t="shared" si="11"/>
        <v>1054461.2403167977</v>
      </c>
      <c r="Q101" s="47">
        <f t="shared" si="12"/>
        <v>3164166.4965309212</v>
      </c>
      <c r="R101" s="48"/>
      <c r="S101" s="48"/>
      <c r="T101" s="48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</row>
    <row r="102" spans="1:184" s="24" customFormat="1">
      <c r="A102" s="43" t="s">
        <v>303</v>
      </c>
      <c r="B102" s="44" t="s">
        <v>149</v>
      </c>
      <c r="C102" s="44" t="s">
        <v>155</v>
      </c>
      <c r="D102" s="45">
        <v>120.282</v>
      </c>
      <c r="E102" s="45">
        <f>200.47-D102</f>
        <v>80.188000000000002</v>
      </c>
      <c r="F102" s="45">
        <v>25.233000000000001</v>
      </c>
      <c r="G102" s="45">
        <f>145.515-F102</f>
        <v>120.28199999999998</v>
      </c>
      <c r="H102" s="45">
        <f t="shared" si="7"/>
        <v>345.98500000000001</v>
      </c>
      <c r="I102" s="46">
        <v>6867.4418799999994</v>
      </c>
      <c r="J102" s="46">
        <v>7142.1395551999994</v>
      </c>
      <c r="K102" s="46">
        <v>1323.7054740000001</v>
      </c>
      <c r="L102" s="46">
        <v>1376.6536929600002</v>
      </c>
      <c r="M102" s="47">
        <f t="shared" si="8"/>
        <v>666811.70238649182</v>
      </c>
      <c r="N102" s="47">
        <f t="shared" si="9"/>
        <v>444541.13492432795</v>
      </c>
      <c r="O102" s="47">
        <f t="shared" si="10"/>
        <v>145480.50476190189</v>
      </c>
      <c r="P102" s="47">
        <f t="shared" si="11"/>
        <v>693484.17048195144</v>
      </c>
      <c r="Q102" s="47">
        <f t="shared" si="12"/>
        <v>1950317.5125546732</v>
      </c>
      <c r="R102" s="48"/>
      <c r="S102" s="48"/>
      <c r="T102" s="48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</row>
    <row r="103" spans="1:184" s="24" customFormat="1">
      <c r="A103" s="43" t="s">
        <v>44</v>
      </c>
      <c r="B103" s="44" t="s">
        <v>43</v>
      </c>
      <c r="C103" s="44" t="s">
        <v>156</v>
      </c>
      <c r="D103" s="91">
        <v>503.3</v>
      </c>
      <c r="E103" s="91">
        <f>803.36-D103</f>
        <v>300.06</v>
      </c>
      <c r="F103" s="91">
        <v>131.69</v>
      </c>
      <c r="G103" s="91">
        <f>596.07-F103</f>
        <v>464.38000000000005</v>
      </c>
      <c r="H103" s="45">
        <f t="shared" si="7"/>
        <v>1399.43</v>
      </c>
      <c r="I103" s="46">
        <v>6385.1527999999998</v>
      </c>
      <c r="J103" s="46">
        <v>6640.5589120000004</v>
      </c>
      <c r="K103" s="46">
        <v>1576.3124832000001</v>
      </c>
      <c r="L103" s="46">
        <v>1639.3649825280002</v>
      </c>
      <c r="M103" s="47">
        <f t="shared" si="8"/>
        <v>2420289.3314454397</v>
      </c>
      <c r="N103" s="47">
        <f t="shared" si="9"/>
        <v>1442940.6254590079</v>
      </c>
      <c r="O103" s="47">
        <f t="shared" si="10"/>
        <v>658607.22857216769</v>
      </c>
      <c r="P103" s="47">
        <f t="shared" si="11"/>
        <v>2322454.4369682078</v>
      </c>
      <c r="Q103" s="47">
        <f t="shared" si="12"/>
        <v>6844291.6224448234</v>
      </c>
      <c r="R103" s="48"/>
      <c r="S103" s="48"/>
      <c r="T103" s="48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</row>
    <row r="104" spans="1:184" s="19" customFormat="1">
      <c r="A104" s="74" t="s">
        <v>19</v>
      </c>
      <c r="B104" s="74" t="s">
        <v>157</v>
      </c>
      <c r="C104" s="74" t="s">
        <v>156</v>
      </c>
      <c r="D104" s="92">
        <v>4.5119999999999996</v>
      </c>
      <c r="E104" s="93">
        <v>1.504</v>
      </c>
      <c r="F104" s="93">
        <v>1.5740000000000001</v>
      </c>
      <c r="G104" s="93">
        <f>5.866-F104</f>
        <v>4.2919999999999998</v>
      </c>
      <c r="H104" s="45">
        <f t="shared" si="7"/>
        <v>11.882</v>
      </c>
      <c r="I104" s="76">
        <v>3342.1769333333336</v>
      </c>
      <c r="J104" s="76">
        <v>3475.8640106666671</v>
      </c>
      <c r="K104" s="76">
        <v>1313.598125</v>
      </c>
      <c r="L104" s="76">
        <v>1366.1420499999999</v>
      </c>
      <c r="M104" s="47">
        <f t="shared" si="8"/>
        <v>9152.9475832000007</v>
      </c>
      <c r="N104" s="47">
        <f t="shared" si="9"/>
        <v>3050.9825277333339</v>
      </c>
      <c r="O104" s="47">
        <f t="shared" si="10"/>
        <v>3320.7023660893342</v>
      </c>
      <c r="P104" s="47">
        <f t="shared" si="11"/>
        <v>9054.9266551813344</v>
      </c>
      <c r="Q104" s="47">
        <f t="shared" si="12"/>
        <v>24579.559132204005</v>
      </c>
      <c r="R104" s="47"/>
      <c r="S104" s="47"/>
      <c r="T104" s="47"/>
    </row>
    <row r="105" spans="1:184" s="19" customFormat="1">
      <c r="A105" s="77">
        <v>2919003788</v>
      </c>
      <c r="B105" s="74" t="s">
        <v>406</v>
      </c>
      <c r="C105" s="74" t="s">
        <v>408</v>
      </c>
      <c r="D105" s="92">
        <f>25.240871*0.6</f>
        <v>15.144522599999998</v>
      </c>
      <c r="E105" s="92">
        <f>25.240871*0.4</f>
        <v>10.0963484</v>
      </c>
      <c r="F105" s="93">
        <f>19.049129*0.2</f>
        <v>3.8098258000000005</v>
      </c>
      <c r="G105" s="93">
        <f>19.049129*0.8</f>
        <v>15.239303200000002</v>
      </c>
      <c r="H105" s="45">
        <f t="shared" si="7"/>
        <v>44.29</v>
      </c>
      <c r="I105" s="76">
        <v>3701.6615999999999</v>
      </c>
      <c r="J105" s="76">
        <v>3849.7280639999999</v>
      </c>
      <c r="K105" s="76">
        <v>1591.3249830400002</v>
      </c>
      <c r="L105" s="76">
        <v>1654.9779823616002</v>
      </c>
      <c r="M105" s="47">
        <f t="shared" si="8"/>
        <v>31960.040589158252</v>
      </c>
      <c r="N105" s="47">
        <f t="shared" si="9"/>
        <v>21306.693726105503</v>
      </c>
      <c r="O105" s="47">
        <f t="shared" si="10"/>
        <v>8361.6154855780842</v>
      </c>
      <c r="P105" s="47">
        <f t="shared" si="11"/>
        <v>33446.461942312337</v>
      </c>
      <c r="Q105" s="47">
        <f t="shared" si="12"/>
        <v>95074.811743154176</v>
      </c>
      <c r="R105" s="47"/>
      <c r="S105" s="47"/>
      <c r="T105" s="47"/>
    </row>
    <row r="106" spans="1:184" s="19" customFormat="1">
      <c r="A106" s="77">
        <v>2919003805</v>
      </c>
      <c r="B106" s="74" t="s">
        <v>407</v>
      </c>
      <c r="C106" s="74" t="s">
        <v>409</v>
      </c>
      <c r="D106" s="92">
        <f>29.3936544*0.6</f>
        <v>17.636192639999997</v>
      </c>
      <c r="E106" s="92">
        <f>29.3936544*0.4</f>
        <v>11.75746176</v>
      </c>
      <c r="F106" s="93">
        <f>24.0493536*0.8</f>
        <v>19.239482880000001</v>
      </c>
      <c r="G106" s="93">
        <f>24.0493536*0.2</f>
        <v>4.8098707200000002</v>
      </c>
      <c r="H106" s="45">
        <f t="shared" si="7"/>
        <v>53.443007999999999</v>
      </c>
      <c r="I106" s="76">
        <v>3305.9936000000002</v>
      </c>
      <c r="J106" s="76">
        <v>3438.2333440000002</v>
      </c>
      <c r="K106" s="76">
        <v>1591.3249830400002</v>
      </c>
      <c r="L106" s="76">
        <v>1654.9779823616002</v>
      </c>
      <c r="M106" s="47">
        <f t="shared" si="8"/>
        <v>30240.226042468927</v>
      </c>
      <c r="N106" s="47">
        <f t="shared" si="9"/>
        <v>20160.150694979289</v>
      </c>
      <c r="O106" s="47">
        <f t="shared" si="10"/>
        <v>34308.911000910208</v>
      </c>
      <c r="P106" s="47">
        <f t="shared" si="11"/>
        <v>8577.227750227552</v>
      </c>
      <c r="Q106" s="47">
        <f t="shared" si="12"/>
        <v>93286.515488585981</v>
      </c>
      <c r="R106" s="47"/>
      <c r="S106" s="47"/>
      <c r="T106" s="47"/>
    </row>
    <row r="107" spans="1:184" s="24" customFormat="1" ht="15.75">
      <c r="A107" s="112" t="s">
        <v>158</v>
      </c>
      <c r="B107" s="112"/>
      <c r="C107" s="112"/>
      <c r="D107" s="49"/>
      <c r="E107" s="49"/>
      <c r="F107" s="42"/>
      <c r="G107" s="42"/>
      <c r="H107" s="45">
        <f t="shared" si="7"/>
        <v>0</v>
      </c>
      <c r="I107" s="40"/>
      <c r="J107" s="40"/>
      <c r="K107" s="40"/>
      <c r="L107" s="40"/>
      <c r="M107" s="47">
        <f t="shared" si="8"/>
        <v>0</v>
      </c>
      <c r="N107" s="47">
        <f t="shared" si="9"/>
        <v>0</v>
      </c>
      <c r="O107" s="47">
        <f t="shared" si="10"/>
        <v>0</v>
      </c>
      <c r="P107" s="47">
        <f t="shared" si="11"/>
        <v>0</v>
      </c>
      <c r="Q107" s="47">
        <f t="shared" si="12"/>
        <v>0</v>
      </c>
      <c r="R107" s="88"/>
      <c r="S107" s="88"/>
      <c r="T107" s="88"/>
    </row>
    <row r="108" spans="1:184" s="24" customFormat="1" ht="15.75">
      <c r="A108" s="89" t="s">
        <v>21</v>
      </c>
      <c r="B108" s="89" t="s">
        <v>116</v>
      </c>
      <c r="C108" s="54" t="s">
        <v>338</v>
      </c>
      <c r="D108" s="55">
        <v>1079.895</v>
      </c>
      <c r="E108" s="55">
        <f>1762.155-D108</f>
        <v>682.26</v>
      </c>
      <c r="F108" s="55">
        <v>465.41</v>
      </c>
      <c r="G108" s="55">
        <f>1540.462-F108</f>
        <v>1075.0519999999999</v>
      </c>
      <c r="H108" s="45">
        <f t="shared" si="7"/>
        <v>3302.6170000000002</v>
      </c>
      <c r="I108" s="56">
        <v>2943.3267066666672</v>
      </c>
      <c r="J108" s="56">
        <v>3061.0597749333338</v>
      </c>
      <c r="K108" s="56">
        <v>1869.571704</v>
      </c>
      <c r="L108" s="56">
        <v>1944.3545721600001</v>
      </c>
      <c r="M108" s="47">
        <f t="shared" si="8"/>
        <v>1159542.6586047206</v>
      </c>
      <c r="N108" s="47">
        <f t="shared" si="9"/>
        <v>732580.08811936039</v>
      </c>
      <c r="O108" s="47">
        <f t="shared" si="10"/>
        <v>519725.76842273725</v>
      </c>
      <c r="P108" s="47">
        <f t="shared" si="11"/>
        <v>1200516.1616518777</v>
      </c>
      <c r="Q108" s="47">
        <f t="shared" si="12"/>
        <v>3612364.6767986957</v>
      </c>
      <c r="R108" s="88"/>
      <c r="S108" s="88"/>
      <c r="T108" s="88"/>
    </row>
    <row r="109" spans="1:184" s="24" customFormat="1" ht="30">
      <c r="A109" s="43" t="s">
        <v>301</v>
      </c>
      <c r="B109" s="44" t="s">
        <v>169</v>
      </c>
      <c r="C109" s="44" t="s">
        <v>165</v>
      </c>
      <c r="D109" s="45">
        <v>111.849</v>
      </c>
      <c r="E109" s="45">
        <f>161.869-D109</f>
        <v>50.019999999999996</v>
      </c>
      <c r="F109" s="45">
        <v>21.411999999999999</v>
      </c>
      <c r="G109" s="45">
        <f>122.953-F109</f>
        <v>101.541</v>
      </c>
      <c r="H109" s="45">
        <f t="shared" si="7"/>
        <v>284.822</v>
      </c>
      <c r="I109" s="46">
        <v>5204.7632000000003</v>
      </c>
      <c r="J109" s="46">
        <v>5412.9537280000004</v>
      </c>
      <c r="K109" s="46">
        <v>2264.8455232000006</v>
      </c>
      <c r="L109" s="46">
        <v>2355.4393441280008</v>
      </c>
      <c r="M109" s="47">
        <f t="shared" si="8"/>
        <v>328826.85223240318</v>
      </c>
      <c r="N109" s="47">
        <f t="shared" si="9"/>
        <v>147054.68219353596</v>
      </c>
      <c r="O109" s="47">
        <f t="shared" si="10"/>
        <v>65467.49798746725</v>
      </c>
      <c r="P109" s="47">
        <f t="shared" si="11"/>
        <v>310463.0680527467</v>
      </c>
      <c r="Q109" s="47">
        <f t="shared" si="12"/>
        <v>851812.10046615312</v>
      </c>
      <c r="R109" s="48"/>
      <c r="S109" s="48"/>
      <c r="T109" s="48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</row>
    <row r="110" spans="1:184" s="24" customFormat="1">
      <c r="A110" s="43" t="s">
        <v>18</v>
      </c>
      <c r="B110" s="44" t="s">
        <v>167</v>
      </c>
      <c r="C110" s="44" t="s">
        <v>165</v>
      </c>
      <c r="D110" s="45">
        <v>82.683999999999997</v>
      </c>
      <c r="E110" s="45">
        <f>130.448-D110</f>
        <v>47.76400000000001</v>
      </c>
      <c r="F110" s="45">
        <v>18.454000000000001</v>
      </c>
      <c r="G110" s="45">
        <f>98.819-F110</f>
        <v>80.365000000000009</v>
      </c>
      <c r="H110" s="45">
        <f t="shared" si="7"/>
        <v>229.26700000000002</v>
      </c>
      <c r="I110" s="46">
        <v>3812.3904000000002</v>
      </c>
      <c r="J110" s="46">
        <v>3964.8860160000004</v>
      </c>
      <c r="K110" s="46">
        <v>2264.8391999999999</v>
      </c>
      <c r="L110" s="46">
        <v>2355.4327680000001</v>
      </c>
      <c r="M110" s="47">
        <f t="shared" si="8"/>
        <v>127957.72342080003</v>
      </c>
      <c r="N110" s="47">
        <f t="shared" si="9"/>
        <v>73917.235516800036</v>
      </c>
      <c r="O110" s="47">
        <f t="shared" si="10"/>
        <v>29700.850238592007</v>
      </c>
      <c r="P110" s="47">
        <f t="shared" si="11"/>
        <v>129343.71027552003</v>
      </c>
      <c r="Q110" s="47">
        <f t="shared" si="12"/>
        <v>360919.51945171214</v>
      </c>
      <c r="R110" s="48"/>
      <c r="S110" s="48"/>
      <c r="T110" s="48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</row>
    <row r="111" spans="1:184" s="24" customFormat="1">
      <c r="A111" s="43" t="s">
        <v>2</v>
      </c>
      <c r="B111" s="44" t="s">
        <v>70</v>
      </c>
      <c r="C111" s="44" t="s">
        <v>168</v>
      </c>
      <c r="D111" s="45">
        <v>13388.671</v>
      </c>
      <c r="E111" s="45">
        <f>19141.385-D111</f>
        <v>5752.7139999999981</v>
      </c>
      <c r="F111" s="45">
        <v>1886.11</v>
      </c>
      <c r="G111" s="45">
        <v>9161.1299999999992</v>
      </c>
      <c r="H111" s="45">
        <f t="shared" si="7"/>
        <v>30188.625</v>
      </c>
      <c r="I111" s="46">
        <v>5329.0955466666665</v>
      </c>
      <c r="J111" s="46">
        <v>5542.2593685333331</v>
      </c>
      <c r="K111" s="46">
        <v>1887.3710782506666</v>
      </c>
      <c r="L111" s="46">
        <v>1962.8659213806934</v>
      </c>
      <c r="M111" s="47">
        <f t="shared" si="8"/>
        <v>46080116.580271713</v>
      </c>
      <c r="N111" s="47">
        <f t="shared" si="9"/>
        <v>19799256.533599272</v>
      </c>
      <c r="O111" s="47">
        <f t="shared" si="10"/>
        <v>6751129.7746090656</v>
      </c>
      <c r="P111" s="47">
        <f t="shared" si="11"/>
        <v>32791288.690513462</v>
      </c>
      <c r="Q111" s="47">
        <f t="shared" si="12"/>
        <v>105421791.57899351</v>
      </c>
      <c r="R111" s="48"/>
      <c r="S111" s="48"/>
      <c r="T111" s="48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</row>
    <row r="112" spans="1:184" s="24" customFormat="1">
      <c r="A112" s="43" t="s">
        <v>302</v>
      </c>
      <c r="B112" s="44" t="s">
        <v>164</v>
      </c>
      <c r="C112" s="44" t="s">
        <v>165</v>
      </c>
      <c r="D112" s="45">
        <v>13362.852999999999</v>
      </c>
      <c r="E112" s="45">
        <f>20285.5-D112</f>
        <v>6922.6470000000008</v>
      </c>
      <c r="F112" s="45">
        <v>3119.3969999999999</v>
      </c>
      <c r="G112" s="45">
        <f>13951.347-F112</f>
        <v>10831.95</v>
      </c>
      <c r="H112" s="45">
        <f t="shared" si="7"/>
        <v>34236.847000000002</v>
      </c>
      <c r="I112" s="46">
        <v>2650.7622266666672</v>
      </c>
      <c r="J112" s="46">
        <v>2756.7927157333338</v>
      </c>
      <c r="K112" s="46">
        <v>1887.3710782506666</v>
      </c>
      <c r="L112" s="46">
        <v>1962.8659213806934</v>
      </c>
      <c r="M112" s="47">
        <f t="shared" si="8"/>
        <v>10201083.697784197</v>
      </c>
      <c r="N112" s="47">
        <f t="shared" si="9"/>
        <v>5284687.4434085814</v>
      </c>
      <c r="O112" s="47">
        <f t="shared" si="10"/>
        <v>2476572.8605232434</v>
      </c>
      <c r="P112" s="47">
        <f t="shared" si="11"/>
        <v>8599775.3400880843</v>
      </c>
      <c r="Q112" s="47">
        <f t="shared" si="12"/>
        <v>26562119.341804106</v>
      </c>
      <c r="R112" s="48"/>
      <c r="S112" s="48"/>
      <c r="T112" s="48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</row>
    <row r="113" spans="1:184" s="24" customFormat="1">
      <c r="A113" s="43" t="s">
        <v>302</v>
      </c>
      <c r="B113" s="44" t="s">
        <v>164</v>
      </c>
      <c r="C113" s="44" t="s">
        <v>160</v>
      </c>
      <c r="D113" s="45">
        <v>12908.493</v>
      </c>
      <c r="E113" s="45">
        <f>19345.226-D113</f>
        <v>6436.7329999999984</v>
      </c>
      <c r="F113" s="45">
        <v>2945.529</v>
      </c>
      <c r="G113" s="45">
        <f>12523.973-F113</f>
        <v>9578.4439999999995</v>
      </c>
      <c r="H113" s="45">
        <f t="shared" si="7"/>
        <v>31869.198999999997</v>
      </c>
      <c r="I113" s="46">
        <v>2615.9506533333329</v>
      </c>
      <c r="J113" s="46">
        <v>2720.5886794666662</v>
      </c>
      <c r="K113" s="46">
        <v>1887.3710782506666</v>
      </c>
      <c r="L113" s="46">
        <v>1962.8659213806934</v>
      </c>
      <c r="M113" s="47">
        <f t="shared" si="8"/>
        <v>9404864.344897572</v>
      </c>
      <c r="N113" s="47">
        <f t="shared" si="9"/>
        <v>4689672.1940605743</v>
      </c>
      <c r="O113" s="47">
        <f t="shared" si="10"/>
        <v>2231894.3579022177</v>
      </c>
      <c r="P113" s="47">
        <f t="shared" si="11"/>
        <v>7257805.0058520371</v>
      </c>
      <c r="Q113" s="47">
        <f t="shared" si="12"/>
        <v>23584235.902712401</v>
      </c>
      <c r="R113" s="48"/>
      <c r="S113" s="48"/>
      <c r="T113" s="48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</row>
    <row r="114" spans="1:184" s="24" customFormat="1">
      <c r="A114" s="43" t="s">
        <v>302</v>
      </c>
      <c r="B114" s="44" t="s">
        <v>164</v>
      </c>
      <c r="C114" s="44" t="s">
        <v>166</v>
      </c>
      <c r="D114" s="45">
        <v>503.46600000000001</v>
      </c>
      <c r="E114" s="45">
        <f>839.11-D114</f>
        <v>335.64400000000001</v>
      </c>
      <c r="F114" s="45">
        <v>167.822</v>
      </c>
      <c r="G114" s="45">
        <f>671.288-F114</f>
        <v>503.46600000000001</v>
      </c>
      <c r="H114" s="45">
        <f t="shared" si="7"/>
        <v>1510.3980000000001</v>
      </c>
      <c r="I114" s="46">
        <v>3304.4200799999999</v>
      </c>
      <c r="J114" s="46">
        <v>3436.5968831999999</v>
      </c>
      <c r="K114" s="46">
        <v>1887.3710782506666</v>
      </c>
      <c r="L114" s="46">
        <v>1962.8659213806934</v>
      </c>
      <c r="M114" s="47">
        <f t="shared" si="8"/>
        <v>713435.99271472986</v>
      </c>
      <c r="N114" s="47">
        <f t="shared" si="9"/>
        <v>475623.99514315324</v>
      </c>
      <c r="O114" s="47">
        <f t="shared" si="10"/>
        <v>247324.47747443966</v>
      </c>
      <c r="P114" s="47">
        <f t="shared" si="11"/>
        <v>741973.43242331897</v>
      </c>
      <c r="Q114" s="47">
        <f t="shared" si="12"/>
        <v>2178357.8977556415</v>
      </c>
      <c r="R114" s="48"/>
      <c r="S114" s="48"/>
      <c r="T114" s="48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</row>
    <row r="115" spans="1:184" s="24" customFormat="1">
      <c r="A115" s="43" t="s">
        <v>30</v>
      </c>
      <c r="B115" s="44" t="s">
        <v>159</v>
      </c>
      <c r="C115" s="44" t="s">
        <v>160</v>
      </c>
      <c r="D115" s="45">
        <v>429.38400000000001</v>
      </c>
      <c r="E115" s="45">
        <f>636.822-D115</f>
        <v>207.43799999999999</v>
      </c>
      <c r="F115" s="45">
        <v>73.734999999999999</v>
      </c>
      <c r="G115" s="45">
        <f>465.668-F115</f>
        <v>391.93299999999999</v>
      </c>
      <c r="H115" s="45">
        <f t="shared" si="7"/>
        <v>1102.49</v>
      </c>
      <c r="I115" s="46">
        <v>4187.4518399999997</v>
      </c>
      <c r="J115" s="46">
        <v>4354.9499135999995</v>
      </c>
      <c r="K115" s="46">
        <v>1887.3710782506666</v>
      </c>
      <c r="L115" s="46">
        <v>1962.8659213806934</v>
      </c>
      <c r="M115" s="47">
        <f t="shared" si="8"/>
        <v>987617.87780297559</v>
      </c>
      <c r="N115" s="47">
        <f t="shared" si="9"/>
        <v>477124.1530557581</v>
      </c>
      <c r="O115" s="47">
        <f t="shared" si="10"/>
        <v>176380.31316629055</v>
      </c>
      <c r="P115" s="47">
        <f t="shared" si="11"/>
        <v>937536.65532248933</v>
      </c>
      <c r="Q115" s="47">
        <f t="shared" si="12"/>
        <v>2578658.9993475135</v>
      </c>
      <c r="R115" s="48"/>
      <c r="S115" s="48"/>
      <c r="T115" s="48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</row>
    <row r="116" spans="1:184" s="24" customFormat="1">
      <c r="A116" s="43" t="s">
        <v>30</v>
      </c>
      <c r="B116" s="44" t="s">
        <v>159</v>
      </c>
      <c r="C116" s="44" t="s">
        <v>161</v>
      </c>
      <c r="D116" s="45">
        <v>849.53200000000004</v>
      </c>
      <c r="E116" s="45">
        <f>1261.895-D116</f>
        <v>412.36299999999994</v>
      </c>
      <c r="F116" s="45">
        <v>133.97</v>
      </c>
      <c r="G116" s="45">
        <f>835.884-F116</f>
        <v>701.91399999999999</v>
      </c>
      <c r="H116" s="45">
        <f t="shared" si="7"/>
        <v>2097.779</v>
      </c>
      <c r="I116" s="46">
        <v>4187.4518399999997</v>
      </c>
      <c r="J116" s="46">
        <v>4354.9499135999995</v>
      </c>
      <c r="K116" s="46">
        <v>1887.3710782506666</v>
      </c>
      <c r="L116" s="46">
        <v>1962.8659213806934</v>
      </c>
      <c r="M116" s="47">
        <f t="shared" si="8"/>
        <v>1953992.2096904344</v>
      </c>
      <c r="N116" s="47">
        <f t="shared" si="9"/>
        <v>948468.20315724006</v>
      </c>
      <c r="O116" s="47">
        <f t="shared" si="10"/>
        <v>320467.49243762047</v>
      </c>
      <c r="P116" s="47">
        <f t="shared" si="11"/>
        <v>1679037.2433146222</v>
      </c>
      <c r="Q116" s="47">
        <f t="shared" si="12"/>
        <v>4901965.1485999171</v>
      </c>
      <c r="R116" s="48"/>
      <c r="S116" s="48"/>
      <c r="T116" s="48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</row>
    <row r="117" spans="1:184" s="24" customFormat="1">
      <c r="A117" s="43" t="s">
        <v>30</v>
      </c>
      <c r="B117" s="44" t="s">
        <v>159</v>
      </c>
      <c r="C117" s="44" t="s">
        <v>162</v>
      </c>
      <c r="D117" s="45">
        <v>61.305</v>
      </c>
      <c r="E117" s="45">
        <f>90.968-D117</f>
        <v>29.663000000000004</v>
      </c>
      <c r="F117" s="45">
        <v>4.9059999999999997</v>
      </c>
      <c r="G117" s="45">
        <f>49.057-F117</f>
        <v>44.151000000000003</v>
      </c>
      <c r="H117" s="45">
        <f t="shared" si="7"/>
        <v>140.02500000000001</v>
      </c>
      <c r="I117" s="46">
        <v>4187.4518399999997</v>
      </c>
      <c r="J117" s="46">
        <v>4354.9499135999995</v>
      </c>
      <c r="K117" s="46">
        <v>1887.3710782506666</v>
      </c>
      <c r="L117" s="46">
        <v>1962.8659213806934</v>
      </c>
      <c r="M117" s="47">
        <f t="shared" si="8"/>
        <v>141006.45109904284</v>
      </c>
      <c r="N117" s="47">
        <f t="shared" si="9"/>
        <v>68227.295635770468</v>
      </c>
      <c r="O117" s="47">
        <f t="shared" si="10"/>
        <v>11735.564065827915</v>
      </c>
      <c r="P117" s="47">
        <f t="shared" si="11"/>
        <v>105612.9003404746</v>
      </c>
      <c r="Q117" s="47">
        <f t="shared" si="12"/>
        <v>326582.21114111587</v>
      </c>
      <c r="R117" s="48"/>
      <c r="S117" s="48"/>
      <c r="T117" s="48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</row>
    <row r="118" spans="1:184" s="24" customFormat="1">
      <c r="A118" s="43" t="s">
        <v>30</v>
      </c>
      <c r="B118" s="44" t="s">
        <v>159</v>
      </c>
      <c r="C118" s="44" t="s">
        <v>163</v>
      </c>
      <c r="D118" s="45">
        <v>2697.8649999999998</v>
      </c>
      <c r="E118" s="45">
        <f>3912.216-D118</f>
        <v>1214.3510000000001</v>
      </c>
      <c r="F118" s="45">
        <v>479.7</v>
      </c>
      <c r="G118" s="45">
        <f>2999.361-F118</f>
        <v>2519.6610000000001</v>
      </c>
      <c r="H118" s="45">
        <f t="shared" si="7"/>
        <v>6911.5770000000002</v>
      </c>
      <c r="I118" s="46">
        <v>3835.3068000000007</v>
      </c>
      <c r="J118" s="46">
        <v>3988.7190720000008</v>
      </c>
      <c r="K118" s="46">
        <v>1887.3710782506666</v>
      </c>
      <c r="L118" s="46">
        <v>1962.8659213806934</v>
      </c>
      <c r="M118" s="47">
        <f t="shared" si="8"/>
        <v>5255267.6059572669</v>
      </c>
      <c r="N118" s="47">
        <f t="shared" si="9"/>
        <v>2365477.691642026</v>
      </c>
      <c r="O118" s="47">
        <f t="shared" si="10"/>
        <v>971801.75635208178</v>
      </c>
      <c r="P118" s="47">
        <f t="shared" si="11"/>
        <v>5104463.1753425952</v>
      </c>
      <c r="Q118" s="47">
        <f t="shared" si="12"/>
        <v>13697010.22929397</v>
      </c>
      <c r="R118" s="48"/>
      <c r="S118" s="48"/>
      <c r="T118" s="48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</row>
    <row r="119" spans="1:184" s="24" customFormat="1">
      <c r="A119" s="43" t="s">
        <v>30</v>
      </c>
      <c r="B119" s="44" t="s">
        <v>159</v>
      </c>
      <c r="C119" s="44" t="s">
        <v>325</v>
      </c>
      <c r="D119" s="45">
        <v>8.7780000000000005</v>
      </c>
      <c r="E119" s="45">
        <f>13.025-D119</f>
        <v>4.2469999999999999</v>
      </c>
      <c r="F119" s="45">
        <v>0.99</v>
      </c>
      <c r="G119" s="45">
        <v>8.7799999999999994</v>
      </c>
      <c r="H119" s="45">
        <f t="shared" si="7"/>
        <v>22.795000000000002</v>
      </c>
      <c r="I119" s="46">
        <v>6156.0851733333338</v>
      </c>
      <c r="J119" s="46">
        <v>6402.3285802666678</v>
      </c>
      <c r="K119" s="46">
        <v>1887.3710782506666</v>
      </c>
      <c r="L119" s="46">
        <v>1962.8659213806934</v>
      </c>
      <c r="M119" s="47">
        <f t="shared" si="8"/>
        <v>37470.772326635655</v>
      </c>
      <c r="N119" s="47">
        <f t="shared" si="9"/>
        <v>18129.228761816084</v>
      </c>
      <c r="O119" s="47">
        <f t="shared" si="10"/>
        <v>4395.0680322971148</v>
      </c>
      <c r="P119" s="47">
        <f t="shared" si="11"/>
        <v>38978.482145018854</v>
      </c>
      <c r="Q119" s="47">
        <f t="shared" si="12"/>
        <v>98973.551265767717</v>
      </c>
      <c r="R119" s="48"/>
      <c r="S119" s="48"/>
      <c r="T119" s="48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</row>
    <row r="120" spans="1:184" s="24" customFormat="1">
      <c r="A120" s="43" t="s">
        <v>30</v>
      </c>
      <c r="B120" s="44" t="s">
        <v>159</v>
      </c>
      <c r="C120" s="44" t="s">
        <v>166</v>
      </c>
      <c r="D120" s="45">
        <v>143.04300000000001</v>
      </c>
      <c r="E120" s="45">
        <f>212.257-D120</f>
        <v>69.213999999999999</v>
      </c>
      <c r="F120" s="45">
        <v>22.928000000000001</v>
      </c>
      <c r="G120" s="45">
        <f>120.804-F120</f>
        <v>97.876000000000005</v>
      </c>
      <c r="H120" s="45">
        <f t="shared" si="7"/>
        <v>333.06100000000004</v>
      </c>
      <c r="I120" s="46">
        <v>6156.0851733333338</v>
      </c>
      <c r="J120" s="46">
        <v>6402.3285802666678</v>
      </c>
      <c r="K120" s="46">
        <v>1887.3710782506666</v>
      </c>
      <c r="L120" s="46">
        <v>1962.8659213806934</v>
      </c>
      <c r="M120" s="47">
        <f t="shared" si="8"/>
        <v>610609.67030290992</v>
      </c>
      <c r="N120" s="47">
        <f t="shared" si="9"/>
        <v>295454.77737705171</v>
      </c>
      <c r="O120" s="47">
        <f t="shared" si="10"/>
        <v>101787.99984293763</v>
      </c>
      <c r="P120" s="47">
        <f t="shared" si="11"/>
        <v>434516.84720112366</v>
      </c>
      <c r="Q120" s="47">
        <f t="shared" si="12"/>
        <v>1442369.2947240227</v>
      </c>
      <c r="R120" s="48"/>
      <c r="S120" s="48"/>
      <c r="T120" s="48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</row>
    <row r="121" spans="1:184" s="24" customFormat="1" ht="30">
      <c r="A121" s="43" t="s">
        <v>414</v>
      </c>
      <c r="B121" s="44" t="s">
        <v>410</v>
      </c>
      <c r="C121" s="44" t="s">
        <v>165</v>
      </c>
      <c r="D121" s="45">
        <f>61.039*0.4</f>
        <v>24.415600000000001</v>
      </c>
      <c r="E121" s="45">
        <f>61.039*0.6</f>
        <v>36.623399999999997</v>
      </c>
      <c r="F121" s="45">
        <f>49.941*0.2</f>
        <v>9.9882000000000009</v>
      </c>
      <c r="G121" s="45">
        <f>49.941*0.8</f>
        <v>39.952800000000003</v>
      </c>
      <c r="H121" s="45">
        <f t="shared" si="7"/>
        <v>110.98000000000002</v>
      </c>
      <c r="I121" s="46">
        <v>2702.44</v>
      </c>
      <c r="J121" s="46">
        <v>2810.5376000000001</v>
      </c>
      <c r="K121" s="46">
        <v>2264.8799180800006</v>
      </c>
      <c r="L121" s="46">
        <v>2355.4751148032005</v>
      </c>
      <c r="M121" s="47">
        <f t="shared" si="8"/>
        <v>10683.291936125939</v>
      </c>
      <c r="N121" s="47">
        <f t="shared" si="9"/>
        <v>16024.937904188906</v>
      </c>
      <c r="O121" s="47">
        <f t="shared" si="10"/>
        <v>4545.255114642674</v>
      </c>
      <c r="P121" s="47">
        <f t="shared" si="11"/>
        <v>18181.020458570696</v>
      </c>
      <c r="Q121" s="47">
        <f t="shared" si="12"/>
        <v>49434.505413528212</v>
      </c>
      <c r="R121" s="48"/>
      <c r="S121" s="48"/>
      <c r="T121" s="48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</row>
    <row r="122" spans="1:184" s="24" customFormat="1" ht="30">
      <c r="A122" s="43" t="s">
        <v>415</v>
      </c>
      <c r="B122" s="44" t="s">
        <v>411</v>
      </c>
      <c r="C122" s="44" t="s">
        <v>168</v>
      </c>
      <c r="D122" s="45">
        <f>67.6*0.4</f>
        <v>27.04</v>
      </c>
      <c r="E122" s="45">
        <f>67.6*0.6</f>
        <v>40.559999999999995</v>
      </c>
      <c r="F122" s="45">
        <f>62.4*0.2</f>
        <v>12.48</v>
      </c>
      <c r="G122" s="45">
        <f>62.4*0.8</f>
        <v>49.92</v>
      </c>
      <c r="H122" s="45">
        <f t="shared" si="7"/>
        <v>130</v>
      </c>
      <c r="I122" s="46">
        <v>1849.9936</v>
      </c>
      <c r="J122" s="46">
        <v>1923.993344</v>
      </c>
      <c r="K122" s="46">
        <v>1827.4292400000002</v>
      </c>
      <c r="L122" s="46">
        <v>1900.5264096000003</v>
      </c>
      <c r="M122" s="47">
        <f t="shared" si="8"/>
        <v>610.14029439999592</v>
      </c>
      <c r="N122" s="47">
        <f t="shared" si="9"/>
        <v>915.21044159999383</v>
      </c>
      <c r="O122" s="47">
        <f t="shared" si="10"/>
        <v>292.86734131199592</v>
      </c>
      <c r="P122" s="47">
        <f t="shared" si="11"/>
        <v>1171.4693652479837</v>
      </c>
      <c r="Q122" s="47">
        <f t="shared" si="12"/>
        <v>2989.6874425599694</v>
      </c>
      <c r="R122" s="48"/>
      <c r="S122" s="48"/>
      <c r="T122" s="48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</row>
    <row r="123" spans="1:184" s="24" customFormat="1">
      <c r="A123" s="43" t="s">
        <v>416</v>
      </c>
      <c r="B123" s="44" t="s">
        <v>412</v>
      </c>
      <c r="C123" s="44" t="s">
        <v>166</v>
      </c>
      <c r="D123" s="45">
        <f>258.5658*0.6</f>
        <v>155.13948000000002</v>
      </c>
      <c r="E123" s="45">
        <f>258.5658*0.4</f>
        <v>103.42632000000002</v>
      </c>
      <c r="F123" s="45">
        <f>229.2942*0.2</f>
        <v>45.858840000000001</v>
      </c>
      <c r="G123" s="45">
        <f>229.2942*0.8</f>
        <v>183.43536</v>
      </c>
      <c r="H123" s="45">
        <f t="shared" si="7"/>
        <v>487.86</v>
      </c>
      <c r="I123" s="46">
        <v>2940.4648000000002</v>
      </c>
      <c r="J123" s="46">
        <v>3058.0833920000005</v>
      </c>
      <c r="K123" s="46">
        <v>2264.8487679999998</v>
      </c>
      <c r="L123" s="46">
        <v>2355.4427187199999</v>
      </c>
      <c r="M123" s="47">
        <f t="shared" si="8"/>
        <v>104814.71988414343</v>
      </c>
      <c r="N123" s="47">
        <f t="shared" si="9"/>
        <v>69876.479922762286</v>
      </c>
      <c r="O123" s="47">
        <f t="shared" si="10"/>
        <v>32222.28621343982</v>
      </c>
      <c r="P123" s="47">
        <f t="shared" si="11"/>
        <v>128889.14485375928</v>
      </c>
      <c r="Q123" s="47">
        <f t="shared" si="12"/>
        <v>335802.6308741048</v>
      </c>
      <c r="R123" s="48"/>
      <c r="S123" s="48"/>
      <c r="T123" s="48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</row>
    <row r="124" spans="1:184" s="24" customFormat="1" ht="30">
      <c r="A124" s="43" t="s">
        <v>417</v>
      </c>
      <c r="B124" s="44" t="s">
        <v>413</v>
      </c>
      <c r="C124" s="44" t="s">
        <v>418</v>
      </c>
      <c r="D124" s="45">
        <f>388.84352*0.6</f>
        <v>233.30611199999998</v>
      </c>
      <c r="E124" s="45">
        <f>388.84352*0.4</f>
        <v>155.53740800000003</v>
      </c>
      <c r="F124" s="45">
        <f>261.39648*0.2</f>
        <v>52.279296000000002</v>
      </c>
      <c r="G124" s="45">
        <f>261.39648*0.8</f>
        <v>209.11718400000001</v>
      </c>
      <c r="H124" s="45">
        <f t="shared" si="7"/>
        <v>650.24</v>
      </c>
      <c r="I124" s="46">
        <v>2978.6536000000001</v>
      </c>
      <c r="J124" s="46">
        <v>3097.7997440000004</v>
      </c>
      <c r="K124" s="46">
        <v>2264.8799180800006</v>
      </c>
      <c r="L124" s="46">
        <v>2355.4751148032005</v>
      </c>
      <c r="M124" s="47">
        <f t="shared" si="8"/>
        <v>166527.76257667976</v>
      </c>
      <c r="N124" s="47">
        <f t="shared" si="9"/>
        <v>111018.50838445321</v>
      </c>
      <c r="O124" s="47">
        <f t="shared" si="10"/>
        <v>38808.20901786974</v>
      </c>
      <c r="P124" s="47">
        <f t="shared" si="11"/>
        <v>155232.83607147896</v>
      </c>
      <c r="Q124" s="47">
        <f t="shared" si="12"/>
        <v>471587.31605048163</v>
      </c>
      <c r="R124" s="48"/>
      <c r="S124" s="48"/>
      <c r="T124" s="48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</row>
    <row r="125" spans="1:184" s="24" customFormat="1" ht="15.75">
      <c r="A125" s="112" t="s">
        <v>170</v>
      </c>
      <c r="B125" s="112"/>
      <c r="C125" s="112"/>
      <c r="D125" s="49"/>
      <c r="E125" s="49"/>
      <c r="F125" s="42"/>
      <c r="G125" s="42"/>
      <c r="H125" s="45">
        <f t="shared" si="7"/>
        <v>0</v>
      </c>
      <c r="I125" s="40"/>
      <c r="J125" s="40"/>
      <c r="K125" s="40"/>
      <c r="L125" s="40"/>
      <c r="M125" s="47">
        <f t="shared" si="8"/>
        <v>0</v>
      </c>
      <c r="N125" s="47">
        <f t="shared" si="9"/>
        <v>0</v>
      </c>
      <c r="O125" s="47">
        <f t="shared" si="10"/>
        <v>0</v>
      </c>
      <c r="P125" s="47">
        <f t="shared" si="11"/>
        <v>0</v>
      </c>
      <c r="Q125" s="47">
        <f t="shared" si="12"/>
        <v>0</v>
      </c>
      <c r="R125" s="88"/>
      <c r="S125" s="88"/>
      <c r="T125" s="88"/>
    </row>
    <row r="126" spans="1:184" s="24" customFormat="1">
      <c r="A126" s="43" t="s">
        <v>22</v>
      </c>
      <c r="B126" s="44" t="s">
        <v>180</v>
      </c>
      <c r="C126" s="44" t="s">
        <v>181</v>
      </c>
      <c r="D126" s="45">
        <v>2389.4360000000001</v>
      </c>
      <c r="E126" s="45">
        <f>3528.984-D126</f>
        <v>1139.5479999999998</v>
      </c>
      <c r="F126" s="45">
        <v>435.51</v>
      </c>
      <c r="G126" s="45">
        <f>2104.269-F126</f>
        <v>1668.7589999999998</v>
      </c>
      <c r="H126" s="45">
        <f t="shared" si="7"/>
        <v>5633.2529999999997</v>
      </c>
      <c r="I126" s="46">
        <v>3847.2512000000002</v>
      </c>
      <c r="J126" s="46">
        <v>4001.1412480000004</v>
      </c>
      <c r="K126" s="46">
        <v>2162.7103680000005</v>
      </c>
      <c r="L126" s="46">
        <v>2249.2187827200005</v>
      </c>
      <c r="M126" s="47">
        <f t="shared" si="8"/>
        <v>4025102.5074507515</v>
      </c>
      <c r="N126" s="47">
        <f t="shared" si="9"/>
        <v>1919615.1360239352</v>
      </c>
      <c r="O126" s="47">
        <f t="shared" si="10"/>
        <v>762979.75285409275</v>
      </c>
      <c r="P126" s="47">
        <f t="shared" si="11"/>
        <v>2923536.3812381867</v>
      </c>
      <c r="Q126" s="47">
        <f t="shared" si="12"/>
        <v>9631233.7775669657</v>
      </c>
      <c r="R126" s="48"/>
      <c r="S126" s="48"/>
      <c r="T126" s="48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</row>
    <row r="127" spans="1:184" s="24" customFormat="1">
      <c r="A127" s="43" t="s">
        <v>25</v>
      </c>
      <c r="B127" s="44" t="s">
        <v>178</v>
      </c>
      <c r="C127" s="44" t="s">
        <v>173</v>
      </c>
      <c r="D127" s="45">
        <v>409.23899999999998</v>
      </c>
      <c r="E127" s="45">
        <f>682.065-D127</f>
        <v>272.82600000000008</v>
      </c>
      <c r="F127" s="45">
        <v>136.428</v>
      </c>
      <c r="G127" s="45">
        <f>545.697-F127</f>
        <v>409.26900000000001</v>
      </c>
      <c r="H127" s="45">
        <f t="shared" si="7"/>
        <v>1227.7620000000002</v>
      </c>
      <c r="I127" s="46">
        <v>5865.8808000000008</v>
      </c>
      <c r="J127" s="46">
        <v>6100.5160320000014</v>
      </c>
      <c r="K127" s="46">
        <v>2142.1131264000005</v>
      </c>
      <c r="L127" s="46">
        <v>2227.7976514560005</v>
      </c>
      <c r="M127" s="47">
        <f t="shared" si="8"/>
        <v>1523910.9589763905</v>
      </c>
      <c r="N127" s="47">
        <f t="shared" si="9"/>
        <v>1015940.639317594</v>
      </c>
      <c r="O127" s="47">
        <f t="shared" si="10"/>
        <v>528347.22322085698</v>
      </c>
      <c r="P127" s="47">
        <f t="shared" si="11"/>
        <v>1584983.5788868626</v>
      </c>
      <c r="Q127" s="47">
        <f t="shared" si="12"/>
        <v>4653182.400401704</v>
      </c>
      <c r="R127" s="48"/>
      <c r="S127" s="48"/>
      <c r="T127" s="48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</row>
    <row r="128" spans="1:184" s="24" customFormat="1" ht="30">
      <c r="A128" s="43" t="s">
        <v>25</v>
      </c>
      <c r="B128" s="44" t="s">
        <v>178</v>
      </c>
      <c r="C128" s="44" t="s">
        <v>171</v>
      </c>
      <c r="D128" s="45">
        <v>227.42</v>
      </c>
      <c r="E128" s="45">
        <f>324.133-D128</f>
        <v>96.712999999999994</v>
      </c>
      <c r="F128" s="45">
        <v>49.1</v>
      </c>
      <c r="G128" s="45">
        <f>187.581-F128</f>
        <v>138.48099999999999</v>
      </c>
      <c r="H128" s="45">
        <f t="shared" si="7"/>
        <v>511.714</v>
      </c>
      <c r="I128" s="46">
        <v>7458.9943999999996</v>
      </c>
      <c r="J128" s="46">
        <v>7757.3541759999998</v>
      </c>
      <c r="K128" s="46">
        <v>2142.1131264000005</v>
      </c>
      <c r="L128" s="46">
        <v>2227.7976514560005</v>
      </c>
      <c r="M128" s="47">
        <f t="shared" si="8"/>
        <v>1209165.1392421117</v>
      </c>
      <c r="N128" s="47">
        <f t="shared" si="9"/>
        <v>514211.53861367668</v>
      </c>
      <c r="O128" s="47">
        <f t="shared" si="10"/>
        <v>271501.22535511036</v>
      </c>
      <c r="P128" s="47">
        <f t="shared" si="11"/>
        <v>765738.51707537752</v>
      </c>
      <c r="Q128" s="47">
        <f t="shared" si="12"/>
        <v>2760616.4202862764</v>
      </c>
      <c r="R128" s="48"/>
      <c r="S128" s="48"/>
      <c r="T128" s="48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</row>
    <row r="129" spans="1:184" s="24" customFormat="1" ht="45">
      <c r="A129" s="43" t="s">
        <v>299</v>
      </c>
      <c r="B129" s="44" t="s">
        <v>177</v>
      </c>
      <c r="C129" s="44" t="s">
        <v>341</v>
      </c>
      <c r="D129" s="45">
        <v>883.35500000000002</v>
      </c>
      <c r="E129" s="45">
        <f>1462.28-D129</f>
        <v>578.92499999999995</v>
      </c>
      <c r="F129" s="45">
        <v>294.78500000000003</v>
      </c>
      <c r="G129" s="45">
        <f>1178.533-F129</f>
        <v>883.74799999999982</v>
      </c>
      <c r="H129" s="45">
        <f t="shared" si="7"/>
        <v>2640.8130000000001</v>
      </c>
      <c r="I129" s="46">
        <v>5108.2408000000005</v>
      </c>
      <c r="J129" s="46">
        <v>5312.5704320000004</v>
      </c>
      <c r="K129" s="46">
        <v>2111.2172639999999</v>
      </c>
      <c r="L129" s="46">
        <v>2195.66595456</v>
      </c>
      <c r="M129" s="47">
        <f t="shared" si="8"/>
        <v>2647435.7256432804</v>
      </c>
      <c r="N129" s="47">
        <f t="shared" si="9"/>
        <v>1735051.8505788003</v>
      </c>
      <c r="O129" s="47">
        <f t="shared" si="10"/>
        <v>918816.68638215063</v>
      </c>
      <c r="P129" s="47">
        <f t="shared" si="11"/>
        <v>2754558.0981286447</v>
      </c>
      <c r="Q129" s="47">
        <f t="shared" si="12"/>
        <v>8055862.3607328758</v>
      </c>
      <c r="R129" s="48"/>
      <c r="S129" s="48"/>
      <c r="T129" s="48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</row>
    <row r="130" spans="1:184" s="24" customFormat="1" ht="30">
      <c r="A130" s="43" t="s">
        <v>299</v>
      </c>
      <c r="B130" s="44" t="s">
        <v>177</v>
      </c>
      <c r="C130" s="44" t="s">
        <v>340</v>
      </c>
      <c r="D130" s="45">
        <v>1199.001</v>
      </c>
      <c r="E130" s="45">
        <f>1998.335-D130</f>
        <v>799.33400000000006</v>
      </c>
      <c r="F130" s="45">
        <v>399.66699999999997</v>
      </c>
      <c r="G130" s="45">
        <f>1598.668-F130</f>
        <v>1199.001</v>
      </c>
      <c r="H130" s="45">
        <f t="shared" si="7"/>
        <v>3597.0029999999997</v>
      </c>
      <c r="I130" s="46">
        <v>3814.1064000000001</v>
      </c>
      <c r="J130" s="46">
        <v>3966.6706560000002</v>
      </c>
      <c r="K130" s="46">
        <v>1580.5770240000002</v>
      </c>
      <c r="L130" s="46">
        <v>1643.8001049600002</v>
      </c>
      <c r="M130" s="47">
        <f t="shared" si="8"/>
        <v>2678003.955353376</v>
      </c>
      <c r="N130" s="47">
        <f t="shared" si="9"/>
        <v>1785335.9702355841</v>
      </c>
      <c r="O130" s="47">
        <f t="shared" si="10"/>
        <v>928374.70452250366</v>
      </c>
      <c r="P130" s="47">
        <f t="shared" si="11"/>
        <v>2785124.1135675111</v>
      </c>
      <c r="Q130" s="47">
        <f t="shared" si="12"/>
        <v>8176838.743678974</v>
      </c>
      <c r="R130" s="48"/>
      <c r="S130" s="48"/>
      <c r="T130" s="48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</row>
    <row r="131" spans="1:184" s="24" customFormat="1" ht="30">
      <c r="A131" s="43" t="s">
        <v>299</v>
      </c>
      <c r="B131" s="44" t="s">
        <v>177</v>
      </c>
      <c r="C131" s="44" t="s">
        <v>339</v>
      </c>
      <c r="D131" s="45">
        <v>374.33100000000002</v>
      </c>
      <c r="E131" s="45">
        <f>623.885-D131</f>
        <v>249.55399999999997</v>
      </c>
      <c r="F131" s="45">
        <v>124.777</v>
      </c>
      <c r="G131" s="45">
        <f>499.108-F131</f>
        <v>374.33100000000002</v>
      </c>
      <c r="H131" s="45">
        <f t="shared" si="7"/>
        <v>1122.9929999999999</v>
      </c>
      <c r="I131" s="46">
        <v>5805.4048000000003</v>
      </c>
      <c r="J131" s="46">
        <v>6037.6209920000001</v>
      </c>
      <c r="K131" s="46">
        <v>2100.9186432000001</v>
      </c>
      <c r="L131" s="46">
        <v>2184.955388928</v>
      </c>
      <c r="M131" s="47">
        <f t="shared" si="8"/>
        <v>1386704.0075611009</v>
      </c>
      <c r="N131" s="47">
        <f t="shared" si="9"/>
        <v>924469.3383740671</v>
      </c>
      <c r="O131" s="47">
        <f t="shared" si="10"/>
        <v>480724.05595451494</v>
      </c>
      <c r="P131" s="47">
        <f t="shared" si="11"/>
        <v>1442172.167863545</v>
      </c>
      <c r="Q131" s="47">
        <f t="shared" si="12"/>
        <v>4234069.5697532278</v>
      </c>
      <c r="R131" s="48"/>
      <c r="S131" s="48"/>
      <c r="T131" s="48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</row>
    <row r="132" spans="1:184" s="24" customFormat="1">
      <c r="A132" s="43" t="s">
        <v>300</v>
      </c>
      <c r="B132" s="44" t="s">
        <v>172</v>
      </c>
      <c r="C132" s="44" t="s">
        <v>173</v>
      </c>
      <c r="D132" s="45">
        <v>6916.1</v>
      </c>
      <c r="E132" s="45">
        <f>10297.688-D132</f>
        <v>3381.5879999999997</v>
      </c>
      <c r="F132" s="45">
        <v>1356.3589999999999</v>
      </c>
      <c r="G132" s="45">
        <f>6965.679</f>
        <v>6965.6790000000001</v>
      </c>
      <c r="H132" s="45">
        <f t="shared" si="7"/>
        <v>18619.726000000002</v>
      </c>
      <c r="I132" s="46">
        <v>2095.4337733333332</v>
      </c>
      <c r="J132" s="46">
        <v>2179.2511242666665</v>
      </c>
      <c r="K132" s="46">
        <v>1751.4134354773337</v>
      </c>
      <c r="L132" s="46">
        <v>1821.4699728964272</v>
      </c>
      <c r="M132" s="47">
        <f t="shared" si="8"/>
        <v>2379279.0586458785</v>
      </c>
      <c r="N132" s="47">
        <f t="shared" si="9"/>
        <v>1163335.0462497936</v>
      </c>
      <c r="O132" s="47">
        <f t="shared" si="10"/>
        <v>485279.68469138636</v>
      </c>
      <c r="P132" s="47">
        <f t="shared" si="11"/>
        <v>2492188.652695497</v>
      </c>
      <c r="Q132" s="47">
        <f t="shared" si="12"/>
        <v>6520082.4422825556</v>
      </c>
      <c r="R132" s="48"/>
      <c r="S132" s="48"/>
      <c r="T132" s="48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</row>
    <row r="133" spans="1:184" s="24" customFormat="1">
      <c r="A133" s="43" t="s">
        <v>300</v>
      </c>
      <c r="B133" s="44" t="s">
        <v>172</v>
      </c>
      <c r="C133" s="44" t="s">
        <v>174</v>
      </c>
      <c r="D133" s="45">
        <v>4183.0609999999997</v>
      </c>
      <c r="E133" s="45">
        <f>6163.764-D133</f>
        <v>1980.7030000000004</v>
      </c>
      <c r="F133" s="45">
        <v>785.18600000000004</v>
      </c>
      <c r="G133" s="45">
        <f>4054.053-F133</f>
        <v>3268.8669999999997</v>
      </c>
      <c r="H133" s="45">
        <f t="shared" si="7"/>
        <v>10217.816999999999</v>
      </c>
      <c r="I133" s="46">
        <v>2844.8336800000002</v>
      </c>
      <c r="J133" s="46">
        <v>2958.6270272000002</v>
      </c>
      <c r="K133" s="46">
        <v>1751.4134354773337</v>
      </c>
      <c r="L133" s="46">
        <v>1821.4699728964272</v>
      </c>
      <c r="M133" s="47">
        <f t="shared" si="8"/>
        <v>4573843.5814732295</v>
      </c>
      <c r="N133" s="47">
        <f t="shared" si="9"/>
        <v>2165740.7585867797</v>
      </c>
      <c r="O133" s="47">
        <f t="shared" si="10"/>
        <v>892879.7988404053</v>
      </c>
      <c r="P133" s="47">
        <f t="shared" si="11"/>
        <v>3717215.1686301576</v>
      </c>
      <c r="Q133" s="47">
        <f t="shared" si="12"/>
        <v>11349679.307530571</v>
      </c>
      <c r="R133" s="48"/>
      <c r="S133" s="48"/>
      <c r="T133" s="48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</row>
    <row r="134" spans="1:184" s="24" customFormat="1" ht="30">
      <c r="A134" s="43" t="s">
        <v>3</v>
      </c>
      <c r="B134" s="44" t="s">
        <v>179</v>
      </c>
      <c r="C134" s="44" t="s">
        <v>176</v>
      </c>
      <c r="D134" s="45">
        <v>85.022000000000006</v>
      </c>
      <c r="E134" s="45">
        <f>116.446-D134</f>
        <v>31.423999999999992</v>
      </c>
      <c r="F134" s="45">
        <v>5.4509999999999996</v>
      </c>
      <c r="G134" s="45">
        <f>66.902-F134</f>
        <v>61.451000000000001</v>
      </c>
      <c r="H134" s="45">
        <f t="shared" si="7"/>
        <v>183.34799999999998</v>
      </c>
      <c r="I134" s="46">
        <v>3015.5985600000004</v>
      </c>
      <c r="J134" s="46">
        <v>3136.2225024000004</v>
      </c>
      <c r="K134" s="46">
        <v>1734.2490656400003</v>
      </c>
      <c r="L134" s="46">
        <v>1803.6190282656003</v>
      </c>
      <c r="M134" s="47">
        <f t="shared" si="8"/>
        <v>108942.89670947594</v>
      </c>
      <c r="N134" s="47">
        <f t="shared" si="9"/>
        <v>40265.126510768634</v>
      </c>
      <c r="O134" s="47">
        <f t="shared" si="10"/>
        <v>7264.0215375066145</v>
      </c>
      <c r="P134" s="47">
        <f t="shared" si="11"/>
        <v>81889.816089033018</v>
      </c>
      <c r="Q134" s="47">
        <f t="shared" si="12"/>
        <v>238361.8608467842</v>
      </c>
      <c r="R134" s="48"/>
      <c r="S134" s="48"/>
      <c r="T134" s="48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</row>
    <row r="135" spans="1:184" s="24" customFormat="1" ht="30">
      <c r="A135" s="43" t="s">
        <v>298</v>
      </c>
      <c r="B135" s="44" t="s">
        <v>183</v>
      </c>
      <c r="C135" s="44" t="s">
        <v>181</v>
      </c>
      <c r="D135" s="45">
        <v>581.37099999999998</v>
      </c>
      <c r="E135" s="45">
        <f>822.119-D135</f>
        <v>240.74800000000005</v>
      </c>
      <c r="F135" s="45">
        <v>68.978999999999999</v>
      </c>
      <c r="G135" s="45">
        <f>558.056-F135</f>
        <v>489.07700000000006</v>
      </c>
      <c r="H135" s="45">
        <f t="shared" si="7"/>
        <v>1380.1750000000002</v>
      </c>
      <c r="I135" s="46">
        <v>6497.764000000001</v>
      </c>
      <c r="J135" s="46">
        <v>6757.6745600000013</v>
      </c>
      <c r="K135" s="46">
        <v>2101.6958976000005</v>
      </c>
      <c r="L135" s="46">
        <v>2185.7637335040008</v>
      </c>
      <c r="M135" s="47">
        <f t="shared" si="8"/>
        <v>2555746.5087603908</v>
      </c>
      <c r="N135" s="47">
        <f t="shared" si="9"/>
        <v>1058344.6035165954</v>
      </c>
      <c r="O135" s="47">
        <f t="shared" si="10"/>
        <v>315365.83690086764</v>
      </c>
      <c r="P135" s="47">
        <f t="shared" si="11"/>
        <v>2236016.4312901846</v>
      </c>
      <c r="Q135" s="47">
        <f t="shared" si="12"/>
        <v>6165473.3804680388</v>
      </c>
      <c r="R135" s="48"/>
      <c r="S135" s="48"/>
      <c r="T135" s="48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</row>
    <row r="136" spans="1:184" s="24" customFormat="1" ht="30">
      <c r="A136" s="43" t="s">
        <v>298</v>
      </c>
      <c r="B136" s="44" t="s">
        <v>183</v>
      </c>
      <c r="C136" s="44" t="s">
        <v>171</v>
      </c>
      <c r="D136" s="45">
        <v>62.777999999999999</v>
      </c>
      <c r="E136" s="45">
        <f>104.63-D136</f>
        <v>41.851999999999997</v>
      </c>
      <c r="F136" s="45">
        <v>20.925999999999998</v>
      </c>
      <c r="G136" s="45">
        <f>89.704-F136</f>
        <v>68.777999999999992</v>
      </c>
      <c r="H136" s="45">
        <f t="shared" si="7"/>
        <v>194.334</v>
      </c>
      <c r="I136" s="46">
        <v>12091.611999999999</v>
      </c>
      <c r="J136" s="46">
        <v>12575.27648</v>
      </c>
      <c r="K136" s="46">
        <v>2121.9045120000005</v>
      </c>
      <c r="L136" s="46">
        <v>2206.7806924800007</v>
      </c>
      <c r="M136" s="47">
        <f t="shared" si="8"/>
        <v>625878.29668166384</v>
      </c>
      <c r="N136" s="47">
        <f t="shared" si="9"/>
        <v>417252.19778777589</v>
      </c>
      <c r="O136" s="47">
        <f t="shared" si="10"/>
        <v>216971.14284964351</v>
      </c>
      <c r="P136" s="47">
        <f t="shared" si="11"/>
        <v>713124.40327405045</v>
      </c>
      <c r="Q136" s="47">
        <f t="shared" si="12"/>
        <v>1973226.0405931338</v>
      </c>
      <c r="R136" s="48"/>
      <c r="S136" s="48"/>
      <c r="T136" s="48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</row>
    <row r="137" spans="1:184" s="24" customFormat="1">
      <c r="A137" s="43" t="s">
        <v>282</v>
      </c>
      <c r="B137" s="44" t="s">
        <v>91</v>
      </c>
      <c r="C137" s="44" t="s">
        <v>175</v>
      </c>
      <c r="D137" s="45">
        <v>2030.28</v>
      </c>
      <c r="E137" s="45">
        <f>2967.1-D137</f>
        <v>936.81999999999994</v>
      </c>
      <c r="F137" s="45">
        <v>229.73</v>
      </c>
      <c r="G137" s="45">
        <v>1913.88</v>
      </c>
      <c r="H137" s="45">
        <f t="shared" si="7"/>
        <v>5110.71</v>
      </c>
      <c r="I137" s="46">
        <v>4972.5520000000006</v>
      </c>
      <c r="J137" s="46">
        <v>5171.4540800000004</v>
      </c>
      <c r="K137" s="46">
        <v>2111.2172639999999</v>
      </c>
      <c r="L137" s="46">
        <v>2195.66595456</v>
      </c>
      <c r="M137" s="47">
        <f t="shared" si="8"/>
        <v>5809310.687806081</v>
      </c>
      <c r="N137" s="47">
        <f t="shared" si="9"/>
        <v>2680555.6073795203</v>
      </c>
      <c r="O137" s="47">
        <f t="shared" si="10"/>
        <v>683627.80605733127</v>
      </c>
      <c r="P137" s="47">
        <f t="shared" si="11"/>
        <v>5695301.3775171079</v>
      </c>
      <c r="Q137" s="47">
        <f t="shared" si="12"/>
        <v>14868795.478760041</v>
      </c>
      <c r="R137" s="48"/>
      <c r="S137" s="48"/>
      <c r="T137" s="48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</row>
    <row r="138" spans="1:184" s="24" customFormat="1" ht="30">
      <c r="A138" s="43" t="s">
        <v>326</v>
      </c>
      <c r="B138" s="44" t="s">
        <v>327</v>
      </c>
      <c r="C138" s="44" t="s">
        <v>171</v>
      </c>
      <c r="D138" s="45">
        <v>1570.693</v>
      </c>
      <c r="E138" s="45">
        <f>2357.73-D138</f>
        <v>787.03700000000003</v>
      </c>
      <c r="F138" s="45">
        <v>191.88</v>
      </c>
      <c r="G138" s="45">
        <v>1343</v>
      </c>
      <c r="H138" s="45">
        <f t="shared" ref="H138:H201" si="13">SUM(D138:G138)</f>
        <v>3892.61</v>
      </c>
      <c r="I138" s="46">
        <v>5075.0959999999995</v>
      </c>
      <c r="J138" s="46">
        <v>5278.0998399999999</v>
      </c>
      <c r="K138" s="46">
        <v>2162.7103680000005</v>
      </c>
      <c r="L138" s="46">
        <v>2249.2187827200005</v>
      </c>
      <c r="M138" s="47">
        <f t="shared" ref="M138:M201" si="14">(I138-K138)*D138</f>
        <v>4574463.7254829742</v>
      </c>
      <c r="N138" s="47">
        <f t="shared" ref="N138:N201" si="15">(I138-K138)*E138</f>
        <v>2292155.2506523835</v>
      </c>
      <c r="O138" s="47">
        <f t="shared" ref="O138:O201" si="16">(J138-L138)*F138</f>
        <v>581181.69727088627</v>
      </c>
      <c r="P138" s="47">
        <f t="shared" ref="P138:P201" si="17">(G138*(J138-L138))</f>
        <v>4067787.259927039</v>
      </c>
      <c r="Q138" s="47">
        <f t="shared" ref="Q138:Q201" si="18">SUM(M138:P138)</f>
        <v>11515587.933333283</v>
      </c>
      <c r="R138" s="48"/>
      <c r="S138" s="48"/>
      <c r="T138" s="48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</row>
    <row r="139" spans="1:184" s="24" customFormat="1">
      <c r="A139" s="43" t="s">
        <v>2</v>
      </c>
      <c r="B139" s="44" t="s">
        <v>70</v>
      </c>
      <c r="C139" s="44" t="s">
        <v>181</v>
      </c>
      <c r="D139" s="45">
        <v>767</v>
      </c>
      <c r="E139" s="45">
        <f>1213.26-D139</f>
        <v>446.26</v>
      </c>
      <c r="F139" s="45">
        <v>169.74</v>
      </c>
      <c r="G139" s="45">
        <f>739.98-F139</f>
        <v>570.24</v>
      </c>
      <c r="H139" s="45">
        <f t="shared" si="13"/>
        <v>1953.24</v>
      </c>
      <c r="I139" s="46">
        <v>2329.687521926533</v>
      </c>
      <c r="J139" s="46">
        <v>2422.8750228035942</v>
      </c>
      <c r="K139" s="46">
        <v>1661.4754</v>
      </c>
      <c r="L139" s="46">
        <v>1727.9344160000001</v>
      </c>
      <c r="M139" s="47">
        <f t="shared" si="14"/>
        <v>512518.69751765078</v>
      </c>
      <c r="N139" s="47">
        <f t="shared" si="15"/>
        <v>298196.34153093462</v>
      </c>
      <c r="O139" s="47">
        <f t="shared" si="16"/>
        <v>117959.21859884208</v>
      </c>
      <c r="P139" s="47">
        <f t="shared" si="17"/>
        <v>396282.93162368156</v>
      </c>
      <c r="Q139" s="47">
        <f t="shared" si="18"/>
        <v>1324957.1892711089</v>
      </c>
      <c r="R139" s="48"/>
      <c r="S139" s="48"/>
      <c r="T139" s="48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</row>
    <row r="140" spans="1:184" s="24" customFormat="1">
      <c r="A140" s="43" t="s">
        <v>2</v>
      </c>
      <c r="B140" s="44" t="s">
        <v>70</v>
      </c>
      <c r="C140" s="44" t="s">
        <v>184</v>
      </c>
      <c r="D140" s="45">
        <v>993.39700000000005</v>
      </c>
      <c r="E140" s="45">
        <f>1640.751-D140</f>
        <v>647.35399999999993</v>
      </c>
      <c r="F140" s="45">
        <v>319.56200000000001</v>
      </c>
      <c r="G140" s="45">
        <f>1303.672-F140</f>
        <v>984.11</v>
      </c>
      <c r="H140" s="45">
        <f t="shared" si="13"/>
        <v>2944.4230000000002</v>
      </c>
      <c r="I140" s="46">
        <v>9457.8420387557071</v>
      </c>
      <c r="J140" s="46">
        <v>9836.1557203059365</v>
      </c>
      <c r="K140" s="46">
        <v>1212.2281599999999</v>
      </c>
      <c r="L140" s="46">
        <v>1260.7172863999999</v>
      </c>
      <c r="M140" s="47">
        <f t="shared" si="14"/>
        <v>8191168.090314283</v>
      </c>
      <c r="N140" s="47">
        <f t="shared" si="15"/>
        <v>5337831.1268680207</v>
      </c>
      <c r="O140" s="47">
        <f t="shared" si="16"/>
        <v>2740384.2568158489</v>
      </c>
      <c r="P140" s="47">
        <f t="shared" si="17"/>
        <v>8439174.7171911709</v>
      </c>
      <c r="Q140" s="47">
        <f t="shared" si="18"/>
        <v>24708558.191189326</v>
      </c>
      <c r="R140" s="48"/>
      <c r="S140" s="48"/>
      <c r="T140" s="48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</row>
    <row r="141" spans="1:184" s="24" customFormat="1">
      <c r="A141" s="43" t="s">
        <v>1</v>
      </c>
      <c r="B141" s="44" t="s">
        <v>182</v>
      </c>
      <c r="C141" s="44" t="s">
        <v>176</v>
      </c>
      <c r="D141" s="45">
        <v>8991.7360000000008</v>
      </c>
      <c r="E141" s="45">
        <f>14772.842-D141</f>
        <v>5781.1059999999998</v>
      </c>
      <c r="F141" s="45">
        <v>2690.2040000000002</v>
      </c>
      <c r="G141" s="45">
        <f>11070.059-F141</f>
        <v>8379.8549999999996</v>
      </c>
      <c r="H141" s="45">
        <f t="shared" si="13"/>
        <v>25842.901000000002</v>
      </c>
      <c r="I141" s="46">
        <v>4133.107825</v>
      </c>
      <c r="J141" s="46">
        <v>4298.4321380000001</v>
      </c>
      <c r="K141" s="46">
        <v>1785.0944630826673</v>
      </c>
      <c r="L141" s="46">
        <v>1856.498241605974</v>
      </c>
      <c r="M141" s="47">
        <f t="shared" si="14"/>
        <v>21112716.274833113</v>
      </c>
      <c r="N141" s="47">
        <f t="shared" si="15"/>
        <v>13574114.134660464</v>
      </c>
      <c r="O141" s="47">
        <f t="shared" si="16"/>
        <v>6569300.3358147955</v>
      </c>
      <c r="P141" s="47">
        <f t="shared" si="17"/>
        <v>20463051.971366961</v>
      </c>
      <c r="Q141" s="47">
        <f t="shared" si="18"/>
        <v>61719182.716675341</v>
      </c>
      <c r="R141" s="78"/>
      <c r="S141" s="48"/>
      <c r="T141" s="48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</row>
    <row r="142" spans="1:184" s="24" customFormat="1" ht="30">
      <c r="A142" s="43" t="s">
        <v>1</v>
      </c>
      <c r="B142" s="44" t="s">
        <v>182</v>
      </c>
      <c r="C142" s="44" t="s">
        <v>171</v>
      </c>
      <c r="D142" s="45">
        <v>2053.3679999999999</v>
      </c>
      <c r="E142" s="45">
        <f>3066.882-D142</f>
        <v>1013.5140000000001</v>
      </c>
      <c r="F142" s="45">
        <v>197.09899999999999</v>
      </c>
      <c r="G142" s="45">
        <f>1678.39-197.099</f>
        <v>1481.2910000000002</v>
      </c>
      <c r="H142" s="45">
        <f t="shared" si="13"/>
        <v>4745.2720000000008</v>
      </c>
      <c r="I142" s="46">
        <v>5264.5473833333326</v>
      </c>
      <c r="J142" s="46">
        <v>5475.1292786666663</v>
      </c>
      <c r="K142" s="46">
        <v>1785.0944630826673</v>
      </c>
      <c r="L142" s="46">
        <v>1856.498241605974</v>
      </c>
      <c r="M142" s="47">
        <f t="shared" si="14"/>
        <v>7144597.2839492681</v>
      </c>
      <c r="N142" s="47">
        <f t="shared" si="15"/>
        <v>3526474.2470149333</v>
      </c>
      <c r="O142" s="47">
        <f t="shared" si="16"/>
        <v>713228.55877362541</v>
      </c>
      <c r="P142" s="47">
        <f t="shared" si="17"/>
        <v>5360245.5875186706</v>
      </c>
      <c r="Q142" s="47">
        <f t="shared" si="18"/>
        <v>16744545.677256498</v>
      </c>
      <c r="R142" s="48"/>
      <c r="S142" s="48"/>
      <c r="T142" s="48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</row>
    <row r="143" spans="1:184" s="24" customFormat="1">
      <c r="A143" s="43" t="s">
        <v>1</v>
      </c>
      <c r="B143" s="44" t="s">
        <v>182</v>
      </c>
      <c r="C143" s="44" t="s">
        <v>174</v>
      </c>
      <c r="D143" s="45">
        <v>1463.472</v>
      </c>
      <c r="E143" s="45">
        <f>2255.315-D143</f>
        <v>791.84300000000007</v>
      </c>
      <c r="F143" s="45">
        <v>313.18400000000003</v>
      </c>
      <c r="G143" s="45">
        <f>1598.219-F143</f>
        <v>1285.0350000000001</v>
      </c>
      <c r="H143" s="45">
        <f t="shared" si="13"/>
        <v>3853.5340000000006</v>
      </c>
      <c r="I143" s="46">
        <v>5264.5473833333326</v>
      </c>
      <c r="J143" s="46">
        <v>5475.1292786666663</v>
      </c>
      <c r="K143" s="46">
        <v>1785.0944630826673</v>
      </c>
      <c r="L143" s="46">
        <v>1856.498241605974</v>
      </c>
      <c r="M143" s="47">
        <f t="shared" si="14"/>
        <v>5092081.9241050817</v>
      </c>
      <c r="N143" s="47">
        <f t="shared" si="15"/>
        <v>2755180.438730048</v>
      </c>
      <c r="O143" s="47">
        <f t="shared" si="16"/>
        <v>1133297.3427108161</v>
      </c>
      <c r="P143" s="47">
        <f t="shared" si="17"/>
        <v>4650067.5347092869</v>
      </c>
      <c r="Q143" s="47">
        <f t="shared" si="18"/>
        <v>13630627.240255233</v>
      </c>
      <c r="R143" s="48"/>
      <c r="S143" s="48"/>
      <c r="T143" s="48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</row>
    <row r="144" spans="1:184" s="24" customFormat="1">
      <c r="A144" s="43" t="s">
        <v>1</v>
      </c>
      <c r="B144" s="44" t="s">
        <v>182</v>
      </c>
      <c r="C144" s="44" t="s">
        <v>175</v>
      </c>
      <c r="D144" s="45">
        <v>778.58799999999997</v>
      </c>
      <c r="E144" s="45">
        <f>1302.725-D144</f>
        <v>524.13699999999994</v>
      </c>
      <c r="F144" s="45">
        <v>269.80700000000002</v>
      </c>
      <c r="G144" s="45">
        <f>984.893-F144</f>
        <v>715.08600000000001</v>
      </c>
      <c r="H144" s="45">
        <f t="shared" si="13"/>
        <v>2287.6179999999999</v>
      </c>
      <c r="I144" s="46">
        <v>5264.5473833333326</v>
      </c>
      <c r="J144" s="46">
        <v>5475.1292786666663</v>
      </c>
      <c r="K144" s="46">
        <v>1785.0944630826673</v>
      </c>
      <c r="L144" s="46">
        <v>1856.498241605974</v>
      </c>
      <c r="M144" s="47">
        <f t="shared" si="14"/>
        <v>2709060.290272125</v>
      </c>
      <c r="N144" s="47">
        <f t="shared" si="15"/>
        <v>1823710.0152614228</v>
      </c>
      <c r="O144" s="47">
        <f t="shared" si="16"/>
        <v>976331.9842162343</v>
      </c>
      <c r="P144" s="47">
        <f t="shared" si="17"/>
        <v>2587632.3937675823</v>
      </c>
      <c r="Q144" s="47">
        <f t="shared" si="18"/>
        <v>8096734.6835173648</v>
      </c>
      <c r="R144" s="48"/>
      <c r="S144" s="48"/>
      <c r="T144" s="48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</row>
    <row r="145" spans="1:184" s="24" customFormat="1">
      <c r="A145" s="43">
        <v>7729314745</v>
      </c>
      <c r="B145" s="44" t="s">
        <v>391</v>
      </c>
      <c r="C145" s="44" t="s">
        <v>394</v>
      </c>
      <c r="D145" s="45">
        <f>100.529*0.6</f>
        <v>60.317399999999992</v>
      </c>
      <c r="E145" s="45">
        <f>100.529*0.4</f>
        <v>40.211600000000004</v>
      </c>
      <c r="F145" s="45">
        <f>82.251*0.2</f>
        <v>16.450200000000002</v>
      </c>
      <c r="G145" s="45">
        <f>82.251*0.8</f>
        <v>65.80080000000001</v>
      </c>
      <c r="H145" s="45">
        <f t="shared" si="13"/>
        <v>182.78</v>
      </c>
      <c r="I145" s="46">
        <v>8247.2000000000007</v>
      </c>
      <c r="J145" s="46">
        <v>8577.09</v>
      </c>
      <c r="K145" s="46">
        <v>1795.73</v>
      </c>
      <c r="L145" s="46">
        <v>1867.56</v>
      </c>
      <c r="M145" s="47">
        <f t="shared" si="14"/>
        <v>389135.89657800004</v>
      </c>
      <c r="N145" s="47">
        <f t="shared" si="15"/>
        <v>259423.93105200009</v>
      </c>
      <c r="O145" s="47">
        <f t="shared" si="16"/>
        <v>110373.11040600002</v>
      </c>
      <c r="P145" s="47">
        <f t="shared" si="17"/>
        <v>441492.44162400009</v>
      </c>
      <c r="Q145" s="47">
        <f t="shared" si="18"/>
        <v>1200425.3796600003</v>
      </c>
      <c r="R145" s="48"/>
      <c r="S145" s="48"/>
      <c r="T145" s="48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</row>
    <row r="146" spans="1:184" s="24" customFormat="1">
      <c r="A146" s="43">
        <v>7729314745</v>
      </c>
      <c r="B146" s="44" t="s">
        <v>391</v>
      </c>
      <c r="C146" s="44" t="s">
        <v>395</v>
      </c>
      <c r="D146" s="45">
        <f>165.2805*0.6</f>
        <v>99.168299999999988</v>
      </c>
      <c r="E146" s="45">
        <f>165.2805*0.4</f>
        <v>66.112200000000001</v>
      </c>
      <c r="F146" s="45">
        <f>135.2295*0.2</f>
        <v>27.045900000000003</v>
      </c>
      <c r="G146" s="45">
        <f>135.2295*0.8</f>
        <v>108.18360000000001</v>
      </c>
      <c r="H146" s="45">
        <f t="shared" si="13"/>
        <v>300.51</v>
      </c>
      <c r="I146" s="46">
        <v>5122.49</v>
      </c>
      <c r="J146" s="46">
        <v>5327.39</v>
      </c>
      <c r="K146" s="46">
        <v>1795.73</v>
      </c>
      <c r="L146" s="46">
        <v>1867.56</v>
      </c>
      <c r="M146" s="47">
        <f t="shared" si="14"/>
        <v>329909.13370799995</v>
      </c>
      <c r="N146" s="47">
        <f t="shared" si="15"/>
        <v>219939.42247199998</v>
      </c>
      <c r="O146" s="47">
        <f t="shared" si="16"/>
        <v>93574.216197000016</v>
      </c>
      <c r="P146" s="47">
        <f t="shared" si="17"/>
        <v>374296.86478800006</v>
      </c>
      <c r="Q146" s="47">
        <f t="shared" si="18"/>
        <v>1017719.637165</v>
      </c>
      <c r="R146" s="48"/>
      <c r="S146" s="48"/>
      <c r="T146" s="48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</row>
    <row r="147" spans="1:184" s="24" customFormat="1" ht="30">
      <c r="A147" s="43">
        <v>7729314745</v>
      </c>
      <c r="B147" s="44" t="s">
        <v>391</v>
      </c>
      <c r="C147" s="44" t="s">
        <v>171</v>
      </c>
      <c r="D147" s="45">
        <f>778.25*0.6</f>
        <v>466.95</v>
      </c>
      <c r="E147" s="45">
        <f>778.25*0.4</f>
        <v>311.3</v>
      </c>
      <c r="F147" s="45">
        <f>636.75*0.2</f>
        <v>127.35000000000001</v>
      </c>
      <c r="G147" s="45">
        <f>636.75*0.8</f>
        <v>509.40000000000003</v>
      </c>
      <c r="H147" s="45">
        <f t="shared" si="13"/>
        <v>1415</v>
      </c>
      <c r="I147" s="46">
        <v>3865.48</v>
      </c>
      <c r="J147" s="46">
        <v>4020.09</v>
      </c>
      <c r="K147" s="46">
        <v>1659.93</v>
      </c>
      <c r="L147" s="46">
        <v>1726.33</v>
      </c>
      <c r="M147" s="47">
        <f t="shared" si="14"/>
        <v>1029881.5725</v>
      </c>
      <c r="N147" s="47">
        <f t="shared" si="15"/>
        <v>686587.71500000008</v>
      </c>
      <c r="O147" s="47">
        <f t="shared" si="16"/>
        <v>292110.33600000007</v>
      </c>
      <c r="P147" s="47">
        <f t="shared" si="17"/>
        <v>1168441.3440000003</v>
      </c>
      <c r="Q147" s="47">
        <f t="shared" si="18"/>
        <v>3177020.9675000003</v>
      </c>
      <c r="R147" s="48"/>
      <c r="S147" s="48"/>
      <c r="T147" s="48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</row>
    <row r="148" spans="1:184" s="24" customFormat="1">
      <c r="A148" s="43" t="s">
        <v>330</v>
      </c>
      <c r="B148" s="44" t="s">
        <v>331</v>
      </c>
      <c r="C148" s="44" t="s">
        <v>176</v>
      </c>
      <c r="D148" s="45">
        <v>761.20500000000004</v>
      </c>
      <c r="E148" s="45">
        <f>1156.17-D148</f>
        <v>394.96500000000003</v>
      </c>
      <c r="F148" s="45">
        <v>278.95</v>
      </c>
      <c r="G148" s="45">
        <v>537.28</v>
      </c>
      <c r="H148" s="45">
        <f t="shared" si="13"/>
        <v>1972.4</v>
      </c>
      <c r="I148" s="46">
        <v>4974.3529333333336</v>
      </c>
      <c r="J148" s="46">
        <v>5173.3270506666668</v>
      </c>
      <c r="K148" s="46">
        <v>1759.3387</v>
      </c>
      <c r="L148" s="46">
        <v>1829.712248</v>
      </c>
      <c r="M148" s="47">
        <f t="shared" si="14"/>
        <v>2447284.9094845001</v>
      </c>
      <c r="N148" s="47">
        <f t="shared" si="15"/>
        <v>1269818.0966685</v>
      </c>
      <c r="O148" s="47">
        <f t="shared" si="16"/>
        <v>932701.34920386667</v>
      </c>
      <c r="P148" s="47">
        <f t="shared" si="17"/>
        <v>1796457.3611767467</v>
      </c>
      <c r="Q148" s="47">
        <f t="shared" si="18"/>
        <v>6446261.7165336134</v>
      </c>
      <c r="R148" s="48"/>
      <c r="S148" s="48"/>
      <c r="T148" s="48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</row>
    <row r="149" spans="1:184" s="24" customFormat="1" ht="15.75">
      <c r="A149" s="112" t="s">
        <v>185</v>
      </c>
      <c r="B149" s="112"/>
      <c r="C149" s="112"/>
      <c r="D149" s="49"/>
      <c r="E149" s="49"/>
      <c r="F149" s="42"/>
      <c r="G149" s="42"/>
      <c r="H149" s="45">
        <f t="shared" si="13"/>
        <v>0</v>
      </c>
      <c r="I149" s="40"/>
      <c r="J149" s="40"/>
      <c r="K149" s="40"/>
      <c r="L149" s="40"/>
      <c r="M149" s="47">
        <f t="shared" si="14"/>
        <v>0</v>
      </c>
      <c r="N149" s="47">
        <f t="shared" si="15"/>
        <v>0</v>
      </c>
      <c r="O149" s="47">
        <f t="shared" si="16"/>
        <v>0</v>
      </c>
      <c r="P149" s="47">
        <f t="shared" si="17"/>
        <v>0</v>
      </c>
      <c r="Q149" s="47">
        <f t="shared" si="18"/>
        <v>0</v>
      </c>
      <c r="R149" s="88"/>
      <c r="S149" s="88"/>
      <c r="T149" s="88"/>
    </row>
    <row r="150" spans="1:184" s="24" customFormat="1">
      <c r="A150" s="43" t="s">
        <v>32</v>
      </c>
      <c r="B150" s="44" t="s">
        <v>186</v>
      </c>
      <c r="C150" s="44"/>
      <c r="D150" s="45">
        <v>119.37</v>
      </c>
      <c r="E150" s="45">
        <f>196.14-D150</f>
        <v>76.769999999999982</v>
      </c>
      <c r="F150" s="45">
        <v>39.79</v>
      </c>
      <c r="G150" s="45">
        <f>159.16-F150</f>
        <v>119.37</v>
      </c>
      <c r="H150" s="45">
        <f t="shared" si="13"/>
        <v>355.29999999999995</v>
      </c>
      <c r="I150" s="46">
        <v>5654.7608000000009</v>
      </c>
      <c r="J150" s="46">
        <v>5880.9512320000013</v>
      </c>
      <c r="K150" s="46">
        <v>1149.8025</v>
      </c>
      <c r="L150" s="46">
        <v>1195.7945999999999</v>
      </c>
      <c r="M150" s="47">
        <f t="shared" si="14"/>
        <v>537756.87227100017</v>
      </c>
      <c r="N150" s="47">
        <f t="shared" si="15"/>
        <v>345845.64869100001</v>
      </c>
      <c r="O150" s="47">
        <f t="shared" si="16"/>
        <v>186422.38238728003</v>
      </c>
      <c r="P150" s="47">
        <f t="shared" si="17"/>
        <v>559267.14716184011</v>
      </c>
      <c r="Q150" s="47">
        <f t="shared" si="18"/>
        <v>1629292.0505111204</v>
      </c>
      <c r="R150" s="48"/>
      <c r="S150" s="48"/>
      <c r="T150" s="48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</row>
    <row r="151" spans="1:184" s="24" customFormat="1">
      <c r="A151" s="43">
        <v>7729314745</v>
      </c>
      <c r="B151" s="44" t="s">
        <v>391</v>
      </c>
      <c r="C151" s="44"/>
      <c r="D151" s="45">
        <f>2610.465*0.6</f>
        <v>1566.279</v>
      </c>
      <c r="E151" s="45">
        <f>2610.465*0.4</f>
        <v>1044.1860000000001</v>
      </c>
      <c r="F151" s="45">
        <f>2135.835*0.2</f>
        <v>427.16700000000003</v>
      </c>
      <c r="G151" s="45">
        <f>2135.835*0.8</f>
        <v>1708.6680000000001</v>
      </c>
      <c r="H151" s="45">
        <f t="shared" si="13"/>
        <v>4746.3</v>
      </c>
      <c r="I151" s="46">
        <v>5714.53</v>
      </c>
      <c r="J151" s="46">
        <v>5943.11</v>
      </c>
      <c r="K151" s="46">
        <v>1218.57</v>
      </c>
      <c r="L151" s="46">
        <v>1267.31</v>
      </c>
      <c r="M151" s="47">
        <f t="shared" si="14"/>
        <v>7041927.7328399997</v>
      </c>
      <c r="N151" s="47">
        <f t="shared" si="15"/>
        <v>4694618.4885600004</v>
      </c>
      <c r="O151" s="47">
        <f t="shared" si="16"/>
        <v>1997347.4585999998</v>
      </c>
      <c r="P151" s="47">
        <f t="shared" si="17"/>
        <v>7989389.8343999991</v>
      </c>
      <c r="Q151" s="47">
        <f t="shared" si="18"/>
        <v>21723283.514399998</v>
      </c>
      <c r="R151" s="48"/>
      <c r="S151" s="48"/>
      <c r="T151" s="48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</row>
    <row r="152" spans="1:184" s="24" customFormat="1">
      <c r="A152" s="43" t="s">
        <v>297</v>
      </c>
      <c r="B152" s="44" t="s">
        <v>187</v>
      </c>
      <c r="C152" s="44" t="s">
        <v>48</v>
      </c>
      <c r="D152" s="45">
        <v>172.78800000000001</v>
      </c>
      <c r="E152" s="45">
        <f>287.98-D152</f>
        <v>115.19200000000001</v>
      </c>
      <c r="F152" s="45">
        <v>52.86</v>
      </c>
      <c r="G152" s="45">
        <f>230.888-F152</f>
        <v>178.02800000000002</v>
      </c>
      <c r="H152" s="45">
        <f t="shared" si="13"/>
        <v>518.86800000000005</v>
      </c>
      <c r="I152" s="46">
        <v>5473.9869600000002</v>
      </c>
      <c r="J152" s="46">
        <v>5692.9464384000003</v>
      </c>
      <c r="K152" s="46">
        <v>948.57446666666658</v>
      </c>
      <c r="L152" s="46">
        <v>986.51744533333328</v>
      </c>
      <c r="M152" s="47">
        <f t="shared" si="14"/>
        <v>781936.97389808006</v>
      </c>
      <c r="N152" s="47">
        <f t="shared" si="15"/>
        <v>521291.31593205337</v>
      </c>
      <c r="O152" s="47">
        <f t="shared" si="16"/>
        <v>248781.83657350403</v>
      </c>
      <c r="P152" s="47">
        <f t="shared" si="17"/>
        <v>837876.14077767276</v>
      </c>
      <c r="Q152" s="47">
        <f t="shared" si="18"/>
        <v>2389886.2671813099</v>
      </c>
      <c r="R152" s="48"/>
      <c r="S152" s="48"/>
      <c r="T152" s="48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</row>
    <row r="153" spans="1:184" s="24" customFormat="1">
      <c r="A153" s="43" t="s">
        <v>297</v>
      </c>
      <c r="B153" s="44" t="s">
        <v>187</v>
      </c>
      <c r="C153" s="44" t="s">
        <v>188</v>
      </c>
      <c r="D153" s="45">
        <v>183.53399999999999</v>
      </c>
      <c r="E153" s="45">
        <f>305.89-D153</f>
        <v>122.35599999999999</v>
      </c>
      <c r="F153" s="45">
        <v>68.257000000000005</v>
      </c>
      <c r="G153" s="45">
        <f>273.019-F153</f>
        <v>204.762</v>
      </c>
      <c r="H153" s="45">
        <f t="shared" si="13"/>
        <v>578.90899999999999</v>
      </c>
      <c r="I153" s="46">
        <v>4204.7962666666672</v>
      </c>
      <c r="J153" s="46">
        <v>4372.9881173333342</v>
      </c>
      <c r="K153" s="46">
        <v>948.57446666666658</v>
      </c>
      <c r="L153" s="46">
        <v>986.51744533333328</v>
      </c>
      <c r="M153" s="47">
        <f t="shared" si="14"/>
        <v>597627.41184120008</v>
      </c>
      <c r="N153" s="47">
        <f t="shared" si="15"/>
        <v>398418.27456080006</v>
      </c>
      <c r="O153" s="47">
        <f t="shared" si="16"/>
        <v>231150.32865870406</v>
      </c>
      <c r="P153" s="47">
        <f t="shared" si="17"/>
        <v>693420.50774006417</v>
      </c>
      <c r="Q153" s="47">
        <f t="shared" si="18"/>
        <v>1920616.5228007683</v>
      </c>
      <c r="R153" s="48"/>
      <c r="S153" s="48"/>
      <c r="T153" s="48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</row>
    <row r="154" spans="1:184" s="24" customFormat="1" ht="15.75">
      <c r="A154" s="112" t="s">
        <v>189</v>
      </c>
      <c r="B154" s="112"/>
      <c r="C154" s="112"/>
      <c r="D154" s="49"/>
      <c r="E154" s="49"/>
      <c r="F154" s="42"/>
      <c r="G154" s="42"/>
      <c r="H154" s="45">
        <f t="shared" si="13"/>
        <v>0</v>
      </c>
      <c r="I154" s="40"/>
      <c r="J154" s="40"/>
      <c r="K154" s="40"/>
      <c r="L154" s="40"/>
      <c r="M154" s="47">
        <f t="shared" si="14"/>
        <v>0</v>
      </c>
      <c r="N154" s="47">
        <f t="shared" si="15"/>
        <v>0</v>
      </c>
      <c r="O154" s="47">
        <f t="shared" si="16"/>
        <v>0</v>
      </c>
      <c r="P154" s="47">
        <f t="shared" si="17"/>
        <v>0</v>
      </c>
      <c r="Q154" s="47">
        <f t="shared" si="18"/>
        <v>0</v>
      </c>
      <c r="R154" s="88"/>
      <c r="S154" s="88"/>
      <c r="T154" s="88"/>
    </row>
    <row r="155" spans="1:184" s="24" customFormat="1">
      <c r="A155" s="43" t="s">
        <v>296</v>
      </c>
      <c r="B155" s="44" t="s">
        <v>190</v>
      </c>
      <c r="C155" s="44" t="s">
        <v>191</v>
      </c>
      <c r="D155" s="64">
        <v>17331.576000000001</v>
      </c>
      <c r="E155" s="45">
        <f>25413.258-D155</f>
        <v>8081.6820000000007</v>
      </c>
      <c r="F155" s="45">
        <v>2948.4450000000002</v>
      </c>
      <c r="G155" s="45">
        <f>17725.429-F155</f>
        <v>14776.984</v>
      </c>
      <c r="H155" s="45">
        <f t="shared" si="13"/>
        <v>43138.687000000005</v>
      </c>
      <c r="I155" s="46">
        <v>4079.1133850000001</v>
      </c>
      <c r="J155" s="46">
        <v>4242.2779203999999</v>
      </c>
      <c r="K155" s="46">
        <v>1485.0495773013333</v>
      </c>
      <c r="L155" s="46">
        <v>1544.4515603933867</v>
      </c>
      <c r="M155" s="47">
        <f t="shared" si="14"/>
        <v>44959214.031978838</v>
      </c>
      <c r="N155" s="47">
        <f t="shared" si="15"/>
        <v>20964398.78152978</v>
      </c>
      <c r="O155" s="47">
        <f t="shared" si="16"/>
        <v>7954392.642029698</v>
      </c>
      <c r="P155" s="47">
        <f t="shared" si="17"/>
        <v>39865736.956595957</v>
      </c>
      <c r="Q155" s="47">
        <f t="shared" si="18"/>
        <v>113743742.41213427</v>
      </c>
      <c r="R155" s="48"/>
      <c r="S155" s="48"/>
      <c r="T155" s="48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</row>
    <row r="156" spans="1:184" s="24" customFormat="1">
      <c r="A156" s="43" t="s">
        <v>296</v>
      </c>
      <c r="B156" s="44" t="s">
        <v>190</v>
      </c>
      <c r="C156" s="44" t="s">
        <v>201</v>
      </c>
      <c r="D156" s="45">
        <v>6.282</v>
      </c>
      <c r="E156" s="45">
        <f>9.322-D156</f>
        <v>3.0399999999999991</v>
      </c>
      <c r="F156" s="45">
        <v>1.3049999999999999</v>
      </c>
      <c r="G156" s="45">
        <v>7.8330000000000002</v>
      </c>
      <c r="H156" s="45">
        <f t="shared" si="13"/>
        <v>18.46</v>
      </c>
      <c r="I156" s="46">
        <v>4508.3599199999999</v>
      </c>
      <c r="J156" s="46">
        <v>4688.6943167999998</v>
      </c>
      <c r="K156" s="46">
        <v>1152.1047999999998</v>
      </c>
      <c r="L156" s="46">
        <v>1198.1889919999999</v>
      </c>
      <c r="M156" s="47">
        <f t="shared" si="14"/>
        <v>21083.99466384</v>
      </c>
      <c r="N156" s="47">
        <f t="shared" si="15"/>
        <v>10203.015564799996</v>
      </c>
      <c r="O156" s="47">
        <f t="shared" si="16"/>
        <v>4555.1094488640001</v>
      </c>
      <c r="P156" s="47">
        <f t="shared" si="17"/>
        <v>27341.1282091584</v>
      </c>
      <c r="Q156" s="47">
        <f t="shared" si="18"/>
        <v>63183.247886662393</v>
      </c>
      <c r="R156" s="48"/>
      <c r="S156" s="48"/>
      <c r="T156" s="48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</row>
    <row r="157" spans="1:184" s="24" customFormat="1">
      <c r="A157" s="43" t="s">
        <v>293</v>
      </c>
      <c r="B157" s="44" t="s">
        <v>206</v>
      </c>
      <c r="C157" s="44" t="s">
        <v>207</v>
      </c>
      <c r="D157" s="45">
        <v>2338.0419999999999</v>
      </c>
      <c r="E157" s="45">
        <f>3485.316-D157</f>
        <v>1147.2739999999999</v>
      </c>
      <c r="F157" s="45">
        <v>420.97300000000001</v>
      </c>
      <c r="G157" s="45">
        <f>2787.828-F157</f>
        <v>2366.855</v>
      </c>
      <c r="H157" s="45">
        <f t="shared" si="13"/>
        <v>6273.1440000000002</v>
      </c>
      <c r="I157" s="46">
        <v>3414.7152700000001</v>
      </c>
      <c r="J157" s="46">
        <v>3551.3038808000001</v>
      </c>
      <c r="K157" s="46">
        <v>1462.6115977200002</v>
      </c>
      <c r="L157" s="46">
        <v>1521.1160616288003</v>
      </c>
      <c r="M157" s="47">
        <f t="shared" si="14"/>
        <v>4564100.3741448754</v>
      </c>
      <c r="N157" s="47">
        <f t="shared" si="15"/>
        <v>2239597.7885113643</v>
      </c>
      <c r="O157" s="47">
        <f t="shared" si="16"/>
        <v>854654.2567999576</v>
      </c>
      <c r="P157" s="47">
        <f t="shared" si="17"/>
        <v>4805160.1907444503</v>
      </c>
      <c r="Q157" s="47">
        <f t="shared" si="18"/>
        <v>12463512.610200647</v>
      </c>
      <c r="R157" s="48"/>
      <c r="S157" s="48"/>
      <c r="T157" s="48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</row>
    <row r="158" spans="1:184" s="24" customFormat="1">
      <c r="A158" s="43" t="s">
        <v>4</v>
      </c>
      <c r="B158" s="44" t="s">
        <v>200</v>
      </c>
      <c r="C158" s="44" t="s">
        <v>202</v>
      </c>
      <c r="D158" s="45">
        <v>7.6079999999999997</v>
      </c>
      <c r="E158" s="45">
        <f>11.289-D158</f>
        <v>3.681</v>
      </c>
      <c r="F158" s="45">
        <v>1.353</v>
      </c>
      <c r="G158" s="45">
        <f>8.961-F158</f>
        <v>7.6080000000000005</v>
      </c>
      <c r="H158" s="45">
        <f t="shared" si="13"/>
        <v>20.25</v>
      </c>
      <c r="I158" s="46">
        <v>3272.828</v>
      </c>
      <c r="J158" s="46">
        <v>3403.7411200000001</v>
      </c>
      <c r="K158" s="46">
        <v>1382.5071624000002</v>
      </c>
      <c r="L158" s="46">
        <v>1437.8074488960003</v>
      </c>
      <c r="M158" s="47">
        <f t="shared" si="14"/>
        <v>14381.560932460798</v>
      </c>
      <c r="N158" s="47">
        <f t="shared" si="15"/>
        <v>6958.2710032055993</v>
      </c>
      <c r="O158" s="47">
        <f t="shared" si="16"/>
        <v>2659.9082570037117</v>
      </c>
      <c r="P158" s="47">
        <f t="shared" si="17"/>
        <v>14956.823369759231</v>
      </c>
      <c r="Q158" s="47">
        <f t="shared" si="18"/>
        <v>38956.563562429335</v>
      </c>
      <c r="R158" s="48"/>
      <c r="S158" s="48"/>
      <c r="T158" s="48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</row>
    <row r="159" spans="1:184" s="24" customFormat="1">
      <c r="A159" s="43" t="s">
        <v>4</v>
      </c>
      <c r="B159" s="44" t="s">
        <v>200</v>
      </c>
      <c r="C159" s="44" t="s">
        <v>203</v>
      </c>
      <c r="D159" s="45">
        <v>17.234999999999999</v>
      </c>
      <c r="E159" s="45">
        <f>25.574-D159</f>
        <v>8.3390000000000022</v>
      </c>
      <c r="F159" s="45">
        <v>3.0640000000000001</v>
      </c>
      <c r="G159" s="45">
        <f>20.299-F159</f>
        <v>17.234999999999999</v>
      </c>
      <c r="H159" s="45">
        <f t="shared" si="13"/>
        <v>45.873000000000005</v>
      </c>
      <c r="I159" s="46">
        <v>3564.86</v>
      </c>
      <c r="J159" s="46">
        <v>3707.4544000000001</v>
      </c>
      <c r="K159" s="46">
        <v>1807.6411080000003</v>
      </c>
      <c r="L159" s="46">
        <v>1879.9467523200003</v>
      </c>
      <c r="M159" s="47">
        <f t="shared" si="14"/>
        <v>30285.667603619997</v>
      </c>
      <c r="N159" s="47">
        <f t="shared" si="15"/>
        <v>14653.448340388002</v>
      </c>
      <c r="O159" s="47">
        <f t="shared" si="16"/>
        <v>5599.4834324915191</v>
      </c>
      <c r="P159" s="47">
        <f t="shared" si="17"/>
        <v>31497.094307764793</v>
      </c>
      <c r="Q159" s="47">
        <f t="shared" si="18"/>
        <v>82035.693684264319</v>
      </c>
      <c r="R159" s="48"/>
      <c r="S159" s="48"/>
      <c r="T159" s="48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</row>
    <row r="160" spans="1:184" s="24" customFormat="1">
      <c r="A160" s="43" t="s">
        <v>294</v>
      </c>
      <c r="B160" s="44" t="s">
        <v>196</v>
      </c>
      <c r="C160" s="44" t="s">
        <v>197</v>
      </c>
      <c r="D160" s="45">
        <v>2007.289</v>
      </c>
      <c r="E160" s="45">
        <f>2709.487-D160</f>
        <v>702.19800000000009</v>
      </c>
      <c r="F160" s="45">
        <v>504.88</v>
      </c>
      <c r="G160" s="45">
        <f>2277.348-F160</f>
        <v>1772.4679999999998</v>
      </c>
      <c r="H160" s="45">
        <f t="shared" si="13"/>
        <v>4986.835</v>
      </c>
      <c r="I160" s="46">
        <v>3538.0384000000004</v>
      </c>
      <c r="J160" s="46">
        <v>3679.5599360000006</v>
      </c>
      <c r="K160" s="46">
        <v>1409.917236</v>
      </c>
      <c r="L160" s="46">
        <v>1466.31392544</v>
      </c>
      <c r="M160" s="47">
        <f t="shared" si="14"/>
        <v>4271754.2031643959</v>
      </c>
      <c r="N160" s="47">
        <f t="shared" si="15"/>
        <v>1494362.4251184722</v>
      </c>
      <c r="O160" s="47">
        <f t="shared" si="16"/>
        <v>1117423.6458115329</v>
      </c>
      <c r="P160" s="47">
        <f t="shared" si="17"/>
        <v>3922907.7298452621</v>
      </c>
      <c r="Q160" s="47">
        <f t="shared" si="18"/>
        <v>10806448.003939662</v>
      </c>
      <c r="R160" s="48"/>
      <c r="S160" s="48"/>
      <c r="T160" s="48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</row>
    <row r="161" spans="1:184" s="24" customFormat="1">
      <c r="A161" s="43" t="s">
        <v>11</v>
      </c>
      <c r="B161" s="44" t="s">
        <v>192</v>
      </c>
      <c r="C161" s="44" t="s">
        <v>193</v>
      </c>
      <c r="D161" s="45">
        <v>282.57900000000001</v>
      </c>
      <c r="E161" s="45">
        <f>397.766-D161</f>
        <v>115.18700000000001</v>
      </c>
      <c r="F161" s="45">
        <v>31.08</v>
      </c>
      <c r="G161" s="45">
        <f>247.359-F161</f>
        <v>216.279</v>
      </c>
      <c r="H161" s="45">
        <f t="shared" si="13"/>
        <v>645.125</v>
      </c>
      <c r="I161" s="46">
        <v>2899.7535000000003</v>
      </c>
      <c r="J161" s="46">
        <v>3015.7436400000006</v>
      </c>
      <c r="K161" s="46">
        <v>1686.1110000000001</v>
      </c>
      <c r="L161" s="46">
        <v>1753.5554400000001</v>
      </c>
      <c r="M161" s="47">
        <f t="shared" si="14"/>
        <v>342949.88400750008</v>
      </c>
      <c r="N161" s="47">
        <f t="shared" si="15"/>
        <v>139795.83864750003</v>
      </c>
      <c r="O161" s="47">
        <f t="shared" si="16"/>
        <v>39228.809256000015</v>
      </c>
      <c r="P161" s="47">
        <f t="shared" si="17"/>
        <v>272984.80170780013</v>
      </c>
      <c r="Q161" s="47">
        <f t="shared" si="18"/>
        <v>794959.33361880027</v>
      </c>
      <c r="R161" s="48"/>
      <c r="S161" s="48"/>
      <c r="T161" s="48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</row>
    <row r="162" spans="1:184" s="24" customFormat="1">
      <c r="A162" s="43" t="s">
        <v>33</v>
      </c>
      <c r="B162" s="44" t="s">
        <v>198</v>
      </c>
      <c r="C162" s="44" t="s">
        <v>199</v>
      </c>
      <c r="D162" s="45">
        <v>61.494</v>
      </c>
      <c r="E162" s="45">
        <f>91.511-D162</f>
        <v>30.016999999999996</v>
      </c>
      <c r="F162" s="45">
        <v>11.823</v>
      </c>
      <c r="G162" s="45">
        <f>73.317-F162</f>
        <v>61.493999999999993</v>
      </c>
      <c r="H162" s="45">
        <f t="shared" si="13"/>
        <v>164.828</v>
      </c>
      <c r="I162" s="46">
        <v>5931.38</v>
      </c>
      <c r="J162" s="46">
        <v>6168.6352000000006</v>
      </c>
      <c r="K162" s="46">
        <v>1917.3161280000004</v>
      </c>
      <c r="L162" s="46">
        <v>1994.0087731200006</v>
      </c>
      <c r="M162" s="47">
        <f t="shared" si="14"/>
        <v>246840.84374476798</v>
      </c>
      <c r="N162" s="47">
        <f t="shared" si="15"/>
        <v>120490.15524582397</v>
      </c>
      <c r="O162" s="47">
        <f t="shared" si="16"/>
        <v>49356.608245002244</v>
      </c>
      <c r="P162" s="47">
        <f t="shared" si="17"/>
        <v>256714.47749455873</v>
      </c>
      <c r="Q162" s="47">
        <f t="shared" si="18"/>
        <v>673402.08473015297</v>
      </c>
      <c r="R162" s="48"/>
      <c r="S162" s="48"/>
      <c r="T162" s="48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</row>
    <row r="163" spans="1:184" s="24" customFormat="1">
      <c r="A163" s="43" t="s">
        <v>36</v>
      </c>
      <c r="B163" s="44" t="s">
        <v>204</v>
      </c>
      <c r="C163" s="44" t="s">
        <v>205</v>
      </c>
      <c r="D163" s="45">
        <v>16.134</v>
      </c>
      <c r="E163" s="45">
        <f>23.941-D163</f>
        <v>7.8069999999999986</v>
      </c>
      <c r="F163" s="45">
        <v>2.8010000000000002</v>
      </c>
      <c r="G163" s="45">
        <f>18.935-F163</f>
        <v>16.134</v>
      </c>
      <c r="H163" s="45">
        <f t="shared" si="13"/>
        <v>42.875999999999998</v>
      </c>
      <c r="I163" s="46">
        <v>4196.7328000000007</v>
      </c>
      <c r="J163" s="46">
        <v>4364.6021120000005</v>
      </c>
      <c r="K163" s="46">
        <v>1414.1190336000004</v>
      </c>
      <c r="L163" s="46">
        <v>1470.6837949440005</v>
      </c>
      <c r="M163" s="47">
        <f t="shared" si="14"/>
        <v>44894.690507097606</v>
      </c>
      <c r="N163" s="47">
        <f t="shared" si="15"/>
        <v>21723.8656742848</v>
      </c>
      <c r="O163" s="47">
        <f t="shared" si="16"/>
        <v>8105.8652060738568</v>
      </c>
      <c r="P163" s="47">
        <f t="shared" si="17"/>
        <v>46690.478127381502</v>
      </c>
      <c r="Q163" s="47">
        <f t="shared" si="18"/>
        <v>121414.89951483776</v>
      </c>
      <c r="R163" s="48"/>
      <c r="S163" s="48"/>
      <c r="T163" s="48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</row>
    <row r="164" spans="1:184" s="24" customFormat="1" ht="30">
      <c r="A164" s="43" t="s">
        <v>295</v>
      </c>
      <c r="B164" s="44" t="s">
        <v>194</v>
      </c>
      <c r="C164" s="44" t="s">
        <v>195</v>
      </c>
      <c r="D164" s="45">
        <v>588.83600000000001</v>
      </c>
      <c r="E164" s="45">
        <f>861.203-D164</f>
        <v>272.36699999999996</v>
      </c>
      <c r="F164" s="45">
        <v>103.67</v>
      </c>
      <c r="G164" s="45">
        <f>718.12-F164</f>
        <v>614.45000000000005</v>
      </c>
      <c r="H164" s="45">
        <f t="shared" si="13"/>
        <v>1579.3229999999999</v>
      </c>
      <c r="I164" s="46">
        <v>2491.1328000000003</v>
      </c>
      <c r="J164" s="46">
        <v>2590.7781120000004</v>
      </c>
      <c r="K164" s="46">
        <v>1594.2945900000004</v>
      </c>
      <c r="L164" s="46">
        <v>1658.0663736000006</v>
      </c>
      <c r="M164" s="47">
        <f t="shared" si="14"/>
        <v>528090.62422355998</v>
      </c>
      <c r="N164" s="47">
        <f t="shared" si="15"/>
        <v>244269.13274306993</v>
      </c>
      <c r="O164" s="47">
        <f t="shared" si="16"/>
        <v>96694.22591992798</v>
      </c>
      <c r="P164" s="47">
        <f t="shared" si="17"/>
        <v>573104.72765987995</v>
      </c>
      <c r="Q164" s="47">
        <f t="shared" si="18"/>
        <v>1442158.7105464377</v>
      </c>
      <c r="R164" s="48"/>
      <c r="S164" s="48"/>
      <c r="T164" s="48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</row>
    <row r="165" spans="1:184" s="24" customFormat="1">
      <c r="A165" s="43" t="s">
        <v>292</v>
      </c>
      <c r="B165" s="44" t="s">
        <v>208</v>
      </c>
      <c r="C165" s="44" t="s">
        <v>209</v>
      </c>
      <c r="D165" s="45">
        <v>52.5</v>
      </c>
      <c r="E165" s="45">
        <f>72.75-D165</f>
        <v>20.25</v>
      </c>
      <c r="F165" s="45">
        <v>1.7030000000000001</v>
      </c>
      <c r="G165" s="45">
        <f>37.442-F165</f>
        <v>35.738999999999997</v>
      </c>
      <c r="H165" s="45">
        <f t="shared" si="13"/>
        <v>110.19200000000001</v>
      </c>
      <c r="I165" s="46">
        <v>4147.6032000000005</v>
      </c>
      <c r="J165" s="46">
        <v>4313.5073280000006</v>
      </c>
      <c r="K165" s="46">
        <v>1904.6475</v>
      </c>
      <c r="L165" s="46">
        <v>1980.8334000000002</v>
      </c>
      <c r="M165" s="47">
        <f t="shared" si="14"/>
        <v>117755.17425000003</v>
      </c>
      <c r="N165" s="47">
        <f t="shared" si="15"/>
        <v>45419.852925000007</v>
      </c>
      <c r="O165" s="47">
        <f t="shared" si="16"/>
        <v>3972.5436993840003</v>
      </c>
      <c r="P165" s="47">
        <f t="shared" si="17"/>
        <v>83367.433512792006</v>
      </c>
      <c r="Q165" s="47">
        <f t="shared" si="18"/>
        <v>250515.00438717601</v>
      </c>
      <c r="R165" s="48"/>
      <c r="S165" s="48"/>
      <c r="T165" s="48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</row>
    <row r="166" spans="1:184" s="24" customFormat="1">
      <c r="A166" s="43" t="s">
        <v>291</v>
      </c>
      <c r="B166" s="44" t="s">
        <v>210</v>
      </c>
      <c r="C166" s="44" t="s">
        <v>211</v>
      </c>
      <c r="D166" s="45">
        <v>7.7489999999999997</v>
      </c>
      <c r="E166" s="45">
        <f>10.331-D166</f>
        <v>2.5819999999999999</v>
      </c>
      <c r="F166" s="45">
        <v>0</v>
      </c>
      <c r="G166" s="45">
        <f>8.999-F166</f>
        <v>8.9990000000000006</v>
      </c>
      <c r="H166" s="45">
        <f t="shared" si="13"/>
        <v>19.329999999999998</v>
      </c>
      <c r="I166" s="46">
        <v>3790.95219</v>
      </c>
      <c r="J166" s="46">
        <v>3942.5902776000003</v>
      </c>
      <c r="K166" s="46">
        <v>1904.46543</v>
      </c>
      <c r="L166" s="46">
        <v>1980.6440471999999</v>
      </c>
      <c r="M166" s="47">
        <f t="shared" si="14"/>
        <v>14618.38590324</v>
      </c>
      <c r="N166" s="47">
        <f t="shared" si="15"/>
        <v>4870.9088143199997</v>
      </c>
      <c r="O166" s="47">
        <f t="shared" si="16"/>
        <v>0</v>
      </c>
      <c r="P166" s="47">
        <f t="shared" si="17"/>
        <v>17655.554127369604</v>
      </c>
      <c r="Q166" s="47">
        <f t="shared" si="18"/>
        <v>37144.848844929598</v>
      </c>
      <c r="R166" s="48"/>
      <c r="S166" s="48"/>
      <c r="T166" s="48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</row>
    <row r="167" spans="1:184" s="24" customFormat="1">
      <c r="A167" s="43" t="s">
        <v>290</v>
      </c>
      <c r="B167" s="44" t="s">
        <v>332</v>
      </c>
      <c r="C167" s="44" t="s">
        <v>333</v>
      </c>
      <c r="D167" s="45">
        <v>58.247999999999998</v>
      </c>
      <c r="E167" s="45">
        <f>87.059-D167</f>
        <v>28.811</v>
      </c>
      <c r="F167" s="45">
        <v>7.8739999999999997</v>
      </c>
      <c r="G167" s="45">
        <f>66.122-F167</f>
        <v>58.247999999999998</v>
      </c>
      <c r="H167" s="45">
        <f t="shared" si="13"/>
        <v>153.18099999999998</v>
      </c>
      <c r="I167" s="46">
        <v>4146.7919999999995</v>
      </c>
      <c r="J167" s="46">
        <v>4312.6636799999997</v>
      </c>
      <c r="K167" s="46">
        <v>1687.7220360000001</v>
      </c>
      <c r="L167" s="46">
        <v>1755.2309174400002</v>
      </c>
      <c r="M167" s="47">
        <f t="shared" si="14"/>
        <v>143235.90726307195</v>
      </c>
      <c r="N167" s="47">
        <f t="shared" si="15"/>
        <v>70848.264732803975</v>
      </c>
      <c r="O167" s="47">
        <f t="shared" si="16"/>
        <v>20137.225572397434</v>
      </c>
      <c r="P167" s="47">
        <f t="shared" si="17"/>
        <v>148965.34355359484</v>
      </c>
      <c r="Q167" s="47">
        <f t="shared" si="18"/>
        <v>383186.7411218682</v>
      </c>
      <c r="R167" s="48"/>
      <c r="S167" s="48"/>
      <c r="T167" s="48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</row>
    <row r="168" spans="1:184" s="24" customFormat="1" ht="15.75">
      <c r="A168" s="112" t="s">
        <v>212</v>
      </c>
      <c r="B168" s="112"/>
      <c r="C168" s="112"/>
      <c r="D168" s="49"/>
      <c r="E168" s="49"/>
      <c r="F168" s="42"/>
      <c r="G168" s="42"/>
      <c r="H168" s="45">
        <f t="shared" si="13"/>
        <v>0</v>
      </c>
      <c r="I168" s="40"/>
      <c r="J168" s="40"/>
      <c r="K168" s="40"/>
      <c r="L168" s="40"/>
      <c r="M168" s="47">
        <f t="shared" si="14"/>
        <v>0</v>
      </c>
      <c r="N168" s="47">
        <f t="shared" si="15"/>
        <v>0</v>
      </c>
      <c r="O168" s="47">
        <f t="shared" si="16"/>
        <v>0</v>
      </c>
      <c r="P168" s="47">
        <f t="shared" si="17"/>
        <v>0</v>
      </c>
      <c r="Q168" s="47">
        <f t="shared" si="18"/>
        <v>0</v>
      </c>
      <c r="R168" s="88"/>
      <c r="S168" s="88"/>
      <c r="T168" s="88"/>
    </row>
    <row r="169" spans="1:184" s="24" customFormat="1" ht="45">
      <c r="A169" s="43" t="s">
        <v>284</v>
      </c>
      <c r="B169" s="44" t="s">
        <v>227</v>
      </c>
      <c r="C169" s="44" t="s">
        <v>358</v>
      </c>
      <c r="D169" s="45">
        <v>1057.806</v>
      </c>
      <c r="E169" s="45">
        <f>1608.053-D169</f>
        <v>550.24700000000007</v>
      </c>
      <c r="F169" s="45">
        <v>227.54599999999999</v>
      </c>
      <c r="G169" s="45">
        <f>1192.102-F169</f>
        <v>964.55600000000004</v>
      </c>
      <c r="H169" s="45">
        <f t="shared" si="13"/>
        <v>2800.1550000000002</v>
      </c>
      <c r="I169" s="46">
        <v>4083.3416000000002</v>
      </c>
      <c r="J169" s="46">
        <v>4246.6752640000004</v>
      </c>
      <c r="K169" s="46">
        <v>1453.736232</v>
      </c>
      <c r="L169" s="46">
        <v>1511.88568128</v>
      </c>
      <c r="M169" s="47">
        <f t="shared" si="14"/>
        <v>2781612.3359026085</v>
      </c>
      <c r="N169" s="47">
        <f t="shared" si="15"/>
        <v>1446932.4649258964</v>
      </c>
      <c r="O169" s="47">
        <f t="shared" si="16"/>
        <v>622290.43038960523</v>
      </c>
      <c r="P169" s="47">
        <f t="shared" si="17"/>
        <v>2637857.700750073</v>
      </c>
      <c r="Q169" s="47">
        <f t="shared" si="18"/>
        <v>7488692.9319681842</v>
      </c>
      <c r="R169" s="48"/>
      <c r="S169" s="48"/>
      <c r="T169" s="48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</row>
    <row r="170" spans="1:184" s="24" customFormat="1" ht="30">
      <c r="A170" s="43" t="s">
        <v>284</v>
      </c>
      <c r="B170" s="44" t="s">
        <v>227</v>
      </c>
      <c r="C170" s="44" t="s">
        <v>328</v>
      </c>
      <c r="D170" s="45">
        <v>824.72199999999998</v>
      </c>
      <c r="E170" s="45">
        <f>1308.708-D170</f>
        <v>483.9860000000001</v>
      </c>
      <c r="F170" s="45">
        <v>282.78800000000001</v>
      </c>
      <c r="G170" s="45">
        <v>848.36400000000003</v>
      </c>
      <c r="H170" s="45">
        <f t="shared" si="13"/>
        <v>2439.86</v>
      </c>
      <c r="I170" s="46">
        <v>3712.1448</v>
      </c>
      <c r="J170" s="46">
        <v>3860.630592</v>
      </c>
      <c r="K170" s="46">
        <v>1456.6448000000003</v>
      </c>
      <c r="L170" s="46">
        <v>1514.9105920000004</v>
      </c>
      <c r="M170" s="47">
        <f t="shared" si="14"/>
        <v>1860160.4709999999</v>
      </c>
      <c r="N170" s="47">
        <f t="shared" si="15"/>
        <v>1091630.4230000002</v>
      </c>
      <c r="O170" s="47">
        <f t="shared" si="16"/>
        <v>663341.46735999989</v>
      </c>
      <c r="P170" s="47">
        <f t="shared" si="17"/>
        <v>1990024.4020799994</v>
      </c>
      <c r="Q170" s="47">
        <f t="shared" si="18"/>
        <v>5605156.7634399999</v>
      </c>
      <c r="R170" s="48"/>
      <c r="S170" s="48"/>
      <c r="T170" s="48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</row>
    <row r="171" spans="1:184" s="24" customFormat="1">
      <c r="A171" s="43" t="s">
        <v>31</v>
      </c>
      <c r="B171" s="44" t="s">
        <v>226</v>
      </c>
      <c r="C171" s="44" t="s">
        <v>218</v>
      </c>
      <c r="D171" s="45">
        <v>3247.299</v>
      </c>
      <c r="E171" s="45">
        <f>4909.36-D171</f>
        <v>1662.0609999999997</v>
      </c>
      <c r="F171" s="45">
        <v>906.15099999999995</v>
      </c>
      <c r="G171" s="45">
        <f>3824.83-F171</f>
        <v>2918.6790000000001</v>
      </c>
      <c r="H171" s="45">
        <f t="shared" si="13"/>
        <v>8734.1899999999987</v>
      </c>
      <c r="I171" s="46">
        <v>3492.9336000000003</v>
      </c>
      <c r="J171" s="46">
        <v>3632.6509440000004</v>
      </c>
      <c r="K171" s="46">
        <v>1456.6426368000002</v>
      </c>
      <c r="L171" s="46">
        <v>1514.9083422720003</v>
      </c>
      <c r="M171" s="47">
        <f t="shared" si="14"/>
        <v>6612445.6085083969</v>
      </c>
      <c r="N171" s="47">
        <f t="shared" si="15"/>
        <v>3384439.7945871549</v>
      </c>
      <c r="O171" s="47">
        <f t="shared" si="16"/>
        <v>1918994.5762984292</v>
      </c>
      <c r="P171" s="47">
        <f t="shared" si="17"/>
        <v>6181010.8590688789</v>
      </c>
      <c r="Q171" s="47">
        <f t="shared" si="18"/>
        <v>18096890.838462859</v>
      </c>
      <c r="R171" s="48"/>
      <c r="S171" s="48"/>
      <c r="T171" s="48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</row>
    <row r="172" spans="1:184" s="24" customFormat="1">
      <c r="A172" s="43" t="s">
        <v>288</v>
      </c>
      <c r="B172" s="44" t="s">
        <v>215</v>
      </c>
      <c r="C172" s="44" t="s">
        <v>216</v>
      </c>
      <c r="D172" s="45">
        <v>3756.0909999999999</v>
      </c>
      <c r="E172" s="45">
        <f>5455.784-D172</f>
        <v>1699.6929999999998</v>
      </c>
      <c r="F172" s="45">
        <v>702.65700000000004</v>
      </c>
      <c r="G172" s="45">
        <f>3762.125-F172</f>
        <v>3059.4679999999998</v>
      </c>
      <c r="H172" s="45">
        <f t="shared" si="13"/>
        <v>9217.9089999999997</v>
      </c>
      <c r="I172" s="46">
        <v>5179.4288000000006</v>
      </c>
      <c r="J172" s="46">
        <v>5386.6059520000008</v>
      </c>
      <c r="K172" s="46">
        <v>1438.1115840000002</v>
      </c>
      <c r="L172" s="46">
        <v>1495.6360473600002</v>
      </c>
      <c r="M172" s="47">
        <f t="shared" si="14"/>
        <v>14052727.923162658</v>
      </c>
      <c r="N172" s="47">
        <f t="shared" si="15"/>
        <v>6359090.6828146875</v>
      </c>
      <c r="O172" s="47">
        <f t="shared" si="16"/>
        <v>2734017.2402846292</v>
      </c>
      <c r="P172" s="47">
        <f t="shared" si="17"/>
        <v>11904297.912209133</v>
      </c>
      <c r="Q172" s="47">
        <f t="shared" si="18"/>
        <v>35050133.758471109</v>
      </c>
      <c r="R172" s="48"/>
      <c r="S172" s="48"/>
      <c r="T172" s="48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</row>
    <row r="173" spans="1:184" s="24" customFormat="1" ht="30">
      <c r="A173" s="43" t="s">
        <v>8</v>
      </c>
      <c r="B173" s="44" t="s">
        <v>219</v>
      </c>
      <c r="C173" s="44" t="s">
        <v>343</v>
      </c>
      <c r="D173" s="45">
        <v>190.41</v>
      </c>
      <c r="E173" s="45">
        <f>317.35-D173</f>
        <v>126.94000000000003</v>
      </c>
      <c r="F173" s="45">
        <v>48.384999999999998</v>
      </c>
      <c r="G173" s="45">
        <f>242.055-F173</f>
        <v>193.67000000000002</v>
      </c>
      <c r="H173" s="45">
        <f t="shared" si="13"/>
        <v>559.40499999999997</v>
      </c>
      <c r="I173" s="46">
        <v>3505.9960000000001</v>
      </c>
      <c r="J173" s="46">
        <v>3646.2358400000003</v>
      </c>
      <c r="K173" s="46">
        <v>1456.1039376000001</v>
      </c>
      <c r="L173" s="46">
        <v>1514.3480951040001</v>
      </c>
      <c r="M173" s="47">
        <f t="shared" si="14"/>
        <v>390319.94760158402</v>
      </c>
      <c r="N173" s="47">
        <f t="shared" si="15"/>
        <v>260213.29840105609</v>
      </c>
      <c r="O173" s="47">
        <f t="shared" si="16"/>
        <v>103151.38853679296</v>
      </c>
      <c r="P173" s="47">
        <f t="shared" si="17"/>
        <v>412882.69955400837</v>
      </c>
      <c r="Q173" s="47">
        <f t="shared" si="18"/>
        <v>1166567.3340934415</v>
      </c>
      <c r="R173" s="48"/>
      <c r="S173" s="48"/>
      <c r="T173" s="48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</row>
    <row r="174" spans="1:184" s="24" customFormat="1" ht="30">
      <c r="A174" s="43" t="s">
        <v>8</v>
      </c>
      <c r="B174" s="44" t="s">
        <v>219</v>
      </c>
      <c r="C174" s="44" t="s">
        <v>342</v>
      </c>
      <c r="D174" s="45">
        <v>67.700999999999993</v>
      </c>
      <c r="E174" s="45">
        <f>112.835-D174</f>
        <v>45.134</v>
      </c>
      <c r="F174" s="45">
        <v>15.266999999999999</v>
      </c>
      <c r="G174" s="45">
        <f>80.314-F174</f>
        <v>65.046999999999997</v>
      </c>
      <c r="H174" s="45">
        <f t="shared" si="13"/>
        <v>193.149</v>
      </c>
      <c r="I174" s="46">
        <v>3505.9960000000001</v>
      </c>
      <c r="J174" s="46">
        <v>3646.2358400000003</v>
      </c>
      <c r="K174" s="46">
        <v>1432.9171584000003</v>
      </c>
      <c r="L174" s="46">
        <v>1490.2338447360003</v>
      </c>
      <c r="M174" s="47">
        <f t="shared" si="14"/>
        <v>140349.51065516155</v>
      </c>
      <c r="N174" s="47">
        <f t="shared" si="15"/>
        <v>93566.340436774379</v>
      </c>
      <c r="O174" s="47">
        <f t="shared" si="16"/>
        <v>32915.682461695484</v>
      </c>
      <c r="P174" s="47">
        <f t="shared" si="17"/>
        <v>140241.4617859374</v>
      </c>
      <c r="Q174" s="47">
        <f t="shared" si="18"/>
        <v>407072.99533956882</v>
      </c>
      <c r="R174" s="48"/>
      <c r="S174" s="48"/>
      <c r="T174" s="48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</row>
    <row r="175" spans="1:184" s="24" customFormat="1">
      <c r="A175" s="43" t="s">
        <v>287</v>
      </c>
      <c r="B175" s="44" t="s">
        <v>217</v>
      </c>
      <c r="C175" s="44" t="s">
        <v>218</v>
      </c>
      <c r="D175" s="45">
        <v>4684.1090000000004</v>
      </c>
      <c r="E175" s="45">
        <f>6718.721-D175</f>
        <v>2034.6119999999992</v>
      </c>
      <c r="F175" s="45">
        <v>720.75900000000001</v>
      </c>
      <c r="G175" s="45">
        <f>4138.416-F175</f>
        <v>3417.6570000000002</v>
      </c>
      <c r="H175" s="45">
        <f t="shared" si="13"/>
        <v>10857.136999999999</v>
      </c>
      <c r="I175" s="46">
        <v>3302.6760000000004</v>
      </c>
      <c r="J175" s="46">
        <v>3434.7830400000007</v>
      </c>
      <c r="K175" s="46">
        <v>1456.6426368000002</v>
      </c>
      <c r="L175" s="46">
        <v>1514.9083422720003</v>
      </c>
      <c r="M175" s="47">
        <f t="shared" si="14"/>
        <v>8647021.4908653907</v>
      </c>
      <c r="N175" s="47">
        <f t="shared" si="15"/>
        <v>3755961.6331670773</v>
      </c>
      <c r="O175" s="47">
        <f t="shared" si="16"/>
        <v>1383766.9672597358</v>
      </c>
      <c r="P175" s="47">
        <f t="shared" si="17"/>
        <v>6561473.199812985</v>
      </c>
      <c r="Q175" s="47">
        <f t="shared" si="18"/>
        <v>20348223.291105188</v>
      </c>
      <c r="R175" s="48"/>
      <c r="S175" s="48"/>
      <c r="T175" s="48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</row>
    <row r="176" spans="1:184" s="24" customFormat="1" ht="30">
      <c r="A176" s="43" t="s">
        <v>286</v>
      </c>
      <c r="B176" s="44" t="s">
        <v>223</v>
      </c>
      <c r="C176" s="44" t="s">
        <v>352</v>
      </c>
      <c r="D176" s="45">
        <v>446.66899999999998</v>
      </c>
      <c r="E176" s="45">
        <f>664.262-D176</f>
        <v>217.59299999999996</v>
      </c>
      <c r="F176" s="45">
        <v>77.599999999999994</v>
      </c>
      <c r="G176" s="45">
        <f>411.143-F176</f>
        <v>333.54300000000001</v>
      </c>
      <c r="H176" s="45">
        <f t="shared" si="13"/>
        <v>1075.405</v>
      </c>
      <c r="I176" s="46">
        <v>4835.4072000000006</v>
      </c>
      <c r="J176" s="46">
        <v>5028.8234880000009</v>
      </c>
      <c r="K176" s="46">
        <v>1456.6426368000002</v>
      </c>
      <c r="L176" s="46">
        <v>1514.9083422720003</v>
      </c>
      <c r="M176" s="47">
        <f t="shared" si="14"/>
        <v>1509189.388679981</v>
      </c>
      <c r="N176" s="47">
        <f t="shared" si="15"/>
        <v>735195.51760037756</v>
      </c>
      <c r="O176" s="47">
        <f t="shared" si="16"/>
        <v>272679.81530849281</v>
      </c>
      <c r="P176" s="47">
        <f t="shared" si="17"/>
        <v>1172041.7994515544</v>
      </c>
      <c r="Q176" s="47">
        <f t="shared" si="18"/>
        <v>3689106.5210404051</v>
      </c>
      <c r="R176" s="48"/>
      <c r="S176" s="48"/>
      <c r="T176" s="48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</row>
    <row r="177" spans="1:184" s="24" customFormat="1" ht="30">
      <c r="A177" s="43" t="s">
        <v>286</v>
      </c>
      <c r="B177" s="44" t="s">
        <v>223</v>
      </c>
      <c r="C177" s="44" t="s">
        <v>353</v>
      </c>
      <c r="D177" s="45">
        <v>384.93900000000002</v>
      </c>
      <c r="E177" s="45">
        <f>641.565-D177</f>
        <v>256.62600000000003</v>
      </c>
      <c r="F177" s="45">
        <v>98.373999999999995</v>
      </c>
      <c r="G177" s="45">
        <f>483.313-F177</f>
        <v>384.93899999999996</v>
      </c>
      <c r="H177" s="45">
        <f t="shared" si="13"/>
        <v>1124.8780000000002</v>
      </c>
      <c r="I177" s="46">
        <v>4835.4072000000006</v>
      </c>
      <c r="J177" s="46">
        <v>5028.8234880000009</v>
      </c>
      <c r="K177" s="46">
        <v>1427.5270464</v>
      </c>
      <c r="L177" s="46">
        <v>1484.6281282560001</v>
      </c>
      <c r="M177" s="47">
        <f t="shared" si="14"/>
        <v>1311825.9784466308</v>
      </c>
      <c r="N177" s="47">
        <f t="shared" si="15"/>
        <v>874550.65229775384</v>
      </c>
      <c r="O177" s="47">
        <f t="shared" si="16"/>
        <v>348656.67431945627</v>
      </c>
      <c r="P177" s="47">
        <f t="shared" si="17"/>
        <v>1364299.0175844957</v>
      </c>
      <c r="Q177" s="47">
        <f t="shared" si="18"/>
        <v>3899332.3226483366</v>
      </c>
      <c r="R177" s="48"/>
      <c r="S177" s="48"/>
      <c r="T177" s="48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</row>
    <row r="178" spans="1:184" s="24" customFormat="1">
      <c r="A178" s="43" t="s">
        <v>289</v>
      </c>
      <c r="B178" s="44" t="s">
        <v>213</v>
      </c>
      <c r="C178" s="44" t="s">
        <v>214</v>
      </c>
      <c r="D178" s="45">
        <v>6560.8829999999998</v>
      </c>
      <c r="E178" s="45">
        <f>9756.465-D178</f>
        <v>3195.5820000000003</v>
      </c>
      <c r="F178" s="45">
        <v>1655.711</v>
      </c>
      <c r="G178" s="45">
        <f>7639.399-F178</f>
        <v>5983.6880000000001</v>
      </c>
      <c r="H178" s="45">
        <f t="shared" si="13"/>
        <v>17395.864000000001</v>
      </c>
      <c r="I178" s="46">
        <v>3790.4015066666666</v>
      </c>
      <c r="J178" s="46">
        <v>3942.0175669333335</v>
      </c>
      <c r="K178" s="46">
        <v>1198.4200737600002</v>
      </c>
      <c r="L178" s="46">
        <v>1246.3568767104002</v>
      </c>
      <c r="M178" s="47">
        <f t="shared" si="14"/>
        <v>17005686.919472989</v>
      </c>
      <c r="N178" s="47">
        <f t="shared" si="15"/>
        <v>8282889.2113307528</v>
      </c>
      <c r="O178" s="47">
        <f t="shared" si="16"/>
        <v>4463235.057069703</v>
      </c>
      <c r="P178" s="47">
        <f t="shared" si="17"/>
        <v>16129992.524158683</v>
      </c>
      <c r="Q178" s="47">
        <f t="shared" si="18"/>
        <v>45881803.712032124</v>
      </c>
      <c r="R178" s="48"/>
      <c r="S178" s="48"/>
      <c r="T178" s="48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</row>
    <row r="179" spans="1:184" s="24" customFormat="1">
      <c r="A179" s="43" t="s">
        <v>282</v>
      </c>
      <c r="B179" s="44" t="s">
        <v>91</v>
      </c>
      <c r="C179" s="44" t="s">
        <v>229</v>
      </c>
      <c r="D179" s="45">
        <f>2830.83+79.65</f>
        <v>2910.48</v>
      </c>
      <c r="E179" s="45">
        <f>4168.92-D179</f>
        <v>1258.44</v>
      </c>
      <c r="F179" s="45">
        <v>603.10500000000002</v>
      </c>
      <c r="G179" s="45">
        <f>3023.769-F179</f>
        <v>2420.6639999999998</v>
      </c>
      <c r="H179" s="45">
        <f t="shared" si="13"/>
        <v>7192.6889999999994</v>
      </c>
      <c r="I179" s="46">
        <v>4824.7888000000003</v>
      </c>
      <c r="J179" s="46">
        <v>5017.7803520000007</v>
      </c>
      <c r="K179" s="46">
        <v>1405.8809856000003</v>
      </c>
      <c r="L179" s="46">
        <v>1462.1162250240004</v>
      </c>
      <c r="M179" s="47">
        <f t="shared" si="14"/>
        <v>9950662.815654913</v>
      </c>
      <c r="N179" s="47">
        <f t="shared" si="15"/>
        <v>4302490.3499535359</v>
      </c>
      <c r="O179" s="47">
        <f t="shared" si="16"/>
        <v>2144438.8132998608</v>
      </c>
      <c r="P179" s="47">
        <f t="shared" si="17"/>
        <v>8607068.1482622325</v>
      </c>
      <c r="Q179" s="47">
        <f t="shared" si="18"/>
        <v>25004660.12717054</v>
      </c>
      <c r="R179" s="48"/>
      <c r="S179" s="48"/>
      <c r="T179" s="48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</row>
    <row r="180" spans="1:184" s="24" customFormat="1">
      <c r="A180" s="43" t="s">
        <v>9</v>
      </c>
      <c r="B180" s="44" t="s">
        <v>221</v>
      </c>
      <c r="C180" s="44" t="s">
        <v>220</v>
      </c>
      <c r="D180" s="45">
        <v>3297.232</v>
      </c>
      <c r="E180" s="45">
        <f>4870.428-D180</f>
        <v>1573.1959999999999</v>
      </c>
      <c r="F180" s="45">
        <v>606.58199999999999</v>
      </c>
      <c r="G180" s="45">
        <f>3216.866-F180</f>
        <v>2610.2840000000001</v>
      </c>
      <c r="H180" s="45">
        <f t="shared" si="13"/>
        <v>8087.2939999999999</v>
      </c>
      <c r="I180" s="46">
        <v>3884.3792000000003</v>
      </c>
      <c r="J180" s="46">
        <v>4039.7543680000003</v>
      </c>
      <c r="K180" s="46">
        <v>1456.6426368000002</v>
      </c>
      <c r="L180" s="46">
        <v>1514.9083422720003</v>
      </c>
      <c r="M180" s="47">
        <f t="shared" si="14"/>
        <v>8004810.683753063</v>
      </c>
      <c r="N180" s="47">
        <f t="shared" si="15"/>
        <v>3819305.450279987</v>
      </c>
      <c r="O180" s="47">
        <f t="shared" si="16"/>
        <v>1531526.1519781419</v>
      </c>
      <c r="P180" s="47">
        <f t="shared" si="17"/>
        <v>6590565.1834213883</v>
      </c>
      <c r="Q180" s="47">
        <f t="shared" si="18"/>
        <v>19946207.469432581</v>
      </c>
      <c r="R180" s="48"/>
      <c r="S180" s="48"/>
      <c r="T180" s="48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</row>
    <row r="181" spans="1:184" s="24" customFormat="1">
      <c r="A181" s="43" t="s">
        <v>9</v>
      </c>
      <c r="B181" s="44" t="s">
        <v>221</v>
      </c>
      <c r="C181" s="44" t="s">
        <v>222</v>
      </c>
      <c r="D181" s="45">
        <v>1462.5640000000001</v>
      </c>
      <c r="E181" s="45">
        <f>2218.433-D181</f>
        <v>755.86899999999991</v>
      </c>
      <c r="F181" s="45">
        <v>385.95499999999998</v>
      </c>
      <c r="G181" s="45">
        <f>1594.264-F181</f>
        <v>1208.309</v>
      </c>
      <c r="H181" s="45">
        <f t="shared" si="13"/>
        <v>3812.6970000000001</v>
      </c>
      <c r="I181" s="46">
        <v>5028.8680000000004</v>
      </c>
      <c r="J181" s="46">
        <v>5230.0227200000008</v>
      </c>
      <c r="K181" s="46">
        <v>1456.6426368000002</v>
      </c>
      <c r="L181" s="46">
        <v>1514.9083422720003</v>
      </c>
      <c r="M181" s="47">
        <f t="shared" si="14"/>
        <v>5224608.2161032455</v>
      </c>
      <c r="N181" s="47">
        <f t="shared" si="15"/>
        <v>2700134.4130566204</v>
      </c>
      <c r="O181" s="47">
        <f t="shared" si="16"/>
        <v>1433866.9696560104</v>
      </c>
      <c r="P181" s="47">
        <f t="shared" si="17"/>
        <v>4489006.1386381425</v>
      </c>
      <c r="Q181" s="47">
        <f t="shared" si="18"/>
        <v>13847615.737454019</v>
      </c>
      <c r="R181" s="48"/>
      <c r="S181" s="48"/>
      <c r="T181" s="48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</row>
    <row r="182" spans="1:184" s="24" customFormat="1">
      <c r="A182" s="43" t="s">
        <v>9</v>
      </c>
      <c r="B182" s="44" t="s">
        <v>221</v>
      </c>
      <c r="C182" s="44" t="s">
        <v>69</v>
      </c>
      <c r="D182" s="45">
        <v>707.62800000000004</v>
      </c>
      <c r="E182" s="45">
        <f>1102.977-D182</f>
        <v>395.34900000000005</v>
      </c>
      <c r="F182" s="45">
        <v>182.69300000000001</v>
      </c>
      <c r="G182" s="45">
        <f>824.854-F182</f>
        <v>642.16100000000006</v>
      </c>
      <c r="H182" s="45">
        <f t="shared" si="13"/>
        <v>1927.8310000000001</v>
      </c>
      <c r="I182" s="46">
        <v>4304.5496000000003</v>
      </c>
      <c r="J182" s="46">
        <v>4476.7315840000001</v>
      </c>
      <c r="K182" s="46">
        <v>1456.6426368000002</v>
      </c>
      <c r="L182" s="46">
        <v>1514.9083422720003</v>
      </c>
      <c r="M182" s="47">
        <f t="shared" si="14"/>
        <v>2015258.7085552898</v>
      </c>
      <c r="N182" s="47">
        <f t="shared" si="15"/>
        <v>1125917.169994157</v>
      </c>
      <c r="O182" s="47">
        <f t="shared" si="16"/>
        <v>541104.3735010135</v>
      </c>
      <c r="P182" s="47">
        <f t="shared" si="17"/>
        <v>1901967.3747312941</v>
      </c>
      <c r="Q182" s="47">
        <f t="shared" si="18"/>
        <v>5584247.6267817542</v>
      </c>
      <c r="R182" s="48"/>
      <c r="S182" s="48"/>
      <c r="T182" s="48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</row>
    <row r="183" spans="1:184" s="24" customFormat="1">
      <c r="A183" s="43" t="s">
        <v>285</v>
      </c>
      <c r="B183" s="44" t="s">
        <v>224</v>
      </c>
      <c r="C183" s="44" t="s">
        <v>225</v>
      </c>
      <c r="D183" s="45">
        <v>2157.5250000000001</v>
      </c>
      <c r="E183" s="45">
        <f>3247.888-D183</f>
        <v>1090.3629999999998</v>
      </c>
      <c r="F183" s="45">
        <v>551.37</v>
      </c>
      <c r="G183" s="45">
        <f>2708.895-F183</f>
        <v>2157.5250000000001</v>
      </c>
      <c r="H183" s="45">
        <f t="shared" si="13"/>
        <v>5956.7829999999994</v>
      </c>
      <c r="I183" s="46">
        <v>4055.0639999999999</v>
      </c>
      <c r="J183" s="46">
        <v>4217.26656</v>
      </c>
      <c r="K183" s="46">
        <v>1405.8809856000003</v>
      </c>
      <c r="L183" s="46">
        <v>1462.1162250240004</v>
      </c>
      <c r="M183" s="47">
        <f t="shared" si="14"/>
        <v>5715678.5831433591</v>
      </c>
      <c r="N183" s="47">
        <f t="shared" si="15"/>
        <v>2888571.1391302263</v>
      </c>
      <c r="O183" s="47">
        <f t="shared" si="16"/>
        <v>1519107.240195717</v>
      </c>
      <c r="P183" s="47">
        <f t="shared" si="17"/>
        <v>5944305.7264690939</v>
      </c>
      <c r="Q183" s="47">
        <f t="shared" si="18"/>
        <v>16067662.688938396</v>
      </c>
      <c r="R183" s="48"/>
      <c r="S183" s="48"/>
      <c r="T183" s="48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</row>
    <row r="184" spans="1:184" s="24" customFormat="1">
      <c r="A184" s="43">
        <v>7729314745</v>
      </c>
      <c r="B184" s="44" t="s">
        <v>391</v>
      </c>
      <c r="C184" s="44" t="s">
        <v>396</v>
      </c>
      <c r="D184" s="45">
        <f>1342.0825*0.6</f>
        <v>805.24950000000001</v>
      </c>
      <c r="E184" s="45">
        <f>1342.0825*0.4</f>
        <v>536.83299999999997</v>
      </c>
      <c r="F184" s="45">
        <f>1098.0675*0.2</f>
        <v>219.61350000000004</v>
      </c>
      <c r="G184" s="45">
        <f>1098.0675*0.8</f>
        <v>878.45400000000018</v>
      </c>
      <c r="H184" s="45">
        <f t="shared" si="13"/>
        <v>2440.15</v>
      </c>
      <c r="I184" s="46">
        <v>3118.99</v>
      </c>
      <c r="J184" s="46">
        <v>3243.75</v>
      </c>
      <c r="K184" s="46">
        <v>1160.4100000000001</v>
      </c>
      <c r="L184" s="46">
        <v>1206.83</v>
      </c>
      <c r="M184" s="47">
        <f t="shared" si="14"/>
        <v>1577145.5657099998</v>
      </c>
      <c r="N184" s="47">
        <f t="shared" si="15"/>
        <v>1051430.3771399998</v>
      </c>
      <c r="O184" s="47">
        <f t="shared" si="16"/>
        <v>447335.13042000012</v>
      </c>
      <c r="P184" s="47">
        <f t="shared" si="17"/>
        <v>1789340.5216800005</v>
      </c>
      <c r="Q184" s="47">
        <f t="shared" si="18"/>
        <v>4865251.5949499998</v>
      </c>
      <c r="R184" s="48"/>
      <c r="S184" s="48"/>
      <c r="T184" s="48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</row>
    <row r="185" spans="1:184" s="24" customFormat="1">
      <c r="A185" s="43" t="s">
        <v>283</v>
      </c>
      <c r="B185" s="44" t="s">
        <v>228</v>
      </c>
      <c r="C185" s="44" t="s">
        <v>329</v>
      </c>
      <c r="D185" s="45">
        <v>2831.7330000000002</v>
      </c>
      <c r="E185" s="45">
        <f>4262.825-D185</f>
        <v>1431.0919999999996</v>
      </c>
      <c r="F185" s="45">
        <v>699.79499999999996</v>
      </c>
      <c r="G185" s="45">
        <f>3526.956-F185</f>
        <v>2827.1610000000001</v>
      </c>
      <c r="H185" s="45">
        <f t="shared" si="13"/>
        <v>7789.7809999999999</v>
      </c>
      <c r="I185" s="46">
        <v>4028.5544000000004</v>
      </c>
      <c r="J185" s="46">
        <v>4189.6965760000003</v>
      </c>
      <c r="K185" s="46">
        <v>1405.8809856000003</v>
      </c>
      <c r="L185" s="46">
        <v>1462.1162250240004</v>
      </c>
      <c r="M185" s="47">
        <f t="shared" si="14"/>
        <v>7426710.8557791561</v>
      </c>
      <c r="N185" s="47">
        <f t="shared" si="15"/>
        <v>3753286.9419605243</v>
      </c>
      <c r="O185" s="47">
        <f t="shared" si="16"/>
        <v>1908747.0917112497</v>
      </c>
      <c r="P185" s="47">
        <f t="shared" si="17"/>
        <v>7711308.7926456593</v>
      </c>
      <c r="Q185" s="47">
        <f t="shared" si="18"/>
        <v>20800053.682096589</v>
      </c>
      <c r="R185" s="48"/>
      <c r="S185" s="48"/>
      <c r="T185" s="48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</row>
    <row r="186" spans="1:184" s="24" customFormat="1" ht="30">
      <c r="A186" s="43" t="s">
        <v>400</v>
      </c>
      <c r="B186" s="44" t="s">
        <v>399</v>
      </c>
      <c r="C186" s="44" t="s">
        <v>229</v>
      </c>
      <c r="D186" s="45">
        <f>87.97428*0.4</f>
        <v>35.189712</v>
      </c>
      <c r="E186" s="45">
        <f>87.97428*0.6</f>
        <v>52.784567999999993</v>
      </c>
      <c r="F186" s="45">
        <f>69.68572*0.2</f>
        <v>13.937144000000002</v>
      </c>
      <c r="G186" s="45">
        <f>69.68572*0.8</f>
        <v>55.748576000000007</v>
      </c>
      <c r="H186" s="45">
        <f t="shared" si="13"/>
        <v>157.66</v>
      </c>
      <c r="I186" s="46">
        <v>1770.3920000000001</v>
      </c>
      <c r="J186" s="46">
        <v>1841.2076800000002</v>
      </c>
      <c r="K186" s="46">
        <v>1143.5184600000002</v>
      </c>
      <c r="L186" s="46">
        <v>1189.2591984000003</v>
      </c>
      <c r="M186" s="47">
        <f t="shared" si="14"/>
        <v>22059.499333020474</v>
      </c>
      <c r="N186" s="47">
        <f t="shared" si="15"/>
        <v>33089.248999530704</v>
      </c>
      <c r="O186" s="47">
        <f t="shared" si="16"/>
        <v>9086.2998686405499</v>
      </c>
      <c r="P186" s="47">
        <f t="shared" si="17"/>
        <v>36345.1994745622</v>
      </c>
      <c r="Q186" s="47">
        <f t="shared" si="18"/>
        <v>100580.24767575393</v>
      </c>
      <c r="R186" s="48"/>
      <c r="S186" s="48"/>
      <c r="T186" s="48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</row>
    <row r="187" spans="1:184" s="24" customFormat="1" ht="15.75">
      <c r="A187" s="112" t="s">
        <v>230</v>
      </c>
      <c r="B187" s="112"/>
      <c r="C187" s="112"/>
      <c r="D187" s="49"/>
      <c r="E187" s="49"/>
      <c r="F187" s="42"/>
      <c r="G187" s="42"/>
      <c r="H187" s="45">
        <f t="shared" si="13"/>
        <v>0</v>
      </c>
      <c r="I187" s="40"/>
      <c r="J187" s="40"/>
      <c r="K187" s="40"/>
      <c r="L187" s="40"/>
      <c r="M187" s="47">
        <f t="shared" si="14"/>
        <v>0</v>
      </c>
      <c r="N187" s="47">
        <f t="shared" si="15"/>
        <v>0</v>
      </c>
      <c r="O187" s="47">
        <f t="shared" si="16"/>
        <v>0</v>
      </c>
      <c r="P187" s="47">
        <f t="shared" si="17"/>
        <v>0</v>
      </c>
      <c r="Q187" s="47">
        <f t="shared" si="18"/>
        <v>0</v>
      </c>
      <c r="R187" s="88"/>
      <c r="S187" s="88"/>
      <c r="T187" s="88"/>
    </row>
    <row r="188" spans="1:184" s="24" customFormat="1">
      <c r="A188" s="43" t="s">
        <v>281</v>
      </c>
      <c r="B188" s="44" t="s">
        <v>231</v>
      </c>
      <c r="C188" s="44" t="s">
        <v>232</v>
      </c>
      <c r="D188" s="45">
        <v>1854.579</v>
      </c>
      <c r="E188" s="45">
        <f>2745.348-D188</f>
        <v>890.76900000000001</v>
      </c>
      <c r="F188" s="45">
        <v>420.50400000000002</v>
      </c>
      <c r="G188" s="45">
        <f>2230.078-F188</f>
        <v>1809.5740000000001</v>
      </c>
      <c r="H188" s="45">
        <f t="shared" si="13"/>
        <v>4975.4259999999995</v>
      </c>
      <c r="I188" s="46">
        <v>3700.5176000000001</v>
      </c>
      <c r="J188" s="46">
        <v>3848.5383040000002</v>
      </c>
      <c r="K188" s="46">
        <v>1977.08346368</v>
      </c>
      <c r="L188" s="46">
        <v>2056.1668022272002</v>
      </c>
      <c r="M188" s="47">
        <f t="shared" si="14"/>
        <v>3196244.7571022096</v>
      </c>
      <c r="N188" s="47">
        <f t="shared" si="15"/>
        <v>1535181.7021756303</v>
      </c>
      <c r="O188" s="47">
        <f t="shared" si="16"/>
        <v>753699.38598146953</v>
      </c>
      <c r="P188" s="47">
        <f t="shared" si="17"/>
        <v>3243428.8679490131</v>
      </c>
      <c r="Q188" s="47">
        <f t="shared" si="18"/>
        <v>8728554.7132083233</v>
      </c>
      <c r="R188" s="48"/>
      <c r="S188" s="48"/>
      <c r="T188" s="48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</row>
    <row r="189" spans="1:184" s="24" customFormat="1">
      <c r="A189" s="43" t="s">
        <v>26</v>
      </c>
      <c r="B189" s="44" t="s">
        <v>233</v>
      </c>
      <c r="C189" s="44" t="s">
        <v>232</v>
      </c>
      <c r="D189" s="45">
        <v>2332.665</v>
      </c>
      <c r="E189" s="45">
        <f>3487.96-D189</f>
        <v>1155.2950000000001</v>
      </c>
      <c r="F189" s="45">
        <v>552.88199999999995</v>
      </c>
      <c r="G189" s="45">
        <f>2878.562-F189</f>
        <v>2325.6799999999998</v>
      </c>
      <c r="H189" s="45">
        <f t="shared" si="13"/>
        <v>6366.5219999999999</v>
      </c>
      <c r="I189" s="46">
        <v>4043.4160000000002</v>
      </c>
      <c r="J189" s="46">
        <v>4205.1526400000002</v>
      </c>
      <c r="K189" s="46">
        <v>1977.08346368</v>
      </c>
      <c r="L189" s="46">
        <v>2056.1668022272002</v>
      </c>
      <c r="M189" s="47">
        <f t="shared" si="14"/>
        <v>4820061.5858348934</v>
      </c>
      <c r="N189" s="47">
        <f t="shared" si="15"/>
        <v>2387223.6475478145</v>
      </c>
      <c r="O189" s="47">
        <f t="shared" si="16"/>
        <v>1188135.5879595012</v>
      </c>
      <c r="P189" s="47">
        <f t="shared" si="17"/>
        <v>4997853.3831914449</v>
      </c>
      <c r="Q189" s="47">
        <f t="shared" si="18"/>
        <v>13393274.204533655</v>
      </c>
      <c r="R189" s="48"/>
      <c r="S189" s="48"/>
      <c r="T189" s="48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</row>
    <row r="190" spans="1:184" s="24" customFormat="1">
      <c r="A190" s="43" t="s">
        <v>26</v>
      </c>
      <c r="B190" s="44" t="s">
        <v>233</v>
      </c>
      <c r="C190" s="44" t="s">
        <v>234</v>
      </c>
      <c r="D190" s="45">
        <v>578.21600000000001</v>
      </c>
      <c r="E190" s="45">
        <f>863.393-D190</f>
        <v>285.17700000000002</v>
      </c>
      <c r="F190" s="45">
        <v>138.613</v>
      </c>
      <c r="G190" s="45">
        <f>712.309-F190</f>
        <v>573.69599999999991</v>
      </c>
      <c r="H190" s="45">
        <f t="shared" si="13"/>
        <v>1575.702</v>
      </c>
      <c r="I190" s="46"/>
      <c r="J190" s="46"/>
      <c r="K190" s="46"/>
      <c r="L190" s="46"/>
      <c r="M190" s="47">
        <f t="shared" si="14"/>
        <v>0</v>
      </c>
      <c r="N190" s="47">
        <f t="shared" si="15"/>
        <v>0</v>
      </c>
      <c r="O190" s="47">
        <f t="shared" si="16"/>
        <v>0</v>
      </c>
      <c r="P190" s="47">
        <f t="shared" si="17"/>
        <v>0</v>
      </c>
      <c r="Q190" s="47">
        <f t="shared" si="18"/>
        <v>0</v>
      </c>
      <c r="R190" s="48"/>
      <c r="S190" s="48"/>
      <c r="T190" s="48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</row>
    <row r="191" spans="1:184" s="24" customFormat="1">
      <c r="A191" s="43" t="s">
        <v>29</v>
      </c>
      <c r="B191" s="44" t="s">
        <v>87</v>
      </c>
      <c r="C191" s="44" t="s">
        <v>235</v>
      </c>
      <c r="D191" s="45">
        <v>102.801</v>
      </c>
      <c r="E191" s="45">
        <f>153.649-D191</f>
        <v>50.847999999999999</v>
      </c>
      <c r="F191" s="45">
        <v>22.844000000000001</v>
      </c>
      <c r="G191" s="45">
        <f>125.645-F191</f>
        <v>102.80099999999999</v>
      </c>
      <c r="H191" s="45">
        <f t="shared" si="13"/>
        <v>279.29399999999998</v>
      </c>
      <c r="I191" s="46">
        <v>4104.4848000000002</v>
      </c>
      <c r="J191" s="46">
        <v>4268.6641920000002</v>
      </c>
      <c r="K191" s="46">
        <v>1650.3457152000003</v>
      </c>
      <c r="L191" s="46">
        <v>1716.3595438080004</v>
      </c>
      <c r="M191" s="47">
        <f t="shared" si="14"/>
        <v>252287.95205652481</v>
      </c>
      <c r="N191" s="47">
        <f t="shared" si="15"/>
        <v>124788.06418391041</v>
      </c>
      <c r="O191" s="47">
        <f t="shared" si="16"/>
        <v>58304.847383298053</v>
      </c>
      <c r="P191" s="47">
        <f t="shared" si="17"/>
        <v>262379.47013878578</v>
      </c>
      <c r="Q191" s="47">
        <f t="shared" si="18"/>
        <v>697760.33376251906</v>
      </c>
      <c r="R191" s="48"/>
      <c r="S191" s="48"/>
      <c r="T191" s="48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</row>
    <row r="192" spans="1:184" s="24" customFormat="1" ht="45">
      <c r="A192" s="43" t="s">
        <v>29</v>
      </c>
      <c r="B192" s="44" t="s">
        <v>87</v>
      </c>
      <c r="C192" s="44" t="s">
        <v>344</v>
      </c>
      <c r="D192" s="45">
        <v>67.397999999999996</v>
      </c>
      <c r="E192" s="45">
        <f>112.33-D192</f>
        <v>44.932000000000002</v>
      </c>
      <c r="F192" s="45">
        <v>20.968</v>
      </c>
      <c r="G192" s="45">
        <f>88.366-F192</f>
        <v>67.397999999999996</v>
      </c>
      <c r="H192" s="45">
        <f t="shared" si="13"/>
        <v>200.696</v>
      </c>
      <c r="I192" s="46">
        <v>3887.4263999999998</v>
      </c>
      <c r="J192" s="46">
        <v>4042.923456</v>
      </c>
      <c r="K192" s="46">
        <v>1650.3457152000003</v>
      </c>
      <c r="L192" s="46">
        <v>1716.3595438080004</v>
      </c>
      <c r="M192" s="47">
        <f t="shared" si="14"/>
        <v>150774.76399415033</v>
      </c>
      <c r="N192" s="47">
        <f t="shared" si="15"/>
        <v>100516.50932943357</v>
      </c>
      <c r="O192" s="47">
        <f t="shared" si="16"/>
        <v>48783.392110841844</v>
      </c>
      <c r="P192" s="47">
        <f t="shared" si="17"/>
        <v>156805.75455391637</v>
      </c>
      <c r="Q192" s="47">
        <f t="shared" si="18"/>
        <v>456880.4199883421</v>
      </c>
      <c r="R192" s="48"/>
      <c r="S192" s="48"/>
      <c r="T192" s="48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</row>
    <row r="193" spans="1:184" s="24" customFormat="1" ht="45">
      <c r="A193" s="43" t="s">
        <v>29</v>
      </c>
      <c r="B193" s="44" t="s">
        <v>87</v>
      </c>
      <c r="C193" s="44" t="s">
        <v>345</v>
      </c>
      <c r="D193" s="45">
        <v>193.31700000000001</v>
      </c>
      <c r="E193" s="45">
        <f>289.975-D193</f>
        <v>96.658000000000015</v>
      </c>
      <c r="F193" s="45">
        <v>33.991999999999997</v>
      </c>
      <c r="G193" s="45">
        <f>226.606-F193</f>
        <v>192.614</v>
      </c>
      <c r="H193" s="45">
        <f t="shared" si="13"/>
        <v>516.58100000000002</v>
      </c>
      <c r="I193" s="46">
        <v>4451.2416000000003</v>
      </c>
      <c r="J193" s="46">
        <v>4629.2912640000004</v>
      </c>
      <c r="K193" s="46">
        <v>1650.3457152000003</v>
      </c>
      <c r="L193" s="46">
        <v>1716.3595438080004</v>
      </c>
      <c r="M193" s="47">
        <f t="shared" si="14"/>
        <v>541460.78976188169</v>
      </c>
      <c r="N193" s="47">
        <f t="shared" si="15"/>
        <v>270728.99443299847</v>
      </c>
      <c r="O193" s="47">
        <f t="shared" si="16"/>
        <v>99016.37503276646</v>
      </c>
      <c r="P193" s="47">
        <f t="shared" si="17"/>
        <v>561071.43035306199</v>
      </c>
      <c r="Q193" s="47">
        <f t="shared" si="18"/>
        <v>1472277.5895807086</v>
      </c>
      <c r="R193" s="48"/>
      <c r="S193" s="48"/>
      <c r="T193" s="48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</row>
    <row r="194" spans="1:184" s="24" customFormat="1">
      <c r="A194" s="43" t="s">
        <v>29</v>
      </c>
      <c r="B194" s="44" t="s">
        <v>87</v>
      </c>
      <c r="C194" s="44" t="s">
        <v>75</v>
      </c>
      <c r="D194" s="45">
        <v>76.367999999999995</v>
      </c>
      <c r="E194" s="45">
        <f>112.282-D194</f>
        <v>35.914000000000001</v>
      </c>
      <c r="F194" s="45">
        <v>18.106999999999999</v>
      </c>
      <c r="G194" s="45">
        <f>90.687-F194</f>
        <v>72.58</v>
      </c>
      <c r="H194" s="45">
        <f t="shared" si="13"/>
        <v>202.96899999999999</v>
      </c>
      <c r="I194" s="46">
        <v>4216.6279999999997</v>
      </c>
      <c r="J194" s="46">
        <v>4385.2931200000003</v>
      </c>
      <c r="K194" s="46">
        <v>1293.4707240000002</v>
      </c>
      <c r="L194" s="46">
        <v>1345.2095529600003</v>
      </c>
      <c r="M194" s="47">
        <f t="shared" si="14"/>
        <v>223235.67485356794</v>
      </c>
      <c r="N194" s="47">
        <f t="shared" si="15"/>
        <v>104982.27041026398</v>
      </c>
      <c r="O194" s="47">
        <f t="shared" si="16"/>
        <v>55046.793148393284</v>
      </c>
      <c r="P194" s="47">
        <f t="shared" si="17"/>
        <v>220649.26529576321</v>
      </c>
      <c r="Q194" s="47">
        <f t="shared" si="18"/>
        <v>603914.00370798842</v>
      </c>
      <c r="R194" s="48"/>
      <c r="S194" s="48"/>
      <c r="T194" s="48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</row>
    <row r="195" spans="1:184" s="24" customFormat="1">
      <c r="A195" s="112" t="s">
        <v>236</v>
      </c>
      <c r="B195" s="112"/>
      <c r="C195" s="112"/>
      <c r="D195" s="94"/>
      <c r="E195" s="59"/>
      <c r="F195" s="60"/>
      <c r="G195" s="60"/>
      <c r="H195" s="45">
        <f t="shared" si="13"/>
        <v>0</v>
      </c>
      <c r="I195" s="61"/>
      <c r="J195" s="61"/>
      <c r="K195" s="61"/>
      <c r="L195" s="61"/>
      <c r="M195" s="47">
        <f t="shared" si="14"/>
        <v>0</v>
      </c>
      <c r="N195" s="47">
        <f t="shared" si="15"/>
        <v>0</v>
      </c>
      <c r="O195" s="47">
        <f t="shared" si="16"/>
        <v>0</v>
      </c>
      <c r="P195" s="47">
        <f t="shared" si="17"/>
        <v>0</v>
      </c>
      <c r="Q195" s="47">
        <f t="shared" si="18"/>
        <v>0</v>
      </c>
      <c r="R195" s="47"/>
      <c r="S195" s="47"/>
      <c r="T195" s="47"/>
    </row>
    <row r="196" spans="1:184" s="24" customFormat="1" ht="15.75">
      <c r="A196" s="89" t="s">
        <v>280</v>
      </c>
      <c r="B196" s="44" t="s">
        <v>70</v>
      </c>
      <c r="C196" s="95" t="s">
        <v>237</v>
      </c>
      <c r="D196" s="61">
        <v>27996.595000000001</v>
      </c>
      <c r="E196" s="61">
        <f>41790.798-D196</f>
        <v>13794.203000000001</v>
      </c>
      <c r="F196" s="61">
        <v>1918.1610000000001</v>
      </c>
      <c r="G196" s="61">
        <v>24296.691999999999</v>
      </c>
      <c r="H196" s="45">
        <f t="shared" si="13"/>
        <v>68005.650999999998</v>
      </c>
      <c r="I196" s="66">
        <v>4163.1226000000006</v>
      </c>
      <c r="J196" s="66">
        <v>4329.6475040000005</v>
      </c>
      <c r="K196" s="66">
        <v>1438.0728194559999</v>
      </c>
      <c r="L196" s="66">
        <v>1495.5957322342399</v>
      </c>
      <c r="M196" s="47">
        <f t="shared" si="14"/>
        <v>76292115.06072928</v>
      </c>
      <c r="N196" s="47">
        <f t="shared" si="15"/>
        <v>37589889.857929401</v>
      </c>
      <c r="O196" s="47">
        <f t="shared" si="16"/>
        <v>5436167.5805819826</v>
      </c>
      <c r="P196" s="47">
        <f t="shared" si="17"/>
        <v>68858083.010646969</v>
      </c>
      <c r="Q196" s="47">
        <f t="shared" si="18"/>
        <v>188176255.50988764</v>
      </c>
      <c r="R196" s="47"/>
      <c r="S196" s="47"/>
      <c r="T196" s="88"/>
    </row>
    <row r="197" spans="1:184" s="24" customFormat="1" ht="15.75">
      <c r="A197" s="89" t="s">
        <v>280</v>
      </c>
      <c r="B197" s="44" t="s">
        <v>70</v>
      </c>
      <c r="C197" s="95" t="s">
        <v>238</v>
      </c>
      <c r="D197" s="61">
        <v>1130.731</v>
      </c>
      <c r="E197" s="61">
        <f>1874.703-D197</f>
        <v>743.97199999999998</v>
      </c>
      <c r="F197" s="61">
        <v>157.666</v>
      </c>
      <c r="G197" s="61">
        <v>1135.1949999999999</v>
      </c>
      <c r="H197" s="45">
        <f t="shared" si="13"/>
        <v>3167.5639999999999</v>
      </c>
      <c r="I197" s="66">
        <v>4163.1226000000006</v>
      </c>
      <c r="J197" s="66">
        <v>4329.6475040000005</v>
      </c>
      <c r="K197" s="66">
        <v>1438.0728194559999</v>
      </c>
      <c r="L197" s="66">
        <v>1495.5957322342399</v>
      </c>
      <c r="M197" s="47">
        <f t="shared" si="14"/>
        <v>3081298.2634042986</v>
      </c>
      <c r="N197" s="47">
        <f t="shared" si="15"/>
        <v>2027360.7353308813</v>
      </c>
      <c r="O197" s="47">
        <f t="shared" si="16"/>
        <v>446833.60664722038</v>
      </c>
      <c r="P197" s="47">
        <f t="shared" si="17"/>
        <v>3217201.4010496321</v>
      </c>
      <c r="Q197" s="47">
        <f t="shared" si="18"/>
        <v>8772694.0064320322</v>
      </c>
      <c r="R197" s="47"/>
      <c r="S197" s="47"/>
      <c r="T197" s="88"/>
    </row>
    <row r="198" spans="1:184" s="24" customFormat="1" ht="15.75">
      <c r="A198" s="89" t="s">
        <v>30</v>
      </c>
      <c r="B198" s="89" t="s">
        <v>159</v>
      </c>
      <c r="C198" s="95" t="s">
        <v>239</v>
      </c>
      <c r="D198" s="61">
        <v>414.82600000000002</v>
      </c>
      <c r="E198" s="61">
        <f>619.559-D198</f>
        <v>204.73299999999995</v>
      </c>
      <c r="F198" s="61">
        <v>76.114000000000004</v>
      </c>
      <c r="G198" s="61">
        <f>504.256-F198</f>
        <v>428.14199999999994</v>
      </c>
      <c r="H198" s="45">
        <f t="shared" si="13"/>
        <v>1123.8150000000001</v>
      </c>
      <c r="I198" s="66">
        <v>4012.4339155327134</v>
      </c>
      <c r="J198" s="66">
        <v>4172.9312721540218</v>
      </c>
      <c r="K198" s="66">
        <v>1437.5409877919999</v>
      </c>
      <c r="L198" s="66">
        <v>1495.0426273036799</v>
      </c>
      <c r="M198" s="47">
        <f t="shared" si="14"/>
        <v>1068132.5336429691</v>
      </c>
      <c r="N198" s="47">
        <f t="shared" si="15"/>
        <v>527165.55377513927</v>
      </c>
      <c r="O198" s="47">
        <f t="shared" si="16"/>
        <v>203824.81631413891</v>
      </c>
      <c r="P198" s="47">
        <f t="shared" si="17"/>
        <v>1146516.6001835149</v>
      </c>
      <c r="Q198" s="47">
        <f t="shared" si="18"/>
        <v>2945639.5039157621</v>
      </c>
      <c r="R198" s="47"/>
      <c r="S198" s="47"/>
      <c r="T198" s="88"/>
    </row>
    <row r="199" spans="1:184" s="24" customFormat="1" ht="15.75">
      <c r="A199" s="89" t="s">
        <v>24</v>
      </c>
      <c r="B199" s="89" t="s">
        <v>240</v>
      </c>
      <c r="C199" s="95" t="s">
        <v>237</v>
      </c>
      <c r="D199" s="61">
        <v>17.07</v>
      </c>
      <c r="E199" s="61">
        <v>11.38</v>
      </c>
      <c r="F199" s="61">
        <v>2.84</v>
      </c>
      <c r="G199" s="61">
        <v>17.059999999999999</v>
      </c>
      <c r="H199" s="45">
        <f t="shared" si="13"/>
        <v>48.35</v>
      </c>
      <c r="I199" s="66">
        <v>7224.308</v>
      </c>
      <c r="J199" s="66">
        <v>7513.2803199999998</v>
      </c>
      <c r="K199" s="66">
        <v>1725.0494102400003</v>
      </c>
      <c r="L199" s="66">
        <v>1794.0513866496003</v>
      </c>
      <c r="M199" s="47">
        <f t="shared" si="14"/>
        <v>93872.344127203207</v>
      </c>
      <c r="N199" s="47">
        <f t="shared" si="15"/>
        <v>62581.562751468809</v>
      </c>
      <c r="O199" s="47">
        <f t="shared" si="16"/>
        <v>16242.610170715134</v>
      </c>
      <c r="P199" s="47">
        <f t="shared" si="17"/>
        <v>97570.045602957805</v>
      </c>
      <c r="Q199" s="47">
        <f t="shared" si="18"/>
        <v>270266.56265234493</v>
      </c>
      <c r="R199" s="47"/>
      <c r="S199" s="47"/>
      <c r="T199" s="88"/>
    </row>
    <row r="200" spans="1:184" s="24" customFormat="1" ht="15.75">
      <c r="A200" s="89" t="s">
        <v>279</v>
      </c>
      <c r="B200" s="89" t="s">
        <v>241</v>
      </c>
      <c r="C200" s="95" t="s">
        <v>238</v>
      </c>
      <c r="D200" s="61">
        <v>529.71299999999997</v>
      </c>
      <c r="E200" s="61">
        <f>786.026-D200</f>
        <v>256.31299999999999</v>
      </c>
      <c r="F200" s="61">
        <v>86.331999999999994</v>
      </c>
      <c r="G200" s="61">
        <f>616.045-F200</f>
        <v>529.71299999999997</v>
      </c>
      <c r="H200" s="45">
        <f t="shared" si="13"/>
        <v>1402.0709999999999</v>
      </c>
      <c r="I200" s="66">
        <v>5638.9111999999996</v>
      </c>
      <c r="J200" s="66">
        <v>5864.4676479999998</v>
      </c>
      <c r="K200" s="66">
        <v>1725.68760832</v>
      </c>
      <c r="L200" s="66">
        <v>1794.7151126528001</v>
      </c>
      <c r="M200" s="47">
        <f t="shared" si="14"/>
        <v>2072885.4084195874</v>
      </c>
      <c r="N200" s="47">
        <f t="shared" si="15"/>
        <v>1003010.0784542757</v>
      </c>
      <c r="O200" s="47">
        <f t="shared" si="16"/>
        <v>351349.87588159443</v>
      </c>
      <c r="P200" s="47">
        <f t="shared" si="17"/>
        <v>2155800.8247563709</v>
      </c>
      <c r="Q200" s="47">
        <f t="shared" si="18"/>
        <v>5583046.1875118287</v>
      </c>
      <c r="R200" s="47"/>
      <c r="S200" s="47"/>
      <c r="T200" s="88"/>
    </row>
    <row r="201" spans="1:184" s="26" customFormat="1" ht="15.75">
      <c r="A201" s="89" t="s">
        <v>21</v>
      </c>
      <c r="B201" s="89" t="s">
        <v>116</v>
      </c>
      <c r="C201" s="95" t="s">
        <v>237</v>
      </c>
      <c r="D201" s="61">
        <v>2700.0140000000001</v>
      </c>
      <c r="E201" s="61">
        <f>4341.82-D201</f>
        <v>1641.8059999999996</v>
      </c>
      <c r="F201" s="61">
        <v>656.99900000000002</v>
      </c>
      <c r="G201" s="61">
        <f>3027.224-F201</f>
        <v>2370.2250000000004</v>
      </c>
      <c r="H201" s="45">
        <f t="shared" si="13"/>
        <v>7369.0439999999999</v>
      </c>
      <c r="I201" s="61">
        <v>2913.8023199999998</v>
      </c>
      <c r="J201" s="61">
        <v>3030.3544127999999</v>
      </c>
      <c r="K201" s="61">
        <v>1438.0617582933335</v>
      </c>
      <c r="L201" s="81">
        <v>1495.5842286250668</v>
      </c>
      <c r="M201" s="47">
        <f t="shared" si="14"/>
        <v>3984520.1769758631</v>
      </c>
      <c r="N201" s="47">
        <f t="shared" si="15"/>
        <v>2422879.7086533746</v>
      </c>
      <c r="O201" s="47">
        <f t="shared" si="16"/>
        <v>1008342.4762327468</v>
      </c>
      <c r="P201" s="47">
        <f t="shared" si="17"/>
        <v>3637750.6597860311</v>
      </c>
      <c r="Q201" s="47">
        <f t="shared" si="18"/>
        <v>11053493.021648016</v>
      </c>
      <c r="R201" s="82"/>
      <c r="S201" s="82"/>
      <c r="T201" s="96"/>
    </row>
    <row r="202" spans="1:184" s="24" customFormat="1" ht="15.75">
      <c r="A202" s="112" t="s">
        <v>242</v>
      </c>
      <c r="B202" s="112"/>
      <c r="C202" s="38"/>
      <c r="D202" s="59"/>
      <c r="E202" s="59"/>
      <c r="F202" s="60"/>
      <c r="G202" s="60"/>
      <c r="H202" s="45">
        <f t="shared" ref="H202:H228" si="19">SUM(D202:G202)</f>
        <v>0</v>
      </c>
      <c r="I202" s="61"/>
      <c r="J202" s="61"/>
      <c r="K202" s="61"/>
      <c r="L202" s="76"/>
      <c r="M202" s="47">
        <f t="shared" ref="M202:M228" si="20">(I202-K202)*D202</f>
        <v>0</v>
      </c>
      <c r="N202" s="47">
        <f t="shared" ref="N202:N228" si="21">(I202-K202)*E202</f>
        <v>0</v>
      </c>
      <c r="O202" s="47">
        <f t="shared" ref="O202:O228" si="22">(J202-L202)*F202</f>
        <v>0</v>
      </c>
      <c r="P202" s="47">
        <f t="shared" ref="P202:P228" si="23">(G202*(J202-L202))</f>
        <v>0</v>
      </c>
      <c r="Q202" s="47">
        <f t="shared" ref="Q202:Q228" si="24">SUM(M202:P202)</f>
        <v>0</v>
      </c>
      <c r="R202" s="47"/>
      <c r="S202" s="47"/>
      <c r="T202" s="88"/>
    </row>
    <row r="203" spans="1:184" s="24" customFormat="1" ht="15.75">
      <c r="A203" s="89" t="s">
        <v>29</v>
      </c>
      <c r="B203" s="89" t="s">
        <v>243</v>
      </c>
      <c r="C203" s="95" t="s">
        <v>244</v>
      </c>
      <c r="D203" s="61">
        <v>360.822</v>
      </c>
      <c r="E203" s="61">
        <f>534.632-D203</f>
        <v>173.80999999999995</v>
      </c>
      <c r="F203" s="61">
        <v>59.058</v>
      </c>
      <c r="G203" s="61">
        <f>364.227-F203</f>
        <v>305.16899999999998</v>
      </c>
      <c r="H203" s="45">
        <f t="shared" si="19"/>
        <v>898.85899999999992</v>
      </c>
      <c r="I203" s="66">
        <v>3343.2776000000003</v>
      </c>
      <c r="J203" s="66">
        <v>3477.0087040000003</v>
      </c>
      <c r="K203" s="66">
        <v>1636.03489582</v>
      </c>
      <c r="L203" s="66">
        <v>1701.4762916528</v>
      </c>
      <c r="M203" s="47">
        <f t="shared" si="20"/>
        <v>616010.7270076361</v>
      </c>
      <c r="N203" s="47">
        <f t="shared" si="21"/>
        <v>296735.85441352578</v>
      </c>
      <c r="O203" s="47">
        <f t="shared" si="22"/>
        <v>104859.39320840096</v>
      </c>
      <c r="P203" s="47">
        <f t="shared" si="23"/>
        <v>541837.45074358268</v>
      </c>
      <c r="Q203" s="47">
        <f t="shared" si="24"/>
        <v>1559443.4253731454</v>
      </c>
      <c r="R203" s="47"/>
      <c r="S203" s="47"/>
      <c r="T203" s="88"/>
    </row>
    <row r="204" spans="1:184" s="24" customFormat="1" ht="15.75">
      <c r="A204" s="89" t="s">
        <v>29</v>
      </c>
      <c r="B204" s="89" t="s">
        <v>243</v>
      </c>
      <c r="C204" s="95" t="s">
        <v>245</v>
      </c>
      <c r="D204" s="61">
        <v>1431.4590000000001</v>
      </c>
      <c r="E204" s="61">
        <f>2142.433-D204</f>
        <v>710.97399999999993</v>
      </c>
      <c r="F204" s="61">
        <v>224.423</v>
      </c>
      <c r="G204" s="61">
        <f>1717.06-F204</f>
        <v>1492.6369999999999</v>
      </c>
      <c r="H204" s="45">
        <f t="shared" si="19"/>
        <v>3859.4929999999995</v>
      </c>
      <c r="I204" s="66">
        <v>3343.2776000000003</v>
      </c>
      <c r="J204" s="66">
        <v>3477.0087040000003</v>
      </c>
      <c r="K204" s="66">
        <v>1606.4988576000001</v>
      </c>
      <c r="L204" s="66">
        <v>1670.7588119040001</v>
      </c>
      <c r="M204" s="47">
        <f t="shared" si="20"/>
        <v>2486127.5618171622</v>
      </c>
      <c r="N204" s="47">
        <f t="shared" si="21"/>
        <v>1234804.5295990978</v>
      </c>
      <c r="O204" s="47">
        <f t="shared" si="22"/>
        <v>405364.01953386067</v>
      </c>
      <c r="P204" s="47">
        <f t="shared" si="23"/>
        <v>2696075.4201884973</v>
      </c>
      <c r="Q204" s="47">
        <f t="shared" si="24"/>
        <v>6822371.5311386175</v>
      </c>
      <c r="R204" s="47"/>
      <c r="S204" s="47"/>
      <c r="T204" s="88"/>
    </row>
    <row r="205" spans="1:184" s="24" customFormat="1" ht="15.75">
      <c r="A205" s="89" t="s">
        <v>47</v>
      </c>
      <c r="B205" s="89" t="s">
        <v>246</v>
      </c>
      <c r="C205" s="95" t="s">
        <v>247</v>
      </c>
      <c r="D205" s="61">
        <v>81.010000000000005</v>
      </c>
      <c r="E205" s="61">
        <f>120.36-D205</f>
        <v>39.349999999999994</v>
      </c>
      <c r="F205" s="61">
        <v>12.61</v>
      </c>
      <c r="G205" s="61">
        <f>94.64-F205</f>
        <v>82.03</v>
      </c>
      <c r="H205" s="45">
        <f t="shared" si="19"/>
        <v>215</v>
      </c>
      <c r="I205" s="66">
        <v>1954.2536</v>
      </c>
      <c r="J205" s="66">
        <v>2032.4237440000002</v>
      </c>
      <c r="K205" s="66">
        <v>1714.0200000000002</v>
      </c>
      <c r="L205" s="66">
        <v>1782.5808000000002</v>
      </c>
      <c r="M205" s="47">
        <f t="shared" si="20"/>
        <v>19461.323935999986</v>
      </c>
      <c r="N205" s="47">
        <f t="shared" si="21"/>
        <v>9453.1921599999914</v>
      </c>
      <c r="O205" s="47">
        <f t="shared" si="22"/>
        <v>3150.5195238399997</v>
      </c>
      <c r="P205" s="47">
        <f t="shared" si="23"/>
        <v>20494.616696319998</v>
      </c>
      <c r="Q205" s="47">
        <f t="shared" si="24"/>
        <v>52559.652316159976</v>
      </c>
      <c r="R205" s="47"/>
      <c r="S205" s="47"/>
      <c r="T205" s="88"/>
    </row>
    <row r="206" spans="1:184" s="24" customFormat="1" ht="15.75">
      <c r="A206" s="89" t="s">
        <v>274</v>
      </c>
      <c r="B206" s="89" t="s">
        <v>248</v>
      </c>
      <c r="C206" s="95" t="s">
        <v>249</v>
      </c>
      <c r="D206" s="61">
        <v>68.388000000000005</v>
      </c>
      <c r="E206" s="61">
        <f>101.479-D206</f>
        <v>33.090999999999994</v>
      </c>
      <c r="F206" s="61">
        <v>10.638</v>
      </c>
      <c r="G206" s="61">
        <f>79.026-F206</f>
        <v>68.387999999999991</v>
      </c>
      <c r="H206" s="45">
        <f t="shared" si="19"/>
        <v>180.505</v>
      </c>
      <c r="I206" s="66">
        <v>4057.1648</v>
      </c>
      <c r="J206" s="66">
        <v>4219.4513919999999</v>
      </c>
      <c r="K206" s="66">
        <v>1495.8978216</v>
      </c>
      <c r="L206" s="66">
        <v>1555.733734464</v>
      </c>
      <c r="M206" s="47">
        <f t="shared" si="20"/>
        <v>175159.92611881922</v>
      </c>
      <c r="N206" s="47">
        <f t="shared" si="21"/>
        <v>84754.88558223439</v>
      </c>
      <c r="O206" s="47">
        <f t="shared" si="22"/>
        <v>28336.628440867968</v>
      </c>
      <c r="P206" s="47">
        <f t="shared" si="23"/>
        <v>182166.32316357194</v>
      </c>
      <c r="Q206" s="47">
        <f t="shared" si="24"/>
        <v>470417.76330549351</v>
      </c>
      <c r="R206" s="47"/>
      <c r="S206" s="47"/>
      <c r="T206" s="88"/>
    </row>
    <row r="207" spans="1:184" s="24" customFormat="1" ht="15.75">
      <c r="A207" s="89" t="s">
        <v>278</v>
      </c>
      <c r="B207" s="89" t="s">
        <v>243</v>
      </c>
      <c r="C207" s="95" t="s">
        <v>250</v>
      </c>
      <c r="D207" s="61">
        <v>108.432</v>
      </c>
      <c r="E207" s="61">
        <f>162.249-D207</f>
        <v>53.816999999999993</v>
      </c>
      <c r="F207" s="61">
        <v>12.077</v>
      </c>
      <c r="G207" s="61">
        <f>121.608-F207</f>
        <v>109.53100000000001</v>
      </c>
      <c r="H207" s="45">
        <f t="shared" si="19"/>
        <v>283.85699999999997</v>
      </c>
      <c r="I207" s="66">
        <v>3343.2776000000003</v>
      </c>
      <c r="J207" s="66">
        <v>3477.0087040000003</v>
      </c>
      <c r="K207" s="66">
        <v>1850.3535960000002</v>
      </c>
      <c r="L207" s="66">
        <v>1924.3677398400002</v>
      </c>
      <c r="M207" s="47">
        <f t="shared" si="20"/>
        <v>161880.73560172803</v>
      </c>
      <c r="N207" s="47">
        <f t="shared" si="21"/>
        <v>80344.691123268</v>
      </c>
      <c r="O207" s="47">
        <f t="shared" si="22"/>
        <v>18751.244924160321</v>
      </c>
      <c r="P207" s="47">
        <f t="shared" si="23"/>
        <v>170062.31744540899</v>
      </c>
      <c r="Q207" s="47">
        <f t="shared" si="24"/>
        <v>431038.98909456533</v>
      </c>
      <c r="R207" s="47"/>
      <c r="S207" s="47"/>
      <c r="T207" s="88"/>
    </row>
    <row r="208" spans="1:184" s="24" customFormat="1" ht="15.75">
      <c r="A208" s="89" t="s">
        <v>277</v>
      </c>
      <c r="B208" s="89" t="s">
        <v>243</v>
      </c>
      <c r="C208" s="95" t="s">
        <v>251</v>
      </c>
      <c r="D208" s="61">
        <v>146.178</v>
      </c>
      <c r="E208" s="61">
        <f>187.974-D208</f>
        <v>41.795999999999992</v>
      </c>
      <c r="F208" s="61">
        <v>29.762</v>
      </c>
      <c r="G208" s="61">
        <f>221.093-F208</f>
        <v>191.33099999999999</v>
      </c>
      <c r="H208" s="45">
        <f t="shared" si="19"/>
        <v>409.06700000000001</v>
      </c>
      <c r="I208" s="66">
        <v>3343.2776000000003</v>
      </c>
      <c r="J208" s="66">
        <v>3477.0087040000003</v>
      </c>
      <c r="K208" s="66">
        <v>1328.3850888000002</v>
      </c>
      <c r="L208" s="66">
        <v>1381.5204923520002</v>
      </c>
      <c r="M208" s="47">
        <f t="shared" si="20"/>
        <v>294532.95750219363</v>
      </c>
      <c r="N208" s="47">
        <f t="shared" si="21"/>
        <v>84214.447398115197</v>
      </c>
      <c r="O208" s="47">
        <f t="shared" si="22"/>
        <v>62365.920155067783</v>
      </c>
      <c r="P208" s="47">
        <f t="shared" si="23"/>
        <v>400931.8550228235</v>
      </c>
      <c r="Q208" s="47">
        <f t="shared" si="24"/>
        <v>842045.18007820006</v>
      </c>
      <c r="R208" s="47"/>
      <c r="S208" s="47"/>
      <c r="T208" s="88"/>
    </row>
    <row r="209" spans="1:20" s="24" customFormat="1" ht="15.75">
      <c r="A209" s="89" t="s">
        <v>274</v>
      </c>
      <c r="B209" s="89" t="s">
        <v>248</v>
      </c>
      <c r="C209" s="95" t="s">
        <v>252</v>
      </c>
      <c r="D209" s="61">
        <v>280.971</v>
      </c>
      <c r="E209" s="61">
        <f>416.925-D209</f>
        <v>135.95400000000001</v>
      </c>
      <c r="F209" s="61">
        <v>43.707000000000001</v>
      </c>
      <c r="G209" s="61">
        <f>324.678-F209</f>
        <v>280.971</v>
      </c>
      <c r="H209" s="45">
        <f t="shared" si="19"/>
        <v>741.60300000000007</v>
      </c>
      <c r="I209" s="66">
        <v>3329.1855999999998</v>
      </c>
      <c r="J209" s="66">
        <v>3462.353024</v>
      </c>
      <c r="K209" s="66">
        <v>1694.6313280000002</v>
      </c>
      <c r="L209" s="66">
        <v>1762.4165811200003</v>
      </c>
      <c r="M209" s="47">
        <f t="shared" si="20"/>
        <v>459262.34835811192</v>
      </c>
      <c r="N209" s="47">
        <f t="shared" si="21"/>
        <v>222224.19149548796</v>
      </c>
      <c r="O209" s="47">
        <f t="shared" si="22"/>
        <v>74299.122108956144</v>
      </c>
      <c r="P209" s="47">
        <f t="shared" si="23"/>
        <v>477632.8422924364</v>
      </c>
      <c r="Q209" s="47">
        <f t="shared" si="24"/>
        <v>1233418.5042549924</v>
      </c>
      <c r="R209" s="47"/>
      <c r="S209" s="47"/>
      <c r="T209" s="88"/>
    </row>
    <row r="210" spans="1:20" s="24" customFormat="1" ht="15.75">
      <c r="A210" s="89" t="s">
        <v>276</v>
      </c>
      <c r="B210" s="89" t="s">
        <v>253</v>
      </c>
      <c r="C210" s="95" t="s">
        <v>254</v>
      </c>
      <c r="D210" s="61">
        <v>458.59</v>
      </c>
      <c r="E210" s="61">
        <f>671.624-D210</f>
        <v>213.03400000000005</v>
      </c>
      <c r="F210" s="61">
        <v>67.546000000000006</v>
      </c>
      <c r="G210" s="61">
        <f>514.983-F210</f>
        <v>447.43699999999995</v>
      </c>
      <c r="H210" s="45">
        <f t="shared" si="19"/>
        <v>1186.607</v>
      </c>
      <c r="I210" s="66">
        <v>2349.7760000000003</v>
      </c>
      <c r="J210" s="66">
        <v>2443.7670400000002</v>
      </c>
      <c r="K210" s="66">
        <v>1266.1879776000003</v>
      </c>
      <c r="L210" s="66">
        <v>1316.8354967040004</v>
      </c>
      <c r="M210" s="47">
        <f t="shared" si="20"/>
        <v>496922.63119241595</v>
      </c>
      <c r="N210" s="47">
        <f t="shared" si="21"/>
        <v>230841.09076396166</v>
      </c>
      <c r="O210" s="47">
        <f t="shared" si="22"/>
        <v>76119.718023471607</v>
      </c>
      <c r="P210" s="47">
        <f t="shared" si="23"/>
        <v>504230.86893773219</v>
      </c>
      <c r="Q210" s="47">
        <f t="shared" si="24"/>
        <v>1308114.3089175816</v>
      </c>
      <c r="R210" s="47"/>
      <c r="S210" s="47"/>
      <c r="T210" s="88"/>
    </row>
    <row r="211" spans="1:20" s="24" customFormat="1" ht="15.75">
      <c r="A211" s="89">
        <v>2907014810</v>
      </c>
      <c r="B211" s="89" t="s">
        <v>243</v>
      </c>
      <c r="C211" s="95" t="s">
        <v>255</v>
      </c>
      <c r="D211" s="61">
        <v>832.79200000000003</v>
      </c>
      <c r="E211" s="61">
        <f>1237.703-D211</f>
        <v>404.91099999999994</v>
      </c>
      <c r="F211" s="61">
        <v>128.26499999999999</v>
      </c>
      <c r="G211" s="61">
        <f>957.355-F211</f>
        <v>829.09</v>
      </c>
      <c r="H211" s="45">
        <f t="shared" si="19"/>
        <v>2195.058</v>
      </c>
      <c r="I211" s="66">
        <v>3343.2776000000003</v>
      </c>
      <c r="J211" s="66">
        <v>3477.0087040000003</v>
      </c>
      <c r="K211" s="66">
        <v>1830.8850000000002</v>
      </c>
      <c r="L211" s="66">
        <v>1904.1204000000002</v>
      </c>
      <c r="M211" s="47">
        <f t="shared" si="20"/>
        <v>1259508.4581392002</v>
      </c>
      <c r="N211" s="47">
        <f t="shared" si="21"/>
        <v>612384.4000586</v>
      </c>
      <c r="O211" s="47">
        <f t="shared" si="22"/>
        <v>201746.51831255999</v>
      </c>
      <c r="P211" s="47">
        <f t="shared" si="23"/>
        <v>1304065.9639633601</v>
      </c>
      <c r="Q211" s="47">
        <f t="shared" si="24"/>
        <v>3377705.3404737203</v>
      </c>
      <c r="R211" s="47"/>
      <c r="S211" s="47"/>
      <c r="T211" s="88"/>
    </row>
    <row r="212" spans="1:20" s="24" customFormat="1" ht="15.75">
      <c r="A212" s="89" t="s">
        <v>46</v>
      </c>
      <c r="B212" s="89" t="s">
        <v>256</v>
      </c>
      <c r="C212" s="95" t="s">
        <v>257</v>
      </c>
      <c r="D212" s="61">
        <v>250.64099999999999</v>
      </c>
      <c r="E212" s="61">
        <f>374.614-D212</f>
        <v>123.97299999999998</v>
      </c>
      <c r="F212" s="61">
        <v>50.128</v>
      </c>
      <c r="G212" s="61">
        <f>296.551-F212</f>
        <v>246.423</v>
      </c>
      <c r="H212" s="45">
        <f t="shared" si="19"/>
        <v>671.16499999999996</v>
      </c>
      <c r="I212" s="66">
        <v>1679.0448133333334</v>
      </c>
      <c r="J212" s="66">
        <v>1746.2066058666669</v>
      </c>
      <c r="K212" s="66">
        <v>1286.7254400000004</v>
      </c>
      <c r="L212" s="66">
        <v>1338.1944576000005</v>
      </c>
      <c r="M212" s="47">
        <f t="shared" si="20"/>
        <v>98331.320051639923</v>
      </c>
      <c r="N212" s="47">
        <f t="shared" si="21"/>
        <v>48637.00967025329</v>
      </c>
      <c r="O212" s="47">
        <f t="shared" si="22"/>
        <v>20452.832968311453</v>
      </c>
      <c r="P212" s="47">
        <f t="shared" si="23"/>
        <v>100543.57761231673</v>
      </c>
      <c r="Q212" s="47">
        <f t="shared" si="24"/>
        <v>267964.74030252139</v>
      </c>
      <c r="R212" s="47"/>
      <c r="S212" s="47"/>
      <c r="T212" s="88"/>
    </row>
    <row r="213" spans="1:20" s="24" customFormat="1" ht="15.75">
      <c r="A213" s="89" t="s">
        <v>275</v>
      </c>
      <c r="B213" s="89" t="s">
        <v>243</v>
      </c>
      <c r="C213" s="95" t="s">
        <v>258</v>
      </c>
      <c r="D213" s="61">
        <v>566.34</v>
      </c>
      <c r="E213" s="61">
        <f>834.597-D213</f>
        <v>268.25699999999995</v>
      </c>
      <c r="F213" s="61">
        <v>88.16</v>
      </c>
      <c r="G213" s="61">
        <f>654.499-F213</f>
        <v>566.33900000000006</v>
      </c>
      <c r="H213" s="45">
        <f t="shared" si="19"/>
        <v>1489.096</v>
      </c>
      <c r="I213" s="66">
        <v>3343.2776000000003</v>
      </c>
      <c r="J213" s="66">
        <v>3477.0087040000003</v>
      </c>
      <c r="K213" s="66">
        <v>1705.4320920000002</v>
      </c>
      <c r="L213" s="66">
        <v>1773.6493756800003</v>
      </c>
      <c r="M213" s="47">
        <f t="shared" si="20"/>
        <v>927577.42500072008</v>
      </c>
      <c r="N213" s="47">
        <f t="shared" si="21"/>
        <v>439363.52243955596</v>
      </c>
      <c r="O213" s="47">
        <f t="shared" si="22"/>
        <v>150168.1583846912</v>
      </c>
      <c r="P213" s="47">
        <f t="shared" si="23"/>
        <v>964678.81864142057</v>
      </c>
      <c r="Q213" s="47">
        <f t="shared" si="24"/>
        <v>2481787.9244663878</v>
      </c>
      <c r="R213" s="47"/>
      <c r="S213" s="47"/>
      <c r="T213" s="88"/>
    </row>
    <row r="214" spans="1:20" s="24" customFormat="1" ht="15.75">
      <c r="A214" s="89" t="s">
        <v>10</v>
      </c>
      <c r="B214" s="89" t="s">
        <v>259</v>
      </c>
      <c r="C214" s="95" t="s">
        <v>260</v>
      </c>
      <c r="D214" s="61">
        <v>131.79</v>
      </c>
      <c r="E214" s="61">
        <f>194.86-D214</f>
        <v>63.070000000000022</v>
      </c>
      <c r="F214" s="61">
        <v>23.43</v>
      </c>
      <c r="G214" s="61">
        <f>155.22-F214</f>
        <v>131.79</v>
      </c>
      <c r="H214" s="45">
        <f t="shared" si="19"/>
        <v>350.08000000000004</v>
      </c>
      <c r="I214" s="66">
        <v>2482.9272000000001</v>
      </c>
      <c r="J214" s="66">
        <v>2582.2442880000003</v>
      </c>
      <c r="K214" s="66">
        <v>1988.6193600000004</v>
      </c>
      <c r="L214" s="66">
        <v>2068.1641344000004</v>
      </c>
      <c r="M214" s="47">
        <f t="shared" si="20"/>
        <v>65144.830233599962</v>
      </c>
      <c r="N214" s="47">
        <f t="shared" si="21"/>
        <v>31175.995468799993</v>
      </c>
      <c r="O214" s="47">
        <f t="shared" si="22"/>
        <v>12044.897998847997</v>
      </c>
      <c r="P214" s="47">
        <f t="shared" si="23"/>
        <v>67750.623442943979</v>
      </c>
      <c r="Q214" s="47">
        <f t="shared" si="24"/>
        <v>176116.34714419191</v>
      </c>
      <c r="R214" s="47"/>
      <c r="S214" s="47"/>
      <c r="T214" s="88"/>
    </row>
    <row r="215" spans="1:20" s="24" customFormat="1" ht="15.75">
      <c r="A215" s="89" t="s">
        <v>274</v>
      </c>
      <c r="B215" s="89" t="s">
        <v>248</v>
      </c>
      <c r="C215" s="95" t="s">
        <v>261</v>
      </c>
      <c r="D215" s="61">
        <v>661.90300000000002</v>
      </c>
      <c r="E215" s="61">
        <f>984.395-D215</f>
        <v>322.49199999999996</v>
      </c>
      <c r="F215" s="61">
        <v>101.879</v>
      </c>
      <c r="G215" s="61">
        <f>762.779-F215</f>
        <v>660.9</v>
      </c>
      <c r="H215" s="45">
        <f t="shared" si="19"/>
        <v>1747.174</v>
      </c>
      <c r="I215" s="66">
        <v>2183.8856000000001</v>
      </c>
      <c r="J215" s="66">
        <v>2271.2410239999999</v>
      </c>
      <c r="K215" s="66">
        <v>1571.9121600000003</v>
      </c>
      <c r="L215" s="66">
        <v>1634.7886464000003</v>
      </c>
      <c r="M215" s="47">
        <f t="shared" si="20"/>
        <v>405067.05585631984</v>
      </c>
      <c r="N215" s="47">
        <f t="shared" si="21"/>
        <v>197356.5386124799</v>
      </c>
      <c r="O215" s="47">
        <f t="shared" si="22"/>
        <v>64841.131777510367</v>
      </c>
      <c r="P215" s="47">
        <f t="shared" si="23"/>
        <v>420631.37635583972</v>
      </c>
      <c r="Q215" s="47">
        <f t="shared" si="24"/>
        <v>1087896.1026021498</v>
      </c>
      <c r="R215" s="47"/>
      <c r="S215" s="47"/>
      <c r="T215" s="88"/>
    </row>
    <row r="216" spans="1:20" s="24" customFormat="1" ht="15.75">
      <c r="A216" s="89" t="s">
        <v>2</v>
      </c>
      <c r="B216" s="89" t="s">
        <v>70</v>
      </c>
      <c r="C216" s="95" t="s">
        <v>262</v>
      </c>
      <c r="D216" s="61">
        <f>2409.134-386.194</f>
        <v>2022.94</v>
      </c>
      <c r="E216" s="61">
        <f>3429.789-D216</f>
        <v>1406.8490000000002</v>
      </c>
      <c r="F216" s="61">
        <v>351.32299999999998</v>
      </c>
      <c r="G216" s="61">
        <v>1756.614</v>
      </c>
      <c r="H216" s="45">
        <f t="shared" si="19"/>
        <v>5537.7260000000006</v>
      </c>
      <c r="I216" s="66">
        <v>3478.9176933333333</v>
      </c>
      <c r="J216" s="66">
        <v>3618.0744010666667</v>
      </c>
      <c r="K216" s="66">
        <v>1405.4790256000003</v>
      </c>
      <c r="L216" s="66">
        <v>1461.6981866240003</v>
      </c>
      <c r="M216" s="47">
        <f t="shared" si="20"/>
        <v>4194442.0185044687</v>
      </c>
      <c r="N216" s="47">
        <f t="shared" si="21"/>
        <v>2917015.1162619726</v>
      </c>
      <c r="O216" s="47">
        <f t="shared" si="22"/>
        <v>757584.56078664085</v>
      </c>
      <c r="P216" s="47">
        <f t="shared" si="23"/>
        <v>3787920.6475569899</v>
      </c>
      <c r="Q216" s="47">
        <f t="shared" si="24"/>
        <v>11656962.343110071</v>
      </c>
      <c r="R216" s="47"/>
      <c r="S216" s="47"/>
      <c r="T216" s="88"/>
    </row>
    <row r="217" spans="1:20" s="24" customFormat="1" ht="15.75">
      <c r="A217" s="70" t="s">
        <v>382</v>
      </c>
      <c r="B217" s="89" t="s">
        <v>424</v>
      </c>
      <c r="C217" s="95" t="s">
        <v>263</v>
      </c>
      <c r="D217" s="61">
        <v>6289.7309999999998</v>
      </c>
      <c r="E217" s="61">
        <f>8710.952-D217</f>
        <v>2421.2209999999995</v>
      </c>
      <c r="F217" s="61">
        <v>767.44299999999998</v>
      </c>
      <c r="G217" s="61">
        <f>5415.633-F217</f>
        <v>4648.1899999999996</v>
      </c>
      <c r="H217" s="45">
        <f t="shared" si="19"/>
        <v>14126.584999999999</v>
      </c>
      <c r="I217" s="66">
        <v>3700.3096</v>
      </c>
      <c r="J217" s="66">
        <v>3848.3219840000002</v>
      </c>
      <c r="K217" s="66">
        <v>2178.1620000000003</v>
      </c>
      <c r="L217" s="66">
        <v>2265.2884800000002</v>
      </c>
      <c r="M217" s="47">
        <f t="shared" si="20"/>
        <v>9573898.9462955985</v>
      </c>
      <c r="N217" s="47">
        <f t="shared" si="21"/>
        <v>3685455.7342195986</v>
      </c>
      <c r="O217" s="47">
        <f t="shared" si="22"/>
        <v>1214887.981410272</v>
      </c>
      <c r="P217" s="47">
        <f t="shared" si="23"/>
        <v>7358240.5029577594</v>
      </c>
      <c r="Q217" s="47">
        <f t="shared" si="24"/>
        <v>21832483.164883226</v>
      </c>
      <c r="R217" s="47"/>
      <c r="S217" s="47"/>
      <c r="T217" s="88"/>
    </row>
    <row r="218" spans="1:20" s="24" customFormat="1" ht="15.75">
      <c r="A218" s="89" t="s">
        <v>6</v>
      </c>
      <c r="B218" s="89" t="s">
        <v>264</v>
      </c>
      <c r="C218" s="95" t="s">
        <v>265</v>
      </c>
      <c r="D218" s="61">
        <v>155.4</v>
      </c>
      <c r="E218" s="61">
        <f>229.28-D218</f>
        <v>73.88</v>
      </c>
      <c r="F218" s="61">
        <v>30.17</v>
      </c>
      <c r="G218" s="61">
        <f>193.39-F218</f>
        <v>163.21999999999997</v>
      </c>
      <c r="H218" s="45">
        <f t="shared" si="19"/>
        <v>422.66999999999996</v>
      </c>
      <c r="I218" s="66">
        <v>2483.884</v>
      </c>
      <c r="J218" s="66">
        <v>2583.23936</v>
      </c>
      <c r="K218" s="66">
        <v>1640.840344</v>
      </c>
      <c r="L218" s="66">
        <v>1706.4739577600001</v>
      </c>
      <c r="M218" s="47">
        <f t="shared" si="20"/>
        <v>131008.98414240002</v>
      </c>
      <c r="N218" s="47">
        <f t="shared" si="21"/>
        <v>62284.065305279997</v>
      </c>
      <c r="O218" s="47">
        <f t="shared" si="22"/>
        <v>26452.012185580799</v>
      </c>
      <c r="P218" s="47">
        <f t="shared" si="23"/>
        <v>143105.64895361278</v>
      </c>
      <c r="Q218" s="47">
        <f t="shared" si="24"/>
        <v>362850.71058687358</v>
      </c>
      <c r="R218" s="47"/>
      <c r="S218" s="47"/>
      <c r="T218" s="88"/>
    </row>
    <row r="219" spans="1:20" s="24" customFormat="1" ht="15.75">
      <c r="A219" s="89" t="s">
        <v>273</v>
      </c>
      <c r="B219" s="89" t="s">
        <v>70</v>
      </c>
      <c r="C219" s="95" t="s">
        <v>265</v>
      </c>
      <c r="D219" s="61">
        <v>26403.424999999999</v>
      </c>
      <c r="E219" s="61">
        <f>39576.728-D219</f>
        <v>13173.303000000004</v>
      </c>
      <c r="F219" s="61">
        <v>0</v>
      </c>
      <c r="G219" s="61">
        <v>25187.68</v>
      </c>
      <c r="H219" s="45">
        <f t="shared" si="19"/>
        <v>64764.408000000003</v>
      </c>
      <c r="I219" s="66">
        <v>2939.8394133333331</v>
      </c>
      <c r="J219" s="66">
        <v>3057.4329898666665</v>
      </c>
      <c r="K219" s="66">
        <v>1382.24433</v>
      </c>
      <c r="L219" s="66">
        <v>1437.5341032000001</v>
      </c>
      <c r="M219" s="47">
        <f t="shared" si="20"/>
        <v>41125844.963160411</v>
      </c>
      <c r="N219" s="47">
        <f t="shared" si="21"/>
        <v>20518671.984060254</v>
      </c>
      <c r="O219" s="47">
        <f t="shared" si="22"/>
        <v>0</v>
      </c>
      <c r="P219" s="47">
        <f t="shared" si="23"/>
        <v>40801494.789716259</v>
      </c>
      <c r="Q219" s="47">
        <f t="shared" si="24"/>
        <v>102446011.73693693</v>
      </c>
      <c r="R219" s="47"/>
      <c r="S219" s="47"/>
      <c r="T219" s="88"/>
    </row>
    <row r="220" spans="1:20" s="24" customFormat="1" ht="15.75">
      <c r="A220" s="89" t="s">
        <v>272</v>
      </c>
      <c r="B220" s="89" t="s">
        <v>243</v>
      </c>
      <c r="C220" s="95" t="s">
        <v>266</v>
      </c>
      <c r="D220" s="61">
        <v>232.53700000000001</v>
      </c>
      <c r="E220" s="61">
        <f>345.05-D220</f>
        <v>112.51300000000001</v>
      </c>
      <c r="F220" s="61">
        <v>36.436</v>
      </c>
      <c r="G220" s="61">
        <f>265.266-F220</f>
        <v>228.83</v>
      </c>
      <c r="H220" s="45">
        <f t="shared" si="19"/>
        <v>610.31600000000003</v>
      </c>
      <c r="I220" s="66">
        <v>3343.2776000000003</v>
      </c>
      <c r="J220" s="66">
        <v>3477.0087040000003</v>
      </c>
      <c r="K220" s="66">
        <v>1640.3112252000001</v>
      </c>
      <c r="L220" s="66">
        <v>1705.9236742080002</v>
      </c>
      <c r="M220" s="47">
        <f t="shared" si="20"/>
        <v>396002.69189686765</v>
      </c>
      <c r="N220" s="47">
        <f t="shared" si="21"/>
        <v>191605.85572787243</v>
      </c>
      <c r="O220" s="47">
        <f t="shared" si="22"/>
        <v>64531.254145501312</v>
      </c>
      <c r="P220" s="47">
        <f t="shared" si="23"/>
        <v>405277.38736730342</v>
      </c>
      <c r="Q220" s="47">
        <f t="shared" si="24"/>
        <v>1057417.1891375447</v>
      </c>
      <c r="R220" s="47"/>
      <c r="S220" s="47"/>
      <c r="T220" s="88"/>
    </row>
    <row r="221" spans="1:20" s="24" customFormat="1" ht="15.75">
      <c r="A221" s="89" t="s">
        <v>272</v>
      </c>
      <c r="B221" s="89" t="s">
        <v>243</v>
      </c>
      <c r="C221" s="95" t="s">
        <v>267</v>
      </c>
      <c r="D221" s="61">
        <v>173.64400000000001</v>
      </c>
      <c r="E221" s="61">
        <f>254.332-D221</f>
        <v>80.687999999999988</v>
      </c>
      <c r="F221" s="61">
        <v>27.074000000000002</v>
      </c>
      <c r="G221" s="61">
        <f>195.817-F221</f>
        <v>168.74299999999999</v>
      </c>
      <c r="H221" s="45">
        <f t="shared" si="19"/>
        <v>450.149</v>
      </c>
      <c r="I221" s="66">
        <v>3343.2776000000003</v>
      </c>
      <c r="J221" s="66">
        <v>3477.0087040000003</v>
      </c>
      <c r="K221" s="66">
        <v>1392.7302900000002</v>
      </c>
      <c r="L221" s="66">
        <v>1448.4395016000003</v>
      </c>
      <c r="M221" s="47">
        <f t="shared" si="20"/>
        <v>338700.83709764003</v>
      </c>
      <c r="N221" s="47">
        <f t="shared" si="21"/>
        <v>157385.76134927999</v>
      </c>
      <c r="O221" s="47">
        <f t="shared" si="22"/>
        <v>54921.482585777601</v>
      </c>
      <c r="P221" s="47">
        <f t="shared" si="23"/>
        <v>342306.85292058322</v>
      </c>
      <c r="Q221" s="47">
        <f t="shared" si="24"/>
        <v>893314.93395328091</v>
      </c>
      <c r="R221" s="47"/>
      <c r="S221" s="47"/>
      <c r="T221" s="88"/>
    </row>
    <row r="222" spans="1:20" s="24" customFormat="1" ht="15.75">
      <c r="A222" s="89" t="s">
        <v>271</v>
      </c>
      <c r="B222" s="89" t="s">
        <v>268</v>
      </c>
      <c r="C222" s="95" t="s">
        <v>265</v>
      </c>
      <c r="D222" s="61">
        <v>324.13499999999999</v>
      </c>
      <c r="E222" s="61">
        <f>456.897-D222</f>
        <v>132.762</v>
      </c>
      <c r="F222" s="61">
        <v>15.795</v>
      </c>
      <c r="G222" s="61">
        <f>258.23-F222</f>
        <v>242.43500000000003</v>
      </c>
      <c r="H222" s="45">
        <f t="shared" si="19"/>
        <v>715.12700000000007</v>
      </c>
      <c r="I222" s="66">
        <v>2896.6079999999997</v>
      </c>
      <c r="J222" s="66">
        <v>3012.4723199999999</v>
      </c>
      <c r="K222" s="66">
        <v>1640.8359</v>
      </c>
      <c r="L222" s="66">
        <v>1706.4693360000001</v>
      </c>
      <c r="M222" s="47">
        <f t="shared" si="20"/>
        <v>407039.68963349989</v>
      </c>
      <c r="N222" s="47">
        <f t="shared" si="21"/>
        <v>166718.81554019995</v>
      </c>
      <c r="O222" s="47">
        <f t="shared" si="22"/>
        <v>20628.317132279997</v>
      </c>
      <c r="P222" s="47">
        <f t="shared" si="23"/>
        <v>316620.83342603996</v>
      </c>
      <c r="Q222" s="47">
        <f t="shared" si="24"/>
        <v>911007.6557320198</v>
      </c>
      <c r="R222" s="47"/>
      <c r="S222" s="47"/>
      <c r="T222" s="88"/>
    </row>
    <row r="223" spans="1:20" s="24" customFormat="1" ht="15.75">
      <c r="A223" s="89" t="s">
        <v>270</v>
      </c>
      <c r="B223" s="89" t="s">
        <v>269</v>
      </c>
      <c r="C223" s="95" t="s">
        <v>263</v>
      </c>
      <c r="D223" s="61">
        <v>834.03899999999999</v>
      </c>
      <c r="E223" s="61">
        <f>1204.893-D223</f>
        <v>370.85400000000004</v>
      </c>
      <c r="F223" s="61">
        <v>158.06899999999999</v>
      </c>
      <c r="G223" s="61">
        <f>935.928-F223</f>
        <v>777.85900000000004</v>
      </c>
      <c r="H223" s="45">
        <f t="shared" si="19"/>
        <v>2140.8209999999999</v>
      </c>
      <c r="I223" s="66">
        <v>4439.5311999999994</v>
      </c>
      <c r="J223" s="66">
        <v>4617.1124479999999</v>
      </c>
      <c r="K223" s="66">
        <v>2153.1924960000001</v>
      </c>
      <c r="L223" s="66">
        <v>2239.32019584</v>
      </c>
      <c r="M223" s="47">
        <f t="shared" si="20"/>
        <v>1906895.6463454554</v>
      </c>
      <c r="N223" s="47">
        <f t="shared" si="21"/>
        <v>847897.85373321583</v>
      </c>
      <c r="O223" s="47">
        <f t="shared" si="22"/>
        <v>375855.24350667896</v>
      </c>
      <c r="P223" s="47">
        <f t="shared" si="23"/>
        <v>1849587.1034729255</v>
      </c>
      <c r="Q223" s="47">
        <f t="shared" si="24"/>
        <v>4980235.8470582757</v>
      </c>
      <c r="R223" s="47"/>
      <c r="S223" s="47"/>
      <c r="T223" s="88"/>
    </row>
    <row r="224" spans="1:20" s="24" customFormat="1" ht="15.75">
      <c r="A224" s="89" t="s">
        <v>402</v>
      </c>
      <c r="B224" s="89" t="s">
        <v>401</v>
      </c>
      <c r="C224" s="95" t="s">
        <v>262</v>
      </c>
      <c r="D224" s="61">
        <f>45.1773333333333*0.6</f>
        <v>27.106399999999979</v>
      </c>
      <c r="E224" s="61">
        <f>45.1773333333333*0.4</f>
        <v>18.070933333333322</v>
      </c>
      <c r="F224" s="61">
        <f>45.906*0.2</f>
        <v>9.1812000000000005</v>
      </c>
      <c r="G224" s="61">
        <f>45.906*0.8</f>
        <v>36.724800000000002</v>
      </c>
      <c r="H224" s="45">
        <f t="shared" si="19"/>
        <v>91.0833333333333</v>
      </c>
      <c r="I224" s="66">
        <v>3053.269565017124</v>
      </c>
      <c r="J224" s="66">
        <v>3175.4003476178091</v>
      </c>
      <c r="K224" s="66">
        <v>1656.7678460400002</v>
      </c>
      <c r="L224" s="66">
        <v>1723.0385598816003</v>
      </c>
      <c r="M224" s="47">
        <f t="shared" si="20"/>
        <v>37854.134195281476</v>
      </c>
      <c r="N224" s="47">
        <f t="shared" si="21"/>
        <v>25236.089463520992</v>
      </c>
      <c r="O224" s="47">
        <f t="shared" si="22"/>
        <v>13334.424045563681</v>
      </c>
      <c r="P224" s="47">
        <f t="shared" si="23"/>
        <v>53337.696182254724</v>
      </c>
      <c r="Q224" s="47">
        <f t="shared" si="24"/>
        <v>129762.34388662086</v>
      </c>
      <c r="R224" s="47"/>
      <c r="S224" s="47"/>
      <c r="T224" s="88"/>
    </row>
    <row r="225" spans="1:20" s="24" customFormat="1" ht="15.75">
      <c r="A225" s="112" t="s">
        <v>390</v>
      </c>
      <c r="B225" s="112"/>
      <c r="C225" s="95"/>
      <c r="D225" s="61"/>
      <c r="E225" s="61"/>
      <c r="F225" s="61"/>
      <c r="G225" s="61"/>
      <c r="H225" s="45">
        <f t="shared" si="19"/>
        <v>0</v>
      </c>
      <c r="I225" s="66"/>
      <c r="J225" s="66"/>
      <c r="K225" s="66"/>
      <c r="L225" s="66"/>
      <c r="M225" s="47">
        <f t="shared" si="20"/>
        <v>0</v>
      </c>
      <c r="N225" s="47">
        <f t="shared" si="21"/>
        <v>0</v>
      </c>
      <c r="O225" s="47">
        <f t="shared" si="22"/>
        <v>0</v>
      </c>
      <c r="P225" s="47">
        <f t="shared" si="23"/>
        <v>0</v>
      </c>
      <c r="Q225" s="47">
        <f t="shared" si="24"/>
        <v>0</v>
      </c>
      <c r="R225" s="47"/>
      <c r="S225" s="47"/>
      <c r="T225" s="88"/>
    </row>
    <row r="226" spans="1:20" s="24" customFormat="1" ht="15.75">
      <c r="A226" s="53">
        <v>7729314745</v>
      </c>
      <c r="B226" s="53" t="s">
        <v>391</v>
      </c>
      <c r="C226" s="95"/>
      <c r="D226" s="45">
        <f>523.721*0.6</f>
        <v>314.23259999999999</v>
      </c>
      <c r="E226" s="45">
        <f>523.721*0.4</f>
        <v>209.48840000000001</v>
      </c>
      <c r="F226" s="45">
        <f>428.499*0.2</f>
        <v>85.69980000000001</v>
      </c>
      <c r="G226" s="45">
        <f>428.499*0.8</f>
        <v>342.79920000000004</v>
      </c>
      <c r="H226" s="45">
        <f t="shared" si="19"/>
        <v>952.22</v>
      </c>
      <c r="I226" s="66">
        <v>4832.92</v>
      </c>
      <c r="J226" s="66">
        <v>5026.2299999999996</v>
      </c>
      <c r="K226" s="66">
        <v>1474.15</v>
      </c>
      <c r="L226" s="66">
        <v>1533.12</v>
      </c>
      <c r="M226" s="47">
        <f t="shared" si="20"/>
        <v>1055435.029902</v>
      </c>
      <c r="N226" s="47">
        <f t="shared" si="21"/>
        <v>703623.35326800006</v>
      </c>
      <c r="O226" s="47">
        <f t="shared" si="22"/>
        <v>299358.82837800001</v>
      </c>
      <c r="P226" s="47">
        <f t="shared" si="23"/>
        <v>1197435.313512</v>
      </c>
      <c r="Q226" s="47">
        <f t="shared" si="24"/>
        <v>3255852.5250599999</v>
      </c>
      <c r="R226" s="47"/>
      <c r="S226" s="47"/>
      <c r="T226" s="88"/>
    </row>
    <row r="227" spans="1:20" s="24" customFormat="1" ht="15.75">
      <c r="A227" s="112" t="s">
        <v>393</v>
      </c>
      <c r="B227" s="112"/>
      <c r="C227" s="95"/>
      <c r="D227" s="61"/>
      <c r="E227" s="61"/>
      <c r="F227" s="61"/>
      <c r="G227" s="61"/>
      <c r="H227" s="45">
        <f t="shared" si="19"/>
        <v>0</v>
      </c>
      <c r="I227" s="66"/>
      <c r="J227" s="66"/>
      <c r="K227" s="66"/>
      <c r="L227" s="66"/>
      <c r="M227" s="47">
        <f t="shared" si="20"/>
        <v>0</v>
      </c>
      <c r="N227" s="47">
        <f t="shared" si="21"/>
        <v>0</v>
      </c>
      <c r="O227" s="47">
        <f t="shared" si="22"/>
        <v>0</v>
      </c>
      <c r="P227" s="47">
        <f t="shared" si="23"/>
        <v>0</v>
      </c>
      <c r="Q227" s="47">
        <f t="shared" si="24"/>
        <v>0</v>
      </c>
      <c r="R227" s="47"/>
      <c r="S227" s="47"/>
      <c r="T227" s="88"/>
    </row>
    <row r="228" spans="1:20" s="24" customFormat="1" ht="15.75">
      <c r="A228" s="53">
        <v>7729314745</v>
      </c>
      <c r="B228" s="53" t="s">
        <v>391</v>
      </c>
      <c r="C228" s="95"/>
      <c r="D228" s="45">
        <f>8464.885*0.6</f>
        <v>5078.9309999999996</v>
      </c>
      <c r="E228" s="45">
        <f>8464.885*0.4</f>
        <v>3385.9540000000002</v>
      </c>
      <c r="F228" s="45">
        <f>6925.815*0.2</f>
        <v>1385.163</v>
      </c>
      <c r="G228" s="45">
        <f>6925.815*0.8</f>
        <v>5540.652</v>
      </c>
      <c r="H228" s="45">
        <f t="shared" si="19"/>
        <v>15390.7</v>
      </c>
      <c r="I228" s="66">
        <v>7171.42</v>
      </c>
      <c r="J228" s="66">
        <v>7458.28</v>
      </c>
      <c r="K228" s="66">
        <v>1993.14</v>
      </c>
      <c r="L228" s="66">
        <v>2072.86</v>
      </c>
      <c r="M228" s="47">
        <f t="shared" si="20"/>
        <v>26300126.818679996</v>
      </c>
      <c r="N228" s="47">
        <f t="shared" si="21"/>
        <v>17533417.87912</v>
      </c>
      <c r="O228" s="47">
        <f t="shared" si="22"/>
        <v>7459684.5234599998</v>
      </c>
      <c r="P228" s="47">
        <f t="shared" si="23"/>
        <v>29838738.093839999</v>
      </c>
      <c r="Q228" s="47">
        <f t="shared" si="24"/>
        <v>81131967.315099999</v>
      </c>
      <c r="R228" s="47"/>
      <c r="S228" s="47"/>
      <c r="T228" s="88"/>
    </row>
    <row r="229" spans="1:20" s="27" customFormat="1">
      <c r="A229" s="112" t="s">
        <v>49</v>
      </c>
      <c r="B229" s="112"/>
      <c r="C229" s="39"/>
      <c r="D229" s="85">
        <f>SUM(D9:D228)</f>
        <v>416570.66014814458</v>
      </c>
      <c r="E229" s="85">
        <f>SUM(E9:E223)</f>
        <v>218652.29715876302</v>
      </c>
      <c r="F229" s="85">
        <f>SUM(F9:F223)</f>
        <v>90014.52388787875</v>
      </c>
      <c r="G229" s="85">
        <f>SUM(G9:G223)</f>
        <v>363514.97221221362</v>
      </c>
      <c r="H229" s="85">
        <f>SUM(H9:H228)</f>
        <v>1099766.1867403334</v>
      </c>
      <c r="I229" s="86"/>
      <c r="J229" s="86"/>
      <c r="K229" s="86"/>
      <c r="L229" s="86"/>
      <c r="M229" s="86">
        <f>SUM(M9:M228)</f>
        <v>803777269.73249626</v>
      </c>
      <c r="N229" s="86">
        <f>SUM(N9:N228)</f>
        <v>423693944.51818854</v>
      </c>
      <c r="O229" s="86">
        <f t="shared" ref="O229:Q229" si="25">SUM(O9:O228)</f>
        <v>172733555.09861282</v>
      </c>
      <c r="P229" s="86">
        <f t="shared" si="25"/>
        <v>743626039.20623624</v>
      </c>
      <c r="Q229" s="86">
        <f t="shared" si="25"/>
        <v>2143830808.5555339</v>
      </c>
      <c r="R229" s="86">
        <f>'2019'!V229</f>
        <v>255713212.72025272</v>
      </c>
      <c r="S229" s="86">
        <f>P229*0.36</f>
        <v>267705374.11424503</v>
      </c>
      <c r="T229" s="86">
        <f>Q229+R229-S229</f>
        <v>2131838647.1615415</v>
      </c>
    </row>
    <row r="230" spans="1:20" ht="18" customHeight="1">
      <c r="T230" s="12"/>
    </row>
    <row r="231" spans="1:20" ht="18" customHeight="1">
      <c r="H231" s="10"/>
      <c r="T231" s="13"/>
    </row>
  </sheetData>
  <autoFilter ref="A7:T229"/>
  <mergeCells count="36">
    <mergeCell ref="T5:T6"/>
    <mergeCell ref="A8:C8"/>
    <mergeCell ref="A15:C15"/>
    <mergeCell ref="A25:C25"/>
    <mergeCell ref="A33:C33"/>
    <mergeCell ref="I5:J5"/>
    <mergeCell ref="K5:L5"/>
    <mergeCell ref="M5:Q5"/>
    <mergeCell ref="R5:R6"/>
    <mergeCell ref="S5:S6"/>
    <mergeCell ref="A43:C43"/>
    <mergeCell ref="A5:A6"/>
    <mergeCell ref="B5:B6"/>
    <mergeCell ref="C5:C6"/>
    <mergeCell ref="D5:H5"/>
    <mergeCell ref="A202:B202"/>
    <mergeCell ref="A229:B229"/>
    <mergeCell ref="A225:B225"/>
    <mergeCell ref="A227:B227"/>
    <mergeCell ref="A149:C149"/>
    <mergeCell ref="D3:K3"/>
    <mergeCell ref="A154:C154"/>
    <mergeCell ref="A168:C168"/>
    <mergeCell ref="A187:C187"/>
    <mergeCell ref="A195:C195"/>
    <mergeCell ref="A55:C55"/>
    <mergeCell ref="A67:C67"/>
    <mergeCell ref="A70:C70"/>
    <mergeCell ref="A74:C74"/>
    <mergeCell ref="A81:C81"/>
    <mergeCell ref="A83:C83"/>
    <mergeCell ref="A86:C86"/>
    <mergeCell ref="A89:C89"/>
    <mergeCell ref="A95:C95"/>
    <mergeCell ref="A107:C107"/>
    <mergeCell ref="A125:C125"/>
  </mergeCells>
  <pageMargins left="0.19685039370078741" right="0.19685039370078741" top="0.98425196850393704" bottom="0.59055118110236227" header="0.31496062992125984" footer="0.31496062992125984"/>
  <pageSetup paperSize="9" scale="53" fitToHeight="0" orientation="landscape" r:id="rId1"/>
  <headerFooter>
    <oddFooter>&amp;C&amp;P</oddFooter>
  </headerFooter>
  <colBreaks count="1" manualBreakCount="1">
    <brk id="1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B233"/>
  <sheetViews>
    <sheetView view="pageBreakPreview" zoomScale="60" zoomScaleNormal="10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RowHeight="15"/>
  <cols>
    <col min="1" max="1" width="17.7109375" style="8" customWidth="1"/>
    <col min="2" max="2" width="48.5703125" style="9" customWidth="1"/>
    <col min="3" max="3" width="26.85546875" style="7" customWidth="1"/>
    <col min="4" max="4" width="17" style="7" customWidth="1"/>
    <col min="5" max="5" width="16.7109375" style="7" customWidth="1"/>
    <col min="6" max="6" width="15.28515625" style="7" customWidth="1"/>
    <col min="7" max="7" width="17.5703125" style="7" customWidth="1"/>
    <col min="8" max="8" width="19.5703125" style="7" customWidth="1"/>
    <col min="9" max="9" width="23.5703125" style="23" customWidth="1"/>
    <col min="10" max="10" width="19.28515625" style="23" customWidth="1"/>
    <col min="11" max="11" width="21.140625" style="23" customWidth="1"/>
    <col min="12" max="12" width="20.140625" style="23" customWidth="1"/>
    <col min="13" max="13" width="22.42578125" style="7" customWidth="1"/>
    <col min="14" max="16" width="22.140625" style="7" customWidth="1"/>
    <col min="17" max="17" width="23.7109375" style="7" customWidth="1"/>
    <col min="18" max="18" width="20.28515625" style="7" customWidth="1"/>
    <col min="19" max="19" width="21.140625" style="7" customWidth="1"/>
    <col min="20" max="20" width="23.5703125" style="7" customWidth="1"/>
    <col min="21" max="246" width="9.140625" style="7"/>
    <col min="247" max="247" width="13.28515625" style="7" customWidth="1"/>
    <col min="248" max="248" width="34.7109375" style="7" customWidth="1"/>
    <col min="249" max="249" width="26.85546875" style="7" customWidth="1"/>
    <col min="250" max="258" width="15.140625" style="7" customWidth="1"/>
    <col min="259" max="259" width="14" style="7" customWidth="1"/>
    <col min="260" max="260" width="13.42578125" style="7" customWidth="1"/>
    <col min="261" max="262" width="15" style="7" customWidth="1"/>
    <col min="263" max="263" width="16.5703125" style="7" customWidth="1"/>
    <col min="264" max="267" width="18.7109375" style="7" customWidth="1"/>
    <col min="268" max="502" width="9.140625" style="7"/>
    <col min="503" max="503" width="13.28515625" style="7" customWidth="1"/>
    <col min="504" max="504" width="34.7109375" style="7" customWidth="1"/>
    <col min="505" max="505" width="26.85546875" style="7" customWidth="1"/>
    <col min="506" max="514" width="15.140625" style="7" customWidth="1"/>
    <col min="515" max="515" width="14" style="7" customWidth="1"/>
    <col min="516" max="516" width="13.42578125" style="7" customWidth="1"/>
    <col min="517" max="518" width="15" style="7" customWidth="1"/>
    <col min="519" max="519" width="16.5703125" style="7" customWidth="1"/>
    <col min="520" max="523" width="18.7109375" style="7" customWidth="1"/>
    <col min="524" max="758" width="9.140625" style="7"/>
    <col min="759" max="759" width="13.28515625" style="7" customWidth="1"/>
    <col min="760" max="760" width="34.7109375" style="7" customWidth="1"/>
    <col min="761" max="761" width="26.85546875" style="7" customWidth="1"/>
    <col min="762" max="770" width="15.140625" style="7" customWidth="1"/>
    <col min="771" max="771" width="14" style="7" customWidth="1"/>
    <col min="772" max="772" width="13.42578125" style="7" customWidth="1"/>
    <col min="773" max="774" width="15" style="7" customWidth="1"/>
    <col min="775" max="775" width="16.5703125" style="7" customWidth="1"/>
    <col min="776" max="779" width="18.7109375" style="7" customWidth="1"/>
    <col min="780" max="1014" width="9.140625" style="7"/>
    <col min="1015" max="1015" width="13.28515625" style="7" customWidth="1"/>
    <col min="1016" max="1016" width="34.7109375" style="7" customWidth="1"/>
    <col min="1017" max="1017" width="26.85546875" style="7" customWidth="1"/>
    <col min="1018" max="1026" width="15.140625" style="7" customWidth="1"/>
    <col min="1027" max="1027" width="14" style="7" customWidth="1"/>
    <col min="1028" max="1028" width="13.42578125" style="7" customWidth="1"/>
    <col min="1029" max="1030" width="15" style="7" customWidth="1"/>
    <col min="1031" max="1031" width="16.5703125" style="7" customWidth="1"/>
    <col min="1032" max="1035" width="18.7109375" style="7" customWidth="1"/>
    <col min="1036" max="1270" width="9.140625" style="7"/>
    <col min="1271" max="1271" width="13.28515625" style="7" customWidth="1"/>
    <col min="1272" max="1272" width="34.7109375" style="7" customWidth="1"/>
    <col min="1273" max="1273" width="26.85546875" style="7" customWidth="1"/>
    <col min="1274" max="1282" width="15.140625" style="7" customWidth="1"/>
    <col min="1283" max="1283" width="14" style="7" customWidth="1"/>
    <col min="1284" max="1284" width="13.42578125" style="7" customWidth="1"/>
    <col min="1285" max="1286" width="15" style="7" customWidth="1"/>
    <col min="1287" max="1287" width="16.5703125" style="7" customWidth="1"/>
    <col min="1288" max="1291" width="18.7109375" style="7" customWidth="1"/>
    <col min="1292" max="1526" width="9.140625" style="7"/>
    <col min="1527" max="1527" width="13.28515625" style="7" customWidth="1"/>
    <col min="1528" max="1528" width="34.7109375" style="7" customWidth="1"/>
    <col min="1529" max="1529" width="26.85546875" style="7" customWidth="1"/>
    <col min="1530" max="1538" width="15.140625" style="7" customWidth="1"/>
    <col min="1539" max="1539" width="14" style="7" customWidth="1"/>
    <col min="1540" max="1540" width="13.42578125" style="7" customWidth="1"/>
    <col min="1541" max="1542" width="15" style="7" customWidth="1"/>
    <col min="1543" max="1543" width="16.5703125" style="7" customWidth="1"/>
    <col min="1544" max="1547" width="18.7109375" style="7" customWidth="1"/>
    <col min="1548" max="1782" width="9.140625" style="7"/>
    <col min="1783" max="1783" width="13.28515625" style="7" customWidth="1"/>
    <col min="1784" max="1784" width="34.7109375" style="7" customWidth="1"/>
    <col min="1785" max="1785" width="26.85546875" style="7" customWidth="1"/>
    <col min="1786" max="1794" width="15.140625" style="7" customWidth="1"/>
    <col min="1795" max="1795" width="14" style="7" customWidth="1"/>
    <col min="1796" max="1796" width="13.42578125" style="7" customWidth="1"/>
    <col min="1797" max="1798" width="15" style="7" customWidth="1"/>
    <col min="1799" max="1799" width="16.5703125" style="7" customWidth="1"/>
    <col min="1800" max="1803" width="18.7109375" style="7" customWidth="1"/>
    <col min="1804" max="2038" width="9.140625" style="7"/>
    <col min="2039" max="2039" width="13.28515625" style="7" customWidth="1"/>
    <col min="2040" max="2040" width="34.7109375" style="7" customWidth="1"/>
    <col min="2041" max="2041" width="26.85546875" style="7" customWidth="1"/>
    <col min="2042" max="2050" width="15.140625" style="7" customWidth="1"/>
    <col min="2051" max="2051" width="14" style="7" customWidth="1"/>
    <col min="2052" max="2052" width="13.42578125" style="7" customWidth="1"/>
    <col min="2053" max="2054" width="15" style="7" customWidth="1"/>
    <col min="2055" max="2055" width="16.5703125" style="7" customWidth="1"/>
    <col min="2056" max="2059" width="18.7109375" style="7" customWidth="1"/>
    <col min="2060" max="2294" width="9.140625" style="7"/>
    <col min="2295" max="2295" width="13.28515625" style="7" customWidth="1"/>
    <col min="2296" max="2296" width="34.7109375" style="7" customWidth="1"/>
    <col min="2297" max="2297" width="26.85546875" style="7" customWidth="1"/>
    <col min="2298" max="2306" width="15.140625" style="7" customWidth="1"/>
    <col min="2307" max="2307" width="14" style="7" customWidth="1"/>
    <col min="2308" max="2308" width="13.42578125" style="7" customWidth="1"/>
    <col min="2309" max="2310" width="15" style="7" customWidth="1"/>
    <col min="2311" max="2311" width="16.5703125" style="7" customWidth="1"/>
    <col min="2312" max="2315" width="18.7109375" style="7" customWidth="1"/>
    <col min="2316" max="2550" width="9.140625" style="7"/>
    <col min="2551" max="2551" width="13.28515625" style="7" customWidth="1"/>
    <col min="2552" max="2552" width="34.7109375" style="7" customWidth="1"/>
    <col min="2553" max="2553" width="26.85546875" style="7" customWidth="1"/>
    <col min="2554" max="2562" width="15.140625" style="7" customWidth="1"/>
    <col min="2563" max="2563" width="14" style="7" customWidth="1"/>
    <col min="2564" max="2564" width="13.42578125" style="7" customWidth="1"/>
    <col min="2565" max="2566" width="15" style="7" customWidth="1"/>
    <col min="2567" max="2567" width="16.5703125" style="7" customWidth="1"/>
    <col min="2568" max="2571" width="18.7109375" style="7" customWidth="1"/>
    <col min="2572" max="2806" width="9.140625" style="7"/>
    <col min="2807" max="2807" width="13.28515625" style="7" customWidth="1"/>
    <col min="2808" max="2808" width="34.7109375" style="7" customWidth="1"/>
    <col min="2809" max="2809" width="26.85546875" style="7" customWidth="1"/>
    <col min="2810" max="2818" width="15.140625" style="7" customWidth="1"/>
    <col min="2819" max="2819" width="14" style="7" customWidth="1"/>
    <col min="2820" max="2820" width="13.42578125" style="7" customWidth="1"/>
    <col min="2821" max="2822" width="15" style="7" customWidth="1"/>
    <col min="2823" max="2823" width="16.5703125" style="7" customWidth="1"/>
    <col min="2824" max="2827" width="18.7109375" style="7" customWidth="1"/>
    <col min="2828" max="3062" width="9.140625" style="7"/>
    <col min="3063" max="3063" width="13.28515625" style="7" customWidth="1"/>
    <col min="3064" max="3064" width="34.7109375" style="7" customWidth="1"/>
    <col min="3065" max="3065" width="26.85546875" style="7" customWidth="1"/>
    <col min="3066" max="3074" width="15.140625" style="7" customWidth="1"/>
    <col min="3075" max="3075" width="14" style="7" customWidth="1"/>
    <col min="3076" max="3076" width="13.42578125" style="7" customWidth="1"/>
    <col min="3077" max="3078" width="15" style="7" customWidth="1"/>
    <col min="3079" max="3079" width="16.5703125" style="7" customWidth="1"/>
    <col min="3080" max="3083" width="18.7109375" style="7" customWidth="1"/>
    <col min="3084" max="3318" width="9.140625" style="7"/>
    <col min="3319" max="3319" width="13.28515625" style="7" customWidth="1"/>
    <col min="3320" max="3320" width="34.7109375" style="7" customWidth="1"/>
    <col min="3321" max="3321" width="26.85546875" style="7" customWidth="1"/>
    <col min="3322" max="3330" width="15.140625" style="7" customWidth="1"/>
    <col min="3331" max="3331" width="14" style="7" customWidth="1"/>
    <col min="3332" max="3332" width="13.42578125" style="7" customWidth="1"/>
    <col min="3333" max="3334" width="15" style="7" customWidth="1"/>
    <col min="3335" max="3335" width="16.5703125" style="7" customWidth="1"/>
    <col min="3336" max="3339" width="18.7109375" style="7" customWidth="1"/>
    <col min="3340" max="3574" width="9.140625" style="7"/>
    <col min="3575" max="3575" width="13.28515625" style="7" customWidth="1"/>
    <col min="3576" max="3576" width="34.7109375" style="7" customWidth="1"/>
    <col min="3577" max="3577" width="26.85546875" style="7" customWidth="1"/>
    <col min="3578" max="3586" width="15.140625" style="7" customWidth="1"/>
    <col min="3587" max="3587" width="14" style="7" customWidth="1"/>
    <col min="3588" max="3588" width="13.42578125" style="7" customWidth="1"/>
    <col min="3589" max="3590" width="15" style="7" customWidth="1"/>
    <col min="3591" max="3591" width="16.5703125" style="7" customWidth="1"/>
    <col min="3592" max="3595" width="18.7109375" style="7" customWidth="1"/>
    <col min="3596" max="3830" width="9.140625" style="7"/>
    <col min="3831" max="3831" width="13.28515625" style="7" customWidth="1"/>
    <col min="3832" max="3832" width="34.7109375" style="7" customWidth="1"/>
    <col min="3833" max="3833" width="26.85546875" style="7" customWidth="1"/>
    <col min="3834" max="3842" width="15.140625" style="7" customWidth="1"/>
    <col min="3843" max="3843" width="14" style="7" customWidth="1"/>
    <col min="3844" max="3844" width="13.42578125" style="7" customWidth="1"/>
    <col min="3845" max="3846" width="15" style="7" customWidth="1"/>
    <col min="3847" max="3847" width="16.5703125" style="7" customWidth="1"/>
    <col min="3848" max="3851" width="18.7109375" style="7" customWidth="1"/>
    <col min="3852" max="4086" width="9.140625" style="7"/>
    <col min="4087" max="4087" width="13.28515625" style="7" customWidth="1"/>
    <col min="4088" max="4088" width="34.7109375" style="7" customWidth="1"/>
    <col min="4089" max="4089" width="26.85546875" style="7" customWidth="1"/>
    <col min="4090" max="4098" width="15.140625" style="7" customWidth="1"/>
    <col min="4099" max="4099" width="14" style="7" customWidth="1"/>
    <col min="4100" max="4100" width="13.42578125" style="7" customWidth="1"/>
    <col min="4101" max="4102" width="15" style="7" customWidth="1"/>
    <col min="4103" max="4103" width="16.5703125" style="7" customWidth="1"/>
    <col min="4104" max="4107" width="18.7109375" style="7" customWidth="1"/>
    <col min="4108" max="4342" width="9.140625" style="7"/>
    <col min="4343" max="4343" width="13.28515625" style="7" customWidth="1"/>
    <col min="4344" max="4344" width="34.7109375" style="7" customWidth="1"/>
    <col min="4345" max="4345" width="26.85546875" style="7" customWidth="1"/>
    <col min="4346" max="4354" width="15.140625" style="7" customWidth="1"/>
    <col min="4355" max="4355" width="14" style="7" customWidth="1"/>
    <col min="4356" max="4356" width="13.42578125" style="7" customWidth="1"/>
    <col min="4357" max="4358" width="15" style="7" customWidth="1"/>
    <col min="4359" max="4359" width="16.5703125" style="7" customWidth="1"/>
    <col min="4360" max="4363" width="18.7109375" style="7" customWidth="1"/>
    <col min="4364" max="4598" width="9.140625" style="7"/>
    <col min="4599" max="4599" width="13.28515625" style="7" customWidth="1"/>
    <col min="4600" max="4600" width="34.7109375" style="7" customWidth="1"/>
    <col min="4601" max="4601" width="26.85546875" style="7" customWidth="1"/>
    <col min="4602" max="4610" width="15.140625" style="7" customWidth="1"/>
    <col min="4611" max="4611" width="14" style="7" customWidth="1"/>
    <col min="4612" max="4612" width="13.42578125" style="7" customWidth="1"/>
    <col min="4613" max="4614" width="15" style="7" customWidth="1"/>
    <col min="4615" max="4615" width="16.5703125" style="7" customWidth="1"/>
    <col min="4616" max="4619" width="18.7109375" style="7" customWidth="1"/>
    <col min="4620" max="4854" width="9.140625" style="7"/>
    <col min="4855" max="4855" width="13.28515625" style="7" customWidth="1"/>
    <col min="4856" max="4856" width="34.7109375" style="7" customWidth="1"/>
    <col min="4857" max="4857" width="26.85546875" style="7" customWidth="1"/>
    <col min="4858" max="4866" width="15.140625" style="7" customWidth="1"/>
    <col min="4867" max="4867" width="14" style="7" customWidth="1"/>
    <col min="4868" max="4868" width="13.42578125" style="7" customWidth="1"/>
    <col min="4869" max="4870" width="15" style="7" customWidth="1"/>
    <col min="4871" max="4871" width="16.5703125" style="7" customWidth="1"/>
    <col min="4872" max="4875" width="18.7109375" style="7" customWidth="1"/>
    <col min="4876" max="5110" width="9.140625" style="7"/>
    <col min="5111" max="5111" width="13.28515625" style="7" customWidth="1"/>
    <col min="5112" max="5112" width="34.7109375" style="7" customWidth="1"/>
    <col min="5113" max="5113" width="26.85546875" style="7" customWidth="1"/>
    <col min="5114" max="5122" width="15.140625" style="7" customWidth="1"/>
    <col min="5123" max="5123" width="14" style="7" customWidth="1"/>
    <col min="5124" max="5124" width="13.42578125" style="7" customWidth="1"/>
    <col min="5125" max="5126" width="15" style="7" customWidth="1"/>
    <col min="5127" max="5127" width="16.5703125" style="7" customWidth="1"/>
    <col min="5128" max="5131" width="18.7109375" style="7" customWidth="1"/>
    <col min="5132" max="5366" width="9.140625" style="7"/>
    <col min="5367" max="5367" width="13.28515625" style="7" customWidth="1"/>
    <col min="5368" max="5368" width="34.7109375" style="7" customWidth="1"/>
    <col min="5369" max="5369" width="26.85546875" style="7" customWidth="1"/>
    <col min="5370" max="5378" width="15.140625" style="7" customWidth="1"/>
    <col min="5379" max="5379" width="14" style="7" customWidth="1"/>
    <col min="5380" max="5380" width="13.42578125" style="7" customWidth="1"/>
    <col min="5381" max="5382" width="15" style="7" customWidth="1"/>
    <col min="5383" max="5383" width="16.5703125" style="7" customWidth="1"/>
    <col min="5384" max="5387" width="18.7109375" style="7" customWidth="1"/>
    <col min="5388" max="5622" width="9.140625" style="7"/>
    <col min="5623" max="5623" width="13.28515625" style="7" customWidth="1"/>
    <col min="5624" max="5624" width="34.7109375" style="7" customWidth="1"/>
    <col min="5625" max="5625" width="26.85546875" style="7" customWidth="1"/>
    <col min="5626" max="5634" width="15.140625" style="7" customWidth="1"/>
    <col min="5635" max="5635" width="14" style="7" customWidth="1"/>
    <col min="5636" max="5636" width="13.42578125" style="7" customWidth="1"/>
    <col min="5637" max="5638" width="15" style="7" customWidth="1"/>
    <col min="5639" max="5639" width="16.5703125" style="7" customWidth="1"/>
    <col min="5640" max="5643" width="18.7109375" style="7" customWidth="1"/>
    <col min="5644" max="5878" width="9.140625" style="7"/>
    <col min="5879" max="5879" width="13.28515625" style="7" customWidth="1"/>
    <col min="5880" max="5880" width="34.7109375" style="7" customWidth="1"/>
    <col min="5881" max="5881" width="26.85546875" style="7" customWidth="1"/>
    <col min="5882" max="5890" width="15.140625" style="7" customWidth="1"/>
    <col min="5891" max="5891" width="14" style="7" customWidth="1"/>
    <col min="5892" max="5892" width="13.42578125" style="7" customWidth="1"/>
    <col min="5893" max="5894" width="15" style="7" customWidth="1"/>
    <col min="5895" max="5895" width="16.5703125" style="7" customWidth="1"/>
    <col min="5896" max="5899" width="18.7109375" style="7" customWidth="1"/>
    <col min="5900" max="6134" width="9.140625" style="7"/>
    <col min="6135" max="6135" width="13.28515625" style="7" customWidth="1"/>
    <col min="6136" max="6136" width="34.7109375" style="7" customWidth="1"/>
    <col min="6137" max="6137" width="26.85546875" style="7" customWidth="1"/>
    <col min="6138" max="6146" width="15.140625" style="7" customWidth="1"/>
    <col min="6147" max="6147" width="14" style="7" customWidth="1"/>
    <col min="6148" max="6148" width="13.42578125" style="7" customWidth="1"/>
    <col min="6149" max="6150" width="15" style="7" customWidth="1"/>
    <col min="6151" max="6151" width="16.5703125" style="7" customWidth="1"/>
    <col min="6152" max="6155" width="18.7109375" style="7" customWidth="1"/>
    <col min="6156" max="6390" width="9.140625" style="7"/>
    <col min="6391" max="6391" width="13.28515625" style="7" customWidth="1"/>
    <col min="6392" max="6392" width="34.7109375" style="7" customWidth="1"/>
    <col min="6393" max="6393" width="26.85546875" style="7" customWidth="1"/>
    <col min="6394" max="6402" width="15.140625" style="7" customWidth="1"/>
    <col min="6403" max="6403" width="14" style="7" customWidth="1"/>
    <col min="6404" max="6404" width="13.42578125" style="7" customWidth="1"/>
    <col min="6405" max="6406" width="15" style="7" customWidth="1"/>
    <col min="6407" max="6407" width="16.5703125" style="7" customWidth="1"/>
    <col min="6408" max="6411" width="18.7109375" style="7" customWidth="1"/>
    <col min="6412" max="6646" width="9.140625" style="7"/>
    <col min="6647" max="6647" width="13.28515625" style="7" customWidth="1"/>
    <col min="6648" max="6648" width="34.7109375" style="7" customWidth="1"/>
    <col min="6649" max="6649" width="26.85546875" style="7" customWidth="1"/>
    <col min="6650" max="6658" width="15.140625" style="7" customWidth="1"/>
    <col min="6659" max="6659" width="14" style="7" customWidth="1"/>
    <col min="6660" max="6660" width="13.42578125" style="7" customWidth="1"/>
    <col min="6661" max="6662" width="15" style="7" customWidth="1"/>
    <col min="6663" max="6663" width="16.5703125" style="7" customWidth="1"/>
    <col min="6664" max="6667" width="18.7109375" style="7" customWidth="1"/>
    <col min="6668" max="6902" width="9.140625" style="7"/>
    <col min="6903" max="6903" width="13.28515625" style="7" customWidth="1"/>
    <col min="6904" max="6904" width="34.7109375" style="7" customWidth="1"/>
    <col min="6905" max="6905" width="26.85546875" style="7" customWidth="1"/>
    <col min="6906" max="6914" width="15.140625" style="7" customWidth="1"/>
    <col min="6915" max="6915" width="14" style="7" customWidth="1"/>
    <col min="6916" max="6916" width="13.42578125" style="7" customWidth="1"/>
    <col min="6917" max="6918" width="15" style="7" customWidth="1"/>
    <col min="6919" max="6919" width="16.5703125" style="7" customWidth="1"/>
    <col min="6920" max="6923" width="18.7109375" style="7" customWidth="1"/>
    <col min="6924" max="7158" width="9.140625" style="7"/>
    <col min="7159" max="7159" width="13.28515625" style="7" customWidth="1"/>
    <col min="7160" max="7160" width="34.7109375" style="7" customWidth="1"/>
    <col min="7161" max="7161" width="26.85546875" style="7" customWidth="1"/>
    <col min="7162" max="7170" width="15.140625" style="7" customWidth="1"/>
    <col min="7171" max="7171" width="14" style="7" customWidth="1"/>
    <col min="7172" max="7172" width="13.42578125" style="7" customWidth="1"/>
    <col min="7173" max="7174" width="15" style="7" customWidth="1"/>
    <col min="7175" max="7175" width="16.5703125" style="7" customWidth="1"/>
    <col min="7176" max="7179" width="18.7109375" style="7" customWidth="1"/>
    <col min="7180" max="7414" width="9.140625" style="7"/>
    <col min="7415" max="7415" width="13.28515625" style="7" customWidth="1"/>
    <col min="7416" max="7416" width="34.7109375" style="7" customWidth="1"/>
    <col min="7417" max="7417" width="26.85546875" style="7" customWidth="1"/>
    <col min="7418" max="7426" width="15.140625" style="7" customWidth="1"/>
    <col min="7427" max="7427" width="14" style="7" customWidth="1"/>
    <col min="7428" max="7428" width="13.42578125" style="7" customWidth="1"/>
    <col min="7429" max="7430" width="15" style="7" customWidth="1"/>
    <col min="7431" max="7431" width="16.5703125" style="7" customWidth="1"/>
    <col min="7432" max="7435" width="18.7109375" style="7" customWidth="1"/>
    <col min="7436" max="7670" width="9.140625" style="7"/>
    <col min="7671" max="7671" width="13.28515625" style="7" customWidth="1"/>
    <col min="7672" max="7672" width="34.7109375" style="7" customWidth="1"/>
    <col min="7673" max="7673" width="26.85546875" style="7" customWidth="1"/>
    <col min="7674" max="7682" width="15.140625" style="7" customWidth="1"/>
    <col min="7683" max="7683" width="14" style="7" customWidth="1"/>
    <col min="7684" max="7684" width="13.42578125" style="7" customWidth="1"/>
    <col min="7685" max="7686" width="15" style="7" customWidth="1"/>
    <col min="7687" max="7687" width="16.5703125" style="7" customWidth="1"/>
    <col min="7688" max="7691" width="18.7109375" style="7" customWidth="1"/>
    <col min="7692" max="7926" width="9.140625" style="7"/>
    <col min="7927" max="7927" width="13.28515625" style="7" customWidth="1"/>
    <col min="7928" max="7928" width="34.7109375" style="7" customWidth="1"/>
    <col min="7929" max="7929" width="26.85546875" style="7" customWidth="1"/>
    <col min="7930" max="7938" width="15.140625" style="7" customWidth="1"/>
    <col min="7939" max="7939" width="14" style="7" customWidth="1"/>
    <col min="7940" max="7940" width="13.42578125" style="7" customWidth="1"/>
    <col min="7941" max="7942" width="15" style="7" customWidth="1"/>
    <col min="7943" max="7943" width="16.5703125" style="7" customWidth="1"/>
    <col min="7944" max="7947" width="18.7109375" style="7" customWidth="1"/>
    <col min="7948" max="8182" width="9.140625" style="7"/>
    <col min="8183" max="8183" width="13.28515625" style="7" customWidth="1"/>
    <col min="8184" max="8184" width="34.7109375" style="7" customWidth="1"/>
    <col min="8185" max="8185" width="26.85546875" style="7" customWidth="1"/>
    <col min="8186" max="8194" width="15.140625" style="7" customWidth="1"/>
    <col min="8195" max="8195" width="14" style="7" customWidth="1"/>
    <col min="8196" max="8196" width="13.42578125" style="7" customWidth="1"/>
    <col min="8197" max="8198" width="15" style="7" customWidth="1"/>
    <col min="8199" max="8199" width="16.5703125" style="7" customWidth="1"/>
    <col min="8200" max="8203" width="18.7109375" style="7" customWidth="1"/>
    <col min="8204" max="8438" width="9.140625" style="7"/>
    <col min="8439" max="8439" width="13.28515625" style="7" customWidth="1"/>
    <col min="8440" max="8440" width="34.7109375" style="7" customWidth="1"/>
    <col min="8441" max="8441" width="26.85546875" style="7" customWidth="1"/>
    <col min="8442" max="8450" width="15.140625" style="7" customWidth="1"/>
    <col min="8451" max="8451" width="14" style="7" customWidth="1"/>
    <col min="8452" max="8452" width="13.42578125" style="7" customWidth="1"/>
    <col min="8453" max="8454" width="15" style="7" customWidth="1"/>
    <col min="8455" max="8455" width="16.5703125" style="7" customWidth="1"/>
    <col min="8456" max="8459" width="18.7109375" style="7" customWidth="1"/>
    <col min="8460" max="8694" width="9.140625" style="7"/>
    <col min="8695" max="8695" width="13.28515625" style="7" customWidth="1"/>
    <col min="8696" max="8696" width="34.7109375" style="7" customWidth="1"/>
    <col min="8697" max="8697" width="26.85546875" style="7" customWidth="1"/>
    <col min="8698" max="8706" width="15.140625" style="7" customWidth="1"/>
    <col min="8707" max="8707" width="14" style="7" customWidth="1"/>
    <col min="8708" max="8708" width="13.42578125" style="7" customWidth="1"/>
    <col min="8709" max="8710" width="15" style="7" customWidth="1"/>
    <col min="8711" max="8711" width="16.5703125" style="7" customWidth="1"/>
    <col min="8712" max="8715" width="18.7109375" style="7" customWidth="1"/>
    <col min="8716" max="8950" width="9.140625" style="7"/>
    <col min="8951" max="8951" width="13.28515625" style="7" customWidth="1"/>
    <col min="8952" max="8952" width="34.7109375" style="7" customWidth="1"/>
    <col min="8953" max="8953" width="26.85546875" style="7" customWidth="1"/>
    <col min="8954" max="8962" width="15.140625" style="7" customWidth="1"/>
    <col min="8963" max="8963" width="14" style="7" customWidth="1"/>
    <col min="8964" max="8964" width="13.42578125" style="7" customWidth="1"/>
    <col min="8965" max="8966" width="15" style="7" customWidth="1"/>
    <col min="8967" max="8967" width="16.5703125" style="7" customWidth="1"/>
    <col min="8968" max="8971" width="18.7109375" style="7" customWidth="1"/>
    <col min="8972" max="9206" width="9.140625" style="7"/>
    <col min="9207" max="9207" width="13.28515625" style="7" customWidth="1"/>
    <col min="9208" max="9208" width="34.7109375" style="7" customWidth="1"/>
    <col min="9209" max="9209" width="26.85546875" style="7" customWidth="1"/>
    <col min="9210" max="9218" width="15.140625" style="7" customWidth="1"/>
    <col min="9219" max="9219" width="14" style="7" customWidth="1"/>
    <col min="9220" max="9220" width="13.42578125" style="7" customWidth="1"/>
    <col min="9221" max="9222" width="15" style="7" customWidth="1"/>
    <col min="9223" max="9223" width="16.5703125" style="7" customWidth="1"/>
    <col min="9224" max="9227" width="18.7109375" style="7" customWidth="1"/>
    <col min="9228" max="9462" width="9.140625" style="7"/>
    <col min="9463" max="9463" width="13.28515625" style="7" customWidth="1"/>
    <col min="9464" max="9464" width="34.7109375" style="7" customWidth="1"/>
    <col min="9465" max="9465" width="26.85546875" style="7" customWidth="1"/>
    <col min="9466" max="9474" width="15.140625" style="7" customWidth="1"/>
    <col min="9475" max="9475" width="14" style="7" customWidth="1"/>
    <col min="9476" max="9476" width="13.42578125" style="7" customWidth="1"/>
    <col min="9477" max="9478" width="15" style="7" customWidth="1"/>
    <col min="9479" max="9479" width="16.5703125" style="7" customWidth="1"/>
    <col min="9480" max="9483" width="18.7109375" style="7" customWidth="1"/>
    <col min="9484" max="9718" width="9.140625" style="7"/>
    <col min="9719" max="9719" width="13.28515625" style="7" customWidth="1"/>
    <col min="9720" max="9720" width="34.7109375" style="7" customWidth="1"/>
    <col min="9721" max="9721" width="26.85546875" style="7" customWidth="1"/>
    <col min="9722" max="9730" width="15.140625" style="7" customWidth="1"/>
    <col min="9731" max="9731" width="14" style="7" customWidth="1"/>
    <col min="9732" max="9732" width="13.42578125" style="7" customWidth="1"/>
    <col min="9733" max="9734" width="15" style="7" customWidth="1"/>
    <col min="9735" max="9735" width="16.5703125" style="7" customWidth="1"/>
    <col min="9736" max="9739" width="18.7109375" style="7" customWidth="1"/>
    <col min="9740" max="9974" width="9.140625" style="7"/>
    <col min="9975" max="9975" width="13.28515625" style="7" customWidth="1"/>
    <col min="9976" max="9976" width="34.7109375" style="7" customWidth="1"/>
    <col min="9977" max="9977" width="26.85546875" style="7" customWidth="1"/>
    <col min="9978" max="9986" width="15.140625" style="7" customWidth="1"/>
    <col min="9987" max="9987" width="14" style="7" customWidth="1"/>
    <col min="9988" max="9988" width="13.42578125" style="7" customWidth="1"/>
    <col min="9989" max="9990" width="15" style="7" customWidth="1"/>
    <col min="9991" max="9991" width="16.5703125" style="7" customWidth="1"/>
    <col min="9992" max="9995" width="18.7109375" style="7" customWidth="1"/>
    <col min="9996" max="10230" width="9.140625" style="7"/>
    <col min="10231" max="10231" width="13.28515625" style="7" customWidth="1"/>
    <col min="10232" max="10232" width="34.7109375" style="7" customWidth="1"/>
    <col min="10233" max="10233" width="26.85546875" style="7" customWidth="1"/>
    <col min="10234" max="10242" width="15.140625" style="7" customWidth="1"/>
    <col min="10243" max="10243" width="14" style="7" customWidth="1"/>
    <col min="10244" max="10244" width="13.42578125" style="7" customWidth="1"/>
    <col min="10245" max="10246" width="15" style="7" customWidth="1"/>
    <col min="10247" max="10247" width="16.5703125" style="7" customWidth="1"/>
    <col min="10248" max="10251" width="18.7109375" style="7" customWidth="1"/>
    <col min="10252" max="10486" width="9.140625" style="7"/>
    <col min="10487" max="10487" width="13.28515625" style="7" customWidth="1"/>
    <col min="10488" max="10488" width="34.7109375" style="7" customWidth="1"/>
    <col min="10489" max="10489" width="26.85546875" style="7" customWidth="1"/>
    <col min="10490" max="10498" width="15.140625" style="7" customWidth="1"/>
    <col min="10499" max="10499" width="14" style="7" customWidth="1"/>
    <col min="10500" max="10500" width="13.42578125" style="7" customWidth="1"/>
    <col min="10501" max="10502" width="15" style="7" customWidth="1"/>
    <col min="10503" max="10503" width="16.5703125" style="7" customWidth="1"/>
    <col min="10504" max="10507" width="18.7109375" style="7" customWidth="1"/>
    <col min="10508" max="10742" width="9.140625" style="7"/>
    <col min="10743" max="10743" width="13.28515625" style="7" customWidth="1"/>
    <col min="10744" max="10744" width="34.7109375" style="7" customWidth="1"/>
    <col min="10745" max="10745" width="26.85546875" style="7" customWidth="1"/>
    <col min="10746" max="10754" width="15.140625" style="7" customWidth="1"/>
    <col min="10755" max="10755" width="14" style="7" customWidth="1"/>
    <col min="10756" max="10756" width="13.42578125" style="7" customWidth="1"/>
    <col min="10757" max="10758" width="15" style="7" customWidth="1"/>
    <col min="10759" max="10759" width="16.5703125" style="7" customWidth="1"/>
    <col min="10760" max="10763" width="18.7109375" style="7" customWidth="1"/>
    <col min="10764" max="10998" width="9.140625" style="7"/>
    <col min="10999" max="10999" width="13.28515625" style="7" customWidth="1"/>
    <col min="11000" max="11000" width="34.7109375" style="7" customWidth="1"/>
    <col min="11001" max="11001" width="26.85546875" style="7" customWidth="1"/>
    <col min="11002" max="11010" width="15.140625" style="7" customWidth="1"/>
    <col min="11011" max="11011" width="14" style="7" customWidth="1"/>
    <col min="11012" max="11012" width="13.42578125" style="7" customWidth="1"/>
    <col min="11013" max="11014" width="15" style="7" customWidth="1"/>
    <col min="11015" max="11015" width="16.5703125" style="7" customWidth="1"/>
    <col min="11016" max="11019" width="18.7109375" style="7" customWidth="1"/>
    <col min="11020" max="11254" width="9.140625" style="7"/>
    <col min="11255" max="11255" width="13.28515625" style="7" customWidth="1"/>
    <col min="11256" max="11256" width="34.7109375" style="7" customWidth="1"/>
    <col min="11257" max="11257" width="26.85546875" style="7" customWidth="1"/>
    <col min="11258" max="11266" width="15.140625" style="7" customWidth="1"/>
    <col min="11267" max="11267" width="14" style="7" customWidth="1"/>
    <col min="11268" max="11268" width="13.42578125" style="7" customWidth="1"/>
    <col min="11269" max="11270" width="15" style="7" customWidth="1"/>
    <col min="11271" max="11271" width="16.5703125" style="7" customWidth="1"/>
    <col min="11272" max="11275" width="18.7109375" style="7" customWidth="1"/>
    <col min="11276" max="11510" width="9.140625" style="7"/>
    <col min="11511" max="11511" width="13.28515625" style="7" customWidth="1"/>
    <col min="11512" max="11512" width="34.7109375" style="7" customWidth="1"/>
    <col min="11513" max="11513" width="26.85546875" style="7" customWidth="1"/>
    <col min="11514" max="11522" width="15.140625" style="7" customWidth="1"/>
    <col min="11523" max="11523" width="14" style="7" customWidth="1"/>
    <col min="11524" max="11524" width="13.42578125" style="7" customWidth="1"/>
    <col min="11525" max="11526" width="15" style="7" customWidth="1"/>
    <col min="11527" max="11527" width="16.5703125" style="7" customWidth="1"/>
    <col min="11528" max="11531" width="18.7109375" style="7" customWidth="1"/>
    <col min="11532" max="11766" width="9.140625" style="7"/>
    <col min="11767" max="11767" width="13.28515625" style="7" customWidth="1"/>
    <col min="11768" max="11768" width="34.7109375" style="7" customWidth="1"/>
    <col min="11769" max="11769" width="26.85546875" style="7" customWidth="1"/>
    <col min="11770" max="11778" width="15.140625" style="7" customWidth="1"/>
    <col min="11779" max="11779" width="14" style="7" customWidth="1"/>
    <col min="11780" max="11780" width="13.42578125" style="7" customWidth="1"/>
    <col min="11781" max="11782" width="15" style="7" customWidth="1"/>
    <col min="11783" max="11783" width="16.5703125" style="7" customWidth="1"/>
    <col min="11784" max="11787" width="18.7109375" style="7" customWidth="1"/>
    <col min="11788" max="12022" width="9.140625" style="7"/>
    <col min="12023" max="12023" width="13.28515625" style="7" customWidth="1"/>
    <col min="12024" max="12024" width="34.7109375" style="7" customWidth="1"/>
    <col min="12025" max="12025" width="26.85546875" style="7" customWidth="1"/>
    <col min="12026" max="12034" width="15.140625" style="7" customWidth="1"/>
    <col min="12035" max="12035" width="14" style="7" customWidth="1"/>
    <col min="12036" max="12036" width="13.42578125" style="7" customWidth="1"/>
    <col min="12037" max="12038" width="15" style="7" customWidth="1"/>
    <col min="12039" max="12039" width="16.5703125" style="7" customWidth="1"/>
    <col min="12040" max="12043" width="18.7109375" style="7" customWidth="1"/>
    <col min="12044" max="12278" width="9.140625" style="7"/>
    <col min="12279" max="12279" width="13.28515625" style="7" customWidth="1"/>
    <col min="12280" max="12280" width="34.7109375" style="7" customWidth="1"/>
    <col min="12281" max="12281" width="26.85546875" style="7" customWidth="1"/>
    <col min="12282" max="12290" width="15.140625" style="7" customWidth="1"/>
    <col min="12291" max="12291" width="14" style="7" customWidth="1"/>
    <col min="12292" max="12292" width="13.42578125" style="7" customWidth="1"/>
    <col min="12293" max="12294" width="15" style="7" customWidth="1"/>
    <col min="12295" max="12295" width="16.5703125" style="7" customWidth="1"/>
    <col min="12296" max="12299" width="18.7109375" style="7" customWidth="1"/>
    <col min="12300" max="12534" width="9.140625" style="7"/>
    <col min="12535" max="12535" width="13.28515625" style="7" customWidth="1"/>
    <col min="12536" max="12536" width="34.7109375" style="7" customWidth="1"/>
    <col min="12537" max="12537" width="26.85546875" style="7" customWidth="1"/>
    <col min="12538" max="12546" width="15.140625" style="7" customWidth="1"/>
    <col min="12547" max="12547" width="14" style="7" customWidth="1"/>
    <col min="12548" max="12548" width="13.42578125" style="7" customWidth="1"/>
    <col min="12549" max="12550" width="15" style="7" customWidth="1"/>
    <col min="12551" max="12551" width="16.5703125" style="7" customWidth="1"/>
    <col min="12552" max="12555" width="18.7109375" style="7" customWidth="1"/>
    <col min="12556" max="12790" width="9.140625" style="7"/>
    <col min="12791" max="12791" width="13.28515625" style="7" customWidth="1"/>
    <col min="12792" max="12792" width="34.7109375" style="7" customWidth="1"/>
    <col min="12793" max="12793" width="26.85546875" style="7" customWidth="1"/>
    <col min="12794" max="12802" width="15.140625" style="7" customWidth="1"/>
    <col min="12803" max="12803" width="14" style="7" customWidth="1"/>
    <col min="12804" max="12804" width="13.42578125" style="7" customWidth="1"/>
    <col min="12805" max="12806" width="15" style="7" customWidth="1"/>
    <col min="12807" max="12807" width="16.5703125" style="7" customWidth="1"/>
    <col min="12808" max="12811" width="18.7109375" style="7" customWidth="1"/>
    <col min="12812" max="13046" width="9.140625" style="7"/>
    <col min="13047" max="13047" width="13.28515625" style="7" customWidth="1"/>
    <col min="13048" max="13048" width="34.7109375" style="7" customWidth="1"/>
    <col min="13049" max="13049" width="26.85546875" style="7" customWidth="1"/>
    <col min="13050" max="13058" width="15.140625" style="7" customWidth="1"/>
    <col min="13059" max="13059" width="14" style="7" customWidth="1"/>
    <col min="13060" max="13060" width="13.42578125" style="7" customWidth="1"/>
    <col min="13061" max="13062" width="15" style="7" customWidth="1"/>
    <col min="13063" max="13063" width="16.5703125" style="7" customWidth="1"/>
    <col min="13064" max="13067" width="18.7109375" style="7" customWidth="1"/>
    <col min="13068" max="13302" width="9.140625" style="7"/>
    <col min="13303" max="13303" width="13.28515625" style="7" customWidth="1"/>
    <col min="13304" max="13304" width="34.7109375" style="7" customWidth="1"/>
    <col min="13305" max="13305" width="26.85546875" style="7" customWidth="1"/>
    <col min="13306" max="13314" width="15.140625" style="7" customWidth="1"/>
    <col min="13315" max="13315" width="14" style="7" customWidth="1"/>
    <col min="13316" max="13316" width="13.42578125" style="7" customWidth="1"/>
    <col min="13317" max="13318" width="15" style="7" customWidth="1"/>
    <col min="13319" max="13319" width="16.5703125" style="7" customWidth="1"/>
    <col min="13320" max="13323" width="18.7109375" style="7" customWidth="1"/>
    <col min="13324" max="13558" width="9.140625" style="7"/>
    <col min="13559" max="13559" width="13.28515625" style="7" customWidth="1"/>
    <col min="13560" max="13560" width="34.7109375" style="7" customWidth="1"/>
    <col min="13561" max="13561" width="26.85546875" style="7" customWidth="1"/>
    <col min="13562" max="13570" width="15.140625" style="7" customWidth="1"/>
    <col min="13571" max="13571" width="14" style="7" customWidth="1"/>
    <col min="13572" max="13572" width="13.42578125" style="7" customWidth="1"/>
    <col min="13573" max="13574" width="15" style="7" customWidth="1"/>
    <col min="13575" max="13575" width="16.5703125" style="7" customWidth="1"/>
    <col min="13576" max="13579" width="18.7109375" style="7" customWidth="1"/>
    <col min="13580" max="13814" width="9.140625" style="7"/>
    <col min="13815" max="13815" width="13.28515625" style="7" customWidth="1"/>
    <col min="13816" max="13816" width="34.7109375" style="7" customWidth="1"/>
    <col min="13817" max="13817" width="26.85546875" style="7" customWidth="1"/>
    <col min="13818" max="13826" width="15.140625" style="7" customWidth="1"/>
    <col min="13827" max="13827" width="14" style="7" customWidth="1"/>
    <col min="13828" max="13828" width="13.42578125" style="7" customWidth="1"/>
    <col min="13829" max="13830" width="15" style="7" customWidth="1"/>
    <col min="13831" max="13831" width="16.5703125" style="7" customWidth="1"/>
    <col min="13832" max="13835" width="18.7109375" style="7" customWidth="1"/>
    <col min="13836" max="14070" width="9.140625" style="7"/>
    <col min="14071" max="14071" width="13.28515625" style="7" customWidth="1"/>
    <col min="14072" max="14072" width="34.7109375" style="7" customWidth="1"/>
    <col min="14073" max="14073" width="26.85546875" style="7" customWidth="1"/>
    <col min="14074" max="14082" width="15.140625" style="7" customWidth="1"/>
    <col min="14083" max="14083" width="14" style="7" customWidth="1"/>
    <col min="14084" max="14084" width="13.42578125" style="7" customWidth="1"/>
    <col min="14085" max="14086" width="15" style="7" customWidth="1"/>
    <col min="14087" max="14087" width="16.5703125" style="7" customWidth="1"/>
    <col min="14088" max="14091" width="18.7109375" style="7" customWidth="1"/>
    <col min="14092" max="14326" width="9.140625" style="7"/>
    <col min="14327" max="14327" width="13.28515625" style="7" customWidth="1"/>
    <col min="14328" max="14328" width="34.7109375" style="7" customWidth="1"/>
    <col min="14329" max="14329" width="26.85546875" style="7" customWidth="1"/>
    <col min="14330" max="14338" width="15.140625" style="7" customWidth="1"/>
    <col min="14339" max="14339" width="14" style="7" customWidth="1"/>
    <col min="14340" max="14340" width="13.42578125" style="7" customWidth="1"/>
    <col min="14341" max="14342" width="15" style="7" customWidth="1"/>
    <col min="14343" max="14343" width="16.5703125" style="7" customWidth="1"/>
    <col min="14344" max="14347" width="18.7109375" style="7" customWidth="1"/>
    <col min="14348" max="14582" width="9.140625" style="7"/>
    <col min="14583" max="14583" width="13.28515625" style="7" customWidth="1"/>
    <col min="14584" max="14584" width="34.7109375" style="7" customWidth="1"/>
    <col min="14585" max="14585" width="26.85546875" style="7" customWidth="1"/>
    <col min="14586" max="14594" width="15.140625" style="7" customWidth="1"/>
    <col min="14595" max="14595" width="14" style="7" customWidth="1"/>
    <col min="14596" max="14596" width="13.42578125" style="7" customWidth="1"/>
    <col min="14597" max="14598" width="15" style="7" customWidth="1"/>
    <col min="14599" max="14599" width="16.5703125" style="7" customWidth="1"/>
    <col min="14600" max="14603" width="18.7109375" style="7" customWidth="1"/>
    <col min="14604" max="14838" width="9.140625" style="7"/>
    <col min="14839" max="14839" width="13.28515625" style="7" customWidth="1"/>
    <col min="14840" max="14840" width="34.7109375" style="7" customWidth="1"/>
    <col min="14841" max="14841" width="26.85546875" style="7" customWidth="1"/>
    <col min="14842" max="14850" width="15.140625" style="7" customWidth="1"/>
    <col min="14851" max="14851" width="14" style="7" customWidth="1"/>
    <col min="14852" max="14852" width="13.42578125" style="7" customWidth="1"/>
    <col min="14853" max="14854" width="15" style="7" customWidth="1"/>
    <col min="14855" max="14855" width="16.5703125" style="7" customWidth="1"/>
    <col min="14856" max="14859" width="18.7109375" style="7" customWidth="1"/>
    <col min="14860" max="15094" width="9.140625" style="7"/>
    <col min="15095" max="15095" width="13.28515625" style="7" customWidth="1"/>
    <col min="15096" max="15096" width="34.7109375" style="7" customWidth="1"/>
    <col min="15097" max="15097" width="26.85546875" style="7" customWidth="1"/>
    <col min="15098" max="15106" width="15.140625" style="7" customWidth="1"/>
    <col min="15107" max="15107" width="14" style="7" customWidth="1"/>
    <col min="15108" max="15108" width="13.42578125" style="7" customWidth="1"/>
    <col min="15109" max="15110" width="15" style="7" customWidth="1"/>
    <col min="15111" max="15111" width="16.5703125" style="7" customWidth="1"/>
    <col min="15112" max="15115" width="18.7109375" style="7" customWidth="1"/>
    <col min="15116" max="15350" width="9.140625" style="7"/>
    <col min="15351" max="15351" width="13.28515625" style="7" customWidth="1"/>
    <col min="15352" max="15352" width="34.7109375" style="7" customWidth="1"/>
    <col min="15353" max="15353" width="26.85546875" style="7" customWidth="1"/>
    <col min="15354" max="15362" width="15.140625" style="7" customWidth="1"/>
    <col min="15363" max="15363" width="14" style="7" customWidth="1"/>
    <col min="15364" max="15364" width="13.42578125" style="7" customWidth="1"/>
    <col min="15365" max="15366" width="15" style="7" customWidth="1"/>
    <col min="15367" max="15367" width="16.5703125" style="7" customWidth="1"/>
    <col min="15368" max="15371" width="18.7109375" style="7" customWidth="1"/>
    <col min="15372" max="15606" width="9.140625" style="7"/>
    <col min="15607" max="15607" width="13.28515625" style="7" customWidth="1"/>
    <col min="15608" max="15608" width="34.7109375" style="7" customWidth="1"/>
    <col min="15609" max="15609" width="26.85546875" style="7" customWidth="1"/>
    <col min="15610" max="15618" width="15.140625" style="7" customWidth="1"/>
    <col min="15619" max="15619" width="14" style="7" customWidth="1"/>
    <col min="15620" max="15620" width="13.42578125" style="7" customWidth="1"/>
    <col min="15621" max="15622" width="15" style="7" customWidth="1"/>
    <col min="15623" max="15623" width="16.5703125" style="7" customWidth="1"/>
    <col min="15624" max="15627" width="18.7109375" style="7" customWidth="1"/>
    <col min="15628" max="15862" width="9.140625" style="7"/>
    <col min="15863" max="15863" width="13.28515625" style="7" customWidth="1"/>
    <col min="15864" max="15864" width="34.7109375" style="7" customWidth="1"/>
    <col min="15865" max="15865" width="26.85546875" style="7" customWidth="1"/>
    <col min="15866" max="15874" width="15.140625" style="7" customWidth="1"/>
    <col min="15875" max="15875" width="14" style="7" customWidth="1"/>
    <col min="15876" max="15876" width="13.42578125" style="7" customWidth="1"/>
    <col min="15877" max="15878" width="15" style="7" customWidth="1"/>
    <col min="15879" max="15879" width="16.5703125" style="7" customWidth="1"/>
    <col min="15880" max="15883" width="18.7109375" style="7" customWidth="1"/>
    <col min="15884" max="16118" width="9.140625" style="7"/>
    <col min="16119" max="16119" width="13.28515625" style="7" customWidth="1"/>
    <col min="16120" max="16120" width="34.7109375" style="7" customWidth="1"/>
    <col min="16121" max="16121" width="26.85546875" style="7" customWidth="1"/>
    <col min="16122" max="16130" width="15.140625" style="7" customWidth="1"/>
    <col min="16131" max="16131" width="14" style="7" customWidth="1"/>
    <col min="16132" max="16132" width="13.42578125" style="7" customWidth="1"/>
    <col min="16133" max="16134" width="15" style="7" customWidth="1"/>
    <col min="16135" max="16135" width="16.5703125" style="7" customWidth="1"/>
    <col min="16136" max="16139" width="18.7109375" style="7" customWidth="1"/>
    <col min="16140" max="16384" width="9.140625" style="7"/>
  </cols>
  <sheetData>
    <row r="1" spans="1:184">
      <c r="L1" s="110"/>
    </row>
    <row r="2" spans="1:184">
      <c r="L2" s="110"/>
    </row>
    <row r="3" spans="1:184" s="1" customFormat="1" ht="67.5" customHeight="1">
      <c r="B3" s="87"/>
      <c r="C3" s="87"/>
      <c r="D3" s="113" t="s">
        <v>372</v>
      </c>
      <c r="E3" s="113"/>
      <c r="F3" s="113"/>
      <c r="G3" s="113"/>
      <c r="H3" s="113"/>
      <c r="I3" s="113"/>
      <c r="J3" s="113"/>
      <c r="K3" s="113"/>
      <c r="L3" s="109"/>
      <c r="M3" s="87"/>
      <c r="N3" s="87"/>
      <c r="O3" s="87"/>
      <c r="P3" s="87"/>
      <c r="Q3" s="87"/>
      <c r="R3" s="87"/>
      <c r="S3" s="87"/>
      <c r="T3" s="87"/>
    </row>
    <row r="4" spans="1:184" s="1" customFormat="1" ht="15" customHeight="1">
      <c r="A4" s="2"/>
      <c r="B4" s="3"/>
    </row>
    <row r="5" spans="1:184" s="4" customFormat="1" ht="93.75" customHeight="1">
      <c r="A5" s="115" t="s">
        <v>0</v>
      </c>
      <c r="B5" s="111" t="s">
        <v>50</v>
      </c>
      <c r="C5" s="111" t="s">
        <v>51</v>
      </c>
      <c r="D5" s="111" t="s">
        <v>373</v>
      </c>
      <c r="E5" s="111"/>
      <c r="F5" s="111"/>
      <c r="G5" s="111"/>
      <c r="H5" s="111"/>
      <c r="I5" s="111" t="s">
        <v>419</v>
      </c>
      <c r="J5" s="111"/>
      <c r="K5" s="111" t="s">
        <v>420</v>
      </c>
      <c r="L5" s="111"/>
      <c r="M5" s="111" t="s">
        <v>52</v>
      </c>
      <c r="N5" s="111"/>
      <c r="O5" s="111"/>
      <c r="P5" s="111"/>
      <c r="Q5" s="111"/>
      <c r="R5" s="111" t="s">
        <v>374</v>
      </c>
      <c r="S5" s="111" t="s">
        <v>375</v>
      </c>
      <c r="T5" s="111" t="s">
        <v>376</v>
      </c>
    </row>
    <row r="6" spans="1:184" s="4" customFormat="1" ht="43.5" customHeight="1">
      <c r="A6" s="115"/>
      <c r="B6" s="111"/>
      <c r="C6" s="111"/>
      <c r="D6" s="37" t="s">
        <v>57</v>
      </c>
      <c r="E6" s="37" t="s">
        <v>58</v>
      </c>
      <c r="F6" s="37" t="s">
        <v>53</v>
      </c>
      <c r="G6" s="37" t="s">
        <v>59</v>
      </c>
      <c r="H6" s="37" t="s">
        <v>54</v>
      </c>
      <c r="I6" s="37" t="s">
        <v>55</v>
      </c>
      <c r="J6" s="37" t="s">
        <v>56</v>
      </c>
      <c r="K6" s="37" t="s">
        <v>55</v>
      </c>
      <c r="L6" s="37" t="s">
        <v>56</v>
      </c>
      <c r="M6" s="37" t="s">
        <v>57</v>
      </c>
      <c r="N6" s="37" t="s">
        <v>58</v>
      </c>
      <c r="O6" s="37" t="s">
        <v>53</v>
      </c>
      <c r="P6" s="37" t="s">
        <v>59</v>
      </c>
      <c r="Q6" s="37" t="s">
        <v>60</v>
      </c>
      <c r="R6" s="111"/>
      <c r="S6" s="111"/>
      <c r="T6" s="111"/>
    </row>
    <row r="7" spans="1:184" s="4" customFormat="1" ht="15" customHeight="1">
      <c r="A7" s="38"/>
      <c r="B7" s="38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184" s="4" customFormat="1" ht="21" customHeight="1">
      <c r="A8" s="112" t="s">
        <v>61</v>
      </c>
      <c r="B8" s="112"/>
      <c r="C8" s="112"/>
      <c r="D8" s="97"/>
      <c r="E8" s="97"/>
      <c r="F8" s="98"/>
      <c r="G8" s="97"/>
      <c r="H8" s="97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184" s="6" customFormat="1">
      <c r="A9" s="43" t="s">
        <v>318</v>
      </c>
      <c r="B9" s="44" t="s">
        <v>319</v>
      </c>
      <c r="C9" s="44" t="s">
        <v>63</v>
      </c>
      <c r="D9" s="57">
        <v>157.869</v>
      </c>
      <c r="E9" s="57">
        <f>234.172-D9</f>
        <v>76.302999999999997</v>
      </c>
      <c r="F9" s="57">
        <v>27.265999999999998</v>
      </c>
      <c r="G9" s="57">
        <v>163.59299999999999</v>
      </c>
      <c r="H9" s="57">
        <f>SUM(D9:G9)</f>
        <v>425.03099999999995</v>
      </c>
      <c r="I9" s="46">
        <v>4022.7427829333333</v>
      </c>
      <c r="J9" s="46">
        <v>4183.6524942506667</v>
      </c>
      <c r="K9" s="46">
        <v>1253.9836400000002</v>
      </c>
      <c r="L9" s="46">
        <v>1304.1429856000002</v>
      </c>
      <c r="M9" s="47">
        <f>(I9-K9)*D9</f>
        <v>437101.23713574238</v>
      </c>
      <c r="N9" s="47">
        <f>(I9-K9)*E9</f>
        <v>211264.62888324214</v>
      </c>
      <c r="O9" s="47">
        <f>(J9-L9)*F9</f>
        <v>78512.706262869062</v>
      </c>
      <c r="P9" s="47">
        <f>(G9*(J9-L9))</f>
        <v>471067.59904868843</v>
      </c>
      <c r="Q9" s="47">
        <f>SUM(M9:P9)</f>
        <v>1197946.1713305418</v>
      </c>
      <c r="R9" s="48"/>
      <c r="S9" s="48"/>
      <c r="T9" s="48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</row>
    <row r="10" spans="1:184" s="24" customFormat="1">
      <c r="A10" s="43" t="s">
        <v>315</v>
      </c>
      <c r="B10" s="44" t="s">
        <v>68</v>
      </c>
      <c r="C10" s="44" t="s">
        <v>69</v>
      </c>
      <c r="D10" s="57">
        <v>180.07599999999999</v>
      </c>
      <c r="E10" s="57">
        <f>264.987-D10</f>
        <v>84.91100000000003</v>
      </c>
      <c r="F10" s="57">
        <v>41.975999999999999</v>
      </c>
      <c r="G10" s="57">
        <f>213.516-F10</f>
        <v>171.54</v>
      </c>
      <c r="H10" s="57">
        <f t="shared" ref="H10:H73" si="0">SUM(D10:G10)</f>
        <v>478.50300000000004</v>
      </c>
      <c r="I10" s="46">
        <v>3760.6483672452709</v>
      </c>
      <c r="J10" s="46">
        <v>3911.0743019350821</v>
      </c>
      <c r="K10" s="46">
        <v>1379.3897353600003</v>
      </c>
      <c r="L10" s="46">
        <v>1434.5653247744003</v>
      </c>
      <c r="M10" s="47">
        <f t="shared" ref="M10:M73" si="1">(I10-K10)*D10</f>
        <v>428807.52939537202</v>
      </c>
      <c r="N10" s="47">
        <f t="shared" ref="N10:N73" si="2">(I10-K10)*E10</f>
        <v>202195.05169201031</v>
      </c>
      <c r="O10" s="47">
        <f t="shared" ref="O10:O73" si="3">(J10-L10)*F10</f>
        <v>103953.94082529677</v>
      </c>
      <c r="P10" s="47">
        <f t="shared" ref="P10:P73" si="4">(G10*(J10-L10))</f>
        <v>424820.34994214331</v>
      </c>
      <c r="Q10" s="47">
        <f t="shared" ref="Q10:Q73" si="5">SUM(M10:P10)</f>
        <v>1159776.8718548224</v>
      </c>
      <c r="R10" s="48"/>
      <c r="S10" s="48"/>
      <c r="T10" s="48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</row>
    <row r="11" spans="1:184" s="24" customFormat="1">
      <c r="A11" s="43" t="s">
        <v>316</v>
      </c>
      <c r="B11" s="44" t="s">
        <v>66</v>
      </c>
      <c r="C11" s="44" t="s">
        <v>67</v>
      </c>
      <c r="D11" s="57">
        <v>419.7</v>
      </c>
      <c r="E11" s="57">
        <f>622.555-D11</f>
        <v>202.85499999999996</v>
      </c>
      <c r="F11" s="57">
        <v>90.66</v>
      </c>
      <c r="G11" s="57">
        <f>512.97-F11</f>
        <v>422.31000000000006</v>
      </c>
      <c r="H11" s="57">
        <f t="shared" si="0"/>
        <v>1135.5250000000001</v>
      </c>
      <c r="I11" s="46">
        <v>3356.2696960000003</v>
      </c>
      <c r="J11" s="46">
        <v>3490.5204838400005</v>
      </c>
      <c r="K11" s="46">
        <v>1476.2152704</v>
      </c>
      <c r="L11" s="46">
        <v>1535.2638812160001</v>
      </c>
      <c r="M11" s="47">
        <f t="shared" si="1"/>
        <v>789058.84242432006</v>
      </c>
      <c r="N11" s="47">
        <f t="shared" si="2"/>
        <v>381378.44050508796</v>
      </c>
      <c r="O11" s="47">
        <f t="shared" si="3"/>
        <v>177263.56359389186</v>
      </c>
      <c r="P11" s="47">
        <f t="shared" si="4"/>
        <v>825724.4158541417</v>
      </c>
      <c r="Q11" s="47">
        <f t="shared" si="5"/>
        <v>2173425.2623774414</v>
      </c>
      <c r="R11" s="48"/>
      <c r="S11" s="48"/>
      <c r="T11" s="48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</row>
    <row r="12" spans="1:184" s="24" customFormat="1">
      <c r="A12" s="43" t="s">
        <v>2</v>
      </c>
      <c r="B12" s="44" t="s">
        <v>70</v>
      </c>
      <c r="C12" s="44" t="s">
        <v>69</v>
      </c>
      <c r="D12" s="57">
        <v>3044.9839999999999</v>
      </c>
      <c r="E12" s="57">
        <f>4421.044-D12</f>
        <v>1376.06</v>
      </c>
      <c r="F12" s="57">
        <v>520.79499999999996</v>
      </c>
      <c r="G12" s="57">
        <f>2688.203-F12</f>
        <v>2167.4079999999999</v>
      </c>
      <c r="H12" s="57">
        <f t="shared" si="0"/>
        <v>7109.2469999999994</v>
      </c>
      <c r="I12" s="46">
        <v>3211.8638378666669</v>
      </c>
      <c r="J12" s="46">
        <v>3340.3383913813336</v>
      </c>
      <c r="K12" s="46">
        <v>1666.4194820000002</v>
      </c>
      <c r="L12" s="46">
        <v>1733.0762612800004</v>
      </c>
      <c r="M12" s="47">
        <f t="shared" si="1"/>
        <v>4705853.3365043057</v>
      </c>
      <c r="N12" s="47">
        <f t="shared" si="2"/>
        <v>2126624.1603338853</v>
      </c>
      <c r="O12" s="47">
        <f t="shared" si="3"/>
        <v>837054.08104612376</v>
      </c>
      <c r="P12" s="47">
        <f t="shared" si="4"/>
        <v>3483592.7988786702</v>
      </c>
      <c r="Q12" s="47">
        <f t="shared" si="5"/>
        <v>11153124.376762986</v>
      </c>
      <c r="R12" s="48"/>
      <c r="S12" s="48"/>
      <c r="T12" s="48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</row>
    <row r="13" spans="1:184" s="24" customFormat="1">
      <c r="A13" s="43" t="s">
        <v>317</v>
      </c>
      <c r="B13" s="44" t="s">
        <v>64</v>
      </c>
      <c r="C13" s="44" t="s">
        <v>65</v>
      </c>
      <c r="D13" s="57">
        <v>1712.37</v>
      </c>
      <c r="E13" s="57">
        <f>2818.55-D13</f>
        <v>1106.1800000000003</v>
      </c>
      <c r="F13" s="57">
        <v>490.08</v>
      </c>
      <c r="G13" s="57">
        <f>2011.33-F13</f>
        <v>1521.25</v>
      </c>
      <c r="H13" s="57">
        <f t="shared" si="0"/>
        <v>4829.88</v>
      </c>
      <c r="I13" s="46">
        <v>3910.1029760000006</v>
      </c>
      <c r="J13" s="46">
        <v>4066.5070950400009</v>
      </c>
      <c r="K13" s="46">
        <v>1476.2152704</v>
      </c>
      <c r="L13" s="46">
        <v>1535.2638812160001</v>
      </c>
      <c r="M13" s="47">
        <f t="shared" si="1"/>
        <v>4167716.2904382725</v>
      </c>
      <c r="N13" s="47">
        <f t="shared" si="2"/>
        <v>2692317.9021806093</v>
      </c>
      <c r="O13" s="47">
        <f t="shared" si="3"/>
        <v>1240511.6742308664</v>
      </c>
      <c r="P13" s="47">
        <f t="shared" si="4"/>
        <v>3850653.7390297614</v>
      </c>
      <c r="Q13" s="47">
        <f t="shared" si="5"/>
        <v>11951199.60587951</v>
      </c>
      <c r="R13" s="48"/>
      <c r="S13" s="48"/>
      <c r="T13" s="48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</row>
    <row r="14" spans="1:184" s="24" customFormat="1">
      <c r="A14" s="43" t="s">
        <v>405</v>
      </c>
      <c r="B14" s="44" t="s">
        <v>403</v>
      </c>
      <c r="C14" s="44" t="s">
        <v>404</v>
      </c>
      <c r="D14" s="57">
        <f>13.2*0.6</f>
        <v>7.919999999999999</v>
      </c>
      <c r="E14" s="57">
        <f>13.2-D14</f>
        <v>5.28</v>
      </c>
      <c r="F14" s="57">
        <f>10.8*0.2</f>
        <v>2.16</v>
      </c>
      <c r="G14" s="57">
        <f>10.8-F14</f>
        <v>8.64</v>
      </c>
      <c r="H14" s="57">
        <f t="shared" si="0"/>
        <v>24</v>
      </c>
      <c r="I14" s="46">
        <v>2889.3537919999999</v>
      </c>
      <c r="J14" s="46">
        <v>3004.9279436799998</v>
      </c>
      <c r="K14" s="46">
        <v>1863.6904</v>
      </c>
      <c r="L14" s="46">
        <v>1938.238016</v>
      </c>
      <c r="M14" s="47">
        <f t="shared" si="1"/>
        <v>8123.2540646399984</v>
      </c>
      <c r="N14" s="47">
        <f t="shared" si="2"/>
        <v>5415.5027097599996</v>
      </c>
      <c r="O14" s="47">
        <f t="shared" si="3"/>
        <v>2304.0502437887994</v>
      </c>
      <c r="P14" s="47">
        <f t="shared" si="4"/>
        <v>9216.2009751551977</v>
      </c>
      <c r="Q14" s="47">
        <f t="shared" si="5"/>
        <v>25059.007993343992</v>
      </c>
      <c r="R14" s="48"/>
      <c r="S14" s="48"/>
      <c r="T14" s="48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</row>
    <row r="15" spans="1:184" s="24" customFormat="1" ht="15.75">
      <c r="A15" s="112" t="s">
        <v>71</v>
      </c>
      <c r="B15" s="112"/>
      <c r="C15" s="112"/>
      <c r="D15" s="99"/>
      <c r="E15" s="99"/>
      <c r="F15" s="98"/>
      <c r="G15" s="98"/>
      <c r="H15" s="57"/>
      <c r="I15" s="40"/>
      <c r="J15" s="40"/>
      <c r="K15" s="40"/>
      <c r="L15" s="40"/>
      <c r="M15" s="47">
        <f t="shared" si="1"/>
        <v>0</v>
      </c>
      <c r="N15" s="47">
        <f t="shared" si="2"/>
        <v>0</v>
      </c>
      <c r="O15" s="47">
        <f t="shared" si="3"/>
        <v>0</v>
      </c>
      <c r="P15" s="47">
        <f t="shared" si="4"/>
        <v>0</v>
      </c>
      <c r="Q15" s="47">
        <f t="shared" si="5"/>
        <v>0</v>
      </c>
      <c r="R15" s="88"/>
      <c r="S15" s="88"/>
      <c r="T15" s="88"/>
    </row>
    <row r="16" spans="1:184" s="24" customFormat="1">
      <c r="A16" s="43" t="s">
        <v>12</v>
      </c>
      <c r="B16" s="44" t="s">
        <v>76</v>
      </c>
      <c r="C16" s="44" t="s">
        <v>77</v>
      </c>
      <c r="D16" s="57">
        <v>94.2</v>
      </c>
      <c r="E16" s="57">
        <f>150.72-D16</f>
        <v>56.519999999999996</v>
      </c>
      <c r="F16" s="57">
        <v>6.27</v>
      </c>
      <c r="G16" s="57">
        <f>100.47-F16</f>
        <v>94.2</v>
      </c>
      <c r="H16" s="57">
        <f t="shared" si="0"/>
        <v>251.19</v>
      </c>
      <c r="I16" s="46">
        <v>6178.337152000001</v>
      </c>
      <c r="J16" s="46">
        <v>6425.4706380800017</v>
      </c>
      <c r="K16" s="46">
        <v>2090.0736729600003</v>
      </c>
      <c r="L16" s="46">
        <v>2173.6766198784003</v>
      </c>
      <c r="M16" s="47">
        <f t="shared" si="1"/>
        <v>385114.41972556809</v>
      </c>
      <c r="N16" s="47">
        <f t="shared" si="2"/>
        <v>231068.65183534083</v>
      </c>
      <c r="O16" s="47">
        <f t="shared" si="3"/>
        <v>26658.748494124036</v>
      </c>
      <c r="P16" s="47">
        <f t="shared" si="4"/>
        <v>400518.99651459081</v>
      </c>
      <c r="Q16" s="47">
        <f t="shared" si="5"/>
        <v>1043360.8165696238</v>
      </c>
      <c r="R16" s="48"/>
      <c r="S16" s="48"/>
      <c r="T16" s="48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</row>
    <row r="17" spans="1:184" s="24" customFormat="1" ht="30">
      <c r="A17" s="43" t="s">
        <v>314</v>
      </c>
      <c r="B17" s="44" t="s">
        <v>78</v>
      </c>
      <c r="C17" s="44" t="s">
        <v>356</v>
      </c>
      <c r="D17" s="57">
        <v>112.92</v>
      </c>
      <c r="E17" s="57">
        <f>168.64-D17</f>
        <v>55.719999999999985</v>
      </c>
      <c r="F17" s="57">
        <v>13.766999999999999</v>
      </c>
      <c r="G17" s="57">
        <v>82.600999999999999</v>
      </c>
      <c r="H17" s="57">
        <f t="shared" si="0"/>
        <v>265.00799999999998</v>
      </c>
      <c r="I17" s="57">
        <v>3223.0419936000003</v>
      </c>
      <c r="J17" s="57">
        <v>3351.9636733440002</v>
      </c>
      <c r="K17" s="46">
        <v>1234.9559040000001</v>
      </c>
      <c r="L17" s="46">
        <v>1284.3541401600003</v>
      </c>
      <c r="M17" s="47">
        <f t="shared" si="1"/>
        <v>224494.68123763203</v>
      </c>
      <c r="N17" s="47">
        <f t="shared" si="2"/>
        <v>110776.15691251197</v>
      </c>
      <c r="O17" s="47">
        <f t="shared" si="3"/>
        <v>28464.780443344123</v>
      </c>
      <c r="P17" s="47">
        <f t="shared" si="4"/>
        <v>170786.61505053155</v>
      </c>
      <c r="Q17" s="47">
        <f t="shared" si="5"/>
        <v>534522.2336440197</v>
      </c>
      <c r="R17" s="48"/>
      <c r="S17" s="48"/>
      <c r="T17" s="48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</row>
    <row r="18" spans="1:184" s="24" customFormat="1" ht="30">
      <c r="A18" s="43" t="s">
        <v>314</v>
      </c>
      <c r="B18" s="44" t="s">
        <v>78</v>
      </c>
      <c r="C18" s="44" t="s">
        <v>357</v>
      </c>
      <c r="D18" s="57">
        <v>160.21</v>
      </c>
      <c r="E18" s="57">
        <f>238.15-D18</f>
        <v>77.94</v>
      </c>
      <c r="F18" s="57">
        <v>34.808</v>
      </c>
      <c r="G18" s="57">
        <f>194.018-F18</f>
        <v>159.21</v>
      </c>
      <c r="H18" s="57">
        <f t="shared" si="0"/>
        <v>432.16800000000001</v>
      </c>
      <c r="I18" s="46">
        <v>5546.2068479999998</v>
      </c>
      <c r="J18" s="46">
        <v>5768.0551219199997</v>
      </c>
      <c r="K18" s="46">
        <v>1514.2816416000001</v>
      </c>
      <c r="L18" s="46">
        <v>1574.8529072640001</v>
      </c>
      <c r="M18" s="47">
        <f t="shared" si="1"/>
        <v>645954.73731734394</v>
      </c>
      <c r="N18" s="47">
        <f t="shared" si="2"/>
        <v>314248.25058681599</v>
      </c>
      <c r="O18" s="47">
        <f t="shared" si="3"/>
        <v>145956.98268774603</v>
      </c>
      <c r="P18" s="47">
        <f t="shared" si="4"/>
        <v>667599.72459538165</v>
      </c>
      <c r="Q18" s="47">
        <f t="shared" si="5"/>
        <v>1773759.6951872876</v>
      </c>
      <c r="R18" s="48"/>
      <c r="S18" s="48"/>
      <c r="T18" s="48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</row>
    <row r="19" spans="1:184" s="24" customFormat="1">
      <c r="A19" s="43" t="s">
        <v>17</v>
      </c>
      <c r="B19" s="44" t="s">
        <v>81</v>
      </c>
      <c r="C19" s="44" t="s">
        <v>82</v>
      </c>
      <c r="D19" s="57">
        <v>411.36</v>
      </c>
      <c r="E19" s="57">
        <f>617.04-D19</f>
        <v>205.67999999999995</v>
      </c>
      <c r="F19" s="57">
        <v>68.56</v>
      </c>
      <c r="G19" s="57">
        <f>479.92-F19</f>
        <v>411.36</v>
      </c>
      <c r="H19" s="57">
        <f t="shared" si="0"/>
        <v>1096.96</v>
      </c>
      <c r="I19" s="46">
        <v>3015.5224320000002</v>
      </c>
      <c r="J19" s="46">
        <v>3136.1433292800002</v>
      </c>
      <c r="K19" s="46">
        <v>1916.9369856000003</v>
      </c>
      <c r="L19" s="46">
        <v>1993.6144650240003</v>
      </c>
      <c r="M19" s="47">
        <f t="shared" si="1"/>
        <v>451914.10923110397</v>
      </c>
      <c r="N19" s="47">
        <f t="shared" si="2"/>
        <v>225957.05461555193</v>
      </c>
      <c r="O19" s="47">
        <f t="shared" si="3"/>
        <v>78331.778933391353</v>
      </c>
      <c r="P19" s="47">
        <f t="shared" si="4"/>
        <v>469990.67360034812</v>
      </c>
      <c r="Q19" s="47">
        <f t="shared" si="5"/>
        <v>1226193.6163803954</v>
      </c>
      <c r="R19" s="48"/>
      <c r="S19" s="48"/>
      <c r="T19" s="48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</row>
    <row r="20" spans="1:184" s="24" customFormat="1" ht="30">
      <c r="A20" s="43" t="s">
        <v>13</v>
      </c>
      <c r="B20" s="44" t="s">
        <v>72</v>
      </c>
      <c r="C20" s="44" t="s">
        <v>355</v>
      </c>
      <c r="D20" s="57">
        <v>40.53</v>
      </c>
      <c r="E20" s="57">
        <f>60.35-D20</f>
        <v>19.82</v>
      </c>
      <c r="F20" s="57">
        <v>7.2</v>
      </c>
      <c r="G20" s="57">
        <f>47.73-F20</f>
        <v>40.529999999999994</v>
      </c>
      <c r="H20" s="57">
        <f t="shared" si="0"/>
        <v>108.07999999999998</v>
      </c>
      <c r="I20" s="46">
        <v>13484.966976000002</v>
      </c>
      <c r="J20" s="46">
        <v>14024.365655040003</v>
      </c>
      <c r="K20" s="48">
        <v>1649.44</v>
      </c>
      <c r="L20" s="46">
        <v>1715.4176000000002</v>
      </c>
      <c r="M20" s="47">
        <f t="shared" si="1"/>
        <v>479693.90833728004</v>
      </c>
      <c r="N20" s="47">
        <f t="shared" si="2"/>
        <v>234580.14466432002</v>
      </c>
      <c r="O20" s="47">
        <f t="shared" si="3"/>
        <v>88624.425996288017</v>
      </c>
      <c r="P20" s="47">
        <f t="shared" si="4"/>
        <v>498881.66467077122</v>
      </c>
      <c r="Q20" s="47">
        <f t="shared" si="5"/>
        <v>1301780.1436686593</v>
      </c>
      <c r="R20" s="48"/>
      <c r="S20" s="48"/>
      <c r="T20" s="48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</row>
    <row r="21" spans="1:184" s="24" customFormat="1" ht="30">
      <c r="A21" s="43" t="s">
        <v>13</v>
      </c>
      <c r="B21" s="44" t="s">
        <v>72</v>
      </c>
      <c r="C21" s="44" t="s">
        <v>354</v>
      </c>
      <c r="D21" s="57">
        <v>532.13199999999995</v>
      </c>
      <c r="E21" s="57">
        <f>750.064-D21</f>
        <v>217.93200000000002</v>
      </c>
      <c r="F21" s="57">
        <v>79.3</v>
      </c>
      <c r="G21" s="57">
        <f>541.058-F21</f>
        <v>461.75799999999998</v>
      </c>
      <c r="H21" s="57">
        <f t="shared" si="0"/>
        <v>1291.1219999999998</v>
      </c>
      <c r="I21" s="46">
        <v>2425.2500480000003</v>
      </c>
      <c r="J21" s="46">
        <v>2522.2600499200003</v>
      </c>
      <c r="K21" s="46">
        <v>1995.2443929600004</v>
      </c>
      <c r="L21" s="46">
        <v>2075.0541686784004</v>
      </c>
      <c r="M21" s="47">
        <f t="shared" si="1"/>
        <v>228819.76922774524</v>
      </c>
      <c r="N21" s="47">
        <f t="shared" si="2"/>
        <v>93711.992414177279</v>
      </c>
      <c r="O21" s="47">
        <f t="shared" si="3"/>
        <v>35463.426382458871</v>
      </c>
      <c r="P21" s="47">
        <f t="shared" si="4"/>
        <v>206500.89331035866</v>
      </c>
      <c r="Q21" s="47">
        <f t="shared" si="5"/>
        <v>564496.08133474004</v>
      </c>
      <c r="R21" s="48"/>
      <c r="S21" s="48"/>
      <c r="T21" s="48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</row>
    <row r="22" spans="1:184" s="24" customFormat="1">
      <c r="A22" s="43" t="s">
        <v>2</v>
      </c>
      <c r="B22" s="44" t="s">
        <v>70</v>
      </c>
      <c r="C22" s="44" t="s">
        <v>73</v>
      </c>
      <c r="D22" s="57">
        <v>5160.7849999999999</v>
      </c>
      <c r="E22" s="57">
        <f>7067.368-D22</f>
        <v>1906.5830000000005</v>
      </c>
      <c r="F22" s="57">
        <v>953.62900000000002</v>
      </c>
      <c r="G22" s="57">
        <f>4962.801-F22</f>
        <v>4009.1720000000005</v>
      </c>
      <c r="H22" s="57">
        <f t="shared" si="0"/>
        <v>12030.169000000002</v>
      </c>
      <c r="I22" s="46">
        <v>3576.7227295640841</v>
      </c>
      <c r="J22" s="46">
        <v>3719.7916387466475</v>
      </c>
      <c r="K22" s="46">
        <v>1613.9827599999999</v>
      </c>
      <c r="L22" s="46">
        <v>1678.5420703999998</v>
      </c>
      <c r="M22" s="47">
        <f t="shared" si="1"/>
        <v>10129278.993826782</v>
      </c>
      <c r="N22" s="47">
        <f t="shared" si="2"/>
        <v>3742126.6593914013</v>
      </c>
      <c r="O22" s="47">
        <f t="shared" si="3"/>
        <v>1946594.7846128454</v>
      </c>
      <c r="P22" s="47">
        <f t="shared" si="4"/>
        <v>8183720.6144274669</v>
      </c>
      <c r="Q22" s="47">
        <f t="shared" si="5"/>
        <v>24001721.052258495</v>
      </c>
      <c r="R22" s="48"/>
      <c r="S22" s="48"/>
      <c r="T22" s="48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</row>
    <row r="23" spans="1:184" s="24" customFormat="1">
      <c r="A23" s="43" t="s">
        <v>27</v>
      </c>
      <c r="B23" s="44" t="s">
        <v>74</v>
      </c>
      <c r="C23" s="44" t="s">
        <v>75</v>
      </c>
      <c r="D23" s="57">
        <v>567.81500000000005</v>
      </c>
      <c r="E23" s="57">
        <f>850.332-D23</f>
        <v>282.51699999999994</v>
      </c>
      <c r="F23" s="57">
        <v>94.103999999999999</v>
      </c>
      <c r="G23" s="57">
        <f>656.874-F23</f>
        <v>562.77</v>
      </c>
      <c r="H23" s="57">
        <f t="shared" si="0"/>
        <v>1507.2060000000001</v>
      </c>
      <c r="I23" s="46">
        <v>2965.3794560000001</v>
      </c>
      <c r="J23" s="46">
        <v>3083.9946342400003</v>
      </c>
      <c r="K23" s="46">
        <v>1693.18</v>
      </c>
      <c r="L23" s="46">
        <v>1760.91</v>
      </c>
      <c r="M23" s="47">
        <f t="shared" si="1"/>
        <v>722373.93410864007</v>
      </c>
      <c r="N23" s="47">
        <f t="shared" si="2"/>
        <v>359417.97371075192</v>
      </c>
      <c r="O23" s="47">
        <f t="shared" si="3"/>
        <v>124507.55642052098</v>
      </c>
      <c r="P23" s="47">
        <f t="shared" si="4"/>
        <v>744592.33961124485</v>
      </c>
      <c r="Q23" s="47">
        <f t="shared" si="5"/>
        <v>1950891.8038511577</v>
      </c>
      <c r="R23" s="48"/>
      <c r="S23" s="48"/>
      <c r="T23" s="48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</row>
    <row r="24" spans="1:184" s="24" customFormat="1">
      <c r="A24" s="43" t="s">
        <v>7</v>
      </c>
      <c r="B24" s="44" t="s">
        <v>79</v>
      </c>
      <c r="C24" s="44" t="s">
        <v>80</v>
      </c>
      <c r="D24" s="57">
        <v>197.4</v>
      </c>
      <c r="E24" s="57">
        <f>444.15-D24</f>
        <v>246.74999999999997</v>
      </c>
      <c r="F24" s="57">
        <v>62.49</v>
      </c>
      <c r="G24" s="57">
        <f>358.59-F24</f>
        <v>296.09999999999997</v>
      </c>
      <c r="H24" s="57">
        <f t="shared" si="0"/>
        <v>802.74</v>
      </c>
      <c r="I24" s="52">
        <v>2958.5653760000005</v>
      </c>
      <c r="J24" s="52">
        <v>3076.9079910400005</v>
      </c>
      <c r="K24" s="52">
        <v>1936.2907200000002</v>
      </c>
      <c r="L24" s="52">
        <v>2013.7423488000002</v>
      </c>
      <c r="M24" s="47">
        <f t="shared" si="1"/>
        <v>201797.01709440007</v>
      </c>
      <c r="N24" s="47">
        <f t="shared" si="2"/>
        <v>252246.27136800005</v>
      </c>
      <c r="O24" s="47">
        <f t="shared" si="3"/>
        <v>66437.22098357763</v>
      </c>
      <c r="P24" s="47">
        <f t="shared" si="4"/>
        <v>314803.34666726406</v>
      </c>
      <c r="Q24" s="47">
        <f t="shared" si="5"/>
        <v>835283.85611324175</v>
      </c>
      <c r="R24" s="48"/>
      <c r="S24" s="48"/>
      <c r="T24" s="48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</row>
    <row r="25" spans="1:184" s="24" customFormat="1" ht="15.75">
      <c r="A25" s="112" t="s">
        <v>83</v>
      </c>
      <c r="B25" s="112"/>
      <c r="C25" s="112"/>
      <c r="D25" s="99"/>
      <c r="E25" s="99"/>
      <c r="F25" s="98"/>
      <c r="G25" s="98"/>
      <c r="H25" s="57"/>
      <c r="I25" s="40"/>
      <c r="J25" s="40"/>
      <c r="K25" s="40"/>
      <c r="L25" s="40"/>
      <c r="M25" s="47">
        <f t="shared" si="1"/>
        <v>0</v>
      </c>
      <c r="N25" s="47">
        <f t="shared" si="2"/>
        <v>0</v>
      </c>
      <c r="O25" s="47">
        <f t="shared" si="3"/>
        <v>0</v>
      </c>
      <c r="P25" s="47">
        <f t="shared" si="4"/>
        <v>0</v>
      </c>
      <c r="Q25" s="47">
        <f t="shared" si="5"/>
        <v>0</v>
      </c>
      <c r="R25" s="88"/>
      <c r="S25" s="88"/>
      <c r="T25" s="88"/>
    </row>
    <row r="26" spans="1:184" s="24" customFormat="1">
      <c r="A26" s="43" t="s">
        <v>312</v>
      </c>
      <c r="B26" s="44" t="s">
        <v>86</v>
      </c>
      <c r="C26" s="44" t="s">
        <v>85</v>
      </c>
      <c r="D26" s="57">
        <v>48.66</v>
      </c>
      <c r="E26" s="57">
        <f>71.68-D26</f>
        <v>23.02000000000001</v>
      </c>
      <c r="F26" s="57">
        <v>8.0299999999999994</v>
      </c>
      <c r="G26" s="57">
        <f>56.69-F26</f>
        <v>48.66</v>
      </c>
      <c r="H26" s="57">
        <f t="shared" si="0"/>
        <v>128.37</v>
      </c>
      <c r="I26" s="46">
        <v>3273.5381120000006</v>
      </c>
      <c r="J26" s="46">
        <v>3404.4796364800009</v>
      </c>
      <c r="K26" s="46">
        <v>1606.7816960000002</v>
      </c>
      <c r="L26" s="46">
        <v>1671.0529638400003</v>
      </c>
      <c r="M26" s="47">
        <f t="shared" si="1"/>
        <v>81104.36720256001</v>
      </c>
      <c r="N26" s="47">
        <f t="shared" si="2"/>
        <v>38368.732696320025</v>
      </c>
      <c r="O26" s="47">
        <f t="shared" si="3"/>
        <v>13919.416181299204</v>
      </c>
      <c r="P26" s="47">
        <f t="shared" si="4"/>
        <v>84348.541890662425</v>
      </c>
      <c r="Q26" s="47">
        <f t="shared" si="5"/>
        <v>217741.05797084165</v>
      </c>
      <c r="R26" s="48"/>
      <c r="S26" s="48"/>
      <c r="T26" s="48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</row>
    <row r="27" spans="1:184" s="24" customFormat="1">
      <c r="A27" s="43" t="s">
        <v>313</v>
      </c>
      <c r="B27" s="44" t="s">
        <v>62</v>
      </c>
      <c r="C27" s="44" t="s">
        <v>84</v>
      </c>
      <c r="D27" s="57">
        <f>37.481+36.507+35.76</f>
        <v>109.74799999999999</v>
      </c>
      <c r="E27" s="57">
        <f>35.76+35.76</f>
        <v>71.52</v>
      </c>
      <c r="F27" s="57">
        <v>37.401000000000003</v>
      </c>
      <c r="G27" s="57">
        <v>76.400000000000006</v>
      </c>
      <c r="H27" s="57">
        <f t="shared" si="0"/>
        <v>295.06899999999996</v>
      </c>
      <c r="I27" s="46">
        <v>3913.2179839999999</v>
      </c>
      <c r="J27" s="46">
        <v>4069.7467033600001</v>
      </c>
      <c r="K27" s="46">
        <v>1606.1891040000003</v>
      </c>
      <c r="L27" s="46">
        <v>1670.4366681600004</v>
      </c>
      <c r="M27" s="47">
        <f t="shared" si="1"/>
        <v>253191.80552223997</v>
      </c>
      <c r="N27" s="47">
        <f t="shared" si="2"/>
        <v>164998.70549759999</v>
      </c>
      <c r="O27" s="47">
        <f t="shared" si="3"/>
        <v>89736.594626515202</v>
      </c>
      <c r="P27" s="47">
        <f t="shared" si="4"/>
        <v>183307.28668927998</v>
      </c>
      <c r="Q27" s="47">
        <f t="shared" si="5"/>
        <v>691234.39233563514</v>
      </c>
      <c r="R27" s="48"/>
      <c r="S27" s="48"/>
      <c r="T27" s="48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</row>
    <row r="28" spans="1:184" s="24" customFormat="1">
      <c r="A28" s="43" t="s">
        <v>313</v>
      </c>
      <c r="B28" s="44" t="s">
        <v>62</v>
      </c>
      <c r="C28" s="44" t="s">
        <v>85</v>
      </c>
      <c r="D28" s="57">
        <f>420.344-0.266-0.354-0.352</f>
        <v>419.37200000000001</v>
      </c>
      <c r="E28" s="57">
        <f>702.692-D28</f>
        <v>283.32</v>
      </c>
      <c r="F28" s="57">
        <v>291.55</v>
      </c>
      <c r="G28" s="57">
        <v>317.36900000000003</v>
      </c>
      <c r="H28" s="57">
        <f t="shared" si="0"/>
        <v>1311.6109999999999</v>
      </c>
      <c r="I28" s="46">
        <v>3913.2179839999999</v>
      </c>
      <c r="J28" s="46">
        <v>4069.7467033600001</v>
      </c>
      <c r="K28" s="46">
        <v>1606.1891040000003</v>
      </c>
      <c r="L28" s="46">
        <v>1670.4366681600004</v>
      </c>
      <c r="M28" s="47">
        <f t="shared" si="1"/>
        <v>967503.31546335993</v>
      </c>
      <c r="N28" s="47">
        <f t="shared" si="2"/>
        <v>653627.42228159995</v>
      </c>
      <c r="O28" s="47">
        <f t="shared" si="3"/>
        <v>699518.84076255991</v>
      </c>
      <c r="P28" s="47">
        <f t="shared" si="4"/>
        <v>761466.62656138872</v>
      </c>
      <c r="Q28" s="47">
        <f t="shared" si="5"/>
        <v>3082116.2050689086</v>
      </c>
      <c r="R28" s="48"/>
      <c r="S28" s="48"/>
      <c r="T28" s="48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</row>
    <row r="29" spans="1:184" s="24" customFormat="1">
      <c r="A29" s="43" t="s">
        <v>313</v>
      </c>
      <c r="B29" s="44" t="s">
        <v>62</v>
      </c>
      <c r="C29" s="44" t="s">
        <v>92</v>
      </c>
      <c r="D29" s="57">
        <f>525.597</f>
        <v>525.59699999999998</v>
      </c>
      <c r="E29" s="57">
        <f>875.955-D29</f>
        <v>350.35800000000006</v>
      </c>
      <c r="F29" s="57">
        <v>346.79500000000002</v>
      </c>
      <c r="G29" s="57">
        <v>346.79500000000002</v>
      </c>
      <c r="H29" s="57">
        <f t="shared" si="0"/>
        <v>1569.5450000000001</v>
      </c>
      <c r="I29" s="46">
        <v>4559.4090880000012</v>
      </c>
      <c r="J29" s="46">
        <v>4741.7854515200015</v>
      </c>
      <c r="K29" s="46">
        <v>1815.7576320000001</v>
      </c>
      <c r="L29" s="46">
        <v>1888.3879372800002</v>
      </c>
      <c r="M29" s="47">
        <f t="shared" si="1"/>
        <v>1442054.9743192326</v>
      </c>
      <c r="N29" s="47">
        <f t="shared" si="2"/>
        <v>961260.23682124866</v>
      </c>
      <c r="O29" s="47">
        <f t="shared" si="3"/>
        <v>989543.99095086136</v>
      </c>
      <c r="P29" s="47">
        <f t="shared" si="4"/>
        <v>989543.99095086136</v>
      </c>
      <c r="Q29" s="47">
        <f t="shared" si="5"/>
        <v>4382403.1930422038</v>
      </c>
      <c r="R29" s="48"/>
      <c r="S29" s="48"/>
      <c r="T29" s="48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</row>
    <row r="30" spans="1:184" s="24" customFormat="1">
      <c r="A30" s="43" t="s">
        <v>5</v>
      </c>
      <c r="B30" s="44" t="s">
        <v>90</v>
      </c>
      <c r="C30" s="44" t="s">
        <v>85</v>
      </c>
      <c r="D30" s="57">
        <v>6777.4690000000001</v>
      </c>
      <c r="E30" s="57">
        <f>11278.126-D30</f>
        <v>4500.6570000000002</v>
      </c>
      <c r="F30" s="57">
        <v>2216.4899999999998</v>
      </c>
      <c r="G30" s="57">
        <f>8941.83-F30</f>
        <v>6725.34</v>
      </c>
      <c r="H30" s="57">
        <f t="shared" si="0"/>
        <v>20219.955999999998</v>
      </c>
      <c r="I30" s="46">
        <v>4439.9571839999999</v>
      </c>
      <c r="J30" s="46">
        <v>4617.5554713600004</v>
      </c>
      <c r="K30" s="46">
        <v>1606.7773349888002</v>
      </c>
      <c r="L30" s="46">
        <v>1671.0484283883522</v>
      </c>
      <c r="M30" s="47">
        <f t="shared" si="1"/>
        <v>19201788.598098088</v>
      </c>
      <c r="N30" s="47">
        <f t="shared" si="2"/>
        <v>12751170.719711199</v>
      </c>
      <c r="O30" s="47">
        <f t="shared" si="3"/>
        <v>6530903.3956762273</v>
      </c>
      <c r="P30" s="47">
        <f t="shared" si="4"/>
        <v>19816261.676378943</v>
      </c>
      <c r="Q30" s="47">
        <f t="shared" si="5"/>
        <v>58300124.38986446</v>
      </c>
      <c r="R30" s="48"/>
      <c r="S30" s="48"/>
      <c r="T30" s="48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</row>
    <row r="31" spans="1:184" s="24" customFormat="1">
      <c r="A31" s="43" t="s">
        <v>29</v>
      </c>
      <c r="B31" s="44" t="s">
        <v>87</v>
      </c>
      <c r="C31" s="44" t="s">
        <v>88</v>
      </c>
      <c r="D31" s="57">
        <v>2117.2179999999998</v>
      </c>
      <c r="E31" s="57">
        <f>3359.041-D31</f>
        <v>1241.8230000000003</v>
      </c>
      <c r="F31" s="57">
        <v>546.58699999999999</v>
      </c>
      <c r="G31" s="57">
        <f>2482.738-F31</f>
        <v>1936.1509999999998</v>
      </c>
      <c r="H31" s="57">
        <f t="shared" si="0"/>
        <v>5841.7790000000005</v>
      </c>
      <c r="I31" s="46">
        <v>3620.9264000000003</v>
      </c>
      <c r="J31" s="46">
        <v>3765.7634560000006</v>
      </c>
      <c r="K31" s="46">
        <v>1815.7491695616002</v>
      </c>
      <c r="L31" s="46">
        <v>1888.3791363440644</v>
      </c>
      <c r="M31" s="47">
        <f t="shared" si="1"/>
        <v>3821953.7254743283</v>
      </c>
      <c r="N31" s="47">
        <f t="shared" si="2"/>
        <v>2241710.6038347059</v>
      </c>
      <c r="O31" s="47">
        <f t="shared" si="3"/>
        <v>1026153.8631277792</v>
      </c>
      <c r="P31" s="47">
        <f t="shared" si="4"/>
        <v>3634899.5278861602</v>
      </c>
      <c r="Q31" s="47">
        <f t="shared" si="5"/>
        <v>10724717.720322974</v>
      </c>
      <c r="R31" s="48"/>
      <c r="S31" s="48"/>
      <c r="T31" s="48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</row>
    <row r="32" spans="1:184" s="24" customFormat="1">
      <c r="A32" s="43" t="s">
        <v>29</v>
      </c>
      <c r="B32" s="44" t="s">
        <v>87</v>
      </c>
      <c r="C32" s="44" t="s">
        <v>89</v>
      </c>
      <c r="D32" s="57">
        <v>3347.2570000000001</v>
      </c>
      <c r="E32" s="57">
        <f>5483.677-D32</f>
        <v>2136.4199999999996</v>
      </c>
      <c r="F32" s="57">
        <v>855.23299999999995</v>
      </c>
      <c r="G32" s="57">
        <f>4157.942-F32</f>
        <v>3302.7089999999998</v>
      </c>
      <c r="H32" s="57">
        <f t="shared" si="0"/>
        <v>9641.6189999999988</v>
      </c>
      <c r="I32" s="46">
        <v>3215.3696639999998</v>
      </c>
      <c r="J32" s="46">
        <v>3343.9844505599999</v>
      </c>
      <c r="K32" s="46">
        <v>1412.3117465600001</v>
      </c>
      <c r="L32" s="46">
        <v>1468.8042164224</v>
      </c>
      <c r="M32" s="47">
        <f t="shared" si="1"/>
        <v>6035298.2355564609</v>
      </c>
      <c r="N32" s="47">
        <f t="shared" si="2"/>
        <v>3852088.9959771638</v>
      </c>
      <c r="O32" s="47">
        <f t="shared" si="3"/>
        <v>1603716.0171822018</v>
      </c>
      <c r="P32" s="47">
        <f t="shared" si="4"/>
        <v>6193174.6359083578</v>
      </c>
      <c r="Q32" s="47">
        <f t="shared" si="5"/>
        <v>17684277.884624183</v>
      </c>
      <c r="R32" s="48"/>
      <c r="S32" s="48"/>
      <c r="T32" s="48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</row>
    <row r="33" spans="1:184" s="24" customFormat="1" ht="15.75">
      <c r="A33" s="112" t="s">
        <v>93</v>
      </c>
      <c r="B33" s="112"/>
      <c r="C33" s="112"/>
      <c r="D33" s="99"/>
      <c r="E33" s="99"/>
      <c r="F33" s="98"/>
      <c r="G33" s="98"/>
      <c r="H33" s="57"/>
      <c r="I33" s="40"/>
      <c r="J33" s="40"/>
      <c r="K33" s="40"/>
      <c r="L33" s="40"/>
      <c r="M33" s="47">
        <f t="shared" si="1"/>
        <v>0</v>
      </c>
      <c r="N33" s="47">
        <f t="shared" si="2"/>
        <v>0</v>
      </c>
      <c r="O33" s="47">
        <f t="shared" si="3"/>
        <v>0</v>
      </c>
      <c r="P33" s="47">
        <f t="shared" si="4"/>
        <v>0</v>
      </c>
      <c r="Q33" s="47">
        <f t="shared" si="5"/>
        <v>0</v>
      </c>
      <c r="R33" s="88"/>
      <c r="S33" s="88"/>
      <c r="T33" s="88"/>
    </row>
    <row r="34" spans="1:184" s="24" customFormat="1">
      <c r="A34" s="43" t="s">
        <v>14</v>
      </c>
      <c r="B34" s="44" t="s">
        <v>320</v>
      </c>
      <c r="C34" s="44" t="s">
        <v>98</v>
      </c>
      <c r="D34" s="57">
        <v>5020.0339999999997</v>
      </c>
      <c r="E34" s="57">
        <f>7122.811-D34</f>
        <v>2102.777</v>
      </c>
      <c r="F34" s="57">
        <v>684.80499999999995</v>
      </c>
      <c r="G34" s="57">
        <f>4790.17-F34</f>
        <v>4105.3649999999998</v>
      </c>
      <c r="H34" s="57">
        <f t="shared" si="0"/>
        <v>11912.981</v>
      </c>
      <c r="I34" s="46">
        <v>3051.7560320000002</v>
      </c>
      <c r="J34" s="46">
        <v>3173.8262732800004</v>
      </c>
      <c r="K34" s="46">
        <v>1571.1321600000001</v>
      </c>
      <c r="L34" s="46">
        <v>1633.9774464000002</v>
      </c>
      <c r="M34" s="47">
        <f t="shared" si="1"/>
        <v>7432782.1786516476</v>
      </c>
      <c r="N34" s="47">
        <f t="shared" si="2"/>
        <v>3113421.8236925444</v>
      </c>
      <c r="O34" s="47">
        <f t="shared" si="3"/>
        <v>1054496.1758915584</v>
      </c>
      <c r="P34" s="47">
        <f t="shared" si="4"/>
        <v>6321641.4791642111</v>
      </c>
      <c r="Q34" s="47">
        <f t="shared" si="5"/>
        <v>17922341.65739996</v>
      </c>
      <c r="R34" s="48"/>
      <c r="S34" s="48"/>
      <c r="T34" s="48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</row>
    <row r="35" spans="1:184" s="24" customFormat="1">
      <c r="A35" s="43" t="s">
        <v>14</v>
      </c>
      <c r="B35" s="44" t="s">
        <v>320</v>
      </c>
      <c r="C35" s="44" t="s">
        <v>82</v>
      </c>
      <c r="D35" s="57">
        <v>188.625</v>
      </c>
      <c r="E35" s="57">
        <f>282.195-D35</f>
        <v>93.57</v>
      </c>
      <c r="F35" s="57">
        <v>49.99</v>
      </c>
      <c r="G35" s="57">
        <f>224.67-F35</f>
        <v>174.67999999999998</v>
      </c>
      <c r="H35" s="57">
        <f t="shared" si="0"/>
        <v>506.86500000000001</v>
      </c>
      <c r="I35" s="46">
        <v>3051.7560320000002</v>
      </c>
      <c r="J35" s="46">
        <v>3173.8262732800004</v>
      </c>
      <c r="K35" s="46">
        <v>1571.1321600000001</v>
      </c>
      <c r="L35" s="46">
        <v>1633.9774464000002</v>
      </c>
      <c r="M35" s="47">
        <f t="shared" si="1"/>
        <v>279282.67785600002</v>
      </c>
      <c r="N35" s="47">
        <f t="shared" si="2"/>
        <v>138541.97570303999</v>
      </c>
      <c r="O35" s="47">
        <f t="shared" si="3"/>
        <v>76977.042855731212</v>
      </c>
      <c r="P35" s="47">
        <f t="shared" si="4"/>
        <v>268980.7930793984</v>
      </c>
      <c r="Q35" s="47">
        <f t="shared" si="5"/>
        <v>763782.4894941696</v>
      </c>
      <c r="R35" s="48"/>
      <c r="S35" s="48"/>
      <c r="T35" s="48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</row>
    <row r="36" spans="1:184" s="24" customFormat="1" ht="30">
      <c r="A36" s="43" t="s">
        <v>421</v>
      </c>
      <c r="B36" s="44" t="s">
        <v>422</v>
      </c>
      <c r="C36" s="44" t="s">
        <v>98</v>
      </c>
      <c r="D36" s="57">
        <f>328.2832*0.4</f>
        <v>131.31328000000002</v>
      </c>
      <c r="E36" s="57">
        <f>328.2832*0.6</f>
        <v>196.96992</v>
      </c>
      <c r="F36" s="57">
        <f>257.9368*0.2</f>
        <v>51.587360000000004</v>
      </c>
      <c r="G36" s="57">
        <f>257.9368*0.8</f>
        <v>206.34944000000002</v>
      </c>
      <c r="H36" s="57">
        <f t="shared" si="0"/>
        <v>586.22</v>
      </c>
      <c r="I36" s="46">
        <v>2321.2542080000003</v>
      </c>
      <c r="J36" s="46">
        <v>2414.1043763200005</v>
      </c>
      <c r="K36" s="46">
        <v>1571.1321600000001</v>
      </c>
      <c r="L36" s="46">
        <v>1633.9774464000002</v>
      </c>
      <c r="M36" s="47">
        <f t="shared" si="1"/>
        <v>98500.986523197484</v>
      </c>
      <c r="N36" s="47">
        <f t="shared" si="2"/>
        <v>147751.47978479619</v>
      </c>
      <c r="O36" s="47">
        <f t="shared" si="3"/>
        <v>40244.68877947783</v>
      </c>
      <c r="P36" s="47">
        <f t="shared" si="4"/>
        <v>160978.75511791132</v>
      </c>
      <c r="Q36" s="47">
        <f t="shared" si="5"/>
        <v>447475.91020538285</v>
      </c>
      <c r="R36" s="48"/>
      <c r="S36" s="48"/>
      <c r="T36" s="48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</row>
    <row r="37" spans="1:184" s="24" customFormat="1" ht="30">
      <c r="A37" s="43" t="s">
        <v>39</v>
      </c>
      <c r="B37" s="44" t="s">
        <v>102</v>
      </c>
      <c r="C37" s="44" t="s">
        <v>82</v>
      </c>
      <c r="D37" s="57">
        <v>249.64500000000001</v>
      </c>
      <c r="E37" s="57">
        <f>416.075-D37</f>
        <v>166.42999999999998</v>
      </c>
      <c r="F37" s="57">
        <v>83.215000000000003</v>
      </c>
      <c r="G37" s="57">
        <f>332.86-F37</f>
        <v>249.64500000000001</v>
      </c>
      <c r="H37" s="57">
        <f t="shared" si="0"/>
        <v>748.93499999999995</v>
      </c>
      <c r="I37" s="46">
        <v>3547.4641280000001</v>
      </c>
      <c r="J37" s="46">
        <v>3689.3626931200001</v>
      </c>
      <c r="K37" s="46">
        <v>1525.8996480000001</v>
      </c>
      <c r="L37" s="46">
        <v>1586.9356339200001</v>
      </c>
      <c r="M37" s="47">
        <f t="shared" si="1"/>
        <v>504673.46460960002</v>
      </c>
      <c r="N37" s="47">
        <f t="shared" si="2"/>
        <v>336448.97640639998</v>
      </c>
      <c r="O37" s="47">
        <f t="shared" si="3"/>
        <v>174953.46773132804</v>
      </c>
      <c r="P37" s="47">
        <f t="shared" si="4"/>
        <v>524860.40319398406</v>
      </c>
      <c r="Q37" s="47">
        <f t="shared" si="5"/>
        <v>1540936.3119413122</v>
      </c>
      <c r="R37" s="48"/>
      <c r="S37" s="48"/>
      <c r="T37" s="48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</row>
    <row r="38" spans="1:184" s="24" customFormat="1" ht="30">
      <c r="A38" s="43" t="s">
        <v>41</v>
      </c>
      <c r="B38" s="44" t="s">
        <v>103</v>
      </c>
      <c r="C38" s="44" t="s">
        <v>104</v>
      </c>
      <c r="D38" s="57">
        <v>139.65</v>
      </c>
      <c r="E38" s="57">
        <f>230.49-D38</f>
        <v>90.84</v>
      </c>
      <c r="F38" s="57">
        <v>46.55</v>
      </c>
      <c r="G38" s="57">
        <f>186.2-F38</f>
        <v>139.64999999999998</v>
      </c>
      <c r="H38" s="57">
        <f t="shared" si="0"/>
        <v>416.69</v>
      </c>
      <c r="I38" s="46">
        <v>4146.3244160000004</v>
      </c>
      <c r="J38" s="46">
        <v>4312.1773926400001</v>
      </c>
      <c r="K38" s="46">
        <v>1496.5017600000001</v>
      </c>
      <c r="L38" s="46">
        <v>1556.3618304000001</v>
      </c>
      <c r="M38" s="47">
        <f t="shared" si="1"/>
        <v>370047.73391040007</v>
      </c>
      <c r="N38" s="47">
        <f t="shared" si="2"/>
        <v>240709.89007104005</v>
      </c>
      <c r="O38" s="47">
        <f t="shared" si="3"/>
        <v>128283.21442227199</v>
      </c>
      <c r="P38" s="47">
        <f t="shared" si="4"/>
        <v>384849.64326681593</v>
      </c>
      <c r="Q38" s="47">
        <f t="shared" si="5"/>
        <v>1123890.481670528</v>
      </c>
      <c r="R38" s="48"/>
      <c r="S38" s="48"/>
      <c r="T38" s="48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</row>
    <row r="39" spans="1:184" s="24" customFormat="1" ht="30">
      <c r="A39" s="43" t="s">
        <v>40</v>
      </c>
      <c r="B39" s="44" t="s">
        <v>96</v>
      </c>
      <c r="C39" s="44" t="s">
        <v>97</v>
      </c>
      <c r="D39" s="57">
        <v>137.57900000000001</v>
      </c>
      <c r="E39" s="57">
        <f>206.386-D39</f>
        <v>68.806999999999988</v>
      </c>
      <c r="F39" s="57">
        <v>28.872</v>
      </c>
      <c r="G39" s="57">
        <f>165.636-F39</f>
        <v>136.76400000000001</v>
      </c>
      <c r="H39" s="57">
        <f t="shared" si="0"/>
        <v>372.02199999999999</v>
      </c>
      <c r="I39" s="46">
        <v>3095.7663360000001</v>
      </c>
      <c r="J39" s="46">
        <v>3219.5969894400005</v>
      </c>
      <c r="K39" s="46">
        <v>1621.9839999999999</v>
      </c>
      <c r="L39" s="46">
        <v>1686.8633600000001</v>
      </c>
      <c r="M39" s="47">
        <f t="shared" si="1"/>
        <v>202761.50000454404</v>
      </c>
      <c r="N39" s="47">
        <f t="shared" si="2"/>
        <v>101406.54119315199</v>
      </c>
      <c r="O39" s="47">
        <f t="shared" si="3"/>
        <v>44253.085349191693</v>
      </c>
      <c r="P39" s="47">
        <f t="shared" si="4"/>
        <v>209622.78209673223</v>
      </c>
      <c r="Q39" s="47">
        <f t="shared" si="5"/>
        <v>558043.90864361986</v>
      </c>
      <c r="R39" s="48"/>
      <c r="S39" s="48"/>
      <c r="T39" s="48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</row>
    <row r="40" spans="1:184" s="24" customFormat="1" ht="30">
      <c r="A40" s="43" t="s">
        <v>311</v>
      </c>
      <c r="B40" s="44" t="s">
        <v>94</v>
      </c>
      <c r="C40" s="44" t="s">
        <v>95</v>
      </c>
      <c r="D40" s="57">
        <v>182.09</v>
      </c>
      <c r="E40" s="57">
        <f>263.43-D40</f>
        <v>81.34</v>
      </c>
      <c r="F40" s="57">
        <v>28.58</v>
      </c>
      <c r="G40" s="57">
        <f>199.4-F40</f>
        <v>170.82</v>
      </c>
      <c r="H40" s="57">
        <f t="shared" si="0"/>
        <v>462.83</v>
      </c>
      <c r="I40" s="46">
        <v>3573.6388480000005</v>
      </c>
      <c r="J40" s="46">
        <v>3716.5844019200008</v>
      </c>
      <c r="K40" s="46">
        <v>1466.1088</v>
      </c>
      <c r="L40" s="46">
        <v>1524.753152</v>
      </c>
      <c r="M40" s="47">
        <f t="shared" si="1"/>
        <v>383760.14644032012</v>
      </c>
      <c r="N40" s="47">
        <f t="shared" si="2"/>
        <v>171426.49410432004</v>
      </c>
      <c r="O40" s="47">
        <f t="shared" si="3"/>
        <v>62642.537122713627</v>
      </c>
      <c r="P40" s="47">
        <f t="shared" si="4"/>
        <v>374408.61411133455</v>
      </c>
      <c r="Q40" s="47">
        <f t="shared" si="5"/>
        <v>992237.79177868832</v>
      </c>
      <c r="R40" s="48"/>
      <c r="S40" s="48"/>
      <c r="T40" s="48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</row>
    <row r="41" spans="1:184" s="24" customFormat="1" ht="30">
      <c r="A41" s="43" t="s">
        <v>38</v>
      </c>
      <c r="B41" s="44" t="s">
        <v>100</v>
      </c>
      <c r="C41" s="44" t="s">
        <v>101</v>
      </c>
      <c r="D41" s="57">
        <v>155.55000000000001</v>
      </c>
      <c r="E41" s="57">
        <f>232.62-D41</f>
        <v>77.069999999999993</v>
      </c>
      <c r="F41" s="57">
        <v>32.840000000000003</v>
      </c>
      <c r="G41" s="57">
        <f>188.39-F41</f>
        <v>155.54999999999998</v>
      </c>
      <c r="H41" s="57">
        <f t="shared" si="0"/>
        <v>421.01</v>
      </c>
      <c r="I41" s="46">
        <v>4336.8698880000002</v>
      </c>
      <c r="J41" s="46">
        <v>4510.3446835200002</v>
      </c>
      <c r="K41" s="46">
        <v>1583.4407680000002</v>
      </c>
      <c r="L41" s="46">
        <v>1646.7783987200003</v>
      </c>
      <c r="M41" s="47">
        <f t="shared" si="1"/>
        <v>428295.89961600001</v>
      </c>
      <c r="N41" s="47">
        <f t="shared" si="2"/>
        <v>212206.78227839997</v>
      </c>
      <c r="O41" s="47">
        <f t="shared" si="3"/>
        <v>94039.516792832015</v>
      </c>
      <c r="P41" s="47">
        <f t="shared" si="4"/>
        <v>445427.73560063995</v>
      </c>
      <c r="Q41" s="47">
        <f t="shared" si="5"/>
        <v>1179969.9342878719</v>
      </c>
      <c r="R41" s="48"/>
      <c r="S41" s="48"/>
      <c r="T41" s="48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</row>
    <row r="42" spans="1:184" s="24" customFormat="1" ht="30">
      <c r="A42" s="43" t="s">
        <v>42</v>
      </c>
      <c r="B42" s="44" t="s">
        <v>99</v>
      </c>
      <c r="C42" s="44" t="s">
        <v>97</v>
      </c>
      <c r="D42" s="57">
        <v>126.444</v>
      </c>
      <c r="E42" s="57">
        <f>187.627-D42</f>
        <v>61.183000000000007</v>
      </c>
      <c r="F42" s="57">
        <v>26.71</v>
      </c>
      <c r="G42" s="57">
        <f>153.232-F42</f>
        <v>126.52199999999999</v>
      </c>
      <c r="H42" s="57">
        <f t="shared" si="0"/>
        <v>340.85900000000004</v>
      </c>
      <c r="I42" s="46">
        <v>4276.9925119999998</v>
      </c>
      <c r="J42" s="46">
        <v>4448.0722124799995</v>
      </c>
      <c r="K42" s="46">
        <v>1599.5096000000001</v>
      </c>
      <c r="L42" s="46">
        <v>1663.489984</v>
      </c>
      <c r="M42" s="47">
        <f t="shared" si="1"/>
        <v>338551.64932492794</v>
      </c>
      <c r="N42" s="47">
        <f t="shared" si="2"/>
        <v>163816.437004896</v>
      </c>
      <c r="O42" s="47">
        <f t="shared" si="3"/>
        <v>74376.19132270079</v>
      </c>
      <c r="P42" s="47">
        <f t="shared" si="4"/>
        <v>352310.91271174653</v>
      </c>
      <c r="Q42" s="47">
        <f t="shared" si="5"/>
        <v>929055.19036427129</v>
      </c>
      <c r="R42" s="48"/>
      <c r="S42" s="48"/>
      <c r="T42" s="48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</row>
    <row r="43" spans="1:184" s="24" customFormat="1" ht="15.75">
      <c r="A43" s="112" t="s">
        <v>105</v>
      </c>
      <c r="B43" s="112"/>
      <c r="C43" s="112"/>
      <c r="D43" s="99"/>
      <c r="E43" s="99"/>
      <c r="F43" s="98"/>
      <c r="G43" s="98"/>
      <c r="H43" s="57"/>
      <c r="I43" s="40"/>
      <c r="J43" s="40"/>
      <c r="K43" s="40"/>
      <c r="L43" s="40"/>
      <c r="M43" s="47">
        <f t="shared" si="1"/>
        <v>0</v>
      </c>
      <c r="N43" s="47">
        <f t="shared" si="2"/>
        <v>0</v>
      </c>
      <c r="O43" s="47">
        <f t="shared" si="3"/>
        <v>0</v>
      </c>
      <c r="P43" s="47">
        <f t="shared" si="4"/>
        <v>0</v>
      </c>
      <c r="Q43" s="47">
        <f t="shared" si="5"/>
        <v>0</v>
      </c>
      <c r="R43" s="88"/>
      <c r="S43" s="88"/>
      <c r="T43" s="88"/>
    </row>
    <row r="44" spans="1:184" s="24" customFormat="1" ht="15.75">
      <c r="A44" s="89" t="s">
        <v>21</v>
      </c>
      <c r="B44" s="89" t="s">
        <v>116</v>
      </c>
      <c r="C44" s="54" t="s">
        <v>337</v>
      </c>
      <c r="D44" s="100">
        <v>147.23099999999999</v>
      </c>
      <c r="E44" s="100">
        <f>243.811-D44</f>
        <v>96.580000000000013</v>
      </c>
      <c r="F44" s="100">
        <v>66.087999999999994</v>
      </c>
      <c r="G44" s="100">
        <f>225.647-F44</f>
        <v>159.559</v>
      </c>
      <c r="H44" s="57">
        <f t="shared" si="0"/>
        <v>469.45799999999997</v>
      </c>
      <c r="I44" s="56">
        <v>3517.5454496000002</v>
      </c>
      <c r="J44" s="56">
        <v>3658.2472675840004</v>
      </c>
      <c r="K44" s="56">
        <v>1705.3658152959999</v>
      </c>
      <c r="L44" s="56">
        <v>1773.5804479078399</v>
      </c>
      <c r="M44" s="47">
        <f t="shared" si="1"/>
        <v>266809.01973821223</v>
      </c>
      <c r="N44" s="47">
        <f t="shared" si="2"/>
        <v>175020.30908108037</v>
      </c>
      <c r="O44" s="47">
        <f t="shared" si="3"/>
        <v>124553.86077875808</v>
      </c>
      <c r="P44" s="47">
        <f t="shared" si="4"/>
        <v>300715.55308070849</v>
      </c>
      <c r="Q44" s="47">
        <f t="shared" si="5"/>
        <v>867098.74267875915</v>
      </c>
      <c r="R44" s="88"/>
      <c r="S44" s="88"/>
      <c r="T44" s="88"/>
    </row>
    <row r="45" spans="1:184" s="24" customFormat="1">
      <c r="A45" s="43" t="s">
        <v>308</v>
      </c>
      <c r="B45" s="44" t="s">
        <v>113</v>
      </c>
      <c r="C45" s="44" t="s">
        <v>110</v>
      </c>
      <c r="D45" s="57">
        <v>762.6</v>
      </c>
      <c r="E45" s="57">
        <f>1193.7-D45</f>
        <v>431.1</v>
      </c>
      <c r="F45" s="57">
        <v>165.87799999999999</v>
      </c>
      <c r="G45" s="57">
        <f>887.03-F45</f>
        <v>721.15200000000004</v>
      </c>
      <c r="H45" s="57">
        <f t="shared" si="0"/>
        <v>2080.73</v>
      </c>
      <c r="I45" s="46">
        <v>4005.0133760000003</v>
      </c>
      <c r="J45" s="46">
        <v>4165.2139110400003</v>
      </c>
      <c r="K45" s="46">
        <v>1619.3704800000003</v>
      </c>
      <c r="L45" s="46">
        <v>1684.1452992000004</v>
      </c>
      <c r="M45" s="47">
        <f t="shared" si="1"/>
        <v>1819291.2724896003</v>
      </c>
      <c r="N45" s="47">
        <f t="shared" si="2"/>
        <v>1028450.6524656002</v>
      </c>
      <c r="O45" s="47">
        <f t="shared" si="3"/>
        <v>411554.69919479545</v>
      </c>
      <c r="P45" s="47">
        <f t="shared" si="4"/>
        <v>1789227.5915656397</v>
      </c>
      <c r="Q45" s="47">
        <f t="shared" si="5"/>
        <v>5048524.2157156356</v>
      </c>
      <c r="R45" s="48"/>
      <c r="S45" s="48"/>
      <c r="T45" s="48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</row>
    <row r="46" spans="1:184" s="24" customFormat="1">
      <c r="A46" s="43" t="s">
        <v>34</v>
      </c>
      <c r="B46" s="44" t="s">
        <v>107</v>
      </c>
      <c r="C46" s="44" t="s">
        <v>108</v>
      </c>
      <c r="D46" s="57">
        <v>3386.902</v>
      </c>
      <c r="E46" s="57">
        <f>5066.528-D46</f>
        <v>1679.6260000000002</v>
      </c>
      <c r="F46" s="57">
        <v>563.83399999999995</v>
      </c>
      <c r="G46" s="57">
        <f>3925.508-F46</f>
        <v>3361.674</v>
      </c>
      <c r="H46" s="57">
        <f t="shared" si="0"/>
        <v>8992.0360000000001</v>
      </c>
      <c r="I46" s="46">
        <v>3261.5539839999997</v>
      </c>
      <c r="J46" s="46">
        <v>3392.0161433599997</v>
      </c>
      <c r="K46" s="46">
        <v>1652.6409649152001</v>
      </c>
      <c r="L46" s="46">
        <v>1718.7466035118082</v>
      </c>
      <c r="M46" s="47">
        <f t="shared" si="1"/>
        <v>5449230.7221643459</v>
      </c>
      <c r="N46" s="47">
        <f t="shared" si="2"/>
        <v>2702372.1385933259</v>
      </c>
      <c r="O46" s="47">
        <f t="shared" si="3"/>
        <v>943446.25773076515</v>
      </c>
      <c r="P46" s="47">
        <f t="shared" si="4"/>
        <v>5624986.7070996296</v>
      </c>
      <c r="Q46" s="47">
        <f t="shared" si="5"/>
        <v>14720035.825588066</v>
      </c>
      <c r="R46" s="48"/>
      <c r="S46" s="48"/>
      <c r="T46" s="48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</row>
    <row r="47" spans="1:184" s="24" customFormat="1">
      <c r="A47" s="43" t="s">
        <v>34</v>
      </c>
      <c r="B47" s="44" t="s">
        <v>107</v>
      </c>
      <c r="C47" s="44" t="s">
        <v>112</v>
      </c>
      <c r="D47" s="57">
        <v>48.862000000000002</v>
      </c>
      <c r="E47" s="57">
        <f>73.03-D47</f>
        <v>24.167999999999999</v>
      </c>
      <c r="F47" s="57">
        <v>21.33</v>
      </c>
      <c r="G47" s="57">
        <v>127.95</v>
      </c>
      <c r="H47" s="57">
        <f t="shared" si="0"/>
        <v>222.31</v>
      </c>
      <c r="I47" s="46">
        <v>3562.4551040000001</v>
      </c>
      <c r="J47" s="46">
        <v>3704.9533081600002</v>
      </c>
      <c r="K47" s="46">
        <v>1649.6427048192002</v>
      </c>
      <c r="L47" s="46">
        <v>1715.6284130119682</v>
      </c>
      <c r="M47" s="47">
        <f t="shared" si="1"/>
        <v>93463.839448772254</v>
      </c>
      <c r="N47" s="47">
        <f t="shared" si="2"/>
        <v>46228.850063401573</v>
      </c>
      <c r="O47" s="47">
        <f t="shared" si="3"/>
        <v>42432.30001350752</v>
      </c>
      <c r="P47" s="47">
        <f t="shared" si="4"/>
        <v>254534.12033419069</v>
      </c>
      <c r="Q47" s="47">
        <f t="shared" si="5"/>
        <v>436659.10985987203</v>
      </c>
      <c r="R47" s="48"/>
      <c r="S47" s="48"/>
      <c r="T47" s="48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</row>
    <row r="48" spans="1:184" s="24" customFormat="1">
      <c r="A48" s="43" t="s">
        <v>309</v>
      </c>
      <c r="B48" s="44" t="s">
        <v>111</v>
      </c>
      <c r="C48" s="44" t="s">
        <v>110</v>
      </c>
      <c r="D48" s="57">
        <v>10889.25</v>
      </c>
      <c r="E48" s="57">
        <f>16630.23-D48</f>
        <v>5740.98</v>
      </c>
      <c r="F48" s="57">
        <v>1404.25</v>
      </c>
      <c r="G48" s="57">
        <f>10738.52-F48</f>
        <v>9334.27</v>
      </c>
      <c r="H48" s="57">
        <f t="shared" si="0"/>
        <v>27368.75</v>
      </c>
      <c r="I48" s="46">
        <v>3507.1224309333334</v>
      </c>
      <c r="J48" s="46">
        <v>3647.4073281706669</v>
      </c>
      <c r="K48" s="46">
        <v>1524.4446526400002</v>
      </c>
      <c r="L48" s="46">
        <v>1585.4224387456002</v>
      </c>
      <c r="M48" s="47">
        <f t="shared" si="1"/>
        <v>21589873.99728068</v>
      </c>
      <c r="N48" s="47">
        <f t="shared" si="2"/>
        <v>11382513.471626459</v>
      </c>
      <c r="O48" s="47">
        <f t="shared" si="3"/>
        <v>2895542.2809751499</v>
      </c>
      <c r="P48" s="47">
        <f t="shared" si="4"/>
        <v>19247123.693813719</v>
      </c>
      <c r="Q48" s="47">
        <f t="shared" si="5"/>
        <v>55115053.443696007</v>
      </c>
      <c r="R48" s="48"/>
      <c r="S48" s="48"/>
      <c r="T48" s="48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</row>
    <row r="49" spans="1:184" s="24" customFormat="1">
      <c r="A49" s="43" t="s">
        <v>321</v>
      </c>
      <c r="B49" s="44" t="s">
        <v>322</v>
      </c>
      <c r="C49" s="44" t="s">
        <v>106</v>
      </c>
      <c r="D49" s="57">
        <v>77.61</v>
      </c>
      <c r="E49" s="57">
        <f>117.278-D49</f>
        <v>39.668000000000006</v>
      </c>
      <c r="F49" s="57">
        <v>10.94</v>
      </c>
      <c r="G49" s="57">
        <v>78.680000000000007</v>
      </c>
      <c r="H49" s="57">
        <f t="shared" si="0"/>
        <v>206.89800000000002</v>
      </c>
      <c r="I49" s="46">
        <v>3688.2884480000007</v>
      </c>
      <c r="J49" s="46">
        <v>3835.8199859200008</v>
      </c>
      <c r="K49" s="46">
        <v>1734.8896707584001</v>
      </c>
      <c r="L49" s="46">
        <v>1804.2852575887362</v>
      </c>
      <c r="M49" s="47">
        <f t="shared" si="1"/>
        <v>151603.2791017206</v>
      </c>
      <c r="N49" s="47">
        <f t="shared" si="2"/>
        <v>77487.422695619825</v>
      </c>
      <c r="O49" s="47">
        <f t="shared" si="3"/>
        <v>22224.989927944036</v>
      </c>
      <c r="P49" s="47">
        <f t="shared" si="4"/>
        <v>159841.15242510391</v>
      </c>
      <c r="Q49" s="47">
        <f t="shared" si="5"/>
        <v>411156.84415038838</v>
      </c>
      <c r="R49" s="48"/>
      <c r="S49" s="48"/>
      <c r="T49" s="48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</row>
    <row r="50" spans="1:184" s="24" customFormat="1">
      <c r="A50" s="43" t="s">
        <v>321</v>
      </c>
      <c r="B50" s="44" t="s">
        <v>322</v>
      </c>
      <c r="C50" s="44" t="s">
        <v>114</v>
      </c>
      <c r="D50" s="57">
        <v>34.56</v>
      </c>
      <c r="E50" s="57">
        <f>52.223-D50</f>
        <v>17.662999999999997</v>
      </c>
      <c r="F50" s="57">
        <v>5.94</v>
      </c>
      <c r="G50" s="57">
        <v>33.47</v>
      </c>
      <c r="H50" s="57">
        <f t="shared" si="0"/>
        <v>91.632999999999996</v>
      </c>
      <c r="I50" s="46">
        <v>5476.9844480000002</v>
      </c>
      <c r="J50" s="46">
        <v>5696.0638259200005</v>
      </c>
      <c r="K50" s="46">
        <v>1652.6389401600004</v>
      </c>
      <c r="L50" s="46">
        <v>1718.7444977664004</v>
      </c>
      <c r="M50" s="47">
        <f t="shared" si="1"/>
        <v>132169.3807509504</v>
      </c>
      <c r="N50" s="47">
        <f t="shared" si="2"/>
        <v>67549.414704977899</v>
      </c>
      <c r="O50" s="47">
        <f t="shared" si="3"/>
        <v>23625.276809232386</v>
      </c>
      <c r="P50" s="47">
        <f t="shared" si="4"/>
        <v>133120.877913301</v>
      </c>
      <c r="Q50" s="47">
        <f t="shared" si="5"/>
        <v>356464.95017846173</v>
      </c>
      <c r="R50" s="48"/>
      <c r="S50" s="48"/>
      <c r="T50" s="48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</row>
    <row r="51" spans="1:184" s="24" customFormat="1">
      <c r="A51" s="43" t="s">
        <v>321</v>
      </c>
      <c r="B51" s="44" t="s">
        <v>322</v>
      </c>
      <c r="C51" s="44" t="s">
        <v>115</v>
      </c>
      <c r="D51" s="57">
        <v>71.13</v>
      </c>
      <c r="E51" s="57">
        <f>106.743-D51</f>
        <v>35.613</v>
      </c>
      <c r="F51" s="57">
        <v>12.54</v>
      </c>
      <c r="G51" s="57">
        <v>70.099999999999994</v>
      </c>
      <c r="H51" s="57">
        <f t="shared" si="0"/>
        <v>189.38299999999998</v>
      </c>
      <c r="I51" s="46">
        <v>5476.9844480000002</v>
      </c>
      <c r="J51" s="46">
        <v>5696.0638259200005</v>
      </c>
      <c r="K51" s="46">
        <v>1652.6389401600004</v>
      </c>
      <c r="L51" s="46">
        <v>1718.7444977664004</v>
      </c>
      <c r="M51" s="47">
        <f t="shared" si="1"/>
        <v>272025.69597265916</v>
      </c>
      <c r="N51" s="47">
        <f t="shared" si="2"/>
        <v>136196.41657070591</v>
      </c>
      <c r="O51" s="47">
        <f t="shared" si="3"/>
        <v>49875.584375046143</v>
      </c>
      <c r="P51" s="47">
        <f t="shared" si="4"/>
        <v>278810.08490356733</v>
      </c>
      <c r="Q51" s="47">
        <f t="shared" si="5"/>
        <v>736907.78182197851</v>
      </c>
      <c r="R51" s="48"/>
      <c r="S51" s="48"/>
      <c r="T51" s="48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</row>
    <row r="52" spans="1:184" s="24" customFormat="1">
      <c r="A52" s="43" t="s">
        <v>310</v>
      </c>
      <c r="B52" s="44" t="s">
        <v>109</v>
      </c>
      <c r="C52" s="44" t="s">
        <v>110</v>
      </c>
      <c r="D52" s="57">
        <v>225.751</v>
      </c>
      <c r="E52" s="57">
        <f>342.108-D52</f>
        <v>116.357</v>
      </c>
      <c r="F52" s="57">
        <v>10.215999999999999</v>
      </c>
      <c r="G52" s="57">
        <f>189.128-F52</f>
        <v>178.91199999999998</v>
      </c>
      <c r="H52" s="57">
        <f t="shared" si="0"/>
        <v>531.23599999999999</v>
      </c>
      <c r="I52" s="46">
        <v>2867.7650559999997</v>
      </c>
      <c r="J52" s="46">
        <v>2982.47565824</v>
      </c>
      <c r="K52" s="46">
        <v>2211.8320067584004</v>
      </c>
      <c r="L52" s="46">
        <v>2300.3052870287365</v>
      </c>
      <c r="M52" s="47">
        <f t="shared" si="1"/>
        <v>148077.54179934028</v>
      </c>
      <c r="N52" s="47">
        <f t="shared" si="2"/>
        <v>76322.401810604773</v>
      </c>
      <c r="O52" s="47">
        <f t="shared" si="3"/>
        <v>6969.0525122942672</v>
      </c>
      <c r="P52" s="47">
        <f t="shared" si="4"/>
        <v>122048.46545414955</v>
      </c>
      <c r="Q52" s="47">
        <f t="shared" si="5"/>
        <v>353417.46157638892</v>
      </c>
      <c r="R52" s="48"/>
      <c r="S52" s="48"/>
      <c r="T52" s="48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</row>
    <row r="53" spans="1:184" s="24" customFormat="1">
      <c r="A53" s="43">
        <v>7729314745</v>
      </c>
      <c r="B53" s="44" t="s">
        <v>391</v>
      </c>
      <c r="C53" s="44" t="s">
        <v>110</v>
      </c>
      <c r="D53" s="57">
        <f>476.839*0.6</f>
        <v>286.10339999999997</v>
      </c>
      <c r="E53" s="57">
        <f>476.839*0.4</f>
        <v>190.73560000000001</v>
      </c>
      <c r="F53" s="57">
        <f>390.141*0.8</f>
        <v>312.11280000000005</v>
      </c>
      <c r="G53" s="57">
        <f>390.141*0.2</f>
        <v>78.028200000000012</v>
      </c>
      <c r="H53" s="57">
        <f t="shared" si="0"/>
        <v>866.98</v>
      </c>
      <c r="I53" s="46">
        <v>2835.92</v>
      </c>
      <c r="J53" s="46">
        <v>2949.36</v>
      </c>
      <c r="K53" s="46">
        <v>1650.43</v>
      </c>
      <c r="L53" s="46">
        <v>1716.45</v>
      </c>
      <c r="M53" s="47">
        <f t="shared" si="1"/>
        <v>339172.71966599999</v>
      </c>
      <c r="N53" s="47">
        <f t="shared" si="2"/>
        <v>226115.14644400001</v>
      </c>
      <c r="O53" s="47">
        <f t="shared" si="3"/>
        <v>384806.99224800011</v>
      </c>
      <c r="P53" s="47">
        <f t="shared" si="4"/>
        <v>96201.748062000028</v>
      </c>
      <c r="Q53" s="47">
        <f t="shared" si="5"/>
        <v>1046296.6064200002</v>
      </c>
      <c r="R53" s="48"/>
      <c r="S53" s="48"/>
      <c r="T53" s="48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</row>
    <row r="54" spans="1:184" s="24" customFormat="1">
      <c r="A54" s="43" t="s">
        <v>398</v>
      </c>
      <c r="B54" s="44" t="s">
        <v>397</v>
      </c>
      <c r="C54" s="44" t="s">
        <v>112</v>
      </c>
      <c r="D54" s="57">
        <f>127.458907317*0.6</f>
        <v>76.475344390199993</v>
      </c>
      <c r="E54" s="57">
        <f>127.458907317*0.4</f>
        <v>50.983562926800005</v>
      </c>
      <c r="F54" s="57">
        <f>83.915731683*0.2</f>
        <v>16.783146336600002</v>
      </c>
      <c r="G54" s="57">
        <f>83.915731683*0.8</f>
        <v>67.132585346400006</v>
      </c>
      <c r="H54" s="57">
        <f t="shared" si="0"/>
        <v>211.374639</v>
      </c>
      <c r="I54" s="46">
        <v>2473.002688</v>
      </c>
      <c r="J54" s="46">
        <v>2571.9227955199999</v>
      </c>
      <c r="K54" s="46">
        <v>1649.6407200000003</v>
      </c>
      <c r="L54" s="46">
        <v>1715.6263488000004</v>
      </c>
      <c r="M54" s="47">
        <f t="shared" si="1"/>
        <v>62966.890060592807</v>
      </c>
      <c r="N54" s="47">
        <f t="shared" si="2"/>
        <v>41977.926707061873</v>
      </c>
      <c r="O54" s="47">
        <f t="shared" si="3"/>
        <v>14371.348572812358</v>
      </c>
      <c r="P54" s="47">
        <f t="shared" si="4"/>
        <v>57485.394291249431</v>
      </c>
      <c r="Q54" s="47">
        <f t="shared" si="5"/>
        <v>176801.55963171646</v>
      </c>
      <c r="R54" s="48"/>
      <c r="S54" s="48"/>
      <c r="T54" s="48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</row>
    <row r="55" spans="1:184" s="24" customFormat="1" ht="15.75">
      <c r="A55" s="112" t="s">
        <v>119</v>
      </c>
      <c r="B55" s="112"/>
      <c r="C55" s="112"/>
      <c r="D55" s="99"/>
      <c r="E55" s="99"/>
      <c r="F55" s="98"/>
      <c r="G55" s="98"/>
      <c r="H55" s="57"/>
      <c r="I55" s="40"/>
      <c r="J55" s="40"/>
      <c r="K55" s="40"/>
      <c r="L55" s="40"/>
      <c r="M55" s="47">
        <f t="shared" si="1"/>
        <v>0</v>
      </c>
      <c r="N55" s="47">
        <f t="shared" si="2"/>
        <v>0</v>
      </c>
      <c r="O55" s="47">
        <f t="shared" si="3"/>
        <v>0</v>
      </c>
      <c r="P55" s="47">
        <f t="shared" si="4"/>
        <v>0</v>
      </c>
      <c r="Q55" s="47">
        <f t="shared" si="5"/>
        <v>0</v>
      </c>
      <c r="R55" s="88"/>
      <c r="S55" s="88"/>
      <c r="T55" s="88"/>
    </row>
    <row r="56" spans="1:184" s="24" customFormat="1">
      <c r="A56" s="43" t="s">
        <v>28</v>
      </c>
      <c r="B56" s="44" t="s">
        <v>123</v>
      </c>
      <c r="C56" s="44" t="s">
        <v>121</v>
      </c>
      <c r="D56" s="57">
        <v>539.83600000000001</v>
      </c>
      <c r="E56" s="57">
        <f>744.701-D56</f>
        <v>204.86500000000001</v>
      </c>
      <c r="F56" s="57">
        <v>70.316999999999993</v>
      </c>
      <c r="G56" s="57">
        <f>511.061-F56</f>
        <v>440.74399999999997</v>
      </c>
      <c r="H56" s="57">
        <f t="shared" si="0"/>
        <v>1255.7619999999999</v>
      </c>
      <c r="I56" s="46">
        <v>6195.9399840000005</v>
      </c>
      <c r="J56" s="46">
        <v>6443.7775833600008</v>
      </c>
      <c r="K56" s="46">
        <v>1618.1881414400002</v>
      </c>
      <c r="L56" s="46">
        <v>1682.9156670976004</v>
      </c>
      <c r="M56" s="47">
        <f t="shared" si="1"/>
        <v>2471235.2436802201</v>
      </c>
      <c r="N56" s="47">
        <f t="shared" si="2"/>
        <v>937821.13122605451</v>
      </c>
      <c r="O56" s="47">
        <f t="shared" si="3"/>
        <v>334769.52736582316</v>
      </c>
      <c r="P56" s="47">
        <f t="shared" si="4"/>
        <v>2098321.3244211553</v>
      </c>
      <c r="Q56" s="47">
        <f t="shared" si="5"/>
        <v>5842147.226693253</v>
      </c>
      <c r="R56" s="48"/>
      <c r="S56" s="48"/>
      <c r="T56" s="48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</row>
    <row r="57" spans="1:184" s="24" customFormat="1" ht="30">
      <c r="A57" s="43" t="s">
        <v>2</v>
      </c>
      <c r="B57" s="44" t="s">
        <v>70</v>
      </c>
      <c r="C57" s="44" t="s">
        <v>347</v>
      </c>
      <c r="D57" s="57">
        <v>574.89300000000003</v>
      </c>
      <c r="E57" s="57">
        <f>766.524-D57</f>
        <v>191.63099999999997</v>
      </c>
      <c r="F57" s="57">
        <v>191.631</v>
      </c>
      <c r="G57" s="57">
        <f>766.524-F57</f>
        <v>574.89300000000003</v>
      </c>
      <c r="H57" s="57">
        <f t="shared" si="0"/>
        <v>1533.048</v>
      </c>
      <c r="I57" s="46">
        <v>2813.7789749333338</v>
      </c>
      <c r="J57" s="46">
        <v>2926.3301339306672</v>
      </c>
      <c r="K57" s="46">
        <v>1557.8690400000003</v>
      </c>
      <c r="L57" s="46">
        <v>1620.1838016000004</v>
      </c>
      <c r="M57" s="47">
        <f t="shared" si="1"/>
        <v>722013.8302236289</v>
      </c>
      <c r="N57" s="47">
        <f t="shared" si="2"/>
        <v>240671.27674120959</v>
      </c>
      <c r="O57" s="47">
        <f t="shared" si="3"/>
        <v>250298.12781085802</v>
      </c>
      <c r="P57" s="47">
        <f t="shared" si="4"/>
        <v>750894.3834325741</v>
      </c>
      <c r="Q57" s="47">
        <f t="shared" si="5"/>
        <v>1963877.6182082705</v>
      </c>
      <c r="R57" s="48"/>
      <c r="S57" s="48"/>
      <c r="T57" s="48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</row>
    <row r="58" spans="1:184" s="24" customFormat="1" ht="30">
      <c r="A58" s="43" t="s">
        <v>2</v>
      </c>
      <c r="B58" s="44" t="s">
        <v>70</v>
      </c>
      <c r="C58" s="44" t="s">
        <v>348</v>
      </c>
      <c r="D58" s="57">
        <v>711.60599999999999</v>
      </c>
      <c r="E58" s="57">
        <f>948.808-D58</f>
        <v>237.202</v>
      </c>
      <c r="F58" s="57">
        <v>234.85400000000001</v>
      </c>
      <c r="G58" s="57">
        <f>945.002-F58</f>
        <v>710.14799999999991</v>
      </c>
      <c r="H58" s="57">
        <f t="shared" si="0"/>
        <v>1893.81</v>
      </c>
      <c r="I58" s="46">
        <v>2813.7789749333338</v>
      </c>
      <c r="J58" s="46">
        <v>2926.3301339306672</v>
      </c>
      <c r="K58" s="46">
        <v>1442.736204</v>
      </c>
      <c r="L58" s="46">
        <v>1500.44565216</v>
      </c>
      <c r="M58" s="47">
        <f t="shared" si="1"/>
        <v>975642.26205278584</v>
      </c>
      <c r="N58" s="47">
        <f t="shared" si="2"/>
        <v>325214.08735092863</v>
      </c>
      <c r="O58" s="47">
        <f t="shared" si="3"/>
        <v>334874.67408176832</v>
      </c>
      <c r="P58" s="47">
        <f t="shared" si="4"/>
        <v>1012589.0129604756</v>
      </c>
      <c r="Q58" s="47">
        <f t="shared" si="5"/>
        <v>2648320.0364459585</v>
      </c>
      <c r="R58" s="48"/>
      <c r="S58" s="48"/>
      <c r="T58" s="48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</row>
    <row r="59" spans="1:184" s="24" customFormat="1">
      <c r="A59" s="43" t="s">
        <v>2</v>
      </c>
      <c r="B59" s="44" t="s">
        <v>70</v>
      </c>
      <c r="C59" s="44" t="s">
        <v>122</v>
      </c>
      <c r="D59" s="57">
        <v>4759.9880000000003</v>
      </c>
      <c r="E59" s="57">
        <f>6408.324-D59</f>
        <v>1648.3359999999993</v>
      </c>
      <c r="F59" s="57">
        <v>1630.97</v>
      </c>
      <c r="G59" s="57">
        <f>6415.395-F59</f>
        <v>4784.4250000000002</v>
      </c>
      <c r="H59" s="57">
        <f t="shared" si="0"/>
        <v>12823.719000000001</v>
      </c>
      <c r="I59" s="46">
        <v>2206.7444949333335</v>
      </c>
      <c r="J59" s="46">
        <v>2295.0142747306668</v>
      </c>
      <c r="K59" s="46">
        <v>1590.5232980000003</v>
      </c>
      <c r="L59" s="46">
        <v>1654.1442299200003</v>
      </c>
      <c r="M59" s="47">
        <f t="shared" si="1"/>
        <v>2933205.5027483031</v>
      </c>
      <c r="N59" s="47">
        <f t="shared" si="2"/>
        <v>1015739.5828683024</v>
      </c>
      <c r="O59" s="47">
        <f t="shared" si="3"/>
        <v>1045239.8169848528</v>
      </c>
      <c r="P59" s="47">
        <f t="shared" si="4"/>
        <v>3066194.6641432731</v>
      </c>
      <c r="Q59" s="47">
        <f t="shared" si="5"/>
        <v>8060379.5667447317</v>
      </c>
      <c r="R59" s="48"/>
      <c r="S59" s="48"/>
      <c r="T59" s="48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</row>
    <row r="60" spans="1:184" s="24" customFormat="1" ht="30">
      <c r="A60" s="43" t="s">
        <v>2</v>
      </c>
      <c r="B60" s="44" t="s">
        <v>70</v>
      </c>
      <c r="C60" s="44" t="s">
        <v>349</v>
      </c>
      <c r="D60" s="57">
        <v>4802.9120000000003</v>
      </c>
      <c r="E60" s="57">
        <f>6874.341-D60</f>
        <v>2071.4290000000001</v>
      </c>
      <c r="F60" s="57">
        <v>788.15899999999999</v>
      </c>
      <c r="G60" s="57">
        <f>4714.56-F60</f>
        <v>3926.4010000000003</v>
      </c>
      <c r="H60" s="57">
        <f t="shared" si="0"/>
        <v>11588.901</v>
      </c>
      <c r="I60" s="46">
        <v>4685.4659626666671</v>
      </c>
      <c r="J60" s="46">
        <v>4872.884601173334</v>
      </c>
      <c r="K60" s="46">
        <v>1550.4562944000004</v>
      </c>
      <c r="L60" s="46">
        <v>1612.4745461760006</v>
      </c>
      <c r="M60" s="47">
        <f t="shared" si="1"/>
        <v>15057175.555833993</v>
      </c>
      <c r="N60" s="47">
        <f t="shared" si="2"/>
        <v>6493949.9421279533</v>
      </c>
      <c r="O60" s="47">
        <f t="shared" si="3"/>
        <v>2569721.5285366434</v>
      </c>
      <c r="P60" s="47">
        <f t="shared" si="4"/>
        <v>12801677.300351586</v>
      </c>
      <c r="Q60" s="47">
        <f t="shared" si="5"/>
        <v>36922524.326850176</v>
      </c>
      <c r="R60" s="48"/>
      <c r="S60" s="48"/>
      <c r="T60" s="48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</row>
    <row r="61" spans="1:184" s="24" customFormat="1" ht="30">
      <c r="A61" s="43" t="s">
        <v>2</v>
      </c>
      <c r="B61" s="44" t="s">
        <v>70</v>
      </c>
      <c r="C61" s="44" t="s">
        <v>350</v>
      </c>
      <c r="D61" s="57">
        <v>920.678</v>
      </c>
      <c r="E61" s="57">
        <f>1310.799-D61</f>
        <v>390.12099999999998</v>
      </c>
      <c r="F61" s="57">
        <v>90.331000000000003</v>
      </c>
      <c r="G61" s="57">
        <f>697.524-F61</f>
        <v>607.19299999999998</v>
      </c>
      <c r="H61" s="57">
        <f t="shared" si="0"/>
        <v>2008.3229999999999</v>
      </c>
      <c r="I61" s="46">
        <v>4685.4659626666671</v>
      </c>
      <c r="J61" s="46">
        <v>4872.884601173334</v>
      </c>
      <c r="K61" s="46">
        <v>2256.9936480000006</v>
      </c>
      <c r="L61" s="46">
        <v>2347.2733939200007</v>
      </c>
      <c r="M61" s="47">
        <f t="shared" si="1"/>
        <v>2235841.0337226773</v>
      </c>
      <c r="N61" s="47">
        <f t="shared" si="2"/>
        <v>947398.04787007452</v>
      </c>
      <c r="O61" s="47">
        <f t="shared" si="3"/>
        <v>228140.98596240085</v>
      </c>
      <c r="P61" s="47">
        <f t="shared" si="4"/>
        <v>1533533.4457657731</v>
      </c>
      <c r="Q61" s="47">
        <f t="shared" si="5"/>
        <v>4944913.5133209256</v>
      </c>
      <c r="R61" s="48"/>
      <c r="S61" s="48"/>
      <c r="T61" s="48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</row>
    <row r="62" spans="1:184" s="24" customFormat="1" ht="30">
      <c r="A62" s="43" t="s">
        <v>2</v>
      </c>
      <c r="B62" s="44" t="s">
        <v>70</v>
      </c>
      <c r="C62" s="44" t="s">
        <v>351</v>
      </c>
      <c r="D62" s="57">
        <v>458.47699999999998</v>
      </c>
      <c r="E62" s="57">
        <f>626.965-D62</f>
        <v>168.48800000000006</v>
      </c>
      <c r="F62" s="57">
        <v>154.20500000000001</v>
      </c>
      <c r="G62" s="57">
        <f>575.479-F62</f>
        <v>421.274</v>
      </c>
      <c r="H62" s="57">
        <f t="shared" si="0"/>
        <v>1202.444</v>
      </c>
      <c r="I62" s="46">
        <v>4685.4659626666671</v>
      </c>
      <c r="J62" s="46">
        <v>4872.884601173334</v>
      </c>
      <c r="K62" s="46">
        <v>1456.2395605333334</v>
      </c>
      <c r="L62" s="46">
        <v>1514.4891429546667</v>
      </c>
      <c r="M62" s="47">
        <f t="shared" si="1"/>
        <v>1480526.0331708845</v>
      </c>
      <c r="N62" s="47">
        <f t="shared" si="2"/>
        <v>544085.89804264135</v>
      </c>
      <c r="O62" s="47">
        <f t="shared" si="3"/>
        <v>517881.37163460959</v>
      </c>
      <c r="P62" s="47">
        <f t="shared" si="4"/>
        <v>1414804.6882656107</v>
      </c>
      <c r="Q62" s="47">
        <f t="shared" si="5"/>
        <v>3957297.9911137465</v>
      </c>
      <c r="R62" s="48"/>
      <c r="S62" s="48"/>
      <c r="T62" s="48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</row>
    <row r="63" spans="1:184" s="24" customFormat="1">
      <c r="A63" s="43" t="s">
        <v>384</v>
      </c>
      <c r="B63" s="44" t="s">
        <v>385</v>
      </c>
      <c r="C63" s="44" t="s">
        <v>386</v>
      </c>
      <c r="D63" s="57">
        <f>290.1134384*0.6</f>
        <v>174.06806304</v>
      </c>
      <c r="E63" s="57">
        <f>290.1134384*0.4</f>
        <v>116.04537536000001</v>
      </c>
      <c r="F63" s="57">
        <f>224.4545616*0.2</f>
        <v>44.890912320000005</v>
      </c>
      <c r="G63" s="57">
        <f>224.4545616*0.8</f>
        <v>179.56364928000002</v>
      </c>
      <c r="H63" s="57">
        <f t="shared" si="0"/>
        <v>514.56799999999998</v>
      </c>
      <c r="I63" s="46">
        <v>2462.0785280000005</v>
      </c>
      <c r="J63" s="46">
        <v>2560.5616691200007</v>
      </c>
      <c r="K63" s="46">
        <v>1914.1346764799998</v>
      </c>
      <c r="L63" s="46">
        <v>1990.7000635391998</v>
      </c>
      <c r="M63" s="47">
        <f t="shared" si="1"/>
        <v>95379.524888763874</v>
      </c>
      <c r="N63" s="47">
        <f t="shared" si="2"/>
        <v>63586.349925842587</v>
      </c>
      <c r="O63" s="47">
        <f t="shared" si="3"/>
        <v>25581.607370662157</v>
      </c>
      <c r="P63" s="47">
        <f t="shared" si="4"/>
        <v>102326.42948264863</v>
      </c>
      <c r="Q63" s="47">
        <f t="shared" si="5"/>
        <v>286873.91166791721</v>
      </c>
      <c r="R63" s="48"/>
      <c r="S63" s="48"/>
      <c r="T63" s="48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</row>
    <row r="64" spans="1:184" s="24" customFormat="1">
      <c r="A64" s="43" t="s">
        <v>388</v>
      </c>
      <c r="B64" s="44" t="s">
        <v>389</v>
      </c>
      <c r="C64" s="44" t="s">
        <v>386</v>
      </c>
      <c r="D64" s="57">
        <f>75.3993952909912*0.6</f>
        <v>45.239637174594712</v>
      </c>
      <c r="E64" s="57">
        <f>75.3993952909912*0.4</f>
        <v>30.159758116396478</v>
      </c>
      <c r="F64" s="57">
        <f>59.4095647090088*0.2</f>
        <v>11.88191294180176</v>
      </c>
      <c r="G64" s="57">
        <f>59.4095647090088*0.8</f>
        <v>47.52765176720704</v>
      </c>
      <c r="H64" s="57">
        <f t="shared" si="0"/>
        <v>134.80895999999998</v>
      </c>
      <c r="I64" s="46">
        <v>1881.2166048000004</v>
      </c>
      <c r="J64" s="46">
        <v>1956.4652689920003</v>
      </c>
      <c r="K64" s="46">
        <v>1590.5228684800002</v>
      </c>
      <c r="L64" s="46">
        <v>1654.1437832192003</v>
      </c>
      <c r="M64" s="47">
        <f t="shared" si="1"/>
        <v>13150.879160044115</v>
      </c>
      <c r="N64" s="47">
        <f t="shared" si="2"/>
        <v>8767.252773362743</v>
      </c>
      <c r="O64" s="47">
        <f t="shared" si="3"/>
        <v>3592.1575743885701</v>
      </c>
      <c r="P64" s="47">
        <f t="shared" si="4"/>
        <v>14368.63029755428</v>
      </c>
      <c r="Q64" s="47">
        <f t="shared" si="5"/>
        <v>39878.919805349709</v>
      </c>
      <c r="R64" s="48"/>
      <c r="S64" s="48"/>
      <c r="T64" s="48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</row>
    <row r="65" spans="1:184" s="24" customFormat="1">
      <c r="A65" s="43">
        <v>7729314745</v>
      </c>
      <c r="B65" s="44" t="s">
        <v>391</v>
      </c>
      <c r="C65" s="44" t="s">
        <v>121</v>
      </c>
      <c r="D65" s="57">
        <f>3995.8985*0.6</f>
        <v>2397.5391</v>
      </c>
      <c r="E65" s="57">
        <f>3995.8985*0.4</f>
        <v>1598.3594000000001</v>
      </c>
      <c r="F65" s="57">
        <f>3269.3715*0.2</f>
        <v>653.87430000000006</v>
      </c>
      <c r="G65" s="57">
        <f>3269.3715*0.8</f>
        <v>2615.4972000000002</v>
      </c>
      <c r="H65" s="57">
        <f t="shared" si="0"/>
        <v>7265.27</v>
      </c>
      <c r="I65" s="46">
        <v>1862.4</v>
      </c>
      <c r="J65" s="46">
        <v>1936.9</v>
      </c>
      <c r="K65" s="46">
        <v>1353.73</v>
      </c>
      <c r="L65" s="46">
        <v>1407.88</v>
      </c>
      <c r="M65" s="47">
        <f t="shared" si="1"/>
        <v>1219556.2139970001</v>
      </c>
      <c r="N65" s="47">
        <f t="shared" si="2"/>
        <v>813037.47599800013</v>
      </c>
      <c r="O65" s="47">
        <f t="shared" si="3"/>
        <v>345912.58218600001</v>
      </c>
      <c r="P65" s="47">
        <f t="shared" si="4"/>
        <v>1383650.3287440001</v>
      </c>
      <c r="Q65" s="47">
        <f t="shared" si="5"/>
        <v>3762156.6009250004</v>
      </c>
      <c r="R65" s="48"/>
      <c r="S65" s="48"/>
      <c r="T65" s="48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</row>
    <row r="66" spans="1:184" s="24" customFormat="1">
      <c r="A66" s="43" t="s">
        <v>315</v>
      </c>
      <c r="B66" s="44" t="s">
        <v>425</v>
      </c>
      <c r="C66" s="44" t="s">
        <v>120</v>
      </c>
      <c r="D66" s="57">
        <v>206.79900000000001</v>
      </c>
      <c r="E66" s="57">
        <f>311.31-D66</f>
        <v>104.511</v>
      </c>
      <c r="F66" s="57">
        <v>45.954999999999998</v>
      </c>
      <c r="G66" s="57">
        <f>252.754-F66</f>
        <v>206.79899999999998</v>
      </c>
      <c r="H66" s="57">
        <f t="shared" si="0"/>
        <v>564.06399999999996</v>
      </c>
      <c r="I66" s="46">
        <v>5425.0676479999993</v>
      </c>
      <c r="J66" s="46">
        <v>5642.0703539199994</v>
      </c>
      <c r="K66" s="46">
        <v>1632.6090493440001</v>
      </c>
      <c r="L66" s="46">
        <v>1697.9134113177602</v>
      </c>
      <c r="M66" s="47">
        <f t="shared" si="1"/>
        <v>784276.64574346202</v>
      </c>
      <c r="N66" s="47">
        <f t="shared" si="2"/>
        <v>396353.64060413709</v>
      </c>
      <c r="O66" s="47">
        <f t="shared" si="3"/>
        <v>181253.7322972859</v>
      </c>
      <c r="P66" s="47">
        <f t="shared" si="4"/>
        <v>815647.71157320042</v>
      </c>
      <c r="Q66" s="47">
        <f t="shared" si="5"/>
        <v>2177531.7302180855</v>
      </c>
      <c r="R66" s="48"/>
      <c r="S66" s="48"/>
      <c r="T66" s="48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</row>
    <row r="67" spans="1:184" s="25" customFormat="1">
      <c r="A67" s="117" t="s">
        <v>117</v>
      </c>
      <c r="B67" s="117"/>
      <c r="C67" s="117"/>
      <c r="D67" s="101"/>
      <c r="E67" s="102"/>
      <c r="F67" s="103"/>
      <c r="G67" s="103"/>
      <c r="H67" s="57"/>
      <c r="I67" s="61"/>
      <c r="J67" s="61"/>
      <c r="K67" s="61"/>
      <c r="L67" s="61"/>
      <c r="M67" s="47">
        <f t="shared" si="1"/>
        <v>0</v>
      </c>
      <c r="N67" s="47">
        <f t="shared" si="2"/>
        <v>0</v>
      </c>
      <c r="O67" s="47">
        <f t="shared" si="3"/>
        <v>0</v>
      </c>
      <c r="P67" s="47">
        <f t="shared" si="4"/>
        <v>0</v>
      </c>
      <c r="Q67" s="47">
        <f t="shared" si="5"/>
        <v>0</v>
      </c>
      <c r="R67" s="47">
        <f t="shared" ref="R67" si="6">F67*(M67-O67)</f>
        <v>0</v>
      </c>
      <c r="S67" s="47"/>
      <c r="T67" s="47"/>
    </row>
    <row r="68" spans="1:184" s="19" customFormat="1">
      <c r="A68" s="62" t="s">
        <v>21</v>
      </c>
      <c r="B68" s="63" t="s">
        <v>118</v>
      </c>
      <c r="C68" s="63"/>
      <c r="D68" s="104">
        <v>2840.2849999999999</v>
      </c>
      <c r="E68" s="104">
        <f>4092.064-D68</f>
        <v>1251.779</v>
      </c>
      <c r="F68" s="104">
        <v>373.16199999999998</v>
      </c>
      <c r="G68" s="104">
        <f>2148.922-F68</f>
        <v>1775.76</v>
      </c>
      <c r="H68" s="57">
        <f t="shared" si="0"/>
        <v>6240.9859999999999</v>
      </c>
      <c r="I68" s="66">
        <v>1849.3094048000003</v>
      </c>
      <c r="J68" s="66">
        <v>1923.2817809920004</v>
      </c>
      <c r="K68" s="66">
        <v>1721.7465463466669</v>
      </c>
      <c r="L68" s="66">
        <v>1790.6164082005337</v>
      </c>
      <c r="M68" s="47">
        <f t="shared" si="1"/>
        <v>362314.87342212582</v>
      </c>
      <c r="N68" s="47">
        <f t="shared" si="2"/>
        <v>159680.50739185512</v>
      </c>
      <c r="O68" s="47">
        <f t="shared" si="3"/>
        <v>49505.675841609322</v>
      </c>
      <c r="P68" s="47">
        <f t="shared" si="4"/>
        <v>235581.86238817504</v>
      </c>
      <c r="Q68" s="47">
        <f t="shared" si="5"/>
        <v>807082.9190437654</v>
      </c>
      <c r="R68" s="47"/>
      <c r="S68" s="47"/>
      <c r="T68" s="47"/>
    </row>
    <row r="69" spans="1:184" s="19" customFormat="1">
      <c r="A69" s="43">
        <v>7729314745</v>
      </c>
      <c r="B69" s="44" t="s">
        <v>391</v>
      </c>
      <c r="C69" s="63"/>
      <c r="D69" s="57">
        <f>739.596*0.4</f>
        <v>295.83840000000004</v>
      </c>
      <c r="E69" s="57">
        <f>739.596*0.6</f>
        <v>443.75759999999997</v>
      </c>
      <c r="F69" s="57">
        <f>605.124*0.8</f>
        <v>484.09920000000005</v>
      </c>
      <c r="G69" s="57">
        <f>605.124*0.2</f>
        <v>121.02480000000001</v>
      </c>
      <c r="H69" s="57">
        <f t="shared" si="0"/>
        <v>1344.72</v>
      </c>
      <c r="I69" s="66">
        <v>6819.12</v>
      </c>
      <c r="J69" s="66">
        <v>7091.89</v>
      </c>
      <c r="K69" s="66">
        <v>2072.9</v>
      </c>
      <c r="L69" s="66">
        <v>2155.81</v>
      </c>
      <c r="M69" s="47">
        <f t="shared" si="1"/>
        <v>1404114.1308480001</v>
      </c>
      <c r="N69" s="47">
        <f t="shared" si="2"/>
        <v>2106171.1962719997</v>
      </c>
      <c r="O69" s="47">
        <f t="shared" si="3"/>
        <v>2389552.3791360003</v>
      </c>
      <c r="P69" s="47">
        <f t="shared" si="4"/>
        <v>597388.09478400007</v>
      </c>
      <c r="Q69" s="47">
        <f t="shared" si="5"/>
        <v>6497225.8010400003</v>
      </c>
      <c r="R69" s="47"/>
      <c r="S69" s="47"/>
      <c r="T69" s="47"/>
    </row>
    <row r="70" spans="1:184" s="24" customFormat="1" ht="15.75">
      <c r="A70" s="112" t="s">
        <v>124</v>
      </c>
      <c r="B70" s="112"/>
      <c r="C70" s="112"/>
      <c r="D70" s="99"/>
      <c r="E70" s="99"/>
      <c r="F70" s="98"/>
      <c r="G70" s="98"/>
      <c r="H70" s="57"/>
      <c r="I70" s="40"/>
      <c r="J70" s="40"/>
      <c r="K70" s="40"/>
      <c r="L70" s="40"/>
      <c r="M70" s="47">
        <f t="shared" si="1"/>
        <v>0</v>
      </c>
      <c r="N70" s="47">
        <f t="shared" si="2"/>
        <v>0</v>
      </c>
      <c r="O70" s="47">
        <f t="shared" si="3"/>
        <v>0</v>
      </c>
      <c r="P70" s="47">
        <f t="shared" si="4"/>
        <v>0</v>
      </c>
      <c r="Q70" s="47">
        <f t="shared" si="5"/>
        <v>0</v>
      </c>
      <c r="R70" s="88"/>
      <c r="S70" s="88"/>
      <c r="T70" s="88"/>
    </row>
    <row r="71" spans="1:184" s="24" customFormat="1">
      <c r="A71" s="43" t="s">
        <v>45</v>
      </c>
      <c r="B71" s="44" t="s">
        <v>125</v>
      </c>
      <c r="C71" s="44" t="s">
        <v>126</v>
      </c>
      <c r="D71" s="57">
        <v>302.37</v>
      </c>
      <c r="E71" s="57">
        <f>438.115-D71</f>
        <v>135.745</v>
      </c>
      <c r="F71" s="57">
        <v>55.98</v>
      </c>
      <c r="G71" s="57">
        <f>350.58-F71</f>
        <v>294.59999999999997</v>
      </c>
      <c r="H71" s="57">
        <f t="shared" si="0"/>
        <v>788.69499999999994</v>
      </c>
      <c r="I71" s="46">
        <v>4835.5091200000006</v>
      </c>
      <c r="J71" s="46">
        <v>5028.9294848000009</v>
      </c>
      <c r="K71" s="46">
        <v>1752.59032</v>
      </c>
      <c r="L71" s="46">
        <v>1822.6939328000001</v>
      </c>
      <c r="M71" s="47">
        <f t="shared" si="1"/>
        <v>932182.15755600017</v>
      </c>
      <c r="N71" s="47">
        <f t="shared" si="2"/>
        <v>418490.81250600005</v>
      </c>
      <c r="O71" s="47">
        <f t="shared" si="3"/>
        <v>179485.06620096005</v>
      </c>
      <c r="P71" s="47">
        <f t="shared" si="4"/>
        <v>944556.99361920019</v>
      </c>
      <c r="Q71" s="47">
        <f t="shared" si="5"/>
        <v>2474715.0298821605</v>
      </c>
      <c r="R71" s="48"/>
      <c r="S71" s="48"/>
      <c r="T71" s="48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</row>
    <row r="72" spans="1:184" s="24" customFormat="1">
      <c r="A72" s="43" t="s">
        <v>323</v>
      </c>
      <c r="B72" s="44" t="s">
        <v>324</v>
      </c>
      <c r="C72" s="44" t="s">
        <v>127</v>
      </c>
      <c r="D72" s="57">
        <v>3330.34</v>
      </c>
      <c r="E72" s="57">
        <f>4790.409-D72</f>
        <v>1460.0689999999995</v>
      </c>
      <c r="F72" s="57">
        <v>805</v>
      </c>
      <c r="G72" s="57">
        <v>2455.67</v>
      </c>
      <c r="H72" s="57">
        <f t="shared" si="0"/>
        <v>8051.0789999999997</v>
      </c>
      <c r="I72" s="46">
        <v>4791.2702378666672</v>
      </c>
      <c r="J72" s="46">
        <v>4982.9210473813337</v>
      </c>
      <c r="K72" s="46">
        <v>1708.4265379999999</v>
      </c>
      <c r="L72" s="46">
        <v>1776.7635995200001</v>
      </c>
      <c r="M72" s="47">
        <f t="shared" si="1"/>
        <v>10266917.687413959</v>
      </c>
      <c r="N72" s="47">
        <f t="shared" si="2"/>
        <v>4501164.5180206243</v>
      </c>
      <c r="O72" s="47">
        <f t="shared" si="3"/>
        <v>2580956.7455283739</v>
      </c>
      <c r="P72" s="47">
        <f t="shared" si="4"/>
        <v>7873264.659989642</v>
      </c>
      <c r="Q72" s="47">
        <f t="shared" si="5"/>
        <v>25222303.610952601</v>
      </c>
      <c r="R72" s="48"/>
      <c r="S72" s="48"/>
      <c r="T72" s="48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</row>
    <row r="73" spans="1:184" s="24" customFormat="1" ht="30">
      <c r="A73" s="67">
        <v>2914001089</v>
      </c>
      <c r="B73" s="44" t="s">
        <v>381</v>
      </c>
      <c r="C73" s="44" t="s">
        <v>126</v>
      </c>
      <c r="D73" s="57">
        <f>83.9832*0.4</f>
        <v>33.59328</v>
      </c>
      <c r="E73" s="57">
        <f>83.9832*0.6</f>
        <v>50.389919999999996</v>
      </c>
      <c r="F73" s="57">
        <f>65.9868*0.2</f>
        <v>13.197360000000002</v>
      </c>
      <c r="G73" s="57">
        <f>65.9868*0.8</f>
        <v>52.789440000000006</v>
      </c>
      <c r="H73" s="57">
        <f t="shared" si="0"/>
        <v>149.97</v>
      </c>
      <c r="I73" s="46">
        <v>5985.0768639999997</v>
      </c>
      <c r="J73" s="46">
        <v>6224.4799385599999</v>
      </c>
      <c r="K73" s="46">
        <v>1744.0826</v>
      </c>
      <c r="L73" s="46">
        <v>1813.845904</v>
      </c>
      <c r="M73" s="47">
        <f t="shared" si="1"/>
        <v>142468.90778894591</v>
      </c>
      <c r="N73" s="47">
        <f t="shared" si="2"/>
        <v>213703.36168341886</v>
      </c>
      <c r="O73" s="47">
        <f t="shared" si="3"/>
        <v>58208.725182340771</v>
      </c>
      <c r="P73" s="47">
        <f t="shared" si="4"/>
        <v>232834.90072936309</v>
      </c>
      <c r="Q73" s="47">
        <f t="shared" si="5"/>
        <v>647215.8953840686</v>
      </c>
      <c r="R73" s="48"/>
      <c r="S73" s="48"/>
      <c r="T73" s="48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</row>
    <row r="74" spans="1:184" s="24" customFormat="1" ht="15.75">
      <c r="A74" s="112" t="s">
        <v>128</v>
      </c>
      <c r="B74" s="112"/>
      <c r="C74" s="112"/>
      <c r="D74" s="99"/>
      <c r="E74" s="99"/>
      <c r="F74" s="98"/>
      <c r="G74" s="98"/>
      <c r="H74" s="57"/>
      <c r="I74" s="40"/>
      <c r="J74" s="40"/>
      <c r="K74" s="40"/>
      <c r="L74" s="40"/>
      <c r="M74" s="47">
        <f t="shared" ref="M74:M137" si="7">(I74-K74)*D74</f>
        <v>0</v>
      </c>
      <c r="N74" s="47">
        <f t="shared" ref="N74:N137" si="8">(I74-K74)*E74</f>
        <v>0</v>
      </c>
      <c r="O74" s="47">
        <f t="shared" ref="O74:O137" si="9">(J74-L74)*F74</f>
        <v>0</v>
      </c>
      <c r="P74" s="47">
        <f t="shared" ref="P74:P137" si="10">(G74*(J74-L74))</f>
        <v>0</v>
      </c>
      <c r="Q74" s="47">
        <f t="shared" ref="Q74:Q137" si="11">SUM(M74:P74)</f>
        <v>0</v>
      </c>
      <c r="R74" s="88"/>
      <c r="S74" s="88"/>
      <c r="T74" s="88"/>
    </row>
    <row r="75" spans="1:184" s="24" customFormat="1">
      <c r="A75" s="43" t="s">
        <v>307</v>
      </c>
      <c r="B75" s="44" t="s">
        <v>129</v>
      </c>
      <c r="C75" s="44" t="s">
        <v>130</v>
      </c>
      <c r="D75" s="57">
        <v>976.01400000000001</v>
      </c>
      <c r="E75" s="57">
        <f>1522.005-D75</f>
        <v>545.9910000000001</v>
      </c>
      <c r="F75" s="57">
        <v>197.21100000000001</v>
      </c>
      <c r="G75" s="57">
        <f>1131.693-F75</f>
        <v>934.48199999999997</v>
      </c>
      <c r="H75" s="57">
        <f t="shared" ref="H75:H137" si="12">SUM(D75:G75)</f>
        <v>2653.6980000000003</v>
      </c>
      <c r="I75" s="46">
        <v>2456.2487040000005</v>
      </c>
      <c r="J75" s="46">
        <v>2554.4986521600008</v>
      </c>
      <c r="K75" s="46">
        <v>1744.4044800000001</v>
      </c>
      <c r="L75" s="46">
        <v>1814.1806592000003</v>
      </c>
      <c r="M75" s="47">
        <f t="shared" si="7"/>
        <v>694769.92844313639</v>
      </c>
      <c r="N75" s="47">
        <f t="shared" si="8"/>
        <v>388660.53970598429</v>
      </c>
      <c r="O75" s="47">
        <f t="shared" si="9"/>
        <v>145998.85170963468</v>
      </c>
      <c r="P75" s="47">
        <f t="shared" si="10"/>
        <v>691813.83869724721</v>
      </c>
      <c r="Q75" s="47">
        <f t="shared" si="11"/>
        <v>1921243.1585560027</v>
      </c>
      <c r="R75" s="48"/>
      <c r="S75" s="48"/>
      <c r="T75" s="48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</row>
    <row r="76" spans="1:184" s="24" customFormat="1">
      <c r="A76" s="43" t="s">
        <v>306</v>
      </c>
      <c r="B76" s="44" t="s">
        <v>133</v>
      </c>
      <c r="C76" s="44" t="s">
        <v>134</v>
      </c>
      <c r="D76" s="57">
        <v>2681.8690000000001</v>
      </c>
      <c r="E76" s="57">
        <f>3876.244-D76</f>
        <v>1194.375</v>
      </c>
      <c r="F76" s="57">
        <v>468.06</v>
      </c>
      <c r="G76" s="57">
        <f>2877.435-F76</f>
        <v>2409.375</v>
      </c>
      <c r="H76" s="57">
        <f t="shared" si="12"/>
        <v>6753.6790000000001</v>
      </c>
      <c r="I76" s="46">
        <v>4125.3457024000008</v>
      </c>
      <c r="J76" s="46">
        <v>4290.3595304960008</v>
      </c>
      <c r="K76" s="46">
        <v>1479.80378</v>
      </c>
      <c r="L76" s="46">
        <v>1538.9959312000001</v>
      </c>
      <c r="M76" s="47">
        <f t="shared" si="7"/>
        <v>7094996.8698849678</v>
      </c>
      <c r="N76" s="47">
        <f t="shared" si="8"/>
        <v>3159769.1335665006</v>
      </c>
      <c r="O76" s="47">
        <f t="shared" si="9"/>
        <v>1287803.246286486</v>
      </c>
      <c r="P76" s="47">
        <f t="shared" si="10"/>
        <v>6629066.6720538018</v>
      </c>
      <c r="Q76" s="47">
        <f t="shared" si="11"/>
        <v>18171635.921791755</v>
      </c>
      <c r="R76" s="48"/>
      <c r="S76" s="48"/>
      <c r="T76" s="48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</row>
    <row r="77" spans="1:184" s="24" customFormat="1">
      <c r="A77" s="43" t="s">
        <v>37</v>
      </c>
      <c r="B77" s="44" t="s">
        <v>131</v>
      </c>
      <c r="C77" s="44" t="s">
        <v>132</v>
      </c>
      <c r="D77" s="57">
        <v>493.52499999999998</v>
      </c>
      <c r="E77" s="57">
        <f>703.045-D77</f>
        <v>209.51999999999998</v>
      </c>
      <c r="F77" s="57">
        <v>94.762</v>
      </c>
      <c r="G77" s="57">
        <f>534.088-F77</f>
        <v>439.32599999999996</v>
      </c>
      <c r="H77" s="57">
        <f t="shared" si="12"/>
        <v>1237.133</v>
      </c>
      <c r="I77" s="46">
        <v>2704.8652800000004</v>
      </c>
      <c r="J77" s="46">
        <v>2813.0598912000005</v>
      </c>
      <c r="K77" s="46">
        <v>1789.0017600000001</v>
      </c>
      <c r="L77" s="46">
        <v>1860.5618304000002</v>
      </c>
      <c r="M77" s="47">
        <f t="shared" si="7"/>
        <v>452001.54370800016</v>
      </c>
      <c r="N77" s="47">
        <f t="shared" si="8"/>
        <v>191891.72471040004</v>
      </c>
      <c r="O77" s="47">
        <f t="shared" si="9"/>
        <v>90260.621237529631</v>
      </c>
      <c r="P77" s="47">
        <f t="shared" si="10"/>
        <v>418457.16305902088</v>
      </c>
      <c r="Q77" s="47">
        <f t="shared" si="11"/>
        <v>1152611.0527149509</v>
      </c>
      <c r="R77" s="48"/>
      <c r="S77" s="48"/>
      <c r="T77" s="48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</row>
    <row r="78" spans="1:184" s="24" customFormat="1">
      <c r="A78" s="43" t="s">
        <v>15</v>
      </c>
      <c r="B78" s="44" t="s">
        <v>135</v>
      </c>
      <c r="C78" s="44" t="s">
        <v>134</v>
      </c>
      <c r="D78" s="57">
        <v>44.133000000000003</v>
      </c>
      <c r="E78" s="57">
        <v>65.962000000000003</v>
      </c>
      <c r="F78" s="57">
        <v>4.4130000000000003</v>
      </c>
      <c r="G78" s="57">
        <f>48.546-F78</f>
        <v>44.132999999999996</v>
      </c>
      <c r="H78" s="57">
        <f t="shared" si="12"/>
        <v>158.64099999999999</v>
      </c>
      <c r="I78" s="68">
        <v>4329.4347893333343</v>
      </c>
      <c r="J78" s="68">
        <v>4502.6121809066681</v>
      </c>
      <c r="K78" s="68">
        <v>1468.5181420000001</v>
      </c>
      <c r="L78" s="68">
        <v>1527.2588676800001</v>
      </c>
      <c r="M78" s="47">
        <f t="shared" si="7"/>
        <v>126260.83439676206</v>
      </c>
      <c r="N78" s="47">
        <f t="shared" si="8"/>
        <v>188711.7838914014</v>
      </c>
      <c r="O78" s="47">
        <f t="shared" si="9"/>
        <v>13130.234171269287</v>
      </c>
      <c r="P78" s="47">
        <f t="shared" si="10"/>
        <v>131311.26777263253</v>
      </c>
      <c r="Q78" s="47">
        <f t="shared" si="11"/>
        <v>459414.12023206527</v>
      </c>
      <c r="R78" s="48"/>
      <c r="S78" s="48"/>
      <c r="T78" s="48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</row>
    <row r="79" spans="1:184" s="24" customFormat="1">
      <c r="A79" s="43" t="s">
        <v>388</v>
      </c>
      <c r="B79" s="44" t="s">
        <v>389</v>
      </c>
      <c r="C79" s="44" t="s">
        <v>134</v>
      </c>
      <c r="D79" s="57">
        <f>12.6340404996014*0.6</f>
        <v>7.58042429976084</v>
      </c>
      <c r="E79" s="57">
        <f>12.6340404996014*0.4</f>
        <v>5.0536161998405609</v>
      </c>
      <c r="F79" s="57">
        <f>9.95475950039862*0.8</f>
        <v>7.963807600318896</v>
      </c>
      <c r="G79" s="57">
        <f>9.95475950039862*0.2</f>
        <v>1.990951900079724</v>
      </c>
      <c r="H79" s="57">
        <f t="shared" si="12"/>
        <v>22.588800000000024</v>
      </c>
      <c r="I79" s="68">
        <v>1931.5874378666665</v>
      </c>
      <c r="J79" s="68">
        <v>2008.8509353813333</v>
      </c>
      <c r="K79" s="68">
        <v>1482.4995368601606</v>
      </c>
      <c r="L79" s="68">
        <v>1541.799518334567</v>
      </c>
      <c r="M79" s="47">
        <f t="shared" si="7"/>
        <v>3404.2768375183082</v>
      </c>
      <c r="N79" s="47">
        <f t="shared" si="8"/>
        <v>2269.5178916788727</v>
      </c>
      <c r="O79" s="47">
        <f t="shared" si="9"/>
        <v>3719.5076248167484</v>
      </c>
      <c r="P79" s="47">
        <f t="shared" si="10"/>
        <v>929.87690620418709</v>
      </c>
      <c r="Q79" s="47">
        <f t="shared" si="11"/>
        <v>10323.179260218116</v>
      </c>
      <c r="R79" s="48"/>
      <c r="S79" s="48"/>
      <c r="T79" s="48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</row>
    <row r="80" spans="1:184" s="26" customFormat="1">
      <c r="A80" s="62" t="s">
        <v>305</v>
      </c>
      <c r="B80" s="63" t="s">
        <v>136</v>
      </c>
      <c r="C80" s="63" t="s">
        <v>130</v>
      </c>
      <c r="D80" s="105">
        <v>3588.8330000000001</v>
      </c>
      <c r="E80" s="105">
        <f>5503.217-D80</f>
        <v>1914.3839999999996</v>
      </c>
      <c r="F80" s="105">
        <v>783.45399999999995</v>
      </c>
      <c r="G80" s="105">
        <f>4206.889-F80</f>
        <v>3423.4350000000004</v>
      </c>
      <c r="H80" s="57">
        <f t="shared" si="12"/>
        <v>9710.1059999999998</v>
      </c>
      <c r="I80" s="68">
        <v>1339.7620565333334</v>
      </c>
      <c r="J80" s="68">
        <v>1393.3525387946668</v>
      </c>
      <c r="K80" s="68">
        <v>727.71426000000008</v>
      </c>
      <c r="L80" s="68">
        <v>756.82283040000016</v>
      </c>
      <c r="M80" s="47">
        <f t="shared" si="7"/>
        <v>2196537.3297761125</v>
      </c>
      <c r="N80" s="47">
        <f t="shared" si="8"/>
        <v>1171694.5089186686</v>
      </c>
      <c r="O80" s="47">
        <f t="shared" si="9"/>
        <v>498691.74616063508</v>
      </c>
      <c r="P80" s="47">
        <f t="shared" si="10"/>
        <v>2179118.082258096</v>
      </c>
      <c r="Q80" s="47">
        <f t="shared" si="11"/>
        <v>6046041.6671135128</v>
      </c>
      <c r="R80" s="69"/>
      <c r="S80" s="69"/>
      <c r="T80" s="69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</row>
    <row r="81" spans="1:184" s="24" customFormat="1" ht="15.75">
      <c r="A81" s="112" t="s">
        <v>137</v>
      </c>
      <c r="B81" s="112"/>
      <c r="C81" s="112"/>
      <c r="D81" s="99"/>
      <c r="E81" s="99"/>
      <c r="F81" s="98"/>
      <c r="G81" s="98"/>
      <c r="H81" s="57"/>
      <c r="I81" s="40"/>
      <c r="J81" s="40"/>
      <c r="K81" s="40"/>
      <c r="L81" s="40"/>
      <c r="M81" s="47">
        <f t="shared" si="7"/>
        <v>0</v>
      </c>
      <c r="N81" s="47">
        <f t="shared" si="8"/>
        <v>0</v>
      </c>
      <c r="O81" s="47">
        <f t="shared" si="9"/>
        <v>0</v>
      </c>
      <c r="P81" s="47">
        <f t="shared" si="10"/>
        <v>0</v>
      </c>
      <c r="Q81" s="47">
        <f t="shared" si="11"/>
        <v>0</v>
      </c>
      <c r="R81" s="88"/>
      <c r="S81" s="88"/>
      <c r="T81" s="88"/>
    </row>
    <row r="82" spans="1:184" s="24" customFormat="1" ht="30">
      <c r="A82" s="43" t="s">
        <v>2</v>
      </c>
      <c r="B82" s="44" t="s">
        <v>70</v>
      </c>
      <c r="C82" s="44" t="s">
        <v>334</v>
      </c>
      <c r="D82" s="57">
        <v>4600.9170000000004</v>
      </c>
      <c r="E82" s="57">
        <f>6796.981-D82</f>
        <v>2196.0639999999994</v>
      </c>
      <c r="F82" s="57">
        <v>904.97900000000004</v>
      </c>
      <c r="G82" s="57">
        <f>4523.845-F82</f>
        <v>3618.866</v>
      </c>
      <c r="H82" s="57">
        <f t="shared" si="12"/>
        <v>11320.826000000001</v>
      </c>
      <c r="I82" s="46">
        <v>8048.8171503785643</v>
      </c>
      <c r="J82" s="46">
        <v>8370.769836393707</v>
      </c>
      <c r="K82" s="46">
        <v>1602.9645493333335</v>
      </c>
      <c r="L82" s="46">
        <v>1667.0831313066669</v>
      </c>
      <c r="M82" s="47">
        <f t="shared" si="7"/>
        <v>29656832.81164322</v>
      </c>
      <c r="N82" s="47">
        <f t="shared" si="8"/>
        <v>14155504.84646179</v>
      </c>
      <c r="O82" s="47">
        <f t="shared" si="9"/>
        <v>6066695.6906829653</v>
      </c>
      <c r="P82" s="47">
        <f t="shared" si="10"/>
        <v>24259743.891691517</v>
      </c>
      <c r="Q82" s="47">
        <f t="shared" si="11"/>
        <v>74138777.240479484</v>
      </c>
      <c r="R82" s="48"/>
      <c r="S82" s="48"/>
      <c r="T82" s="48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</row>
    <row r="83" spans="1:184" s="24" customFormat="1" ht="15.75">
      <c r="A83" s="112" t="s">
        <v>138</v>
      </c>
      <c r="B83" s="112"/>
      <c r="C83" s="112"/>
      <c r="D83" s="99"/>
      <c r="E83" s="99"/>
      <c r="F83" s="98"/>
      <c r="G83" s="98"/>
      <c r="H83" s="57"/>
      <c r="I83" s="40"/>
      <c r="J83" s="40"/>
      <c r="K83" s="40"/>
      <c r="L83" s="40"/>
      <c r="M83" s="47">
        <f t="shared" si="7"/>
        <v>0</v>
      </c>
      <c r="N83" s="47">
        <f t="shared" si="8"/>
        <v>0</v>
      </c>
      <c r="O83" s="47">
        <f t="shared" si="9"/>
        <v>0</v>
      </c>
      <c r="P83" s="47">
        <f t="shared" si="10"/>
        <v>0</v>
      </c>
      <c r="Q83" s="47">
        <f t="shared" si="11"/>
        <v>0</v>
      </c>
      <c r="R83" s="88"/>
      <c r="S83" s="88"/>
      <c r="T83" s="88"/>
    </row>
    <row r="84" spans="1:184" s="24" customFormat="1">
      <c r="A84" s="43" t="s">
        <v>2</v>
      </c>
      <c r="B84" s="44" t="s">
        <v>70</v>
      </c>
      <c r="C84" s="44" t="s">
        <v>335</v>
      </c>
      <c r="D84" s="57">
        <v>3562.4659999999999</v>
      </c>
      <c r="E84" s="57">
        <f>5573.974-D84</f>
        <v>2011.5080000000003</v>
      </c>
      <c r="F84" s="57">
        <v>943.68799999999999</v>
      </c>
      <c r="G84" s="57">
        <f>4139.529-F84</f>
        <v>3195.8410000000003</v>
      </c>
      <c r="H84" s="57">
        <f t="shared" si="12"/>
        <v>9713.5030000000006</v>
      </c>
      <c r="I84" s="46">
        <v>6900.0317100000002</v>
      </c>
      <c r="J84" s="46">
        <v>7176.0329784000005</v>
      </c>
      <c r="K84" s="46">
        <v>1357.5024597333334</v>
      </c>
      <c r="L84" s="46">
        <v>1411.8025581226668</v>
      </c>
      <c r="M84" s="47">
        <f t="shared" si="7"/>
        <v>19745072.008080494</v>
      </c>
      <c r="N84" s="47">
        <f t="shared" si="8"/>
        <v>11148841.927145405</v>
      </c>
      <c r="O84" s="47">
        <f t="shared" si="9"/>
        <v>5439635.0768506769</v>
      </c>
      <c r="P84" s="47">
        <f t="shared" si="10"/>
        <v>18421563.910569537</v>
      </c>
      <c r="Q84" s="47">
        <f t="shared" si="11"/>
        <v>54755112.922646105</v>
      </c>
      <c r="R84" s="48"/>
      <c r="S84" s="48"/>
      <c r="T84" s="48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</row>
    <row r="85" spans="1:184" s="24" customFormat="1">
      <c r="A85" s="43">
        <v>7729314745</v>
      </c>
      <c r="B85" s="44" t="s">
        <v>391</v>
      </c>
      <c r="C85" s="44" t="s">
        <v>392</v>
      </c>
      <c r="D85" s="57">
        <f>60.9235*0.4</f>
        <v>24.369399999999999</v>
      </c>
      <c r="E85" s="57">
        <f>60.9235*0.6</f>
        <v>36.554099999999998</v>
      </c>
      <c r="F85" s="57">
        <f>49.8465*0.2</f>
        <v>9.9693000000000005</v>
      </c>
      <c r="G85" s="57">
        <f>49.8465*0.8</f>
        <v>39.877200000000002</v>
      </c>
      <c r="H85" s="57">
        <f t="shared" si="12"/>
        <v>110.77</v>
      </c>
      <c r="I85" s="48">
        <v>6460.23</v>
      </c>
      <c r="J85" s="48">
        <v>6718.64</v>
      </c>
      <c r="K85" s="48">
        <v>1357.5</v>
      </c>
      <c r="L85" s="48">
        <v>1411.8</v>
      </c>
      <c r="M85" s="47">
        <f t="shared" si="7"/>
        <v>124350.46846199999</v>
      </c>
      <c r="N85" s="47">
        <f t="shared" si="8"/>
        <v>186525.70269299997</v>
      </c>
      <c r="O85" s="47">
        <f t="shared" si="9"/>
        <v>52905.480012000007</v>
      </c>
      <c r="P85" s="47">
        <f t="shared" si="10"/>
        <v>211621.92004800003</v>
      </c>
      <c r="Q85" s="47">
        <f t="shared" si="11"/>
        <v>575403.571215</v>
      </c>
      <c r="R85" s="48"/>
      <c r="S85" s="48"/>
      <c r="T85" s="48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</row>
    <row r="86" spans="1:184" s="24" customFormat="1" ht="15.75">
      <c r="A86" s="112" t="s">
        <v>114</v>
      </c>
      <c r="B86" s="112"/>
      <c r="C86" s="112"/>
      <c r="D86" s="99"/>
      <c r="E86" s="99"/>
      <c r="F86" s="98"/>
      <c r="G86" s="98"/>
      <c r="H86" s="57"/>
      <c r="I86" s="40"/>
      <c r="J86" s="40"/>
      <c r="K86" s="40"/>
      <c r="L86" s="40"/>
      <c r="M86" s="47">
        <f t="shared" si="7"/>
        <v>0</v>
      </c>
      <c r="N86" s="47">
        <f t="shared" si="8"/>
        <v>0</v>
      </c>
      <c r="O86" s="47">
        <f t="shared" si="9"/>
        <v>0</v>
      </c>
      <c r="P86" s="47">
        <f t="shared" si="10"/>
        <v>0</v>
      </c>
      <c r="Q86" s="47">
        <f t="shared" si="11"/>
        <v>0</v>
      </c>
      <c r="R86" s="88"/>
      <c r="S86" s="88"/>
      <c r="T86" s="88"/>
    </row>
    <row r="87" spans="1:184" s="24" customFormat="1">
      <c r="A87" s="43" t="s">
        <v>35</v>
      </c>
      <c r="B87" s="44" t="s">
        <v>139</v>
      </c>
      <c r="C87" s="44"/>
      <c r="D87" s="57">
        <f>45644.028-5.324</f>
        <v>45638.703999999998</v>
      </c>
      <c r="E87" s="57">
        <f>74077.659-D87</f>
        <v>28438.955000000002</v>
      </c>
      <c r="F87" s="57">
        <v>17436.996999999999</v>
      </c>
      <c r="G87" s="57">
        <f>58162.696-F87</f>
        <v>40725.699000000008</v>
      </c>
      <c r="H87" s="57">
        <f t="shared" si="12"/>
        <v>132240.35500000001</v>
      </c>
      <c r="I87" s="46">
        <v>1976.0128960000004</v>
      </c>
      <c r="J87" s="46">
        <v>2055.0534118400005</v>
      </c>
      <c r="K87" s="46">
        <v>1530.5671125333336</v>
      </c>
      <c r="L87" s="46">
        <v>1591.7897970346669</v>
      </c>
      <c r="M87" s="47">
        <f t="shared" si="7"/>
        <v>20329568.2596833</v>
      </c>
      <c r="N87" s="47">
        <f t="shared" si="8"/>
        <v>12668012.590948284</v>
      </c>
      <c r="O87" s="47">
        <f t="shared" si="9"/>
        <v>8077926.2615697579</v>
      </c>
      <c r="P87" s="47">
        <f t="shared" si="10"/>
        <v>18866734.534213964</v>
      </c>
      <c r="Q87" s="47">
        <f t="shared" si="11"/>
        <v>59942241.646415308</v>
      </c>
      <c r="R87" s="48"/>
      <c r="S87" s="48"/>
      <c r="T87" s="48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</row>
    <row r="88" spans="1:184" s="24" customFormat="1">
      <c r="A88" s="43">
        <v>7729314745</v>
      </c>
      <c r="B88" s="44" t="s">
        <v>391</v>
      </c>
      <c r="C88" s="44"/>
      <c r="D88" s="57">
        <f>2542.804*0.4</f>
        <v>1017.1216000000001</v>
      </c>
      <c r="E88" s="57">
        <f>2542.804*0.6</f>
        <v>1525.6823999999999</v>
      </c>
      <c r="F88" s="57">
        <f>2080.476*0.2</f>
        <v>416.09520000000003</v>
      </c>
      <c r="G88" s="57">
        <f>2080.476*0.8</f>
        <v>1664.3808000000001</v>
      </c>
      <c r="H88" s="57">
        <f t="shared" si="12"/>
        <v>4623.2800000000007</v>
      </c>
      <c r="I88" s="46">
        <v>1715.37</v>
      </c>
      <c r="J88" s="46">
        <v>1783.99</v>
      </c>
      <c r="K88" s="46">
        <v>1530.57</v>
      </c>
      <c r="L88" s="46">
        <v>1591.79</v>
      </c>
      <c r="M88" s="47">
        <f t="shared" si="7"/>
        <v>187964.07167999996</v>
      </c>
      <c r="N88" s="47">
        <f t="shared" si="8"/>
        <v>281946.1075199999</v>
      </c>
      <c r="O88" s="47">
        <f t="shared" si="9"/>
        <v>79973.497440000021</v>
      </c>
      <c r="P88" s="47">
        <f t="shared" si="10"/>
        <v>319893.98976000008</v>
      </c>
      <c r="Q88" s="47">
        <f t="shared" si="11"/>
        <v>869777.66639999999</v>
      </c>
      <c r="R88" s="48"/>
      <c r="S88" s="48"/>
      <c r="T88" s="48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</row>
    <row r="89" spans="1:184" s="24" customFormat="1" ht="15.75">
      <c r="A89" s="112" t="s">
        <v>140</v>
      </c>
      <c r="B89" s="112"/>
      <c r="C89" s="112"/>
      <c r="D89" s="99"/>
      <c r="E89" s="99"/>
      <c r="F89" s="98"/>
      <c r="G89" s="98"/>
      <c r="H89" s="57"/>
      <c r="I89" s="40"/>
      <c r="J89" s="40"/>
      <c r="K89" s="40"/>
      <c r="L89" s="40"/>
      <c r="M89" s="47">
        <f t="shared" si="7"/>
        <v>0</v>
      </c>
      <c r="N89" s="47">
        <f t="shared" si="8"/>
        <v>0</v>
      </c>
      <c r="O89" s="47">
        <f t="shared" si="9"/>
        <v>0</v>
      </c>
      <c r="P89" s="47">
        <f t="shared" si="10"/>
        <v>0</v>
      </c>
      <c r="Q89" s="47">
        <f t="shared" si="11"/>
        <v>0</v>
      </c>
      <c r="R89" s="88"/>
      <c r="S89" s="88"/>
      <c r="T89" s="88"/>
    </row>
    <row r="90" spans="1:184" s="24" customFormat="1">
      <c r="A90" s="43" t="s">
        <v>20</v>
      </c>
      <c r="B90" s="44" t="s">
        <v>145</v>
      </c>
      <c r="C90" s="44"/>
      <c r="D90" s="57">
        <v>9675.4989999999998</v>
      </c>
      <c r="E90" s="57">
        <f>15607.146-D90</f>
        <v>5931.6470000000008</v>
      </c>
      <c r="F90" s="57">
        <v>2750.6880000000001</v>
      </c>
      <c r="G90" s="57">
        <f>11823.414-F90</f>
        <v>9072.7260000000006</v>
      </c>
      <c r="H90" s="57">
        <f t="shared" si="12"/>
        <v>27430.560000000005</v>
      </c>
      <c r="I90" s="46">
        <v>3905.8028949333343</v>
      </c>
      <c r="J90" s="46">
        <v>4062.0350107306676</v>
      </c>
      <c r="K90" s="46">
        <v>1295.6450346666666</v>
      </c>
      <c r="L90" s="46">
        <v>1347.4708360533332</v>
      </c>
      <c r="M90" s="47">
        <f t="shared" si="7"/>
        <v>25254579.766852282</v>
      </c>
      <c r="N90" s="47">
        <f t="shared" si="8"/>
        <v>15482535.041377202</v>
      </c>
      <c r="O90" s="47">
        <f t="shared" si="9"/>
        <v>7466919.1005148478</v>
      </c>
      <c r="P90" s="47">
        <f t="shared" si="10"/>
        <v>24628496.966263596</v>
      </c>
      <c r="Q90" s="47">
        <f t="shared" si="11"/>
        <v>72832530.875007927</v>
      </c>
      <c r="R90" s="48"/>
      <c r="S90" s="48"/>
      <c r="T90" s="48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</row>
    <row r="91" spans="1:184" s="24" customFormat="1">
      <c r="A91" s="43" t="s">
        <v>16</v>
      </c>
      <c r="B91" s="44" t="s">
        <v>141</v>
      </c>
      <c r="C91" s="44" t="s">
        <v>142</v>
      </c>
      <c r="D91" s="57">
        <v>28459.891</v>
      </c>
      <c r="E91" s="57">
        <f>44982.626-D91</f>
        <v>16522.734999999997</v>
      </c>
      <c r="F91" s="57">
        <v>7866.3969999999999</v>
      </c>
      <c r="G91" s="57">
        <f>33669.829-F91</f>
        <v>25803.431999999997</v>
      </c>
      <c r="H91" s="57">
        <f t="shared" si="12"/>
        <v>78652.454999999987</v>
      </c>
      <c r="I91" s="46">
        <v>1884.44859825</v>
      </c>
      <c r="J91" s="46">
        <v>1959.8265421800002</v>
      </c>
      <c r="K91" s="46">
        <v>1295.6450346666666</v>
      </c>
      <c r="L91" s="46">
        <v>1347.4708360533332</v>
      </c>
      <c r="M91" s="47">
        <f t="shared" si="7"/>
        <v>16757285.239993241</v>
      </c>
      <c r="N91" s="47">
        <f t="shared" si="8"/>
        <v>9728645.2481430676</v>
      </c>
      <c r="O91" s="47">
        <f t="shared" si="9"/>
        <v>4817033.0896076951</v>
      </c>
      <c r="P91" s="47">
        <f t="shared" si="10"/>
        <v>15800878.822851432</v>
      </c>
      <c r="Q91" s="47">
        <f t="shared" si="11"/>
        <v>47103842.400595434</v>
      </c>
      <c r="R91" s="48"/>
      <c r="S91" s="48"/>
      <c r="T91" s="48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</row>
    <row r="92" spans="1:184" s="24" customFormat="1">
      <c r="A92" s="43" t="s">
        <v>304</v>
      </c>
      <c r="B92" s="44" t="s">
        <v>143</v>
      </c>
      <c r="C92" s="44" t="s">
        <v>144</v>
      </c>
      <c r="D92" s="57">
        <v>40.040999999999997</v>
      </c>
      <c r="E92" s="57">
        <f>58.546-D92</f>
        <v>18.505000000000003</v>
      </c>
      <c r="F92" s="57">
        <v>15.238</v>
      </c>
      <c r="G92" s="57">
        <f>54.472-F92</f>
        <v>39.234000000000002</v>
      </c>
      <c r="H92" s="57">
        <f t="shared" si="12"/>
        <v>113.018</v>
      </c>
      <c r="I92" s="46">
        <v>3373.542848</v>
      </c>
      <c r="J92" s="46">
        <v>3508.48456192</v>
      </c>
      <c r="K92" s="46">
        <v>1376.4114000000002</v>
      </c>
      <c r="L92" s="46">
        <v>1431.4678560000002</v>
      </c>
      <c r="M92" s="47">
        <f t="shared" si="7"/>
        <v>79967.140309367984</v>
      </c>
      <c r="N92" s="47">
        <f t="shared" si="8"/>
        <v>36956.917445240004</v>
      </c>
      <c r="O92" s="47">
        <f t="shared" si="9"/>
        <v>31649.580564808955</v>
      </c>
      <c r="P92" s="47">
        <f t="shared" si="10"/>
        <v>81489.673440065279</v>
      </c>
      <c r="Q92" s="47">
        <f t="shared" si="11"/>
        <v>230063.3117594822</v>
      </c>
      <c r="R92" s="48"/>
      <c r="S92" s="48"/>
      <c r="T92" s="48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</row>
    <row r="93" spans="1:184" s="24" customFormat="1" ht="15.75">
      <c r="A93" s="84" t="s">
        <v>378</v>
      </c>
      <c r="B93" s="71" t="s">
        <v>379</v>
      </c>
      <c r="C93" s="71" t="s">
        <v>380</v>
      </c>
      <c r="D93" s="57">
        <f>200.046*0.4</f>
        <v>80.0184</v>
      </c>
      <c r="E93" s="57">
        <f>200.046*0.6</f>
        <v>120.02759999999999</v>
      </c>
      <c r="F93" s="57">
        <f>163.674*0.8</f>
        <v>130.9392</v>
      </c>
      <c r="G93" s="57">
        <f>163.674*0.2</f>
        <v>32.7348</v>
      </c>
      <c r="H93" s="57">
        <f t="shared" si="12"/>
        <v>363.71999999999997</v>
      </c>
      <c r="I93" s="46">
        <v>3001.2444106666667</v>
      </c>
      <c r="J93" s="46">
        <v>3121.2941870933337</v>
      </c>
      <c r="K93" s="46">
        <v>1301.910402</v>
      </c>
      <c r="L93" s="46">
        <v>1353.9868180799999</v>
      </c>
      <c r="M93" s="47">
        <f t="shared" si="7"/>
        <v>135977.98843909279</v>
      </c>
      <c r="N93" s="47">
        <f t="shared" si="8"/>
        <v>203966.9826586392</v>
      </c>
      <c r="O93" s="47">
        <f t="shared" si="9"/>
        <v>231409.8130527107</v>
      </c>
      <c r="P93" s="47">
        <f t="shared" si="10"/>
        <v>57852.453263177675</v>
      </c>
      <c r="Q93" s="47">
        <f t="shared" si="11"/>
        <v>629207.23741362034</v>
      </c>
      <c r="R93" s="48"/>
      <c r="S93" s="48"/>
      <c r="T93" s="48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</row>
    <row r="94" spans="1:184" s="24" customFormat="1">
      <c r="A94" s="89" t="s">
        <v>21</v>
      </c>
      <c r="B94" s="89" t="s">
        <v>116</v>
      </c>
      <c r="C94" s="44" t="s">
        <v>336</v>
      </c>
      <c r="D94" s="57">
        <v>453.31</v>
      </c>
      <c r="E94" s="57">
        <f>743.647-D94</f>
        <v>290.33700000000005</v>
      </c>
      <c r="F94" s="57">
        <v>151.477</v>
      </c>
      <c r="G94" s="57">
        <f>602.674-F94</f>
        <v>451.197</v>
      </c>
      <c r="H94" s="57">
        <f t="shared" si="12"/>
        <v>1346.3209999999999</v>
      </c>
      <c r="I94" s="72">
        <v>3757.593950933333</v>
      </c>
      <c r="J94" s="72">
        <v>3907.8977089706664</v>
      </c>
      <c r="K94" s="72">
        <v>1295.6492889600001</v>
      </c>
      <c r="L94" s="72">
        <v>1347.4752605184001</v>
      </c>
      <c r="M94" s="47">
        <f t="shared" si="7"/>
        <v>1116024.1347191315</v>
      </c>
      <c r="N94" s="47">
        <f t="shared" si="8"/>
        <v>714793.62732335157</v>
      </c>
      <c r="O94" s="47">
        <f t="shared" si="9"/>
        <v>387845.11122420401</v>
      </c>
      <c r="P94" s="47">
        <f t="shared" si="10"/>
        <v>1155254.9274743174</v>
      </c>
      <c r="Q94" s="47">
        <f t="shared" si="11"/>
        <v>3373917.8007410048</v>
      </c>
      <c r="R94" s="48"/>
      <c r="S94" s="48"/>
      <c r="T94" s="48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</row>
    <row r="95" spans="1:184" s="24" customFormat="1" ht="15.75">
      <c r="A95" s="112" t="s">
        <v>146</v>
      </c>
      <c r="B95" s="112"/>
      <c r="C95" s="112"/>
      <c r="D95" s="99"/>
      <c r="E95" s="99"/>
      <c r="F95" s="98"/>
      <c r="G95" s="98"/>
      <c r="H95" s="57"/>
      <c r="I95" s="40"/>
      <c r="J95" s="40"/>
      <c r="K95" s="40"/>
      <c r="L95" s="40"/>
      <c r="M95" s="47">
        <f t="shared" si="7"/>
        <v>0</v>
      </c>
      <c r="N95" s="47">
        <f t="shared" si="8"/>
        <v>0</v>
      </c>
      <c r="O95" s="47">
        <f t="shared" si="9"/>
        <v>0</v>
      </c>
      <c r="P95" s="47">
        <f t="shared" si="10"/>
        <v>0</v>
      </c>
      <c r="Q95" s="47">
        <f t="shared" si="11"/>
        <v>0</v>
      </c>
      <c r="R95" s="88"/>
      <c r="S95" s="88"/>
      <c r="T95" s="88"/>
    </row>
    <row r="96" spans="1:184" s="24" customFormat="1">
      <c r="A96" s="43" t="s">
        <v>23</v>
      </c>
      <c r="B96" s="44" t="s">
        <v>147</v>
      </c>
      <c r="C96" s="44" t="s">
        <v>148</v>
      </c>
      <c r="D96" s="57">
        <v>3859.5</v>
      </c>
      <c r="E96" s="57">
        <f>6431.04-D96</f>
        <v>2571.54</v>
      </c>
      <c r="F96" s="57">
        <v>1243.33</v>
      </c>
      <c r="G96" s="57">
        <f>5013.44-F96</f>
        <v>3770.1099999999997</v>
      </c>
      <c r="H96" s="57">
        <f t="shared" si="12"/>
        <v>11444.48</v>
      </c>
      <c r="I96" s="46">
        <v>4165.5062314666666</v>
      </c>
      <c r="J96" s="46">
        <v>4332.1264807253337</v>
      </c>
      <c r="K96" s="46">
        <v>1366.1374854400005</v>
      </c>
      <c r="L96" s="46">
        <v>1420.7829848576007</v>
      </c>
      <c r="M96" s="47">
        <f t="shared" si="7"/>
        <v>10804163.675289918</v>
      </c>
      <c r="N96" s="47">
        <f t="shared" si="8"/>
        <v>7198688.7051574122</v>
      </c>
      <c r="O96" s="47">
        <f t="shared" si="9"/>
        <v>3619760.7087172284</v>
      </c>
      <c r="P96" s="47">
        <f t="shared" si="10"/>
        <v>10976085.227205899</v>
      </c>
      <c r="Q96" s="47">
        <f t="shared" si="11"/>
        <v>32598698.316370454</v>
      </c>
      <c r="R96" s="48"/>
      <c r="S96" s="48"/>
      <c r="T96" s="48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</row>
    <row r="97" spans="1:184" s="24" customFormat="1">
      <c r="A97" s="43" t="s">
        <v>303</v>
      </c>
      <c r="B97" s="44" t="s">
        <v>149</v>
      </c>
      <c r="C97" s="44" t="s">
        <v>150</v>
      </c>
      <c r="D97" s="57">
        <v>3385.6610000000001</v>
      </c>
      <c r="E97" s="57">
        <f>5340.214-D97</f>
        <v>1954.5529999999999</v>
      </c>
      <c r="F97" s="57">
        <v>913.73900000000003</v>
      </c>
      <c r="G97" s="57">
        <f>3879.727-F97</f>
        <v>2965.9879999999998</v>
      </c>
      <c r="H97" s="57">
        <f t="shared" si="12"/>
        <v>9219.9409999999989</v>
      </c>
      <c r="I97" s="46">
        <v>5266.9321397333333</v>
      </c>
      <c r="J97" s="46">
        <v>5477.6094253226665</v>
      </c>
      <c r="K97" s="46">
        <v>1379.1610670933335</v>
      </c>
      <c r="L97" s="46">
        <v>1434.3275097770668</v>
      </c>
      <c r="M97" s="47">
        <f t="shared" si="7"/>
        <v>13162674.897565415</v>
      </c>
      <c r="N97" s="47">
        <f t="shared" si="8"/>
        <v>7598854.6133417292</v>
      </c>
      <c r="O97" s="47">
        <f t="shared" si="9"/>
        <v>3694504.374228721</v>
      </c>
      <c r="P97" s="47">
        <f t="shared" si="10"/>
        <v>11992325.642125262</v>
      </c>
      <c r="Q97" s="47">
        <f t="shared" si="11"/>
        <v>36448359.527261123</v>
      </c>
      <c r="R97" s="48"/>
      <c r="S97" s="48"/>
      <c r="T97" s="48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</row>
    <row r="98" spans="1:184" s="24" customFormat="1">
      <c r="A98" s="43" t="s">
        <v>303</v>
      </c>
      <c r="B98" s="44" t="s">
        <v>149</v>
      </c>
      <c r="C98" s="44" t="s">
        <v>151</v>
      </c>
      <c r="D98" s="57">
        <v>2338.509</v>
      </c>
      <c r="E98" s="57">
        <f>3694.219-D98</f>
        <v>1355.71</v>
      </c>
      <c r="F98" s="57">
        <v>675.68799999999999</v>
      </c>
      <c r="G98" s="57">
        <f>2785.719-F98</f>
        <v>2110.0309999999999</v>
      </c>
      <c r="H98" s="57">
        <f t="shared" si="12"/>
        <v>6479.9380000000001</v>
      </c>
      <c r="I98" s="46">
        <v>4406.5544917333336</v>
      </c>
      <c r="J98" s="46">
        <v>4582.8166714026675</v>
      </c>
      <c r="K98" s="46">
        <v>1379.1610670933335</v>
      </c>
      <c r="L98" s="46">
        <v>1434.3275097770668</v>
      </c>
      <c r="M98" s="47">
        <f t="shared" si="7"/>
        <v>7079586.7700614631</v>
      </c>
      <c r="N98" s="47">
        <f t="shared" si="8"/>
        <v>4104267.539718695</v>
      </c>
      <c r="O98" s="47">
        <f t="shared" si="9"/>
        <v>2127396.344640479</v>
      </c>
      <c r="P98" s="47">
        <f t="shared" si="10"/>
        <v>6643409.7341940282</v>
      </c>
      <c r="Q98" s="47">
        <f t="shared" si="11"/>
        <v>19954660.388614666</v>
      </c>
      <c r="R98" s="48"/>
      <c r="S98" s="48"/>
      <c r="T98" s="48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</row>
    <row r="99" spans="1:184" s="24" customFormat="1">
      <c r="A99" s="43" t="s">
        <v>303</v>
      </c>
      <c r="B99" s="44" t="s">
        <v>149</v>
      </c>
      <c r="C99" s="44" t="s">
        <v>152</v>
      </c>
      <c r="D99" s="57">
        <v>4942.4949999999999</v>
      </c>
      <c r="E99" s="57">
        <f>8335.84-D99</f>
        <v>3393.3450000000003</v>
      </c>
      <c r="F99" s="57">
        <v>1724.6949999999999</v>
      </c>
      <c r="G99" s="57">
        <f>6760.059-F99</f>
        <v>5035.3640000000005</v>
      </c>
      <c r="H99" s="57">
        <f t="shared" si="12"/>
        <v>15095.899000000001</v>
      </c>
      <c r="I99" s="46">
        <v>4699.547673600001</v>
      </c>
      <c r="J99" s="46">
        <v>4887.529580544001</v>
      </c>
      <c r="K99" s="46">
        <v>1379.1610670933335</v>
      </c>
      <c r="L99" s="46">
        <v>1434.3275097770668</v>
      </c>
      <c r="M99" s="47">
        <f t="shared" si="7"/>
        <v>16410994.200726172</v>
      </c>
      <c r="N99" s="47">
        <f t="shared" si="8"/>
        <v>11267217.28925637</v>
      </c>
      <c r="O99" s="47">
        <f t="shared" si="9"/>
        <v>5955720.3454413777</v>
      </c>
      <c r="P99" s="47">
        <f t="shared" si="10"/>
        <v>17388129.391865276</v>
      </c>
      <c r="Q99" s="47">
        <f t="shared" si="11"/>
        <v>51022061.227289192</v>
      </c>
      <c r="R99" s="48"/>
      <c r="S99" s="48"/>
      <c r="T99" s="48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</row>
    <row r="100" spans="1:184" s="24" customFormat="1">
      <c r="A100" s="43" t="s">
        <v>303</v>
      </c>
      <c r="B100" s="44" t="s">
        <v>149</v>
      </c>
      <c r="C100" s="44" t="s">
        <v>153</v>
      </c>
      <c r="D100" s="57">
        <v>81.066000000000003</v>
      </c>
      <c r="E100" s="57">
        <f>135.11-D100</f>
        <v>54.044000000000011</v>
      </c>
      <c r="F100" s="57">
        <v>27.021999999999998</v>
      </c>
      <c r="G100" s="57">
        <f>108.088-F100</f>
        <v>81.066000000000003</v>
      </c>
      <c r="H100" s="57">
        <f t="shared" si="12"/>
        <v>243.19800000000001</v>
      </c>
      <c r="I100" s="46">
        <v>7142.1395551999994</v>
      </c>
      <c r="J100" s="46">
        <v>7427.825137408</v>
      </c>
      <c r="K100" s="46">
        <v>1376.6536929600002</v>
      </c>
      <c r="L100" s="46">
        <v>1431.7198406784003</v>
      </c>
      <c r="M100" s="47">
        <f t="shared" si="7"/>
        <v>467384.87690834777</v>
      </c>
      <c r="N100" s="47">
        <f t="shared" si="8"/>
        <v>311589.91793889855</v>
      </c>
      <c r="O100" s="47">
        <f t="shared" si="9"/>
        <v>162026.75732822725</v>
      </c>
      <c r="P100" s="47">
        <f t="shared" si="10"/>
        <v>486080.27198468178</v>
      </c>
      <c r="Q100" s="47">
        <f t="shared" si="11"/>
        <v>1427081.8241601554</v>
      </c>
      <c r="R100" s="48"/>
      <c r="S100" s="48"/>
      <c r="T100" s="48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</row>
    <row r="101" spans="1:184" s="24" customFormat="1">
      <c r="A101" s="43" t="s">
        <v>303</v>
      </c>
      <c r="B101" s="44" t="s">
        <v>149</v>
      </c>
      <c r="C101" s="44" t="s">
        <v>154</v>
      </c>
      <c r="D101" s="57">
        <v>190.292</v>
      </c>
      <c r="E101" s="57">
        <f>317.154-D101</f>
        <v>126.86199999999999</v>
      </c>
      <c r="F101" s="57">
        <v>60.963999999999999</v>
      </c>
      <c r="G101" s="57">
        <f>243.856-F101</f>
        <v>182.892</v>
      </c>
      <c r="H101" s="57">
        <f t="shared" si="12"/>
        <v>561.01</v>
      </c>
      <c r="I101" s="46">
        <v>7142.1395551999994</v>
      </c>
      <c r="J101" s="46">
        <v>7427.825137408</v>
      </c>
      <c r="K101" s="46">
        <v>1376.6536929600002</v>
      </c>
      <c r="L101" s="46">
        <v>1431.7198406784003</v>
      </c>
      <c r="M101" s="47">
        <f t="shared" si="7"/>
        <v>1097125.8356973738</v>
      </c>
      <c r="N101" s="47">
        <f t="shared" si="8"/>
        <v>731421.0674554907</v>
      </c>
      <c r="O101" s="47">
        <f t="shared" si="9"/>
        <v>365546.56330982334</v>
      </c>
      <c r="P101" s="47">
        <f t="shared" si="10"/>
        <v>1096639.68992947</v>
      </c>
      <c r="Q101" s="47">
        <f t="shared" si="11"/>
        <v>3290733.1563921575</v>
      </c>
      <c r="R101" s="48"/>
      <c r="S101" s="48"/>
      <c r="T101" s="48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</row>
    <row r="102" spans="1:184" s="24" customFormat="1">
      <c r="A102" s="43" t="s">
        <v>303</v>
      </c>
      <c r="B102" s="44" t="s">
        <v>149</v>
      </c>
      <c r="C102" s="44" t="s">
        <v>155</v>
      </c>
      <c r="D102" s="57">
        <v>120.282</v>
      </c>
      <c r="E102" s="57">
        <f>200.47-D102</f>
        <v>80.188000000000002</v>
      </c>
      <c r="F102" s="57">
        <v>25.233000000000001</v>
      </c>
      <c r="G102" s="57">
        <f>145.515-F102</f>
        <v>120.28199999999998</v>
      </c>
      <c r="H102" s="57">
        <f t="shared" si="12"/>
        <v>345.98500000000001</v>
      </c>
      <c r="I102" s="46">
        <v>7142.1395551999994</v>
      </c>
      <c r="J102" s="46">
        <v>7427.825137408</v>
      </c>
      <c r="K102" s="46">
        <v>1376.6536929600002</v>
      </c>
      <c r="L102" s="46">
        <v>1431.7198406784003</v>
      </c>
      <c r="M102" s="47">
        <f t="shared" si="7"/>
        <v>693484.17048195156</v>
      </c>
      <c r="N102" s="47">
        <f t="shared" si="8"/>
        <v>462322.78032130102</v>
      </c>
      <c r="O102" s="47">
        <f t="shared" si="9"/>
        <v>151299.72495237799</v>
      </c>
      <c r="P102" s="47">
        <f t="shared" si="10"/>
        <v>721223.53730122966</v>
      </c>
      <c r="Q102" s="47">
        <f t="shared" si="11"/>
        <v>2028330.2130568605</v>
      </c>
      <c r="R102" s="48"/>
      <c r="S102" s="48"/>
      <c r="T102" s="48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</row>
    <row r="103" spans="1:184" s="24" customFormat="1">
      <c r="A103" s="43" t="s">
        <v>44</v>
      </c>
      <c r="B103" s="44" t="s">
        <v>43</v>
      </c>
      <c r="C103" s="44" t="s">
        <v>156</v>
      </c>
      <c r="D103" s="57">
        <v>503.3</v>
      </c>
      <c r="E103" s="57">
        <f>803.36-D103</f>
        <v>300.06</v>
      </c>
      <c r="F103" s="57">
        <v>131.69</v>
      </c>
      <c r="G103" s="57">
        <f>596.07-F103</f>
        <v>464.38000000000005</v>
      </c>
      <c r="H103" s="57">
        <f t="shared" si="12"/>
        <v>1399.43</v>
      </c>
      <c r="I103" s="46">
        <v>6640.5589120000004</v>
      </c>
      <c r="J103" s="46">
        <v>6906.1812684800007</v>
      </c>
      <c r="K103" s="46">
        <v>1639.3649825280002</v>
      </c>
      <c r="L103" s="46">
        <v>1704.9395818291202</v>
      </c>
      <c r="M103" s="47">
        <f t="shared" si="7"/>
        <v>2517100.9047032581</v>
      </c>
      <c r="N103" s="47">
        <f t="shared" si="8"/>
        <v>1500658.2504773685</v>
      </c>
      <c r="O103" s="47">
        <f t="shared" si="9"/>
        <v>684951.51771505445</v>
      </c>
      <c r="P103" s="47">
        <f t="shared" si="10"/>
        <v>2415352.6144469362</v>
      </c>
      <c r="Q103" s="47">
        <f t="shared" si="11"/>
        <v>7118063.2873426173</v>
      </c>
      <c r="R103" s="48"/>
      <c r="S103" s="48"/>
      <c r="T103" s="48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</row>
    <row r="104" spans="1:184" s="19" customFormat="1">
      <c r="A104" s="77" t="s">
        <v>19</v>
      </c>
      <c r="B104" s="77" t="s">
        <v>157</v>
      </c>
      <c r="C104" s="77" t="s">
        <v>156</v>
      </c>
      <c r="D104" s="106">
        <v>4.5119999999999996</v>
      </c>
      <c r="E104" s="105">
        <v>1.504</v>
      </c>
      <c r="F104" s="105">
        <v>1.5740000000000001</v>
      </c>
      <c r="G104" s="105">
        <f>5.866-F104</f>
        <v>4.2919999999999998</v>
      </c>
      <c r="H104" s="57">
        <f t="shared" si="12"/>
        <v>11.882</v>
      </c>
      <c r="I104" s="76">
        <v>3475.8640106666671</v>
      </c>
      <c r="J104" s="76">
        <v>3614.8985710933339</v>
      </c>
      <c r="K104" s="76">
        <v>1366.1420499999999</v>
      </c>
      <c r="L104" s="76">
        <v>1420.787732</v>
      </c>
      <c r="M104" s="47">
        <f t="shared" si="7"/>
        <v>9519.0654865280012</v>
      </c>
      <c r="N104" s="47">
        <f t="shared" si="8"/>
        <v>3173.0218288426677</v>
      </c>
      <c r="O104" s="47">
        <f t="shared" si="9"/>
        <v>3453.5304607329081</v>
      </c>
      <c r="P104" s="47">
        <f t="shared" si="10"/>
        <v>9417.1237213885888</v>
      </c>
      <c r="Q104" s="47">
        <f t="shared" si="11"/>
        <v>25562.741497492163</v>
      </c>
      <c r="R104" s="47"/>
      <c r="S104" s="47"/>
      <c r="T104" s="47"/>
    </row>
    <row r="105" spans="1:184" s="19" customFormat="1">
      <c r="A105" s="77">
        <v>2919003788</v>
      </c>
      <c r="B105" s="77" t="s">
        <v>406</v>
      </c>
      <c r="C105" s="77" t="s">
        <v>408</v>
      </c>
      <c r="D105" s="107">
        <f>25.240871*0.6</f>
        <v>15.144522599999998</v>
      </c>
      <c r="E105" s="107">
        <f>25.240871*0.4</f>
        <v>10.0963484</v>
      </c>
      <c r="F105" s="105">
        <f>19.049129*0.2</f>
        <v>3.8098258000000005</v>
      </c>
      <c r="G105" s="105">
        <f>19.049129*0.8</f>
        <v>15.239303200000002</v>
      </c>
      <c r="H105" s="57">
        <f t="shared" si="12"/>
        <v>44.29</v>
      </c>
      <c r="I105" s="76">
        <v>3849.7280639999999</v>
      </c>
      <c r="J105" s="76">
        <v>4003.7171865599998</v>
      </c>
      <c r="K105" s="76">
        <v>1654.9779823616002</v>
      </c>
      <c r="L105" s="76">
        <v>1721.1771016560642</v>
      </c>
      <c r="M105" s="47">
        <f t="shared" si="7"/>
        <v>33238.442212724593</v>
      </c>
      <c r="N105" s="47">
        <f t="shared" si="8"/>
        <v>22158.961475149728</v>
      </c>
      <c r="O105" s="47">
        <f t="shared" si="9"/>
        <v>8696.0801050012051</v>
      </c>
      <c r="P105" s="47">
        <f t="shared" si="10"/>
        <v>34784.32042000482</v>
      </c>
      <c r="Q105" s="47">
        <f t="shared" si="11"/>
        <v>98877.80421288035</v>
      </c>
      <c r="R105" s="47"/>
      <c r="S105" s="47"/>
      <c r="T105" s="47"/>
    </row>
    <row r="106" spans="1:184" s="19" customFormat="1">
      <c r="A106" s="77">
        <v>2919003805</v>
      </c>
      <c r="B106" s="77" t="s">
        <v>407</v>
      </c>
      <c r="C106" s="77" t="s">
        <v>409</v>
      </c>
      <c r="D106" s="107">
        <f>29.3936544*0.6</f>
        <v>17.636192639999997</v>
      </c>
      <c r="E106" s="107">
        <f>29.3936544*0.4</f>
        <v>11.75746176</v>
      </c>
      <c r="F106" s="105">
        <f>24.0493536*0.8</f>
        <v>19.239482880000001</v>
      </c>
      <c r="G106" s="105">
        <f>24.0493536*0.2</f>
        <v>4.8098707200000002</v>
      </c>
      <c r="H106" s="57">
        <f t="shared" si="12"/>
        <v>53.443007999999999</v>
      </c>
      <c r="I106" s="76">
        <v>3438.2333440000002</v>
      </c>
      <c r="J106" s="76">
        <v>3575.7626777600003</v>
      </c>
      <c r="K106" s="76">
        <v>1654.9779823616002</v>
      </c>
      <c r="L106" s="76">
        <v>1721.1771016560642</v>
      </c>
      <c r="M106" s="47">
        <f t="shared" si="7"/>
        <v>31449.835084167684</v>
      </c>
      <c r="N106" s="47">
        <f t="shared" si="8"/>
        <v>20966.55672277846</v>
      </c>
      <c r="O106" s="47">
        <f t="shared" si="9"/>
        <v>35681.26744094662</v>
      </c>
      <c r="P106" s="47">
        <f t="shared" si="10"/>
        <v>8920.316860236655</v>
      </c>
      <c r="Q106" s="47">
        <f t="shared" si="11"/>
        <v>97017.976108129413</v>
      </c>
      <c r="R106" s="47"/>
      <c r="S106" s="47"/>
      <c r="T106" s="47"/>
    </row>
    <row r="107" spans="1:184" s="24" customFormat="1" ht="15.75">
      <c r="A107" s="112" t="s">
        <v>158</v>
      </c>
      <c r="B107" s="112"/>
      <c r="C107" s="112"/>
      <c r="D107" s="99"/>
      <c r="E107" s="99"/>
      <c r="F107" s="98"/>
      <c r="G107" s="98"/>
      <c r="H107" s="57"/>
      <c r="I107" s="40"/>
      <c r="J107" s="40"/>
      <c r="K107" s="40"/>
      <c r="L107" s="40"/>
      <c r="M107" s="47">
        <f t="shared" si="7"/>
        <v>0</v>
      </c>
      <c r="N107" s="47">
        <f t="shared" si="8"/>
        <v>0</v>
      </c>
      <c r="O107" s="47">
        <f t="shared" si="9"/>
        <v>0</v>
      </c>
      <c r="P107" s="47">
        <f t="shared" si="10"/>
        <v>0</v>
      </c>
      <c r="Q107" s="47">
        <f t="shared" si="11"/>
        <v>0</v>
      </c>
      <c r="R107" s="88"/>
      <c r="S107" s="88"/>
      <c r="T107" s="88"/>
    </row>
    <row r="108" spans="1:184" s="24" customFormat="1" ht="15.75">
      <c r="A108" s="89" t="s">
        <v>21</v>
      </c>
      <c r="B108" s="89" t="s">
        <v>116</v>
      </c>
      <c r="C108" s="54" t="s">
        <v>338</v>
      </c>
      <c r="D108" s="100">
        <v>1079.895</v>
      </c>
      <c r="E108" s="100">
        <f>1762.155-D108</f>
        <v>682.26</v>
      </c>
      <c r="F108" s="100">
        <v>465.41</v>
      </c>
      <c r="G108" s="100">
        <f>1540.462-F108</f>
        <v>1075.0519999999999</v>
      </c>
      <c r="H108" s="57">
        <f t="shared" si="12"/>
        <v>3302.6170000000002</v>
      </c>
      <c r="I108" s="56">
        <v>3061.0597749333338</v>
      </c>
      <c r="J108" s="56">
        <v>3183.5021659306672</v>
      </c>
      <c r="K108" s="56">
        <v>1944.3545721600001</v>
      </c>
      <c r="L108" s="56">
        <v>2022.1287550464001</v>
      </c>
      <c r="M108" s="47">
        <f t="shared" si="7"/>
        <v>1205924.364948909</v>
      </c>
      <c r="N108" s="47">
        <f t="shared" si="8"/>
        <v>761883.29164413468</v>
      </c>
      <c r="O108" s="47">
        <f t="shared" si="9"/>
        <v>540514.79915964673</v>
      </c>
      <c r="P108" s="47">
        <f t="shared" si="10"/>
        <v>1248536.8081179529</v>
      </c>
      <c r="Q108" s="47">
        <f t="shared" si="11"/>
        <v>3756859.2638706435</v>
      </c>
      <c r="R108" s="88"/>
      <c r="S108" s="88"/>
      <c r="T108" s="88"/>
    </row>
    <row r="109" spans="1:184" s="24" customFormat="1" ht="30">
      <c r="A109" s="43" t="s">
        <v>301</v>
      </c>
      <c r="B109" s="44" t="s">
        <v>169</v>
      </c>
      <c r="C109" s="44" t="s">
        <v>165</v>
      </c>
      <c r="D109" s="57">
        <v>111.849</v>
      </c>
      <c r="E109" s="57">
        <f>161.869-D109</f>
        <v>50.019999999999996</v>
      </c>
      <c r="F109" s="57">
        <v>21.411999999999999</v>
      </c>
      <c r="G109" s="57">
        <f>122.953-F109</f>
        <v>101.541</v>
      </c>
      <c r="H109" s="57">
        <f t="shared" si="12"/>
        <v>284.822</v>
      </c>
      <c r="I109" s="46">
        <v>5412.9537280000004</v>
      </c>
      <c r="J109" s="46">
        <v>5629.4718771200005</v>
      </c>
      <c r="K109" s="46">
        <v>2355.4393441280008</v>
      </c>
      <c r="L109" s="46">
        <v>2449.6569178931209</v>
      </c>
      <c r="M109" s="47">
        <f t="shared" si="7"/>
        <v>341979.92632169928</v>
      </c>
      <c r="N109" s="47">
        <f t="shared" si="8"/>
        <v>152936.86948127742</v>
      </c>
      <c r="O109" s="47">
        <f t="shared" si="9"/>
        <v>68086.197906965943</v>
      </c>
      <c r="P109" s="47">
        <f t="shared" si="10"/>
        <v>322881.59077485657</v>
      </c>
      <c r="Q109" s="47">
        <f t="shared" si="11"/>
        <v>885884.5844847993</v>
      </c>
      <c r="R109" s="48"/>
      <c r="S109" s="48"/>
      <c r="T109" s="48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</row>
    <row r="110" spans="1:184" s="24" customFormat="1">
      <c r="A110" s="43" t="s">
        <v>18</v>
      </c>
      <c r="B110" s="44" t="s">
        <v>167</v>
      </c>
      <c r="C110" s="44" t="s">
        <v>165</v>
      </c>
      <c r="D110" s="57">
        <v>82.683999999999997</v>
      </c>
      <c r="E110" s="57">
        <f>130.448-D110</f>
        <v>47.76400000000001</v>
      </c>
      <c r="F110" s="57">
        <v>18.454000000000001</v>
      </c>
      <c r="G110" s="57">
        <f>98.819-F110</f>
        <v>80.365000000000009</v>
      </c>
      <c r="H110" s="57">
        <f t="shared" si="12"/>
        <v>229.26700000000002</v>
      </c>
      <c r="I110" s="46">
        <v>3964.8860160000004</v>
      </c>
      <c r="J110" s="46">
        <v>4123.4814566400009</v>
      </c>
      <c r="K110" s="46">
        <v>2355.4327680000001</v>
      </c>
      <c r="L110" s="46">
        <v>2449.6500787200002</v>
      </c>
      <c r="M110" s="47">
        <f t="shared" si="7"/>
        <v>133076.03235763201</v>
      </c>
      <c r="N110" s="47">
        <f t="shared" si="8"/>
        <v>76873.924937472024</v>
      </c>
      <c r="O110" s="47">
        <f t="shared" si="9"/>
        <v>30888.884248135695</v>
      </c>
      <c r="P110" s="47">
        <f t="shared" si="10"/>
        <v>134517.45868654086</v>
      </c>
      <c r="Q110" s="47">
        <f t="shared" si="11"/>
        <v>375356.30022978061</v>
      </c>
      <c r="R110" s="48"/>
      <c r="S110" s="48"/>
      <c r="T110" s="48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</row>
    <row r="111" spans="1:184" s="24" customFormat="1">
      <c r="A111" s="43" t="s">
        <v>2</v>
      </c>
      <c r="B111" s="44" t="s">
        <v>70</v>
      </c>
      <c r="C111" s="44" t="s">
        <v>168</v>
      </c>
      <c r="D111" s="57">
        <v>13388.671</v>
      </c>
      <c r="E111" s="57">
        <f>19141.385-D111</f>
        <v>5752.7139999999981</v>
      </c>
      <c r="F111" s="57">
        <v>1886.11</v>
      </c>
      <c r="G111" s="57">
        <v>9161.1299999999992</v>
      </c>
      <c r="H111" s="57">
        <f t="shared" si="12"/>
        <v>30188.625</v>
      </c>
      <c r="I111" s="46">
        <v>5542.2593685333331</v>
      </c>
      <c r="J111" s="46">
        <v>5763.9497432746666</v>
      </c>
      <c r="K111" s="46">
        <v>1962.8659213806934</v>
      </c>
      <c r="L111" s="46">
        <v>2041.3805582359212</v>
      </c>
      <c r="M111" s="47">
        <f t="shared" si="7"/>
        <v>47923321.243482582</v>
      </c>
      <c r="N111" s="47">
        <f t="shared" si="8"/>
        <v>20591226.794943247</v>
      </c>
      <c r="O111" s="47">
        <f t="shared" si="9"/>
        <v>7021174.9655934284</v>
      </c>
      <c r="P111" s="47">
        <f t="shared" si="10"/>
        <v>34102940.238134004</v>
      </c>
      <c r="Q111" s="47">
        <f t="shared" si="11"/>
        <v>109638663.24215326</v>
      </c>
      <c r="R111" s="48"/>
      <c r="S111" s="48"/>
      <c r="T111" s="48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</row>
    <row r="112" spans="1:184" s="24" customFormat="1">
      <c r="A112" s="43" t="s">
        <v>302</v>
      </c>
      <c r="B112" s="44" t="s">
        <v>164</v>
      </c>
      <c r="C112" s="44" t="s">
        <v>165</v>
      </c>
      <c r="D112" s="57">
        <v>13362.852999999999</v>
      </c>
      <c r="E112" s="57">
        <f>20285.5-D112</f>
        <v>6922.6470000000008</v>
      </c>
      <c r="F112" s="57">
        <v>3119.3969999999999</v>
      </c>
      <c r="G112" s="57">
        <f>13951.347-F112</f>
        <v>10831.95</v>
      </c>
      <c r="H112" s="57">
        <f t="shared" si="12"/>
        <v>34236.847000000002</v>
      </c>
      <c r="I112" s="46">
        <v>2756.7927157333338</v>
      </c>
      <c r="J112" s="46">
        <v>2867.0644243626671</v>
      </c>
      <c r="K112" s="46">
        <v>1962.8659213806934</v>
      </c>
      <c r="L112" s="46">
        <v>2041.3805582359212</v>
      </c>
      <c r="M112" s="47">
        <f t="shared" si="7"/>
        <v>10609127.045695564</v>
      </c>
      <c r="N112" s="47">
        <f t="shared" si="8"/>
        <v>5496074.9411449237</v>
      </c>
      <c r="O112" s="47">
        <f t="shared" si="9"/>
        <v>2575635.7749441727</v>
      </c>
      <c r="P112" s="47">
        <f t="shared" si="10"/>
        <v>8943766.3536916059</v>
      </c>
      <c r="Q112" s="47">
        <f t="shared" si="11"/>
        <v>27624604.115476266</v>
      </c>
      <c r="R112" s="48"/>
      <c r="S112" s="48"/>
      <c r="T112" s="48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</row>
    <row r="113" spans="1:184" s="24" customFormat="1">
      <c r="A113" s="43" t="s">
        <v>302</v>
      </c>
      <c r="B113" s="44" t="s">
        <v>164</v>
      </c>
      <c r="C113" s="44" t="s">
        <v>160</v>
      </c>
      <c r="D113" s="57">
        <v>12908.493</v>
      </c>
      <c r="E113" s="57">
        <f>19345.226-D113</f>
        <v>6436.7329999999984</v>
      </c>
      <c r="F113" s="57">
        <v>2945.529</v>
      </c>
      <c r="G113" s="57">
        <f>12523.973-F113</f>
        <v>9578.4439999999995</v>
      </c>
      <c r="H113" s="57">
        <f t="shared" si="12"/>
        <v>31869.198999999997</v>
      </c>
      <c r="I113" s="46">
        <v>2720.5886794666662</v>
      </c>
      <c r="J113" s="46">
        <v>2829.4122266453328</v>
      </c>
      <c r="K113" s="46">
        <v>1962.8659213806934</v>
      </c>
      <c r="L113" s="46">
        <v>2041.3805582359212</v>
      </c>
      <c r="M113" s="47">
        <f t="shared" si="7"/>
        <v>9781058.9186934736</v>
      </c>
      <c r="N113" s="47">
        <f t="shared" si="8"/>
        <v>4877259.081822997</v>
      </c>
      <c r="O113" s="47">
        <f t="shared" si="9"/>
        <v>2321170.132218306</v>
      </c>
      <c r="P113" s="47">
        <f t="shared" si="10"/>
        <v>7548117.2060861178</v>
      </c>
      <c r="Q113" s="47">
        <f t="shared" si="11"/>
        <v>24527605.338820893</v>
      </c>
      <c r="R113" s="48"/>
      <c r="S113" s="48"/>
      <c r="T113" s="48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</row>
    <row r="114" spans="1:184" s="24" customFormat="1">
      <c r="A114" s="43" t="s">
        <v>302</v>
      </c>
      <c r="B114" s="44" t="s">
        <v>164</v>
      </c>
      <c r="C114" s="44" t="s">
        <v>166</v>
      </c>
      <c r="D114" s="57">
        <v>503.46600000000001</v>
      </c>
      <c r="E114" s="57">
        <f>839.11-D114</f>
        <v>335.64400000000001</v>
      </c>
      <c r="F114" s="57">
        <v>167.822</v>
      </c>
      <c r="G114" s="57">
        <f>671.288-F114</f>
        <v>503.46600000000001</v>
      </c>
      <c r="H114" s="57">
        <f t="shared" si="12"/>
        <v>1510.3980000000001</v>
      </c>
      <c r="I114" s="46">
        <v>3436.5968831999999</v>
      </c>
      <c r="J114" s="46">
        <v>3574.060758528</v>
      </c>
      <c r="K114" s="46">
        <v>1962.8659213806934</v>
      </c>
      <c r="L114" s="46">
        <v>2041.3805582359212</v>
      </c>
      <c r="M114" s="47">
        <f t="shared" si="7"/>
        <v>741973.43242331897</v>
      </c>
      <c r="N114" s="47">
        <f t="shared" si="8"/>
        <v>494648.95494887931</v>
      </c>
      <c r="O114" s="47">
        <f t="shared" si="9"/>
        <v>257217.45657341724</v>
      </c>
      <c r="P114" s="47">
        <f t="shared" si="10"/>
        <v>771652.36972025177</v>
      </c>
      <c r="Q114" s="47">
        <f t="shared" si="11"/>
        <v>2265492.2136658672</v>
      </c>
      <c r="R114" s="48"/>
      <c r="S114" s="48"/>
      <c r="T114" s="48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</row>
    <row r="115" spans="1:184" s="24" customFormat="1">
      <c r="A115" s="43" t="s">
        <v>30</v>
      </c>
      <c r="B115" s="44" t="s">
        <v>159</v>
      </c>
      <c r="C115" s="44" t="s">
        <v>160</v>
      </c>
      <c r="D115" s="57">
        <v>429.38400000000001</v>
      </c>
      <c r="E115" s="57">
        <f>636.822-D115</f>
        <v>207.43799999999999</v>
      </c>
      <c r="F115" s="57">
        <v>73.734999999999999</v>
      </c>
      <c r="G115" s="57">
        <f>465.668-F115</f>
        <v>391.93299999999999</v>
      </c>
      <c r="H115" s="57">
        <f t="shared" si="12"/>
        <v>1102.49</v>
      </c>
      <c r="I115" s="46">
        <v>4354.9499135999995</v>
      </c>
      <c r="J115" s="46">
        <v>4529.147910144</v>
      </c>
      <c r="K115" s="46">
        <v>1962.8659213806934</v>
      </c>
      <c r="L115" s="46">
        <v>2041.3805582359212</v>
      </c>
      <c r="M115" s="47">
        <f t="shared" si="7"/>
        <v>1027122.5929150947</v>
      </c>
      <c r="N115" s="47">
        <f t="shared" si="8"/>
        <v>496209.11917798844</v>
      </c>
      <c r="O115" s="47">
        <f t="shared" si="9"/>
        <v>183435.5256929422</v>
      </c>
      <c r="P115" s="47">
        <f t="shared" si="10"/>
        <v>975038.1215353891</v>
      </c>
      <c r="Q115" s="47">
        <f t="shared" si="11"/>
        <v>2681805.3593214145</v>
      </c>
      <c r="R115" s="48"/>
      <c r="S115" s="48"/>
      <c r="T115" s="48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</row>
    <row r="116" spans="1:184" s="24" customFormat="1">
      <c r="A116" s="43" t="s">
        <v>30</v>
      </c>
      <c r="B116" s="44" t="s">
        <v>159</v>
      </c>
      <c r="C116" s="44" t="s">
        <v>161</v>
      </c>
      <c r="D116" s="57">
        <v>849.53200000000004</v>
      </c>
      <c r="E116" s="57">
        <f>1261.895-D116</f>
        <v>412.36299999999994</v>
      </c>
      <c r="F116" s="57">
        <v>133.97</v>
      </c>
      <c r="G116" s="57">
        <f>835.884-F116</f>
        <v>701.91399999999999</v>
      </c>
      <c r="H116" s="57">
        <f t="shared" si="12"/>
        <v>2097.779</v>
      </c>
      <c r="I116" s="46">
        <v>4354.9499135999995</v>
      </c>
      <c r="J116" s="46">
        <v>4529.147910144</v>
      </c>
      <c r="K116" s="46">
        <v>1962.8659213806934</v>
      </c>
      <c r="L116" s="46">
        <v>2041.3805582359212</v>
      </c>
      <c r="M116" s="47">
        <f t="shared" si="7"/>
        <v>2032151.8980780519</v>
      </c>
      <c r="N116" s="47">
        <f t="shared" si="8"/>
        <v>986406.93128352962</v>
      </c>
      <c r="O116" s="47">
        <f t="shared" si="9"/>
        <v>333286.19213512534</v>
      </c>
      <c r="P116" s="47">
        <f t="shared" si="10"/>
        <v>1746198.7330472074</v>
      </c>
      <c r="Q116" s="47">
        <f t="shared" si="11"/>
        <v>5098043.7545439135</v>
      </c>
      <c r="R116" s="48"/>
      <c r="S116" s="48"/>
      <c r="T116" s="48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</row>
    <row r="117" spans="1:184" s="24" customFormat="1">
      <c r="A117" s="43" t="s">
        <v>30</v>
      </c>
      <c r="B117" s="44" t="s">
        <v>159</v>
      </c>
      <c r="C117" s="44" t="s">
        <v>162</v>
      </c>
      <c r="D117" s="57">
        <v>61.305</v>
      </c>
      <c r="E117" s="57">
        <f>90.968-D117</f>
        <v>29.663000000000004</v>
      </c>
      <c r="F117" s="57">
        <v>4.9059999999999997</v>
      </c>
      <c r="G117" s="57">
        <f>49.057-F117</f>
        <v>44.151000000000003</v>
      </c>
      <c r="H117" s="57">
        <f t="shared" si="12"/>
        <v>140.02500000000001</v>
      </c>
      <c r="I117" s="46">
        <v>4354.9499135999995</v>
      </c>
      <c r="J117" s="46">
        <v>4529.147910144</v>
      </c>
      <c r="K117" s="46">
        <v>1962.8659213806934</v>
      </c>
      <c r="L117" s="46">
        <v>2041.3805582359212</v>
      </c>
      <c r="M117" s="47">
        <f t="shared" si="7"/>
        <v>146646.70914300458</v>
      </c>
      <c r="N117" s="47">
        <f t="shared" si="8"/>
        <v>70956.387461201288</v>
      </c>
      <c r="O117" s="47">
        <f t="shared" si="9"/>
        <v>12204.986628461034</v>
      </c>
      <c r="P117" s="47">
        <f t="shared" si="10"/>
        <v>109837.4163540936</v>
      </c>
      <c r="Q117" s="47">
        <f t="shared" si="11"/>
        <v>339645.49958676053</v>
      </c>
      <c r="R117" s="48"/>
      <c r="S117" s="48"/>
      <c r="T117" s="48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</row>
    <row r="118" spans="1:184" s="24" customFormat="1">
      <c r="A118" s="43" t="s">
        <v>30</v>
      </c>
      <c r="B118" s="44" t="s">
        <v>159</v>
      </c>
      <c r="C118" s="44" t="s">
        <v>163</v>
      </c>
      <c r="D118" s="57">
        <v>2697.8649999999998</v>
      </c>
      <c r="E118" s="57">
        <f>3912.216-D118</f>
        <v>1214.3510000000001</v>
      </c>
      <c r="F118" s="57">
        <v>479.7</v>
      </c>
      <c r="G118" s="57">
        <f>2999.361-F118</f>
        <v>2519.6610000000001</v>
      </c>
      <c r="H118" s="57">
        <f t="shared" si="12"/>
        <v>6911.5770000000002</v>
      </c>
      <c r="I118" s="46">
        <v>3988.7190720000008</v>
      </c>
      <c r="J118" s="46">
        <v>4148.2678348800009</v>
      </c>
      <c r="K118" s="46">
        <v>1962.8659213806934</v>
      </c>
      <c r="L118" s="46">
        <v>2041.3805582359212</v>
      </c>
      <c r="M118" s="47">
        <f t="shared" si="7"/>
        <v>5465478.3101955568</v>
      </c>
      <c r="N118" s="47">
        <f t="shared" si="8"/>
        <v>2460096.7993077068</v>
      </c>
      <c r="O118" s="47">
        <f t="shared" si="9"/>
        <v>1010673.8266061652</v>
      </c>
      <c r="P118" s="47">
        <f t="shared" si="10"/>
        <v>5308641.7023562994</v>
      </c>
      <c r="Q118" s="47">
        <f t="shared" si="11"/>
        <v>14244890.638465729</v>
      </c>
      <c r="R118" s="48"/>
      <c r="S118" s="48"/>
      <c r="T118" s="48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</row>
    <row r="119" spans="1:184" s="24" customFormat="1">
      <c r="A119" s="43" t="s">
        <v>30</v>
      </c>
      <c r="B119" s="44" t="s">
        <v>159</v>
      </c>
      <c r="C119" s="44" t="s">
        <v>325</v>
      </c>
      <c r="D119" s="57">
        <v>8.7780000000000005</v>
      </c>
      <c r="E119" s="57">
        <f>13.025-D119</f>
        <v>4.2469999999999999</v>
      </c>
      <c r="F119" s="57">
        <v>0.99</v>
      </c>
      <c r="G119" s="57">
        <v>8.7799999999999994</v>
      </c>
      <c r="H119" s="57">
        <f t="shared" si="12"/>
        <v>22.795000000000002</v>
      </c>
      <c r="I119" s="46">
        <v>6402.3285802666678</v>
      </c>
      <c r="J119" s="46">
        <v>6658.421723477335</v>
      </c>
      <c r="K119" s="46">
        <v>1962.8659213806934</v>
      </c>
      <c r="L119" s="46">
        <v>2041.3805582359212</v>
      </c>
      <c r="M119" s="47">
        <f t="shared" si="7"/>
        <v>38969.603219701086</v>
      </c>
      <c r="N119" s="47">
        <f t="shared" si="8"/>
        <v>18854.397912288732</v>
      </c>
      <c r="O119" s="47">
        <f t="shared" si="9"/>
        <v>4570.8707535889998</v>
      </c>
      <c r="P119" s="47">
        <f t="shared" si="10"/>
        <v>40537.621430819614</v>
      </c>
      <c r="Q119" s="47">
        <f t="shared" si="11"/>
        <v>102932.49331639844</v>
      </c>
      <c r="R119" s="48"/>
      <c r="S119" s="48"/>
      <c r="T119" s="48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</row>
    <row r="120" spans="1:184" s="24" customFormat="1">
      <c r="A120" s="43" t="s">
        <v>30</v>
      </c>
      <c r="B120" s="44" t="s">
        <v>159</v>
      </c>
      <c r="C120" s="44" t="s">
        <v>166</v>
      </c>
      <c r="D120" s="57">
        <v>143.04300000000001</v>
      </c>
      <c r="E120" s="57">
        <f>212.257-D120</f>
        <v>69.213999999999999</v>
      </c>
      <c r="F120" s="57">
        <v>22.928000000000001</v>
      </c>
      <c r="G120" s="57">
        <f>120.804-F120</f>
        <v>97.876000000000005</v>
      </c>
      <c r="H120" s="57">
        <f t="shared" si="12"/>
        <v>333.06100000000004</v>
      </c>
      <c r="I120" s="46">
        <v>6402.3285802666678</v>
      </c>
      <c r="J120" s="46">
        <v>6658.421723477335</v>
      </c>
      <c r="K120" s="46">
        <v>1962.8659213806934</v>
      </c>
      <c r="L120" s="46">
        <v>2041.3805582359212</v>
      </c>
      <c r="M120" s="47">
        <f t="shared" si="7"/>
        <v>635034.05711502652</v>
      </c>
      <c r="N120" s="47">
        <f t="shared" si="8"/>
        <v>307272.96847213386</v>
      </c>
      <c r="O120" s="47">
        <f t="shared" si="9"/>
        <v>105859.51983665515</v>
      </c>
      <c r="P120" s="47">
        <f t="shared" si="10"/>
        <v>451897.52108916867</v>
      </c>
      <c r="Q120" s="47">
        <f t="shared" si="11"/>
        <v>1500064.0665129842</v>
      </c>
      <c r="R120" s="48"/>
      <c r="S120" s="48"/>
      <c r="T120" s="48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</row>
    <row r="121" spans="1:184" s="24" customFormat="1" ht="30">
      <c r="A121" s="43" t="s">
        <v>414</v>
      </c>
      <c r="B121" s="44" t="s">
        <v>410</v>
      </c>
      <c r="C121" s="44" t="s">
        <v>165</v>
      </c>
      <c r="D121" s="57">
        <f>61.039*0.4</f>
        <v>24.415600000000001</v>
      </c>
      <c r="E121" s="57">
        <f>61.039*0.6</f>
        <v>36.623399999999997</v>
      </c>
      <c r="F121" s="57">
        <f>49.941*0.2</f>
        <v>9.9882000000000009</v>
      </c>
      <c r="G121" s="57">
        <f>49.941*0.8</f>
        <v>39.952800000000003</v>
      </c>
      <c r="H121" s="57">
        <f t="shared" si="12"/>
        <v>110.98000000000002</v>
      </c>
      <c r="I121" s="46">
        <v>2810.5376000000001</v>
      </c>
      <c r="J121" s="46">
        <v>2922.959104</v>
      </c>
      <c r="K121" s="46">
        <v>2355.4751148032005</v>
      </c>
      <c r="L121" s="46">
        <v>2449.6941193953285</v>
      </c>
      <c r="M121" s="47">
        <f t="shared" si="7"/>
        <v>11110.623613570981</v>
      </c>
      <c r="N121" s="47">
        <f t="shared" si="8"/>
        <v>16665.935420356469</v>
      </c>
      <c r="O121" s="47">
        <f t="shared" si="9"/>
        <v>4727.0653192283808</v>
      </c>
      <c r="P121" s="47">
        <f t="shared" si="10"/>
        <v>18908.261276913523</v>
      </c>
      <c r="Q121" s="47">
        <f t="shared" si="11"/>
        <v>51411.885630069351</v>
      </c>
      <c r="R121" s="48"/>
      <c r="S121" s="48"/>
      <c r="T121" s="48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</row>
    <row r="122" spans="1:184" s="24" customFormat="1" ht="30">
      <c r="A122" s="43" t="s">
        <v>415</v>
      </c>
      <c r="B122" s="44" t="s">
        <v>411</v>
      </c>
      <c r="C122" s="44" t="s">
        <v>168</v>
      </c>
      <c r="D122" s="57">
        <f>67.6*0.4</f>
        <v>27.04</v>
      </c>
      <c r="E122" s="57">
        <f>67.6*0.6</f>
        <v>40.559999999999995</v>
      </c>
      <c r="F122" s="57">
        <f>62.4*0.2</f>
        <v>12.48</v>
      </c>
      <c r="G122" s="57">
        <f>62.4*0.8</f>
        <v>49.92</v>
      </c>
      <c r="H122" s="57">
        <f t="shared" si="12"/>
        <v>130</v>
      </c>
      <c r="I122" s="46">
        <v>1923.993344</v>
      </c>
      <c r="J122" s="46">
        <v>2000.95307776</v>
      </c>
      <c r="K122" s="46">
        <v>1900.5264096000003</v>
      </c>
      <c r="L122" s="46">
        <v>1976.5474659840004</v>
      </c>
      <c r="M122" s="47">
        <f t="shared" si="7"/>
        <v>634.54590617599115</v>
      </c>
      <c r="N122" s="47">
        <f t="shared" si="8"/>
        <v>951.81885926398661</v>
      </c>
      <c r="O122" s="47">
        <f t="shared" si="9"/>
        <v>304.58203496447578</v>
      </c>
      <c r="P122" s="47">
        <f t="shared" si="10"/>
        <v>1218.3281398579031</v>
      </c>
      <c r="Q122" s="47">
        <f t="shared" si="11"/>
        <v>3109.2749402623567</v>
      </c>
      <c r="R122" s="48"/>
      <c r="S122" s="48"/>
      <c r="T122" s="48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</row>
    <row r="123" spans="1:184" s="24" customFormat="1">
      <c r="A123" s="43" t="s">
        <v>416</v>
      </c>
      <c r="B123" s="44" t="s">
        <v>412</v>
      </c>
      <c r="C123" s="44" t="s">
        <v>166</v>
      </c>
      <c r="D123" s="57">
        <f>258.5658*0.6</f>
        <v>155.13948000000002</v>
      </c>
      <c r="E123" s="57">
        <f>258.5658*0.4</f>
        <v>103.42632000000002</v>
      </c>
      <c r="F123" s="57">
        <f>229.2942*0.2</f>
        <v>45.858840000000001</v>
      </c>
      <c r="G123" s="57">
        <f>229.2942*0.8</f>
        <v>183.43536</v>
      </c>
      <c r="H123" s="57">
        <f t="shared" si="12"/>
        <v>487.86</v>
      </c>
      <c r="I123" s="46">
        <v>3058.0833920000005</v>
      </c>
      <c r="J123" s="46">
        <v>3180.4067276800006</v>
      </c>
      <c r="K123" s="46">
        <v>2355.4427187199999</v>
      </c>
      <c r="L123" s="46">
        <v>2449.6604274688002</v>
      </c>
      <c r="M123" s="47">
        <f t="shared" si="7"/>
        <v>109007.30867950919</v>
      </c>
      <c r="N123" s="47">
        <f t="shared" si="8"/>
        <v>72671.539119672801</v>
      </c>
      <c r="O123" s="47">
        <f t="shared" si="9"/>
        <v>33511.177661977403</v>
      </c>
      <c r="P123" s="47">
        <f t="shared" si="10"/>
        <v>134044.71064790961</v>
      </c>
      <c r="Q123" s="47">
        <f t="shared" si="11"/>
        <v>349234.73610906902</v>
      </c>
      <c r="R123" s="48"/>
      <c r="S123" s="48"/>
      <c r="T123" s="48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</row>
    <row r="124" spans="1:184" s="24" customFormat="1" ht="30">
      <c r="A124" s="43" t="s">
        <v>417</v>
      </c>
      <c r="B124" s="44" t="s">
        <v>413</v>
      </c>
      <c r="C124" s="44" t="s">
        <v>418</v>
      </c>
      <c r="D124" s="57">
        <f>388.84352*0.6</f>
        <v>233.30611199999998</v>
      </c>
      <c r="E124" s="57">
        <f>388.84352*0.4</f>
        <v>155.53740800000003</v>
      </c>
      <c r="F124" s="57">
        <f>261.39648*0.2</f>
        <v>52.279296000000002</v>
      </c>
      <c r="G124" s="57">
        <f>261.39648*0.8</f>
        <v>209.11718400000001</v>
      </c>
      <c r="H124" s="57">
        <f t="shared" si="12"/>
        <v>650.24</v>
      </c>
      <c r="I124" s="46">
        <v>3097.7997440000004</v>
      </c>
      <c r="J124" s="46">
        <v>3221.7117337600007</v>
      </c>
      <c r="K124" s="46">
        <v>2355.4751148032005</v>
      </c>
      <c r="L124" s="46">
        <v>2449.6941193953285</v>
      </c>
      <c r="M124" s="47">
        <f t="shared" si="7"/>
        <v>173188.87307974705</v>
      </c>
      <c r="N124" s="47">
        <f t="shared" si="8"/>
        <v>115459.24871983139</v>
      </c>
      <c r="O124" s="47">
        <f t="shared" si="9"/>
        <v>40360.537378584551</v>
      </c>
      <c r="P124" s="47">
        <f t="shared" si="10"/>
        <v>161442.14951433821</v>
      </c>
      <c r="Q124" s="47">
        <f t="shared" si="11"/>
        <v>490450.80869250116</v>
      </c>
      <c r="R124" s="48"/>
      <c r="S124" s="48"/>
      <c r="T124" s="48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</row>
    <row r="125" spans="1:184" s="24" customFormat="1" ht="15.75">
      <c r="A125" s="112" t="s">
        <v>170</v>
      </c>
      <c r="B125" s="112"/>
      <c r="C125" s="112"/>
      <c r="D125" s="99"/>
      <c r="E125" s="99"/>
      <c r="F125" s="98"/>
      <c r="G125" s="98"/>
      <c r="H125" s="57"/>
      <c r="I125" s="40"/>
      <c r="J125" s="40"/>
      <c r="K125" s="40"/>
      <c r="L125" s="40"/>
      <c r="M125" s="47">
        <f t="shared" si="7"/>
        <v>0</v>
      </c>
      <c r="N125" s="47">
        <f t="shared" si="8"/>
        <v>0</v>
      </c>
      <c r="O125" s="47">
        <f t="shared" si="9"/>
        <v>0</v>
      </c>
      <c r="P125" s="47">
        <f t="shared" si="10"/>
        <v>0</v>
      </c>
      <c r="Q125" s="47">
        <f t="shared" si="11"/>
        <v>0</v>
      </c>
      <c r="R125" s="88"/>
      <c r="S125" s="88"/>
      <c r="T125" s="88"/>
    </row>
    <row r="126" spans="1:184" s="24" customFormat="1">
      <c r="A126" s="43" t="s">
        <v>22</v>
      </c>
      <c r="B126" s="44" t="s">
        <v>180</v>
      </c>
      <c r="C126" s="44" t="s">
        <v>181</v>
      </c>
      <c r="D126" s="57">
        <v>2389.4360000000001</v>
      </c>
      <c r="E126" s="57">
        <f>3528.984-D126</f>
        <v>1139.5479999999998</v>
      </c>
      <c r="F126" s="57">
        <v>435.51</v>
      </c>
      <c r="G126" s="57">
        <f>2104.269-F126</f>
        <v>1668.7589999999998</v>
      </c>
      <c r="H126" s="57">
        <f t="shared" si="12"/>
        <v>5633.2529999999997</v>
      </c>
      <c r="I126" s="46">
        <v>4001.1412480000004</v>
      </c>
      <c r="J126" s="46">
        <v>4161.1868979200008</v>
      </c>
      <c r="K126" s="46">
        <v>2249.2187827200005</v>
      </c>
      <c r="L126" s="46">
        <v>2339.1875340288007</v>
      </c>
      <c r="M126" s="47">
        <f t="shared" si="7"/>
        <v>4186106.6077487818</v>
      </c>
      <c r="N126" s="47">
        <f t="shared" si="8"/>
        <v>1996399.7414648929</v>
      </c>
      <c r="O126" s="47">
        <f t="shared" si="9"/>
        <v>793498.94296825654</v>
      </c>
      <c r="P126" s="47">
        <f t="shared" si="10"/>
        <v>3040477.8364877147</v>
      </c>
      <c r="Q126" s="47">
        <f t="shared" si="11"/>
        <v>10016483.128669646</v>
      </c>
      <c r="R126" s="48"/>
      <c r="S126" s="48"/>
      <c r="T126" s="48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</row>
    <row r="127" spans="1:184" s="24" customFormat="1">
      <c r="A127" s="43" t="s">
        <v>25</v>
      </c>
      <c r="B127" s="44" t="s">
        <v>178</v>
      </c>
      <c r="C127" s="44" t="s">
        <v>173</v>
      </c>
      <c r="D127" s="57">
        <v>409.23899999999998</v>
      </c>
      <c r="E127" s="57">
        <f>682.065-D127</f>
        <v>272.82600000000008</v>
      </c>
      <c r="F127" s="57">
        <v>136.428</v>
      </c>
      <c r="G127" s="57">
        <f>545.697-F127</f>
        <v>409.26900000000001</v>
      </c>
      <c r="H127" s="57">
        <f t="shared" si="12"/>
        <v>1227.7620000000002</v>
      </c>
      <c r="I127" s="46">
        <v>6100.5160320000014</v>
      </c>
      <c r="J127" s="46">
        <v>6344.5366732800012</v>
      </c>
      <c r="K127" s="46">
        <v>2227.7976514560005</v>
      </c>
      <c r="L127" s="46">
        <v>2316.9095575142405</v>
      </c>
      <c r="M127" s="47">
        <f t="shared" si="7"/>
        <v>1584867.3973354462</v>
      </c>
      <c r="N127" s="47">
        <f t="shared" si="8"/>
        <v>1056578.2648902978</v>
      </c>
      <c r="O127" s="47">
        <f t="shared" si="9"/>
        <v>549481.11214969121</v>
      </c>
      <c r="P127" s="47">
        <f t="shared" si="10"/>
        <v>1648382.922042337</v>
      </c>
      <c r="Q127" s="47">
        <f t="shared" si="11"/>
        <v>4839309.6964177722</v>
      </c>
      <c r="R127" s="48"/>
      <c r="S127" s="48"/>
      <c r="T127" s="48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</row>
    <row r="128" spans="1:184" s="24" customFormat="1" ht="30">
      <c r="A128" s="43" t="s">
        <v>25</v>
      </c>
      <c r="B128" s="44" t="s">
        <v>178</v>
      </c>
      <c r="C128" s="44" t="s">
        <v>171</v>
      </c>
      <c r="D128" s="57">
        <v>227.42</v>
      </c>
      <c r="E128" s="57">
        <f>324.133-D128</f>
        <v>96.712999999999994</v>
      </c>
      <c r="F128" s="57">
        <v>49.1</v>
      </c>
      <c r="G128" s="57">
        <f>187.581-F128</f>
        <v>138.48099999999999</v>
      </c>
      <c r="H128" s="57">
        <f t="shared" si="12"/>
        <v>511.714</v>
      </c>
      <c r="I128" s="46">
        <v>7757.3541759999998</v>
      </c>
      <c r="J128" s="46">
        <v>8067.6483430400003</v>
      </c>
      <c r="K128" s="46">
        <v>2227.7976514560005</v>
      </c>
      <c r="L128" s="46">
        <v>2316.9095575142405</v>
      </c>
      <c r="M128" s="47">
        <f t="shared" si="7"/>
        <v>1257531.7448117964</v>
      </c>
      <c r="N128" s="47">
        <f t="shared" si="8"/>
        <v>534780.00015822379</v>
      </c>
      <c r="O128" s="47">
        <f t="shared" si="9"/>
        <v>282361.27436931484</v>
      </c>
      <c r="P128" s="47">
        <f t="shared" si="10"/>
        <v>796368.05775839277</v>
      </c>
      <c r="Q128" s="47">
        <f t="shared" si="11"/>
        <v>2871041.0770977279</v>
      </c>
      <c r="R128" s="48"/>
      <c r="S128" s="48"/>
      <c r="T128" s="48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</row>
    <row r="129" spans="1:184" s="24" customFormat="1" ht="45">
      <c r="A129" s="43" t="s">
        <v>299</v>
      </c>
      <c r="B129" s="44" t="s">
        <v>177</v>
      </c>
      <c r="C129" s="44" t="s">
        <v>341</v>
      </c>
      <c r="D129" s="57">
        <v>883.35500000000002</v>
      </c>
      <c r="E129" s="57">
        <f>1462.28-D129</f>
        <v>578.92499999999995</v>
      </c>
      <c r="F129" s="57">
        <v>294.78500000000003</v>
      </c>
      <c r="G129" s="57">
        <f>1178.533-F129</f>
        <v>883.74799999999982</v>
      </c>
      <c r="H129" s="57">
        <f t="shared" si="12"/>
        <v>2640.8130000000001</v>
      </c>
      <c r="I129" s="46">
        <v>5312.5704320000004</v>
      </c>
      <c r="J129" s="46">
        <v>5525.0732492800007</v>
      </c>
      <c r="K129" s="46">
        <v>2195.66595456</v>
      </c>
      <c r="L129" s="46">
        <v>2283.4925927424001</v>
      </c>
      <c r="M129" s="47">
        <f t="shared" si="7"/>
        <v>2753333.1546690115</v>
      </c>
      <c r="N129" s="47">
        <f t="shared" si="8"/>
        <v>1804453.9246019521</v>
      </c>
      <c r="O129" s="47">
        <f t="shared" si="9"/>
        <v>955569.35383743665</v>
      </c>
      <c r="P129" s="47">
        <f t="shared" si="10"/>
        <v>2864740.4220537907</v>
      </c>
      <c r="Q129" s="47">
        <f t="shared" si="11"/>
        <v>8378096.8551621912</v>
      </c>
      <c r="R129" s="48"/>
      <c r="S129" s="48"/>
      <c r="T129" s="48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</row>
    <row r="130" spans="1:184" s="24" customFormat="1" ht="30">
      <c r="A130" s="43" t="s">
        <v>299</v>
      </c>
      <c r="B130" s="44" t="s">
        <v>177</v>
      </c>
      <c r="C130" s="44" t="s">
        <v>340</v>
      </c>
      <c r="D130" s="57">
        <v>1199.001</v>
      </c>
      <c r="E130" s="57">
        <f>1998.335-D130</f>
        <v>799.33400000000006</v>
      </c>
      <c r="F130" s="57">
        <v>399.66699999999997</v>
      </c>
      <c r="G130" s="57">
        <f>1598.668-F130</f>
        <v>1199.001</v>
      </c>
      <c r="H130" s="57">
        <f t="shared" si="12"/>
        <v>3597.0029999999997</v>
      </c>
      <c r="I130" s="46">
        <v>3966.6706560000002</v>
      </c>
      <c r="J130" s="46">
        <v>4125.3374822400001</v>
      </c>
      <c r="K130" s="46">
        <v>1643.8001049600002</v>
      </c>
      <c r="L130" s="46">
        <v>1709.5521091584003</v>
      </c>
      <c r="M130" s="47">
        <f t="shared" si="7"/>
        <v>2785124.1135675111</v>
      </c>
      <c r="N130" s="47">
        <f t="shared" si="8"/>
        <v>1856749.4090450075</v>
      </c>
      <c r="O130" s="47">
        <f t="shared" si="9"/>
        <v>965509.69270340365</v>
      </c>
      <c r="P130" s="47">
        <f t="shared" si="10"/>
        <v>2896529.0781102111</v>
      </c>
      <c r="Q130" s="47">
        <f t="shared" si="11"/>
        <v>8503912.2934261337</v>
      </c>
      <c r="R130" s="48"/>
      <c r="S130" s="48"/>
      <c r="T130" s="48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</row>
    <row r="131" spans="1:184" s="24" customFormat="1" ht="30">
      <c r="A131" s="43" t="s">
        <v>299</v>
      </c>
      <c r="B131" s="44" t="s">
        <v>177</v>
      </c>
      <c r="C131" s="44" t="s">
        <v>339</v>
      </c>
      <c r="D131" s="57">
        <v>374.33100000000002</v>
      </c>
      <c r="E131" s="57">
        <f>623.885-D131</f>
        <v>249.55399999999997</v>
      </c>
      <c r="F131" s="57">
        <v>124.777</v>
      </c>
      <c r="G131" s="57">
        <f>499.108-F131</f>
        <v>374.33100000000002</v>
      </c>
      <c r="H131" s="57">
        <f t="shared" si="12"/>
        <v>1122.9929999999999</v>
      </c>
      <c r="I131" s="46">
        <v>6037.6209920000001</v>
      </c>
      <c r="J131" s="46">
        <v>6279.1258316800004</v>
      </c>
      <c r="K131" s="46">
        <v>2184.955388928</v>
      </c>
      <c r="L131" s="46">
        <v>2272.3536044851203</v>
      </c>
      <c r="M131" s="47">
        <f t="shared" si="7"/>
        <v>1442172.167863545</v>
      </c>
      <c r="N131" s="47">
        <f t="shared" si="8"/>
        <v>961448.11190902977</v>
      </c>
      <c r="O131" s="47">
        <f t="shared" si="9"/>
        <v>499953.01819269557</v>
      </c>
      <c r="P131" s="47">
        <f t="shared" si="10"/>
        <v>1499859.0545780868</v>
      </c>
      <c r="Q131" s="47">
        <f t="shared" si="11"/>
        <v>4403432.3525433578</v>
      </c>
      <c r="R131" s="48"/>
      <c r="S131" s="48"/>
      <c r="T131" s="48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</row>
    <row r="132" spans="1:184" s="24" customFormat="1">
      <c r="A132" s="43" t="s">
        <v>300</v>
      </c>
      <c r="B132" s="44" t="s">
        <v>172</v>
      </c>
      <c r="C132" s="44" t="s">
        <v>173</v>
      </c>
      <c r="D132" s="57">
        <v>6916.1</v>
      </c>
      <c r="E132" s="57">
        <f>10297.688-D132</f>
        <v>3381.5879999999997</v>
      </c>
      <c r="F132" s="57">
        <v>1356.3589999999999</v>
      </c>
      <c r="G132" s="57">
        <f>6965.679</f>
        <v>6965.6790000000001</v>
      </c>
      <c r="H132" s="57">
        <f t="shared" si="12"/>
        <v>18619.726000000002</v>
      </c>
      <c r="I132" s="46">
        <v>2179.2511242666665</v>
      </c>
      <c r="J132" s="46">
        <v>2266.4211692373333</v>
      </c>
      <c r="K132" s="46">
        <v>1821.4699728964272</v>
      </c>
      <c r="L132" s="46">
        <v>1894.3287718122842</v>
      </c>
      <c r="M132" s="47">
        <f t="shared" si="7"/>
        <v>2474450.2209917121</v>
      </c>
      <c r="N132" s="47">
        <f t="shared" si="8"/>
        <v>1209868.4480997846</v>
      </c>
      <c r="O132" s="47">
        <f t="shared" si="9"/>
        <v>504690.87207904208</v>
      </c>
      <c r="P132" s="47">
        <f t="shared" si="10"/>
        <v>2591876.1988033182</v>
      </c>
      <c r="Q132" s="47">
        <f t="shared" si="11"/>
        <v>6780885.7399738571</v>
      </c>
      <c r="R132" s="48"/>
      <c r="S132" s="48"/>
      <c r="T132" s="48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</row>
    <row r="133" spans="1:184" s="24" customFormat="1">
      <c r="A133" s="43" t="s">
        <v>300</v>
      </c>
      <c r="B133" s="44" t="s">
        <v>172</v>
      </c>
      <c r="C133" s="44" t="s">
        <v>174</v>
      </c>
      <c r="D133" s="57">
        <v>4183.0609999999997</v>
      </c>
      <c r="E133" s="57">
        <f>6163.764-D133</f>
        <v>1980.7030000000004</v>
      </c>
      <c r="F133" s="57">
        <v>785.18600000000004</v>
      </c>
      <c r="G133" s="57">
        <f>4054.053-F133</f>
        <v>3268.8669999999997</v>
      </c>
      <c r="H133" s="57">
        <f t="shared" si="12"/>
        <v>10217.816999999999</v>
      </c>
      <c r="I133" s="46">
        <v>2958.6270272000002</v>
      </c>
      <c r="J133" s="46">
        <v>3076.9721082880001</v>
      </c>
      <c r="K133" s="46">
        <v>1821.4699728964272</v>
      </c>
      <c r="L133" s="46">
        <v>1894.3287718122842</v>
      </c>
      <c r="M133" s="47">
        <f t="shared" si="7"/>
        <v>4756797.3247321583</v>
      </c>
      <c r="N133" s="47">
        <f t="shared" si="8"/>
        <v>2252370.3889302504</v>
      </c>
      <c r="O133" s="47">
        <f t="shared" si="9"/>
        <v>928594.9907940214</v>
      </c>
      <c r="P133" s="47">
        <f t="shared" si="10"/>
        <v>3865903.7753753634</v>
      </c>
      <c r="Q133" s="47">
        <f t="shared" si="11"/>
        <v>11803666.479831792</v>
      </c>
      <c r="R133" s="48"/>
      <c r="S133" s="48"/>
      <c r="T133" s="48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</row>
    <row r="134" spans="1:184" s="24" customFormat="1" ht="30">
      <c r="A134" s="43" t="s">
        <v>3</v>
      </c>
      <c r="B134" s="44" t="s">
        <v>179</v>
      </c>
      <c r="C134" s="44" t="s">
        <v>176</v>
      </c>
      <c r="D134" s="57">
        <v>85.022000000000006</v>
      </c>
      <c r="E134" s="57">
        <f>116.446-D134</f>
        <v>31.423999999999992</v>
      </c>
      <c r="F134" s="57">
        <v>5.4509999999999996</v>
      </c>
      <c r="G134" s="57">
        <f>66.902-F134</f>
        <v>61.451000000000001</v>
      </c>
      <c r="H134" s="57">
        <f t="shared" si="12"/>
        <v>183.34799999999998</v>
      </c>
      <c r="I134" s="46">
        <v>3136.2225024000004</v>
      </c>
      <c r="J134" s="46">
        <v>3261.6714024960006</v>
      </c>
      <c r="K134" s="46">
        <v>1803.6190282656003</v>
      </c>
      <c r="L134" s="46">
        <v>1875.7637893962244</v>
      </c>
      <c r="M134" s="47">
        <f t="shared" si="7"/>
        <v>113300.61257785498</v>
      </c>
      <c r="N134" s="47">
        <f t="shared" si="8"/>
        <v>41875.73157119938</v>
      </c>
      <c r="O134" s="47">
        <f t="shared" si="9"/>
        <v>7554.5823990068793</v>
      </c>
      <c r="P134" s="47">
        <f t="shared" si="10"/>
        <v>85165.408732594355</v>
      </c>
      <c r="Q134" s="47">
        <f t="shared" si="11"/>
        <v>247896.33528065559</v>
      </c>
      <c r="R134" s="48"/>
      <c r="S134" s="48"/>
      <c r="T134" s="48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</row>
    <row r="135" spans="1:184" s="24" customFormat="1">
      <c r="A135" s="43" t="s">
        <v>298</v>
      </c>
      <c r="B135" s="44" t="s">
        <v>183</v>
      </c>
      <c r="C135" s="44" t="s">
        <v>181</v>
      </c>
      <c r="D135" s="57">
        <v>581.37099999999998</v>
      </c>
      <c r="E135" s="57">
        <f>822.119-D135</f>
        <v>240.74800000000005</v>
      </c>
      <c r="F135" s="57">
        <v>68.978999999999999</v>
      </c>
      <c r="G135" s="57">
        <f>558.056-F135</f>
        <v>489.07700000000006</v>
      </c>
      <c r="H135" s="57">
        <f t="shared" si="12"/>
        <v>1380.1750000000002</v>
      </c>
      <c r="I135" s="46">
        <v>6757.6745600000013</v>
      </c>
      <c r="J135" s="46">
        <v>7027.9815424000017</v>
      </c>
      <c r="K135" s="46">
        <v>2185.7637335040008</v>
      </c>
      <c r="L135" s="46">
        <v>2273.1942828441611</v>
      </c>
      <c r="M135" s="47">
        <f t="shared" si="7"/>
        <v>2657976.3691108064</v>
      </c>
      <c r="N135" s="47">
        <f t="shared" si="8"/>
        <v>1100678.3876572594</v>
      </c>
      <c r="O135" s="47">
        <f t="shared" si="9"/>
        <v>327980.47037690232</v>
      </c>
      <c r="P135" s="47">
        <f t="shared" si="10"/>
        <v>2325457.0885417918</v>
      </c>
      <c r="Q135" s="47">
        <f t="shared" si="11"/>
        <v>6412092.3156867595</v>
      </c>
      <c r="R135" s="48"/>
      <c r="S135" s="48"/>
      <c r="T135" s="48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</row>
    <row r="136" spans="1:184" s="24" customFormat="1" ht="30">
      <c r="A136" s="43" t="s">
        <v>298</v>
      </c>
      <c r="B136" s="44" t="s">
        <v>183</v>
      </c>
      <c r="C136" s="44" t="s">
        <v>171</v>
      </c>
      <c r="D136" s="57">
        <v>62.777999999999999</v>
      </c>
      <c r="E136" s="57">
        <f>104.63-D136</f>
        <v>41.851999999999997</v>
      </c>
      <c r="F136" s="57">
        <v>20.925999999999998</v>
      </c>
      <c r="G136" s="57">
        <f>89.704-F136</f>
        <v>68.777999999999992</v>
      </c>
      <c r="H136" s="57">
        <f t="shared" si="12"/>
        <v>194.334</v>
      </c>
      <c r="I136" s="46">
        <v>12575.27648</v>
      </c>
      <c r="J136" s="46">
        <v>13078.287539200001</v>
      </c>
      <c r="K136" s="46">
        <v>2206.7806924800007</v>
      </c>
      <c r="L136" s="46">
        <v>2295.0519201792008</v>
      </c>
      <c r="M136" s="47">
        <f t="shared" si="7"/>
        <v>650913.42854893056</v>
      </c>
      <c r="N136" s="47">
        <f t="shared" si="8"/>
        <v>433942.28569928702</v>
      </c>
      <c r="O136" s="47">
        <f t="shared" si="9"/>
        <v>225649.98856362922</v>
      </c>
      <c r="P136" s="47">
        <f t="shared" si="10"/>
        <v>741649.37940501247</v>
      </c>
      <c r="Q136" s="47">
        <f t="shared" si="11"/>
        <v>2052155.0822168593</v>
      </c>
      <c r="R136" s="48"/>
      <c r="S136" s="48"/>
      <c r="T136" s="48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</row>
    <row r="137" spans="1:184" s="24" customFormat="1">
      <c r="A137" s="43" t="s">
        <v>282</v>
      </c>
      <c r="B137" s="44" t="s">
        <v>91</v>
      </c>
      <c r="C137" s="44" t="s">
        <v>175</v>
      </c>
      <c r="D137" s="57">
        <v>2030.28</v>
      </c>
      <c r="E137" s="57">
        <f>2967.1-D137</f>
        <v>936.81999999999994</v>
      </c>
      <c r="F137" s="57">
        <v>229.73</v>
      </c>
      <c r="G137" s="57">
        <v>1913.88</v>
      </c>
      <c r="H137" s="57">
        <f t="shared" si="12"/>
        <v>5110.71</v>
      </c>
      <c r="I137" s="46">
        <v>5171.4540800000004</v>
      </c>
      <c r="J137" s="46">
        <v>5378.3122432000009</v>
      </c>
      <c r="K137" s="46">
        <v>2195.66595456</v>
      </c>
      <c r="L137" s="46">
        <v>2283.4925927424001</v>
      </c>
      <c r="M137" s="47">
        <f t="shared" si="7"/>
        <v>6041683.1153183235</v>
      </c>
      <c r="N137" s="47">
        <f t="shared" si="8"/>
        <v>2787777.8316747011</v>
      </c>
      <c r="O137" s="47">
        <f t="shared" si="9"/>
        <v>710972.91829962458</v>
      </c>
      <c r="P137" s="47">
        <f t="shared" si="10"/>
        <v>5923113.4326177938</v>
      </c>
      <c r="Q137" s="47">
        <f t="shared" si="11"/>
        <v>15463547.297910444</v>
      </c>
      <c r="R137" s="48"/>
      <c r="S137" s="48"/>
      <c r="T137" s="48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</row>
    <row r="138" spans="1:184" s="24" customFormat="1" ht="30">
      <c r="A138" s="43" t="s">
        <v>326</v>
      </c>
      <c r="B138" s="44" t="s">
        <v>327</v>
      </c>
      <c r="C138" s="44" t="s">
        <v>171</v>
      </c>
      <c r="D138" s="57">
        <v>1570.693</v>
      </c>
      <c r="E138" s="57">
        <f>2357.73-D138</f>
        <v>787.03700000000003</v>
      </c>
      <c r="F138" s="57">
        <v>191.88</v>
      </c>
      <c r="G138" s="57">
        <v>1343</v>
      </c>
      <c r="H138" s="57">
        <f t="shared" ref="H138:H201" si="13">SUM(D138:G138)</f>
        <v>3892.61</v>
      </c>
      <c r="I138" s="46">
        <v>5278.0998399999999</v>
      </c>
      <c r="J138" s="46">
        <v>5489.2238336</v>
      </c>
      <c r="K138" s="46">
        <v>2249.2187827200005</v>
      </c>
      <c r="L138" s="46">
        <v>2339.1875340288007</v>
      </c>
      <c r="M138" s="47">
        <f t="shared" ref="M138:M201" si="14">(I138-K138)*D138</f>
        <v>4757442.2745022941</v>
      </c>
      <c r="N138" s="47">
        <f t="shared" ref="N138:N201" si="15">(I138-K138)*E138</f>
        <v>2383841.4606784792</v>
      </c>
      <c r="O138" s="47">
        <f t="shared" ref="O138:O201" si="16">(J138-L138)*F138</f>
        <v>604428.96516172169</v>
      </c>
      <c r="P138" s="47">
        <f t="shared" ref="P138:P201" si="17">(G138*(J138-L138))</f>
        <v>4230498.7503241207</v>
      </c>
      <c r="Q138" s="47">
        <f t="shared" ref="Q138:Q201" si="18">SUM(M138:P138)</f>
        <v>11976211.450666616</v>
      </c>
      <c r="R138" s="48"/>
      <c r="S138" s="48"/>
      <c r="T138" s="48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</row>
    <row r="139" spans="1:184" s="24" customFormat="1">
      <c r="A139" s="43" t="s">
        <v>2</v>
      </c>
      <c r="B139" s="44" t="s">
        <v>70</v>
      </c>
      <c r="C139" s="44" t="s">
        <v>181</v>
      </c>
      <c r="D139" s="57">
        <v>767</v>
      </c>
      <c r="E139" s="57">
        <f>1213.26-D139</f>
        <v>446.26</v>
      </c>
      <c r="F139" s="57">
        <v>169.74</v>
      </c>
      <c r="G139" s="57">
        <f>739.98-F139</f>
        <v>570.24</v>
      </c>
      <c r="H139" s="57">
        <f t="shared" si="13"/>
        <v>1953.24</v>
      </c>
      <c r="I139" s="46">
        <v>2422.8750228035942</v>
      </c>
      <c r="J139" s="46">
        <v>2519.7900237157382</v>
      </c>
      <c r="K139" s="46">
        <v>1727.9344160000001</v>
      </c>
      <c r="L139" s="46">
        <v>1797.05179264</v>
      </c>
      <c r="M139" s="47">
        <f t="shared" si="14"/>
        <v>533019.44541835668</v>
      </c>
      <c r="N139" s="47">
        <f t="shared" si="15"/>
        <v>310124.1951921719</v>
      </c>
      <c r="O139" s="47">
        <f t="shared" si="16"/>
        <v>122677.58734279581</v>
      </c>
      <c r="P139" s="47">
        <f t="shared" si="17"/>
        <v>412134.24888862896</v>
      </c>
      <c r="Q139" s="47">
        <f t="shared" si="18"/>
        <v>1377955.4768419534</v>
      </c>
      <c r="R139" s="48"/>
      <c r="S139" s="48"/>
      <c r="T139" s="48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</row>
    <row r="140" spans="1:184" s="24" customFormat="1">
      <c r="A140" s="43" t="s">
        <v>2</v>
      </c>
      <c r="B140" s="44" t="s">
        <v>70</v>
      </c>
      <c r="C140" s="44" t="s">
        <v>184</v>
      </c>
      <c r="D140" s="57">
        <v>993.39700000000005</v>
      </c>
      <c r="E140" s="57">
        <f>1640.751-D140</f>
        <v>647.35399999999993</v>
      </c>
      <c r="F140" s="57">
        <v>319.56200000000001</v>
      </c>
      <c r="G140" s="57">
        <f>1303.672-F140</f>
        <v>984.11</v>
      </c>
      <c r="H140" s="57">
        <f t="shared" si="13"/>
        <v>2944.4230000000002</v>
      </c>
      <c r="I140" s="46">
        <v>9836.1557203059365</v>
      </c>
      <c r="J140" s="46">
        <v>10229.601949118174</v>
      </c>
      <c r="K140" s="46">
        <v>1260.7172863999999</v>
      </c>
      <c r="L140" s="46">
        <v>1311.1459778559999</v>
      </c>
      <c r="M140" s="47">
        <f t="shared" si="14"/>
        <v>8518814.8139268551</v>
      </c>
      <c r="N140" s="47">
        <f t="shared" si="15"/>
        <v>5551344.3719427427</v>
      </c>
      <c r="O140" s="47">
        <f t="shared" si="16"/>
        <v>2849999.627088483</v>
      </c>
      <c r="P140" s="47">
        <f t="shared" si="17"/>
        <v>8776741.7058788184</v>
      </c>
      <c r="Q140" s="47">
        <f t="shared" si="18"/>
        <v>25696900.518836901</v>
      </c>
      <c r="R140" s="48"/>
      <c r="S140" s="48"/>
      <c r="T140" s="48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</row>
    <row r="141" spans="1:184" s="24" customFormat="1">
      <c r="A141" s="43" t="s">
        <v>1</v>
      </c>
      <c r="B141" s="44" t="s">
        <v>182</v>
      </c>
      <c r="C141" s="44" t="s">
        <v>176</v>
      </c>
      <c r="D141" s="57">
        <v>8991.7360000000008</v>
      </c>
      <c r="E141" s="57">
        <f>14772.842-D141</f>
        <v>5781.1059999999998</v>
      </c>
      <c r="F141" s="57">
        <v>2690.2040000000002</v>
      </c>
      <c r="G141" s="57">
        <f>11070.059-F141</f>
        <v>8379.8549999999996</v>
      </c>
      <c r="H141" s="57">
        <f t="shared" si="13"/>
        <v>25842.901000000002</v>
      </c>
      <c r="I141" s="46">
        <v>4298.4321380000001</v>
      </c>
      <c r="J141" s="46">
        <v>4470.3694235200001</v>
      </c>
      <c r="K141" s="46">
        <v>1856.498241605974</v>
      </c>
      <c r="L141" s="46">
        <v>1930.7581712702131</v>
      </c>
      <c r="M141" s="47">
        <f t="shared" si="14"/>
        <v>21957224.925826438</v>
      </c>
      <c r="N141" s="47">
        <f t="shared" si="15"/>
        <v>14117078.700046884</v>
      </c>
      <c r="O141" s="47">
        <f t="shared" si="16"/>
        <v>6832072.3492473867</v>
      </c>
      <c r="P141" s="47">
        <f t="shared" si="17"/>
        <v>21281574.050221637</v>
      </c>
      <c r="Q141" s="47">
        <f t="shared" si="18"/>
        <v>64187950.025342345</v>
      </c>
      <c r="R141" s="78"/>
      <c r="S141" s="48"/>
      <c r="T141" s="48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</row>
    <row r="142" spans="1:184" s="24" customFormat="1" ht="30">
      <c r="A142" s="43" t="s">
        <v>1</v>
      </c>
      <c r="B142" s="44" t="s">
        <v>182</v>
      </c>
      <c r="C142" s="44" t="s">
        <v>171</v>
      </c>
      <c r="D142" s="57">
        <v>2053.3679999999999</v>
      </c>
      <c r="E142" s="57">
        <f>3066.882-D142</f>
        <v>1013.5140000000001</v>
      </c>
      <c r="F142" s="57">
        <v>197.09899999999999</v>
      </c>
      <c r="G142" s="57">
        <f>1678.39-197.099</f>
        <v>1481.2910000000002</v>
      </c>
      <c r="H142" s="57">
        <f t="shared" si="13"/>
        <v>4745.2720000000008</v>
      </c>
      <c r="I142" s="46">
        <v>5475.1292786666663</v>
      </c>
      <c r="J142" s="46">
        <v>5694.134449813333</v>
      </c>
      <c r="K142" s="46">
        <v>1856.498241605974</v>
      </c>
      <c r="L142" s="46">
        <v>1930.7581712702131</v>
      </c>
      <c r="M142" s="47">
        <f t="shared" si="14"/>
        <v>7430381.1753072394</v>
      </c>
      <c r="N142" s="47">
        <f t="shared" si="15"/>
        <v>3667533.2168955309</v>
      </c>
      <c r="O142" s="47">
        <f t="shared" si="16"/>
        <v>741757.70112457033</v>
      </c>
      <c r="P142" s="47">
        <f t="shared" si="17"/>
        <v>5574655.4110194175</v>
      </c>
      <c r="Q142" s="47">
        <f t="shared" si="18"/>
        <v>17414327.504346758</v>
      </c>
      <c r="R142" s="48"/>
      <c r="S142" s="48"/>
      <c r="T142" s="48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</row>
    <row r="143" spans="1:184" s="24" customFormat="1">
      <c r="A143" s="43" t="s">
        <v>1</v>
      </c>
      <c r="B143" s="44" t="s">
        <v>182</v>
      </c>
      <c r="C143" s="44" t="s">
        <v>174</v>
      </c>
      <c r="D143" s="57">
        <v>1463.472</v>
      </c>
      <c r="E143" s="57">
        <f>2255.315-D143</f>
        <v>791.84300000000007</v>
      </c>
      <c r="F143" s="57">
        <v>313.18400000000003</v>
      </c>
      <c r="G143" s="57">
        <f>1598.219-F143</f>
        <v>1285.0350000000001</v>
      </c>
      <c r="H143" s="57">
        <f t="shared" si="13"/>
        <v>3853.5340000000006</v>
      </c>
      <c r="I143" s="46">
        <v>5475.1292786666663</v>
      </c>
      <c r="J143" s="46">
        <v>5694.134449813333</v>
      </c>
      <c r="K143" s="46">
        <v>1856.498241605974</v>
      </c>
      <c r="L143" s="46">
        <v>1930.7581712702131</v>
      </c>
      <c r="M143" s="47">
        <f t="shared" si="14"/>
        <v>5295765.2010692861</v>
      </c>
      <c r="N143" s="47">
        <f t="shared" si="15"/>
        <v>2865387.65627925</v>
      </c>
      <c r="O143" s="47">
        <f t="shared" si="16"/>
        <v>1178629.2364192486</v>
      </c>
      <c r="P143" s="47">
        <f t="shared" si="17"/>
        <v>4836070.2360976581</v>
      </c>
      <c r="Q143" s="47">
        <f t="shared" si="18"/>
        <v>14175852.329865443</v>
      </c>
      <c r="R143" s="48"/>
      <c r="S143" s="48"/>
      <c r="T143" s="48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</row>
    <row r="144" spans="1:184" s="24" customFormat="1">
      <c r="A144" s="43" t="s">
        <v>1</v>
      </c>
      <c r="B144" s="44" t="s">
        <v>182</v>
      </c>
      <c r="C144" s="44" t="s">
        <v>175</v>
      </c>
      <c r="D144" s="57">
        <v>778.58799999999997</v>
      </c>
      <c r="E144" s="57">
        <f>1302.725-D144</f>
        <v>524.13699999999994</v>
      </c>
      <c r="F144" s="57">
        <v>269.80700000000002</v>
      </c>
      <c r="G144" s="57">
        <f>984.893-F144</f>
        <v>715.08600000000001</v>
      </c>
      <c r="H144" s="57">
        <f t="shared" si="13"/>
        <v>2287.6179999999999</v>
      </c>
      <c r="I144" s="46">
        <v>5475.1292786666663</v>
      </c>
      <c r="J144" s="46">
        <v>5694.134449813333</v>
      </c>
      <c r="K144" s="46">
        <v>1856.498241605974</v>
      </c>
      <c r="L144" s="46">
        <v>1930.7581712702131</v>
      </c>
      <c r="M144" s="47">
        <f t="shared" si="14"/>
        <v>2817422.7018830101</v>
      </c>
      <c r="N144" s="47">
        <f t="shared" si="15"/>
        <v>1896658.41587188</v>
      </c>
      <c r="O144" s="47">
        <f t="shared" si="16"/>
        <v>1015385.2635848837</v>
      </c>
      <c r="P144" s="47">
        <f t="shared" si="17"/>
        <v>2691137.6895182854</v>
      </c>
      <c r="Q144" s="47">
        <f t="shared" si="18"/>
        <v>8420604.0708580595</v>
      </c>
      <c r="R144" s="48"/>
      <c r="S144" s="48"/>
      <c r="T144" s="48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</row>
    <row r="145" spans="1:184" s="24" customFormat="1">
      <c r="A145" s="43">
        <v>7729314745</v>
      </c>
      <c r="B145" s="44" t="s">
        <v>391</v>
      </c>
      <c r="C145" s="44" t="s">
        <v>394</v>
      </c>
      <c r="D145" s="57">
        <f>100.529*0.6</f>
        <v>60.317399999999992</v>
      </c>
      <c r="E145" s="57">
        <f>100.529*0.4</f>
        <v>40.211600000000004</v>
      </c>
      <c r="F145" s="57">
        <f>82.251*0.2</f>
        <v>16.450200000000002</v>
      </c>
      <c r="G145" s="57">
        <f>82.251*0.8</f>
        <v>65.80080000000001</v>
      </c>
      <c r="H145" s="57">
        <f t="shared" si="13"/>
        <v>182.78</v>
      </c>
      <c r="I145" s="46">
        <v>8577.09</v>
      </c>
      <c r="J145" s="46">
        <v>8920.18</v>
      </c>
      <c r="K145" s="46">
        <v>1867.56</v>
      </c>
      <c r="L145" s="46">
        <v>1942.26</v>
      </c>
      <c r="M145" s="47">
        <f t="shared" si="14"/>
        <v>404701.40482200001</v>
      </c>
      <c r="N145" s="47">
        <f t="shared" si="15"/>
        <v>269800.93654800003</v>
      </c>
      <c r="O145" s="47">
        <f t="shared" si="16"/>
        <v>114788.17958400001</v>
      </c>
      <c r="P145" s="47">
        <f t="shared" si="17"/>
        <v>459152.71833600005</v>
      </c>
      <c r="Q145" s="47">
        <f t="shared" si="18"/>
        <v>1248443.2392900002</v>
      </c>
      <c r="R145" s="48"/>
      <c r="S145" s="48"/>
      <c r="T145" s="48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</row>
    <row r="146" spans="1:184" s="24" customFormat="1">
      <c r="A146" s="43">
        <v>7729314745</v>
      </c>
      <c r="B146" s="44" t="s">
        <v>391</v>
      </c>
      <c r="C146" s="44" t="s">
        <v>395</v>
      </c>
      <c r="D146" s="57">
        <f>165.2805*0.6</f>
        <v>99.168299999999988</v>
      </c>
      <c r="E146" s="57">
        <f>165.2805*0.4</f>
        <v>66.112200000000001</v>
      </c>
      <c r="F146" s="57">
        <f>135.2295*0.2</f>
        <v>27.045900000000003</v>
      </c>
      <c r="G146" s="57">
        <f>135.2295*0.8</f>
        <v>108.18360000000001</v>
      </c>
      <c r="H146" s="57">
        <f t="shared" si="13"/>
        <v>300.51</v>
      </c>
      <c r="I146" s="46">
        <v>5327.39</v>
      </c>
      <c r="J146" s="46">
        <v>5540.48</v>
      </c>
      <c r="K146" s="46">
        <v>1867.56</v>
      </c>
      <c r="L146" s="46">
        <v>1942.26</v>
      </c>
      <c r="M146" s="47">
        <f t="shared" si="14"/>
        <v>343105.45938900003</v>
      </c>
      <c r="N146" s="47">
        <f t="shared" si="15"/>
        <v>228736.97292600002</v>
      </c>
      <c r="O146" s="47">
        <f t="shared" si="16"/>
        <v>97317.098297999997</v>
      </c>
      <c r="P146" s="47">
        <f t="shared" si="17"/>
        <v>389268.39319199999</v>
      </c>
      <c r="Q146" s="47">
        <f t="shared" si="18"/>
        <v>1058427.923805</v>
      </c>
      <c r="R146" s="48"/>
      <c r="S146" s="48"/>
      <c r="T146" s="48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</row>
    <row r="147" spans="1:184" s="24" customFormat="1" ht="30">
      <c r="A147" s="43">
        <v>7729314745</v>
      </c>
      <c r="B147" s="44" t="s">
        <v>391</v>
      </c>
      <c r="C147" s="44" t="s">
        <v>171</v>
      </c>
      <c r="D147" s="57">
        <f>778.25*0.6</f>
        <v>466.95</v>
      </c>
      <c r="E147" s="57">
        <f>778.25*0.4</f>
        <v>311.3</v>
      </c>
      <c r="F147" s="57">
        <f>636.75*0.2</f>
        <v>127.35000000000001</v>
      </c>
      <c r="G147" s="57">
        <f>636.75*0.8</f>
        <v>509.40000000000003</v>
      </c>
      <c r="H147" s="57">
        <f t="shared" si="13"/>
        <v>1415</v>
      </c>
      <c r="I147" s="46">
        <v>4020.09</v>
      </c>
      <c r="J147" s="46">
        <v>4180.8999999999996</v>
      </c>
      <c r="K147" s="46">
        <v>1726.33</v>
      </c>
      <c r="L147" s="46">
        <v>1795.38</v>
      </c>
      <c r="M147" s="47">
        <f t="shared" si="14"/>
        <v>1071071.2320000001</v>
      </c>
      <c r="N147" s="47">
        <f t="shared" si="15"/>
        <v>714047.48800000013</v>
      </c>
      <c r="O147" s="47">
        <f t="shared" si="16"/>
        <v>303795.97199999995</v>
      </c>
      <c r="P147" s="47">
        <f t="shared" si="17"/>
        <v>1215183.8879999998</v>
      </c>
      <c r="Q147" s="47">
        <f t="shared" si="18"/>
        <v>3304098.58</v>
      </c>
      <c r="R147" s="48"/>
      <c r="S147" s="48"/>
      <c r="T147" s="48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</row>
    <row r="148" spans="1:184" s="24" customFormat="1">
      <c r="A148" s="43" t="s">
        <v>330</v>
      </c>
      <c r="B148" s="44" t="s">
        <v>331</v>
      </c>
      <c r="C148" s="44" t="s">
        <v>176</v>
      </c>
      <c r="D148" s="57">
        <v>761.20500000000004</v>
      </c>
      <c r="E148" s="57">
        <f>1156.17-D148</f>
        <v>394.96500000000003</v>
      </c>
      <c r="F148" s="57">
        <v>278.95</v>
      </c>
      <c r="G148" s="57">
        <v>537.28</v>
      </c>
      <c r="H148" s="57">
        <f t="shared" si="13"/>
        <v>1972.4</v>
      </c>
      <c r="I148" s="46">
        <v>5173.3270506666668</v>
      </c>
      <c r="J148" s="46">
        <v>5380.2601326933336</v>
      </c>
      <c r="K148" s="46">
        <v>1829.712248</v>
      </c>
      <c r="L148" s="46">
        <v>1902.9007379200002</v>
      </c>
      <c r="M148" s="47">
        <f t="shared" si="14"/>
        <v>2545176.3058638806</v>
      </c>
      <c r="N148" s="47">
        <f t="shared" si="15"/>
        <v>1320610.8205352402</v>
      </c>
      <c r="O148" s="47">
        <f t="shared" si="16"/>
        <v>970009.40317202127</v>
      </c>
      <c r="P148" s="47">
        <f t="shared" si="17"/>
        <v>1868315.6556238164</v>
      </c>
      <c r="Q148" s="47">
        <f t="shared" si="18"/>
        <v>6704112.185194958</v>
      </c>
      <c r="R148" s="48"/>
      <c r="S148" s="48"/>
      <c r="T148" s="48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</row>
    <row r="149" spans="1:184" s="24" customFormat="1" ht="15.75">
      <c r="A149" s="112" t="s">
        <v>185</v>
      </c>
      <c r="B149" s="112"/>
      <c r="C149" s="112"/>
      <c r="D149" s="99"/>
      <c r="E149" s="99"/>
      <c r="F149" s="98"/>
      <c r="G149" s="98"/>
      <c r="H149" s="57"/>
      <c r="I149" s="40"/>
      <c r="J149" s="40"/>
      <c r="K149" s="40"/>
      <c r="L149" s="40"/>
      <c r="M149" s="47">
        <f t="shared" si="14"/>
        <v>0</v>
      </c>
      <c r="N149" s="47">
        <f t="shared" si="15"/>
        <v>0</v>
      </c>
      <c r="O149" s="47">
        <f t="shared" si="16"/>
        <v>0</v>
      </c>
      <c r="P149" s="47">
        <f t="shared" si="17"/>
        <v>0</v>
      </c>
      <c r="Q149" s="47">
        <f t="shared" si="18"/>
        <v>0</v>
      </c>
      <c r="R149" s="88"/>
      <c r="S149" s="88"/>
      <c r="T149" s="88"/>
    </row>
    <row r="150" spans="1:184" s="24" customFormat="1">
      <c r="A150" s="43" t="s">
        <v>32</v>
      </c>
      <c r="B150" s="44" t="s">
        <v>186</v>
      </c>
      <c r="C150" s="44"/>
      <c r="D150" s="57">
        <v>119.37</v>
      </c>
      <c r="E150" s="57">
        <f>196.14-D150</f>
        <v>76.769999999999982</v>
      </c>
      <c r="F150" s="57">
        <v>39.79</v>
      </c>
      <c r="G150" s="57">
        <f>159.16-F150</f>
        <v>119.37</v>
      </c>
      <c r="H150" s="57">
        <f t="shared" si="13"/>
        <v>355.29999999999995</v>
      </c>
      <c r="I150" s="46">
        <v>5880.9512320000013</v>
      </c>
      <c r="J150" s="46">
        <v>6116.1892812800015</v>
      </c>
      <c r="K150" s="46">
        <v>1195.7945999999999</v>
      </c>
      <c r="L150" s="46">
        <v>1243.6263839999999</v>
      </c>
      <c r="M150" s="47">
        <f t="shared" si="14"/>
        <v>559267.14716184011</v>
      </c>
      <c r="N150" s="47">
        <f t="shared" si="15"/>
        <v>359679.47463864001</v>
      </c>
      <c r="O150" s="47">
        <f t="shared" si="16"/>
        <v>193879.27768277124</v>
      </c>
      <c r="P150" s="47">
        <f t="shared" si="17"/>
        <v>581637.83304831374</v>
      </c>
      <c r="Q150" s="47">
        <f t="shared" si="18"/>
        <v>1694463.7325315652</v>
      </c>
      <c r="R150" s="48"/>
      <c r="S150" s="48"/>
      <c r="T150" s="48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</row>
    <row r="151" spans="1:184" s="24" customFormat="1">
      <c r="A151" s="43">
        <v>7729314745</v>
      </c>
      <c r="B151" s="44" t="s">
        <v>391</v>
      </c>
      <c r="C151" s="44"/>
      <c r="D151" s="57">
        <f>2610.465*0.6</f>
        <v>1566.279</v>
      </c>
      <c r="E151" s="57">
        <f>2610.465*0.4</f>
        <v>1044.1860000000001</v>
      </c>
      <c r="F151" s="57">
        <f>2135.835*0.2</f>
        <v>427.16700000000003</v>
      </c>
      <c r="G151" s="57">
        <f>2135.835*0.8</f>
        <v>1708.6680000000001</v>
      </c>
      <c r="H151" s="57">
        <f t="shared" si="13"/>
        <v>4746.3</v>
      </c>
      <c r="I151" s="46">
        <v>5943.11</v>
      </c>
      <c r="J151" s="46">
        <v>6180.83</v>
      </c>
      <c r="K151" s="46">
        <v>1267.31</v>
      </c>
      <c r="L151" s="46">
        <v>1318</v>
      </c>
      <c r="M151" s="47">
        <f t="shared" si="14"/>
        <v>7323607.348199999</v>
      </c>
      <c r="N151" s="47">
        <f t="shared" si="15"/>
        <v>4882404.8987999996</v>
      </c>
      <c r="O151" s="47">
        <f t="shared" si="16"/>
        <v>2077240.5026100001</v>
      </c>
      <c r="P151" s="47">
        <f t="shared" si="17"/>
        <v>8308962.0104400003</v>
      </c>
      <c r="Q151" s="47">
        <f t="shared" si="18"/>
        <v>22592214.760049999</v>
      </c>
      <c r="R151" s="48"/>
      <c r="S151" s="48"/>
      <c r="T151" s="48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</row>
    <row r="152" spans="1:184" s="24" customFormat="1">
      <c r="A152" s="43" t="s">
        <v>297</v>
      </c>
      <c r="B152" s="44" t="s">
        <v>187</v>
      </c>
      <c r="C152" s="44" t="s">
        <v>48</v>
      </c>
      <c r="D152" s="57">
        <v>172.78800000000001</v>
      </c>
      <c r="E152" s="57">
        <f>287.98-D152</f>
        <v>115.19200000000001</v>
      </c>
      <c r="F152" s="57">
        <v>52.86</v>
      </c>
      <c r="G152" s="57">
        <f>230.888-F152</f>
        <v>178.02800000000002</v>
      </c>
      <c r="H152" s="57">
        <f t="shared" si="13"/>
        <v>518.86800000000005</v>
      </c>
      <c r="I152" s="46">
        <v>5692.9464384000003</v>
      </c>
      <c r="J152" s="46">
        <v>5920.6642959360006</v>
      </c>
      <c r="K152" s="46">
        <v>986.51744533333328</v>
      </c>
      <c r="L152" s="46">
        <v>1025.9781431466668</v>
      </c>
      <c r="M152" s="47">
        <f t="shared" si="14"/>
        <v>813214.45285400341</v>
      </c>
      <c r="N152" s="47">
        <f t="shared" si="15"/>
        <v>542142.96856933553</v>
      </c>
      <c r="O152" s="47">
        <f t="shared" si="16"/>
        <v>258733.11003644421</v>
      </c>
      <c r="P152" s="47">
        <f t="shared" si="17"/>
        <v>871391.1864087797</v>
      </c>
      <c r="Q152" s="47">
        <f t="shared" si="18"/>
        <v>2485481.7178685628</v>
      </c>
      <c r="R152" s="48"/>
      <c r="S152" s="48"/>
      <c r="T152" s="48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</row>
    <row r="153" spans="1:184" s="24" customFormat="1">
      <c r="A153" s="43" t="s">
        <v>297</v>
      </c>
      <c r="B153" s="44" t="s">
        <v>187</v>
      </c>
      <c r="C153" s="44" t="s">
        <v>188</v>
      </c>
      <c r="D153" s="57">
        <v>183.53399999999999</v>
      </c>
      <c r="E153" s="57">
        <f>305.89-D153</f>
        <v>122.35599999999999</v>
      </c>
      <c r="F153" s="57">
        <v>68.257000000000005</v>
      </c>
      <c r="G153" s="57">
        <f>273.019-F153</f>
        <v>204.762</v>
      </c>
      <c r="H153" s="57">
        <f t="shared" si="13"/>
        <v>578.90899999999999</v>
      </c>
      <c r="I153" s="46">
        <v>4372.9881173333342</v>
      </c>
      <c r="J153" s="46">
        <v>4547.9076420266674</v>
      </c>
      <c r="K153" s="46">
        <v>986.51744533333328</v>
      </c>
      <c r="L153" s="46">
        <v>1025.9781431466668</v>
      </c>
      <c r="M153" s="47">
        <f t="shared" si="14"/>
        <v>621532.50831484818</v>
      </c>
      <c r="N153" s="47">
        <f t="shared" si="15"/>
        <v>414355.00554323208</v>
      </c>
      <c r="O153" s="47">
        <f t="shared" si="16"/>
        <v>240396.34180505222</v>
      </c>
      <c r="P153" s="47">
        <f t="shared" si="17"/>
        <v>721157.32804966671</v>
      </c>
      <c r="Q153" s="47">
        <f t="shared" si="18"/>
        <v>1997441.1837127991</v>
      </c>
      <c r="R153" s="48"/>
      <c r="S153" s="48"/>
      <c r="T153" s="48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</row>
    <row r="154" spans="1:184" s="24" customFormat="1" ht="15.75">
      <c r="A154" s="112" t="s">
        <v>189</v>
      </c>
      <c r="B154" s="112"/>
      <c r="C154" s="112"/>
      <c r="D154" s="99"/>
      <c r="E154" s="99"/>
      <c r="F154" s="98"/>
      <c r="G154" s="98"/>
      <c r="H154" s="57"/>
      <c r="I154" s="40"/>
      <c r="J154" s="40"/>
      <c r="K154" s="40"/>
      <c r="L154" s="40"/>
      <c r="M154" s="47">
        <f t="shared" si="14"/>
        <v>0</v>
      </c>
      <c r="N154" s="47">
        <f t="shared" si="15"/>
        <v>0</v>
      </c>
      <c r="O154" s="47">
        <f t="shared" si="16"/>
        <v>0</v>
      </c>
      <c r="P154" s="47">
        <f t="shared" si="17"/>
        <v>0</v>
      </c>
      <c r="Q154" s="47">
        <f t="shared" si="18"/>
        <v>0</v>
      </c>
      <c r="R154" s="88"/>
      <c r="S154" s="88"/>
      <c r="T154" s="88"/>
    </row>
    <row r="155" spans="1:184" s="24" customFormat="1">
      <c r="A155" s="43" t="s">
        <v>296</v>
      </c>
      <c r="B155" s="44" t="s">
        <v>190</v>
      </c>
      <c r="C155" s="44" t="s">
        <v>191</v>
      </c>
      <c r="D155" s="104">
        <v>17331.576000000001</v>
      </c>
      <c r="E155" s="57">
        <f>25413.258-D155</f>
        <v>8081.6820000000007</v>
      </c>
      <c r="F155" s="57">
        <v>2948.4450000000002</v>
      </c>
      <c r="G155" s="57">
        <f>17725.429-F155</f>
        <v>14776.984</v>
      </c>
      <c r="H155" s="57">
        <f t="shared" si="13"/>
        <v>43138.687000000005</v>
      </c>
      <c r="I155" s="46">
        <v>4242.2779203999999</v>
      </c>
      <c r="J155" s="46">
        <v>4411.9690372160003</v>
      </c>
      <c r="K155" s="46">
        <v>1544.4515603933867</v>
      </c>
      <c r="L155" s="46">
        <v>1606.2296228091222</v>
      </c>
      <c r="M155" s="47">
        <f t="shared" si="14"/>
        <v>46757582.593257979</v>
      </c>
      <c r="N155" s="47">
        <f t="shared" si="15"/>
        <v>21802974.732790966</v>
      </c>
      <c r="O155" s="47">
        <f t="shared" si="16"/>
        <v>8272568.3477108879</v>
      </c>
      <c r="P155" s="47">
        <f t="shared" si="17"/>
        <v>41460366.434859805</v>
      </c>
      <c r="Q155" s="47">
        <f t="shared" si="18"/>
        <v>118293492.10861963</v>
      </c>
      <c r="R155" s="48"/>
      <c r="S155" s="48"/>
      <c r="T155" s="48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</row>
    <row r="156" spans="1:184" s="24" customFormat="1">
      <c r="A156" s="43" t="s">
        <v>296</v>
      </c>
      <c r="B156" s="44" t="s">
        <v>190</v>
      </c>
      <c r="C156" s="44" t="s">
        <v>201</v>
      </c>
      <c r="D156" s="57">
        <v>6.282</v>
      </c>
      <c r="E156" s="57">
        <f>9.322-D156</f>
        <v>3.0399999999999991</v>
      </c>
      <c r="F156" s="57">
        <v>1.3049999999999999</v>
      </c>
      <c r="G156" s="57">
        <v>7.8330000000000002</v>
      </c>
      <c r="H156" s="57">
        <f t="shared" si="13"/>
        <v>18.46</v>
      </c>
      <c r="I156" s="46">
        <v>4688.6943167999998</v>
      </c>
      <c r="J156" s="46">
        <v>4876.2420894719999</v>
      </c>
      <c r="K156" s="46">
        <v>1198.1889919999999</v>
      </c>
      <c r="L156" s="46">
        <v>1246.1165516799999</v>
      </c>
      <c r="M156" s="47">
        <f t="shared" si="14"/>
        <v>21927.354450393599</v>
      </c>
      <c r="N156" s="47">
        <f t="shared" si="15"/>
        <v>10611.136187391996</v>
      </c>
      <c r="O156" s="47">
        <f t="shared" si="16"/>
        <v>4737.3138268185594</v>
      </c>
      <c r="P156" s="47">
        <f t="shared" si="17"/>
        <v>28434.773337524734</v>
      </c>
      <c r="Q156" s="47">
        <f t="shared" si="18"/>
        <v>65710.577802128886</v>
      </c>
      <c r="R156" s="48"/>
      <c r="S156" s="48"/>
      <c r="T156" s="48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</row>
    <row r="157" spans="1:184" s="24" customFormat="1">
      <c r="A157" s="43" t="s">
        <v>293</v>
      </c>
      <c r="B157" s="44" t="s">
        <v>206</v>
      </c>
      <c r="C157" s="44" t="s">
        <v>207</v>
      </c>
      <c r="D157" s="57">
        <v>2338.0419999999999</v>
      </c>
      <c r="E157" s="57">
        <f>3485.316-D157</f>
        <v>1147.2739999999999</v>
      </c>
      <c r="F157" s="57">
        <v>420.97300000000001</v>
      </c>
      <c r="G157" s="57">
        <f>2787.828-F157</f>
        <v>2366.855</v>
      </c>
      <c r="H157" s="57">
        <f t="shared" si="13"/>
        <v>6273.1440000000002</v>
      </c>
      <c r="I157" s="46">
        <v>3551.3038808000001</v>
      </c>
      <c r="J157" s="46">
        <v>3693.3560360320002</v>
      </c>
      <c r="K157" s="46">
        <v>1521.1160616288003</v>
      </c>
      <c r="L157" s="46">
        <v>1581.9607040939522</v>
      </c>
      <c r="M157" s="47">
        <f t="shared" si="14"/>
        <v>4746664.3891106704</v>
      </c>
      <c r="N157" s="47">
        <f t="shared" si="15"/>
        <v>2329181.700051819</v>
      </c>
      <c r="O157" s="47">
        <f t="shared" si="16"/>
        <v>888840.42707195587</v>
      </c>
      <c r="P157" s="47">
        <f t="shared" si="17"/>
        <v>4997366.5983742289</v>
      </c>
      <c r="Q157" s="47">
        <f t="shared" si="18"/>
        <v>12962053.114608675</v>
      </c>
      <c r="R157" s="48"/>
      <c r="S157" s="48"/>
      <c r="T157" s="48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</row>
    <row r="158" spans="1:184" s="24" customFormat="1">
      <c r="A158" s="43" t="s">
        <v>4</v>
      </c>
      <c r="B158" s="44" t="s">
        <v>200</v>
      </c>
      <c r="C158" s="44" t="s">
        <v>202</v>
      </c>
      <c r="D158" s="57">
        <v>7.6079999999999997</v>
      </c>
      <c r="E158" s="57">
        <f>11.289-D158</f>
        <v>3.681</v>
      </c>
      <c r="F158" s="57">
        <v>1.353</v>
      </c>
      <c r="G158" s="57">
        <f>8.961-F158</f>
        <v>7.6080000000000005</v>
      </c>
      <c r="H158" s="57">
        <f t="shared" si="13"/>
        <v>20.25</v>
      </c>
      <c r="I158" s="46">
        <v>3403.7411200000001</v>
      </c>
      <c r="J158" s="46">
        <v>3539.8907648000004</v>
      </c>
      <c r="K158" s="46">
        <v>1437.8074488960003</v>
      </c>
      <c r="L158" s="46">
        <v>1495.3197468518404</v>
      </c>
      <c r="M158" s="47">
        <f t="shared" si="14"/>
        <v>14956.82336975923</v>
      </c>
      <c r="N158" s="47">
        <f t="shared" si="15"/>
        <v>7236.6018433338231</v>
      </c>
      <c r="O158" s="47">
        <f t="shared" si="16"/>
        <v>2766.3045872838607</v>
      </c>
      <c r="P158" s="47">
        <f t="shared" si="17"/>
        <v>15555.096304549603</v>
      </c>
      <c r="Q158" s="47">
        <f t="shared" si="18"/>
        <v>40514.826104926513</v>
      </c>
      <c r="R158" s="48"/>
      <c r="S158" s="48"/>
      <c r="T158" s="48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</row>
    <row r="159" spans="1:184" s="24" customFormat="1">
      <c r="A159" s="43" t="s">
        <v>4</v>
      </c>
      <c r="B159" s="44" t="s">
        <v>200</v>
      </c>
      <c r="C159" s="44" t="s">
        <v>203</v>
      </c>
      <c r="D159" s="57">
        <v>17.234999999999999</v>
      </c>
      <c r="E159" s="57">
        <f>25.574-D159</f>
        <v>8.3390000000000022</v>
      </c>
      <c r="F159" s="57">
        <v>3.0640000000000001</v>
      </c>
      <c r="G159" s="57">
        <f>20.299-F159</f>
        <v>17.234999999999999</v>
      </c>
      <c r="H159" s="57">
        <f t="shared" si="13"/>
        <v>45.873000000000005</v>
      </c>
      <c r="I159" s="46">
        <v>3707.4544000000001</v>
      </c>
      <c r="J159" s="46">
        <v>3855.7525760000003</v>
      </c>
      <c r="K159" s="46">
        <v>1879.9467523200003</v>
      </c>
      <c r="L159" s="46">
        <v>1955.1446224128003</v>
      </c>
      <c r="M159" s="47">
        <f t="shared" si="14"/>
        <v>31497.094307764793</v>
      </c>
      <c r="N159" s="47">
        <f t="shared" si="15"/>
        <v>15239.586274003523</v>
      </c>
      <c r="O159" s="47">
        <f t="shared" si="16"/>
        <v>5823.462769791181</v>
      </c>
      <c r="P159" s="47">
        <f t="shared" si="17"/>
        <v>32756.978080075391</v>
      </c>
      <c r="Q159" s="47">
        <f t="shared" si="18"/>
        <v>85317.121431634892</v>
      </c>
      <c r="R159" s="48"/>
      <c r="S159" s="48"/>
      <c r="T159" s="48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</row>
    <row r="160" spans="1:184" s="24" customFormat="1">
      <c r="A160" s="43" t="s">
        <v>294</v>
      </c>
      <c r="B160" s="44" t="s">
        <v>196</v>
      </c>
      <c r="C160" s="44" t="s">
        <v>197</v>
      </c>
      <c r="D160" s="57">
        <v>2007.289</v>
      </c>
      <c r="E160" s="57">
        <f>2709.487-D160</f>
        <v>702.19800000000009</v>
      </c>
      <c r="F160" s="57">
        <v>504.88</v>
      </c>
      <c r="G160" s="57">
        <f>2277.348-F160</f>
        <v>1772.4679999999998</v>
      </c>
      <c r="H160" s="57">
        <f t="shared" si="13"/>
        <v>4986.835</v>
      </c>
      <c r="I160" s="46">
        <v>3679.5599360000006</v>
      </c>
      <c r="J160" s="46">
        <v>3826.7423334400005</v>
      </c>
      <c r="K160" s="46">
        <v>1466.31392544</v>
      </c>
      <c r="L160" s="46">
        <v>1524.9664824576</v>
      </c>
      <c r="M160" s="47">
        <f t="shared" si="14"/>
        <v>4442624.3712909725</v>
      </c>
      <c r="N160" s="47">
        <f t="shared" si="15"/>
        <v>1554136.9221232112</v>
      </c>
      <c r="O160" s="47">
        <f t="shared" si="16"/>
        <v>1162120.5916439944</v>
      </c>
      <c r="P160" s="47">
        <f t="shared" si="17"/>
        <v>4079824.0390390735</v>
      </c>
      <c r="Q160" s="47">
        <f t="shared" si="18"/>
        <v>11238705.924097251</v>
      </c>
      <c r="R160" s="48"/>
      <c r="S160" s="48"/>
      <c r="T160" s="48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</row>
    <row r="161" spans="1:184" s="24" customFormat="1">
      <c r="A161" s="43" t="s">
        <v>11</v>
      </c>
      <c r="B161" s="44" t="s">
        <v>192</v>
      </c>
      <c r="C161" s="44" t="s">
        <v>193</v>
      </c>
      <c r="D161" s="57">
        <v>282.57900000000001</v>
      </c>
      <c r="E161" s="57">
        <f>397.766-D161</f>
        <v>115.18700000000001</v>
      </c>
      <c r="F161" s="57">
        <v>31.08</v>
      </c>
      <c r="G161" s="57">
        <f>247.359-F161</f>
        <v>216.279</v>
      </c>
      <c r="H161" s="57">
        <f t="shared" si="13"/>
        <v>645.125</v>
      </c>
      <c r="I161" s="46">
        <v>3015.7436400000006</v>
      </c>
      <c r="J161" s="46">
        <v>3136.3733856000008</v>
      </c>
      <c r="K161" s="46">
        <v>1753.5554400000001</v>
      </c>
      <c r="L161" s="46">
        <v>1823.6976576000002</v>
      </c>
      <c r="M161" s="47">
        <f t="shared" si="14"/>
        <v>356667.87936780014</v>
      </c>
      <c r="N161" s="47">
        <f t="shared" si="15"/>
        <v>145387.67219340007</v>
      </c>
      <c r="O161" s="47">
        <f t="shared" si="16"/>
        <v>40797.961626240016</v>
      </c>
      <c r="P161" s="47">
        <f t="shared" si="17"/>
        <v>283904.19377611211</v>
      </c>
      <c r="Q161" s="47">
        <f t="shared" si="18"/>
        <v>826757.70696355239</v>
      </c>
      <c r="R161" s="48"/>
      <c r="S161" s="48"/>
      <c r="T161" s="48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</row>
    <row r="162" spans="1:184" s="24" customFormat="1">
      <c r="A162" s="43" t="s">
        <v>33</v>
      </c>
      <c r="B162" s="44" t="s">
        <v>198</v>
      </c>
      <c r="C162" s="44" t="s">
        <v>199</v>
      </c>
      <c r="D162" s="57">
        <v>61.494</v>
      </c>
      <c r="E162" s="57">
        <f>91.511-D162</f>
        <v>30.016999999999996</v>
      </c>
      <c r="F162" s="57">
        <v>11.823</v>
      </c>
      <c r="G162" s="57">
        <f>73.317-F162</f>
        <v>61.493999999999993</v>
      </c>
      <c r="H162" s="57">
        <f t="shared" si="13"/>
        <v>164.828</v>
      </c>
      <c r="I162" s="46">
        <v>6168.6352000000006</v>
      </c>
      <c r="J162" s="46">
        <v>6415.3806080000013</v>
      </c>
      <c r="K162" s="46">
        <v>1994.0087731200006</v>
      </c>
      <c r="L162" s="46">
        <v>2073.7691240448007</v>
      </c>
      <c r="M162" s="47">
        <f t="shared" si="14"/>
        <v>256714.47749455876</v>
      </c>
      <c r="N162" s="47">
        <f t="shared" si="15"/>
        <v>125309.76145565696</v>
      </c>
      <c r="O162" s="47">
        <f t="shared" si="16"/>
        <v>51330.872574802343</v>
      </c>
      <c r="P162" s="47">
        <f t="shared" si="17"/>
        <v>266983.05659434112</v>
      </c>
      <c r="Q162" s="47">
        <f t="shared" si="18"/>
        <v>700338.1681193593</v>
      </c>
      <c r="R162" s="48"/>
      <c r="S162" s="48"/>
      <c r="T162" s="48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</row>
    <row r="163" spans="1:184" s="24" customFormat="1">
      <c r="A163" s="43" t="s">
        <v>36</v>
      </c>
      <c r="B163" s="44" t="s">
        <v>204</v>
      </c>
      <c r="C163" s="44" t="s">
        <v>205</v>
      </c>
      <c r="D163" s="57">
        <v>16.134</v>
      </c>
      <c r="E163" s="57">
        <f>23.941-D163</f>
        <v>7.8069999999999986</v>
      </c>
      <c r="F163" s="57">
        <v>2.8010000000000002</v>
      </c>
      <c r="G163" s="57">
        <f>18.935-F163</f>
        <v>16.134</v>
      </c>
      <c r="H163" s="57">
        <f t="shared" si="13"/>
        <v>42.875999999999998</v>
      </c>
      <c r="I163" s="46">
        <v>4364.6021120000005</v>
      </c>
      <c r="J163" s="46">
        <v>4539.1861964800009</v>
      </c>
      <c r="K163" s="46">
        <v>1470.6837949440005</v>
      </c>
      <c r="L163" s="46">
        <v>1529.5111467417605</v>
      </c>
      <c r="M163" s="47">
        <f t="shared" si="14"/>
        <v>46690.478127381502</v>
      </c>
      <c r="N163" s="47">
        <f t="shared" si="15"/>
        <v>22592.820301256186</v>
      </c>
      <c r="O163" s="47">
        <f t="shared" si="16"/>
        <v>8430.0998143168126</v>
      </c>
      <c r="P163" s="47">
        <f t="shared" si="17"/>
        <v>48558.097252476771</v>
      </c>
      <c r="Q163" s="47">
        <f t="shared" si="18"/>
        <v>126271.49549543127</v>
      </c>
      <c r="R163" s="48"/>
      <c r="S163" s="48"/>
      <c r="T163" s="48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</row>
    <row r="164" spans="1:184" s="24" customFormat="1" ht="30">
      <c r="A164" s="43" t="s">
        <v>295</v>
      </c>
      <c r="B164" s="44" t="s">
        <v>194</v>
      </c>
      <c r="C164" s="44" t="s">
        <v>195</v>
      </c>
      <c r="D164" s="57">
        <v>588.83600000000001</v>
      </c>
      <c r="E164" s="57">
        <f>861.203-D164</f>
        <v>272.36699999999996</v>
      </c>
      <c r="F164" s="57">
        <v>103.67</v>
      </c>
      <c r="G164" s="57">
        <f>718.12-F164</f>
        <v>614.45000000000005</v>
      </c>
      <c r="H164" s="57">
        <f t="shared" si="13"/>
        <v>1579.3229999999999</v>
      </c>
      <c r="I164" s="46">
        <v>2590.7781120000004</v>
      </c>
      <c r="J164" s="46">
        <v>2694.4092364800003</v>
      </c>
      <c r="K164" s="46">
        <v>1658.0663736000006</v>
      </c>
      <c r="L164" s="46">
        <v>1724.3890285440007</v>
      </c>
      <c r="M164" s="47">
        <f t="shared" si="14"/>
        <v>549214.24919250235</v>
      </c>
      <c r="N164" s="47">
        <f t="shared" si="15"/>
        <v>254039.89805279271</v>
      </c>
      <c r="O164" s="47">
        <f t="shared" si="16"/>
        <v>100561.99495672509</v>
      </c>
      <c r="P164" s="47">
        <f t="shared" si="17"/>
        <v>596028.91676627507</v>
      </c>
      <c r="Q164" s="47">
        <f t="shared" si="18"/>
        <v>1499845.0589682953</v>
      </c>
      <c r="R164" s="48"/>
      <c r="S164" s="48"/>
      <c r="T164" s="48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</row>
    <row r="165" spans="1:184" s="24" customFormat="1">
      <c r="A165" s="43" t="s">
        <v>292</v>
      </c>
      <c r="B165" s="44" t="s">
        <v>208</v>
      </c>
      <c r="C165" s="44" t="s">
        <v>209</v>
      </c>
      <c r="D165" s="57">
        <v>52.5</v>
      </c>
      <c r="E165" s="57">
        <f>72.75-D165</f>
        <v>20.25</v>
      </c>
      <c r="F165" s="57">
        <v>1.7030000000000001</v>
      </c>
      <c r="G165" s="57">
        <f>37.442-F165</f>
        <v>35.738999999999997</v>
      </c>
      <c r="H165" s="57">
        <f t="shared" si="13"/>
        <v>110.19200000000001</v>
      </c>
      <c r="I165" s="46">
        <v>4313.5073280000006</v>
      </c>
      <c r="J165" s="46">
        <v>4486.0476211200012</v>
      </c>
      <c r="K165" s="46">
        <v>1980.8334000000002</v>
      </c>
      <c r="L165" s="46">
        <v>2060.0667360000002</v>
      </c>
      <c r="M165" s="47">
        <f t="shared" si="14"/>
        <v>122465.38122000001</v>
      </c>
      <c r="N165" s="47">
        <f t="shared" si="15"/>
        <v>47236.647042000004</v>
      </c>
      <c r="O165" s="47">
        <f t="shared" si="16"/>
        <v>4131.4454473593614</v>
      </c>
      <c r="P165" s="47">
        <f t="shared" si="17"/>
        <v>86702.130853303708</v>
      </c>
      <c r="Q165" s="47">
        <f t="shared" si="18"/>
        <v>260535.60456266307</v>
      </c>
      <c r="R165" s="48"/>
      <c r="S165" s="48"/>
      <c r="T165" s="48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</row>
    <row r="166" spans="1:184" s="24" customFormat="1">
      <c r="A166" s="43" t="s">
        <v>291</v>
      </c>
      <c r="B166" s="44" t="s">
        <v>210</v>
      </c>
      <c r="C166" s="44" t="s">
        <v>211</v>
      </c>
      <c r="D166" s="57">
        <v>7.7489999999999997</v>
      </c>
      <c r="E166" s="57">
        <f>10.331-D166</f>
        <v>2.5819999999999999</v>
      </c>
      <c r="F166" s="57">
        <v>0</v>
      </c>
      <c r="G166" s="57">
        <f>8.999-F166</f>
        <v>8.9990000000000006</v>
      </c>
      <c r="H166" s="57">
        <f t="shared" si="13"/>
        <v>19.329999999999998</v>
      </c>
      <c r="I166" s="46">
        <v>3942.5902776000003</v>
      </c>
      <c r="J166" s="46">
        <v>4100.293888704</v>
      </c>
      <c r="K166" s="46">
        <v>1980.6440471999999</v>
      </c>
      <c r="L166" s="46">
        <v>2059.8698090879998</v>
      </c>
      <c r="M166" s="47">
        <f t="shared" si="14"/>
        <v>15203.121339369602</v>
      </c>
      <c r="N166" s="47">
        <f t="shared" si="15"/>
        <v>5065.7451668928006</v>
      </c>
      <c r="O166" s="47">
        <f t="shared" si="16"/>
        <v>0</v>
      </c>
      <c r="P166" s="47">
        <f t="shared" si="17"/>
        <v>18361.776292464387</v>
      </c>
      <c r="Q166" s="47">
        <f t="shared" si="18"/>
        <v>38630.642798726789</v>
      </c>
      <c r="R166" s="48"/>
      <c r="S166" s="48"/>
      <c r="T166" s="48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</row>
    <row r="167" spans="1:184" s="24" customFormat="1">
      <c r="A167" s="43" t="s">
        <v>290</v>
      </c>
      <c r="B167" s="44" t="s">
        <v>332</v>
      </c>
      <c r="C167" s="44" t="s">
        <v>333</v>
      </c>
      <c r="D167" s="57">
        <v>58.247999999999998</v>
      </c>
      <c r="E167" s="57">
        <f>87.059-D167</f>
        <v>28.811</v>
      </c>
      <c r="F167" s="57">
        <v>7.8739999999999997</v>
      </c>
      <c r="G167" s="57">
        <f>66.122-F167</f>
        <v>58.247999999999998</v>
      </c>
      <c r="H167" s="57">
        <f t="shared" si="13"/>
        <v>153.18099999999998</v>
      </c>
      <c r="I167" s="46">
        <v>4312.6636799999997</v>
      </c>
      <c r="J167" s="46">
        <v>4485.1702272000002</v>
      </c>
      <c r="K167" s="46">
        <v>1755.2309174400002</v>
      </c>
      <c r="L167" s="46">
        <v>1825.4401541376003</v>
      </c>
      <c r="M167" s="47">
        <f t="shared" si="14"/>
        <v>148965.34355359484</v>
      </c>
      <c r="N167" s="47">
        <f t="shared" si="15"/>
        <v>73682.195322116138</v>
      </c>
      <c r="O167" s="47">
        <f t="shared" si="16"/>
        <v>20942.714595293339</v>
      </c>
      <c r="P167" s="47">
        <f t="shared" si="17"/>
        <v>154923.95729573868</v>
      </c>
      <c r="Q167" s="47">
        <f t="shared" si="18"/>
        <v>398514.210766743</v>
      </c>
      <c r="R167" s="48"/>
      <c r="S167" s="48"/>
      <c r="T167" s="48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</row>
    <row r="168" spans="1:184" s="24" customFormat="1" ht="15.75">
      <c r="A168" s="112" t="s">
        <v>212</v>
      </c>
      <c r="B168" s="112"/>
      <c r="C168" s="112"/>
      <c r="D168" s="99"/>
      <c r="E168" s="99"/>
      <c r="F168" s="98"/>
      <c r="G168" s="98"/>
      <c r="H168" s="57"/>
      <c r="I168" s="40"/>
      <c r="J168" s="40"/>
      <c r="K168" s="40"/>
      <c r="L168" s="40"/>
      <c r="M168" s="47">
        <f t="shared" si="14"/>
        <v>0</v>
      </c>
      <c r="N168" s="47">
        <f t="shared" si="15"/>
        <v>0</v>
      </c>
      <c r="O168" s="47">
        <f t="shared" si="16"/>
        <v>0</v>
      </c>
      <c r="P168" s="47">
        <f t="shared" si="17"/>
        <v>0</v>
      </c>
      <c r="Q168" s="47">
        <f t="shared" si="18"/>
        <v>0</v>
      </c>
      <c r="R168" s="88"/>
      <c r="S168" s="88"/>
      <c r="T168" s="88"/>
    </row>
    <row r="169" spans="1:184" s="24" customFormat="1" ht="45">
      <c r="A169" s="43" t="s">
        <v>284</v>
      </c>
      <c r="B169" s="44" t="s">
        <v>227</v>
      </c>
      <c r="C169" s="44" t="s">
        <v>358</v>
      </c>
      <c r="D169" s="57">
        <v>1057.806</v>
      </c>
      <c r="E169" s="57">
        <f>1608.053-D169</f>
        <v>550.24700000000007</v>
      </c>
      <c r="F169" s="57">
        <v>227.54599999999999</v>
      </c>
      <c r="G169" s="57">
        <f>1192.102-F169</f>
        <v>964.55600000000004</v>
      </c>
      <c r="H169" s="57">
        <f t="shared" si="13"/>
        <v>2800.1550000000002</v>
      </c>
      <c r="I169" s="46">
        <v>4246.6752640000004</v>
      </c>
      <c r="J169" s="46">
        <v>4416.5422745600008</v>
      </c>
      <c r="K169" s="46">
        <v>1511.88568128</v>
      </c>
      <c r="L169" s="46">
        <v>1572.3611085312</v>
      </c>
      <c r="M169" s="47">
        <f t="shared" si="14"/>
        <v>2892876.8293387131</v>
      </c>
      <c r="N169" s="47">
        <f t="shared" si="15"/>
        <v>1504809.7635229323</v>
      </c>
      <c r="O169" s="47">
        <f t="shared" si="16"/>
        <v>647182.04760518949</v>
      </c>
      <c r="P169" s="47">
        <f t="shared" si="17"/>
        <v>2743372.0087800762</v>
      </c>
      <c r="Q169" s="47">
        <f t="shared" si="18"/>
        <v>7788240.6492469106</v>
      </c>
      <c r="R169" s="48"/>
      <c r="S169" s="48"/>
      <c r="T169" s="48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</row>
    <row r="170" spans="1:184" s="24" customFormat="1" ht="30">
      <c r="A170" s="43" t="s">
        <v>284</v>
      </c>
      <c r="B170" s="44" t="s">
        <v>227</v>
      </c>
      <c r="C170" s="44" t="s">
        <v>328</v>
      </c>
      <c r="D170" s="57">
        <v>824.72199999999998</v>
      </c>
      <c r="E170" s="57">
        <f>1308.708-D170</f>
        <v>483.9860000000001</v>
      </c>
      <c r="F170" s="57">
        <v>282.78800000000001</v>
      </c>
      <c r="G170" s="57">
        <v>848.36400000000003</v>
      </c>
      <c r="H170" s="57">
        <f t="shared" si="13"/>
        <v>2439.86</v>
      </c>
      <c r="I170" s="46">
        <v>3860.630592</v>
      </c>
      <c r="J170" s="46">
        <v>4015.0558156800003</v>
      </c>
      <c r="K170" s="46">
        <v>1514.9105920000004</v>
      </c>
      <c r="L170" s="46">
        <v>1575.5070156800004</v>
      </c>
      <c r="M170" s="47">
        <f t="shared" si="14"/>
        <v>1934566.8898399994</v>
      </c>
      <c r="N170" s="47">
        <f t="shared" si="15"/>
        <v>1135295.63992</v>
      </c>
      <c r="O170" s="47">
        <f t="shared" si="16"/>
        <v>689875.12605439988</v>
      </c>
      <c r="P170" s="47">
        <f t="shared" si="17"/>
        <v>2069625.3781631996</v>
      </c>
      <c r="Q170" s="47">
        <f t="shared" si="18"/>
        <v>5829363.0339775989</v>
      </c>
      <c r="R170" s="48"/>
      <c r="S170" s="48"/>
      <c r="T170" s="48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</row>
    <row r="171" spans="1:184" s="24" customFormat="1">
      <c r="A171" s="43" t="s">
        <v>31</v>
      </c>
      <c r="B171" s="44" t="s">
        <v>226</v>
      </c>
      <c r="C171" s="44" t="s">
        <v>218</v>
      </c>
      <c r="D171" s="57">
        <v>3247.299</v>
      </c>
      <c r="E171" s="57">
        <f>4909.36-D171</f>
        <v>1662.0609999999997</v>
      </c>
      <c r="F171" s="57">
        <v>906.15099999999995</v>
      </c>
      <c r="G171" s="57">
        <f>3824.83-F171</f>
        <v>2918.6790000000001</v>
      </c>
      <c r="H171" s="57">
        <f t="shared" si="13"/>
        <v>8734.1899999999987</v>
      </c>
      <c r="I171" s="46">
        <v>3632.6509440000004</v>
      </c>
      <c r="J171" s="46">
        <v>3777.9569817600004</v>
      </c>
      <c r="K171" s="46">
        <v>1514.9083422720003</v>
      </c>
      <c r="L171" s="46">
        <v>1575.5046759628804</v>
      </c>
      <c r="M171" s="47">
        <f t="shared" si="14"/>
        <v>6876943.4328487338</v>
      </c>
      <c r="N171" s="47">
        <f t="shared" si="15"/>
        <v>3519817.3863706416</v>
      </c>
      <c r="O171" s="47">
        <f t="shared" si="16"/>
        <v>1995754.3593503661</v>
      </c>
      <c r="P171" s="47">
        <f t="shared" si="17"/>
        <v>6428251.2934316332</v>
      </c>
      <c r="Q171" s="47">
        <f t="shared" si="18"/>
        <v>18820766.472001374</v>
      </c>
      <c r="R171" s="48"/>
      <c r="S171" s="48"/>
      <c r="T171" s="48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</row>
    <row r="172" spans="1:184" s="24" customFormat="1">
      <c r="A172" s="43" t="s">
        <v>288</v>
      </c>
      <c r="B172" s="44" t="s">
        <v>215</v>
      </c>
      <c r="C172" s="44" t="s">
        <v>216</v>
      </c>
      <c r="D172" s="57">
        <v>3756.0909999999999</v>
      </c>
      <c r="E172" s="57">
        <f>5455.784-D172</f>
        <v>1699.6929999999998</v>
      </c>
      <c r="F172" s="57">
        <v>702.65700000000004</v>
      </c>
      <c r="G172" s="57">
        <f>3762.125-F172</f>
        <v>3059.4679999999998</v>
      </c>
      <c r="H172" s="57">
        <f t="shared" si="13"/>
        <v>9217.9089999999997</v>
      </c>
      <c r="I172" s="46">
        <v>5386.6059520000008</v>
      </c>
      <c r="J172" s="46">
        <v>5602.0701900800013</v>
      </c>
      <c r="K172" s="46">
        <v>1495.6360473600002</v>
      </c>
      <c r="L172" s="46">
        <v>1555.4614892544002</v>
      </c>
      <c r="M172" s="47">
        <f t="shared" si="14"/>
        <v>14614837.040089164</v>
      </c>
      <c r="N172" s="47">
        <f t="shared" si="15"/>
        <v>6613454.3101272751</v>
      </c>
      <c r="O172" s="47">
        <f t="shared" si="16"/>
        <v>2843377.9298960143</v>
      </c>
      <c r="P172" s="47">
        <f t="shared" si="17"/>
        <v>12380469.828697499</v>
      </c>
      <c r="Q172" s="47">
        <f t="shared" si="18"/>
        <v>36452139.108809955</v>
      </c>
      <c r="R172" s="48"/>
      <c r="S172" s="48"/>
      <c r="T172" s="48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</row>
    <row r="173" spans="1:184" s="24" customFormat="1" ht="30">
      <c r="A173" s="43" t="s">
        <v>8</v>
      </c>
      <c r="B173" s="44" t="s">
        <v>219</v>
      </c>
      <c r="C173" s="44" t="s">
        <v>343</v>
      </c>
      <c r="D173" s="57">
        <v>190.41</v>
      </c>
      <c r="E173" s="57">
        <f>317.35-D173</f>
        <v>126.94000000000003</v>
      </c>
      <c r="F173" s="57">
        <v>48.384999999999998</v>
      </c>
      <c r="G173" s="57">
        <f>242.055-F173</f>
        <v>193.67000000000002</v>
      </c>
      <c r="H173" s="57">
        <f t="shared" si="13"/>
        <v>559.40499999999997</v>
      </c>
      <c r="I173" s="46">
        <v>3646.2358400000003</v>
      </c>
      <c r="J173" s="46">
        <v>3792.0852736000006</v>
      </c>
      <c r="K173" s="46">
        <v>1514.3480951040001</v>
      </c>
      <c r="L173" s="46">
        <v>1574.9220189081602</v>
      </c>
      <c r="M173" s="47">
        <f t="shared" si="14"/>
        <v>405932.74550564738</v>
      </c>
      <c r="N173" s="47">
        <f t="shared" si="15"/>
        <v>270621.83033709833</v>
      </c>
      <c r="O173" s="47">
        <f t="shared" si="16"/>
        <v>107277.4440782647</v>
      </c>
      <c r="P173" s="47">
        <f t="shared" si="17"/>
        <v>429398.00753616879</v>
      </c>
      <c r="Q173" s="47">
        <f t="shared" si="18"/>
        <v>1213230.027457179</v>
      </c>
      <c r="R173" s="48"/>
      <c r="S173" s="48"/>
      <c r="T173" s="48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</row>
    <row r="174" spans="1:184" s="24" customFormat="1" ht="30">
      <c r="A174" s="43" t="s">
        <v>8</v>
      </c>
      <c r="B174" s="44" t="s">
        <v>219</v>
      </c>
      <c r="C174" s="44" t="s">
        <v>342</v>
      </c>
      <c r="D174" s="57">
        <v>67.700999999999993</v>
      </c>
      <c r="E174" s="57">
        <f>112.835-D174</f>
        <v>45.134</v>
      </c>
      <c r="F174" s="57">
        <v>15.266999999999999</v>
      </c>
      <c r="G174" s="57">
        <f>80.314-F174</f>
        <v>65.046999999999997</v>
      </c>
      <c r="H174" s="57">
        <f t="shared" si="13"/>
        <v>193.149</v>
      </c>
      <c r="I174" s="46">
        <v>3646.2358400000003</v>
      </c>
      <c r="J174" s="46">
        <v>3792.0852736000006</v>
      </c>
      <c r="K174" s="46">
        <v>1490.2338447360003</v>
      </c>
      <c r="L174" s="46">
        <v>1549.8431985254404</v>
      </c>
      <c r="M174" s="47">
        <f t="shared" si="14"/>
        <v>145963.49108136806</v>
      </c>
      <c r="N174" s="47">
        <f t="shared" si="15"/>
        <v>97308.994054245384</v>
      </c>
      <c r="O174" s="47">
        <f t="shared" si="16"/>
        <v>34232.309760163313</v>
      </c>
      <c r="P174" s="47">
        <f t="shared" si="17"/>
        <v>145851.12025737492</v>
      </c>
      <c r="Q174" s="47">
        <f t="shared" si="18"/>
        <v>423355.91515315173</v>
      </c>
      <c r="R174" s="48"/>
      <c r="S174" s="48"/>
      <c r="T174" s="48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</row>
    <row r="175" spans="1:184" s="24" customFormat="1">
      <c r="A175" s="43" t="s">
        <v>287</v>
      </c>
      <c r="B175" s="44" t="s">
        <v>217</v>
      </c>
      <c r="C175" s="44" t="s">
        <v>218</v>
      </c>
      <c r="D175" s="57">
        <v>4684.1090000000004</v>
      </c>
      <c r="E175" s="57">
        <f>6718.721-D175</f>
        <v>2034.6119999999992</v>
      </c>
      <c r="F175" s="57">
        <v>720.75900000000001</v>
      </c>
      <c r="G175" s="57">
        <f>4138.416-F175</f>
        <v>3417.6570000000002</v>
      </c>
      <c r="H175" s="57">
        <f t="shared" si="13"/>
        <v>10857.136999999999</v>
      </c>
      <c r="I175" s="46">
        <v>3434.7830400000007</v>
      </c>
      <c r="J175" s="46">
        <v>3572.1743616000008</v>
      </c>
      <c r="K175" s="46">
        <v>1514.9083422720003</v>
      </c>
      <c r="L175" s="46">
        <v>1575.5046759628804</v>
      </c>
      <c r="M175" s="47">
        <f t="shared" si="14"/>
        <v>8992902.3505000081</v>
      </c>
      <c r="N175" s="47">
        <f t="shared" si="15"/>
        <v>3906200.0984937609</v>
      </c>
      <c r="O175" s="47">
        <f t="shared" si="16"/>
        <v>1439117.6459501253</v>
      </c>
      <c r="P175" s="47">
        <f t="shared" si="17"/>
        <v>6823932.127805504</v>
      </c>
      <c r="Q175" s="47">
        <f t="shared" si="18"/>
        <v>21162152.222749397</v>
      </c>
      <c r="R175" s="48"/>
      <c r="S175" s="48"/>
      <c r="T175" s="48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</row>
    <row r="176" spans="1:184" s="24" customFormat="1" ht="30">
      <c r="A176" s="43" t="s">
        <v>286</v>
      </c>
      <c r="B176" s="44" t="s">
        <v>223</v>
      </c>
      <c r="C176" s="44" t="s">
        <v>352</v>
      </c>
      <c r="D176" s="57">
        <v>446.66899999999998</v>
      </c>
      <c r="E176" s="57">
        <f>664.262-D176</f>
        <v>217.59299999999996</v>
      </c>
      <c r="F176" s="57">
        <v>77.599999999999994</v>
      </c>
      <c r="G176" s="57">
        <f>411.143-F176</f>
        <v>333.54300000000001</v>
      </c>
      <c r="H176" s="57">
        <f t="shared" si="13"/>
        <v>1075.405</v>
      </c>
      <c r="I176" s="46">
        <v>5028.8234880000009</v>
      </c>
      <c r="J176" s="46">
        <v>5229.9764275200014</v>
      </c>
      <c r="K176" s="46">
        <v>1514.9083422720003</v>
      </c>
      <c r="L176" s="46">
        <v>1575.5046759628804</v>
      </c>
      <c r="M176" s="47">
        <f t="shared" si="14"/>
        <v>1569556.9642271802</v>
      </c>
      <c r="N176" s="47">
        <f t="shared" si="15"/>
        <v>764603.33830439264</v>
      </c>
      <c r="O176" s="47">
        <f t="shared" si="16"/>
        <v>283587.00792083255</v>
      </c>
      <c r="P176" s="47">
        <f t="shared" si="17"/>
        <v>1218923.4714296169</v>
      </c>
      <c r="Q176" s="47">
        <f t="shared" si="18"/>
        <v>3836670.7818820225</v>
      </c>
      <c r="R176" s="48"/>
      <c r="S176" s="48"/>
      <c r="T176" s="48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</row>
    <row r="177" spans="1:184" s="24" customFormat="1" ht="30">
      <c r="A177" s="43" t="s">
        <v>286</v>
      </c>
      <c r="B177" s="44" t="s">
        <v>223</v>
      </c>
      <c r="C177" s="44" t="s">
        <v>353</v>
      </c>
      <c r="D177" s="57">
        <v>384.93900000000002</v>
      </c>
      <c r="E177" s="57">
        <f>641.565-D177</f>
        <v>256.62600000000003</v>
      </c>
      <c r="F177" s="57">
        <v>98.373999999999995</v>
      </c>
      <c r="G177" s="57">
        <f>483.313-F177</f>
        <v>384.93899999999996</v>
      </c>
      <c r="H177" s="57">
        <f t="shared" si="13"/>
        <v>1124.8780000000002</v>
      </c>
      <c r="I177" s="46">
        <v>5028.8234880000009</v>
      </c>
      <c r="J177" s="46">
        <v>5229.9764275200014</v>
      </c>
      <c r="K177" s="46">
        <v>1484.6281282560001</v>
      </c>
      <c r="L177" s="46">
        <v>1544.0132533862402</v>
      </c>
      <c r="M177" s="47">
        <f t="shared" si="14"/>
        <v>1364299.0175844959</v>
      </c>
      <c r="N177" s="47">
        <f t="shared" si="15"/>
        <v>909532.67838966404</v>
      </c>
      <c r="O177" s="47">
        <f t="shared" si="16"/>
        <v>362602.94129223458</v>
      </c>
      <c r="P177" s="47">
        <f t="shared" si="17"/>
        <v>1418870.9782878757</v>
      </c>
      <c r="Q177" s="47">
        <f t="shared" si="18"/>
        <v>4055305.6155542703</v>
      </c>
      <c r="R177" s="48"/>
      <c r="S177" s="48"/>
      <c r="T177" s="48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</row>
    <row r="178" spans="1:184" s="24" customFormat="1">
      <c r="A178" s="43" t="s">
        <v>289</v>
      </c>
      <c r="B178" s="44" t="s">
        <v>213</v>
      </c>
      <c r="C178" s="44" t="s">
        <v>214</v>
      </c>
      <c r="D178" s="57">
        <v>6560.8829999999998</v>
      </c>
      <c r="E178" s="57">
        <f>9756.465-D178</f>
        <v>3195.5820000000003</v>
      </c>
      <c r="F178" s="57">
        <v>1655.711</v>
      </c>
      <c r="G178" s="57">
        <f>7639.399-F178</f>
        <v>5983.6880000000001</v>
      </c>
      <c r="H178" s="57">
        <f t="shared" si="13"/>
        <v>17395.864000000001</v>
      </c>
      <c r="I178" s="46">
        <v>3942.0175669333335</v>
      </c>
      <c r="J178" s="46">
        <v>4099.698269610667</v>
      </c>
      <c r="K178" s="46">
        <v>1246.3568767104002</v>
      </c>
      <c r="L178" s="46">
        <v>1296.2111517788162</v>
      </c>
      <c r="M178" s="47">
        <f t="shared" si="14"/>
        <v>17685914.396251909</v>
      </c>
      <c r="N178" s="47">
        <f t="shared" si="15"/>
        <v>8614204.7797839828</v>
      </c>
      <c r="O178" s="47">
        <f t="shared" si="16"/>
        <v>4641764.4593524914</v>
      </c>
      <c r="P178" s="47">
        <f t="shared" si="17"/>
        <v>16775192.225125032</v>
      </c>
      <c r="Q178" s="47">
        <f t="shared" si="18"/>
        <v>47717075.860513411</v>
      </c>
      <c r="R178" s="48"/>
      <c r="S178" s="48"/>
      <c r="T178" s="48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</row>
    <row r="179" spans="1:184" s="24" customFormat="1">
      <c r="A179" s="43" t="s">
        <v>282</v>
      </c>
      <c r="B179" s="44" t="s">
        <v>91</v>
      </c>
      <c r="C179" s="44" t="s">
        <v>229</v>
      </c>
      <c r="D179" s="57">
        <f>2830.83+79.65</f>
        <v>2910.48</v>
      </c>
      <c r="E179" s="57">
        <f>4168.92-D179</f>
        <v>1258.44</v>
      </c>
      <c r="F179" s="57">
        <v>603.10500000000002</v>
      </c>
      <c r="G179" s="57">
        <f>3023.769-F179</f>
        <v>2420.6639999999998</v>
      </c>
      <c r="H179" s="57">
        <f t="shared" si="13"/>
        <v>7192.6889999999994</v>
      </c>
      <c r="I179" s="46">
        <v>5017.7803520000007</v>
      </c>
      <c r="J179" s="46">
        <v>5218.4915660800007</v>
      </c>
      <c r="K179" s="46">
        <v>1462.1162250240004</v>
      </c>
      <c r="L179" s="46">
        <v>1520.6008740249604</v>
      </c>
      <c r="M179" s="47">
        <f t="shared" si="14"/>
        <v>10348689.32828111</v>
      </c>
      <c r="N179" s="47">
        <f t="shared" si="15"/>
        <v>4474589.963951678</v>
      </c>
      <c r="O179" s="47">
        <f t="shared" si="16"/>
        <v>2230216.3658318552</v>
      </c>
      <c r="P179" s="47">
        <f t="shared" si="17"/>
        <v>8951350.8741927203</v>
      </c>
      <c r="Q179" s="47">
        <f t="shared" si="18"/>
        <v>26004846.532257363</v>
      </c>
      <c r="R179" s="48"/>
      <c r="S179" s="48"/>
      <c r="T179" s="48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</row>
    <row r="180" spans="1:184" s="24" customFormat="1">
      <c r="A180" s="43" t="s">
        <v>9</v>
      </c>
      <c r="B180" s="44" t="s">
        <v>221</v>
      </c>
      <c r="C180" s="44" t="s">
        <v>220</v>
      </c>
      <c r="D180" s="57">
        <v>3297.232</v>
      </c>
      <c r="E180" s="57">
        <f>4870.428-D180</f>
        <v>1573.1959999999999</v>
      </c>
      <c r="F180" s="57">
        <v>606.58199999999999</v>
      </c>
      <c r="G180" s="57">
        <f>3216.866-F180</f>
        <v>2610.2840000000001</v>
      </c>
      <c r="H180" s="57">
        <f t="shared" si="13"/>
        <v>8087.2939999999999</v>
      </c>
      <c r="I180" s="46">
        <v>4039.7543680000003</v>
      </c>
      <c r="J180" s="46">
        <v>4201.3445427200004</v>
      </c>
      <c r="K180" s="46">
        <v>1514.9083422720003</v>
      </c>
      <c r="L180" s="46">
        <v>1575.5046759628804</v>
      </c>
      <c r="M180" s="47">
        <f t="shared" si="14"/>
        <v>8325003.1111031855</v>
      </c>
      <c r="N180" s="47">
        <f t="shared" si="15"/>
        <v>3972077.6682911869</v>
      </c>
      <c r="O180" s="47">
        <f t="shared" si="16"/>
        <v>1592787.1980572673</v>
      </c>
      <c r="P180" s="47">
        <f t="shared" si="17"/>
        <v>6854187.7907582428</v>
      </c>
      <c r="Q180" s="47">
        <f t="shared" si="18"/>
        <v>20744055.768209882</v>
      </c>
      <c r="R180" s="48"/>
      <c r="S180" s="48"/>
      <c r="T180" s="48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</row>
    <row r="181" spans="1:184" s="24" customFormat="1">
      <c r="A181" s="43" t="s">
        <v>9</v>
      </c>
      <c r="B181" s="44" t="s">
        <v>221</v>
      </c>
      <c r="C181" s="44" t="s">
        <v>222</v>
      </c>
      <c r="D181" s="57">
        <v>1462.5640000000001</v>
      </c>
      <c r="E181" s="57">
        <f>2218.433-D181</f>
        <v>755.86899999999991</v>
      </c>
      <c r="F181" s="57">
        <v>385.95499999999998</v>
      </c>
      <c r="G181" s="57">
        <f>1594.264-F181</f>
        <v>1208.309</v>
      </c>
      <c r="H181" s="57">
        <f t="shared" si="13"/>
        <v>3812.6970000000001</v>
      </c>
      <c r="I181" s="46">
        <v>5230.0227200000008</v>
      </c>
      <c r="J181" s="46">
        <v>5439.2236288000013</v>
      </c>
      <c r="K181" s="46">
        <v>1514.9083422720003</v>
      </c>
      <c r="L181" s="46">
        <v>1575.5046759628804</v>
      </c>
      <c r="M181" s="47">
        <f t="shared" si="14"/>
        <v>5433592.544747375</v>
      </c>
      <c r="N181" s="47">
        <f t="shared" si="15"/>
        <v>2808139.7895788858</v>
      </c>
      <c r="O181" s="47">
        <f t="shared" si="16"/>
        <v>1491221.6484422509</v>
      </c>
      <c r="P181" s="47">
        <f t="shared" si="17"/>
        <v>4668566.3841836685</v>
      </c>
      <c r="Q181" s="47">
        <f t="shared" si="18"/>
        <v>14401520.366952181</v>
      </c>
      <c r="R181" s="48"/>
      <c r="S181" s="48"/>
      <c r="T181" s="48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</row>
    <row r="182" spans="1:184" s="24" customFormat="1">
      <c r="A182" s="43" t="s">
        <v>9</v>
      </c>
      <c r="B182" s="44" t="s">
        <v>221</v>
      </c>
      <c r="C182" s="44" t="s">
        <v>69</v>
      </c>
      <c r="D182" s="57">
        <v>707.62800000000004</v>
      </c>
      <c r="E182" s="57">
        <f>1102.977-D182</f>
        <v>395.34900000000005</v>
      </c>
      <c r="F182" s="57">
        <v>182.69300000000001</v>
      </c>
      <c r="G182" s="57">
        <f>824.854-F182</f>
        <v>642.16100000000006</v>
      </c>
      <c r="H182" s="57">
        <f t="shared" si="13"/>
        <v>1927.8310000000001</v>
      </c>
      <c r="I182" s="46">
        <v>4476.7315840000001</v>
      </c>
      <c r="J182" s="46">
        <v>4655.8008473600003</v>
      </c>
      <c r="K182" s="46">
        <v>1514.9083422720003</v>
      </c>
      <c r="L182" s="46">
        <v>1575.5046759628804</v>
      </c>
      <c r="M182" s="47">
        <f t="shared" si="14"/>
        <v>2095869.056897501</v>
      </c>
      <c r="N182" s="47">
        <f t="shared" si="15"/>
        <v>1170953.8567939231</v>
      </c>
      <c r="O182" s="47">
        <f t="shared" si="16"/>
        <v>562748.54844105407</v>
      </c>
      <c r="P182" s="47">
        <f t="shared" si="17"/>
        <v>1978046.069720546</v>
      </c>
      <c r="Q182" s="47">
        <f t="shared" si="18"/>
        <v>5807617.5318530239</v>
      </c>
      <c r="R182" s="48"/>
      <c r="S182" s="48"/>
      <c r="T182" s="48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</row>
    <row r="183" spans="1:184" s="24" customFormat="1">
      <c r="A183" s="43" t="s">
        <v>285</v>
      </c>
      <c r="B183" s="44" t="s">
        <v>224</v>
      </c>
      <c r="C183" s="44" t="s">
        <v>225</v>
      </c>
      <c r="D183" s="57">
        <v>2157.5250000000001</v>
      </c>
      <c r="E183" s="57">
        <f>3247.888-D183</f>
        <v>1090.3629999999998</v>
      </c>
      <c r="F183" s="57">
        <v>551.37</v>
      </c>
      <c r="G183" s="57">
        <f>2708.895-F183</f>
        <v>2157.5250000000001</v>
      </c>
      <c r="H183" s="57">
        <f t="shared" si="13"/>
        <v>5956.7829999999994</v>
      </c>
      <c r="I183" s="46">
        <v>4217.26656</v>
      </c>
      <c r="J183" s="46">
        <v>4385.9572224000003</v>
      </c>
      <c r="K183" s="46">
        <v>1462.1162250240004</v>
      </c>
      <c r="L183" s="46">
        <v>1520.6008740249604</v>
      </c>
      <c r="M183" s="47">
        <f t="shared" si="14"/>
        <v>5944305.7264690939</v>
      </c>
      <c r="N183" s="47">
        <f t="shared" si="15"/>
        <v>3004113.9846954355</v>
      </c>
      <c r="O183" s="47">
        <f t="shared" si="16"/>
        <v>1579871.5298035457</v>
      </c>
      <c r="P183" s="47">
        <f t="shared" si="17"/>
        <v>6182077.9555278579</v>
      </c>
      <c r="Q183" s="47">
        <f t="shared" si="18"/>
        <v>16710369.196495935</v>
      </c>
      <c r="R183" s="48"/>
      <c r="S183" s="48"/>
      <c r="T183" s="48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</row>
    <row r="184" spans="1:184" s="24" customFormat="1">
      <c r="A184" s="43">
        <v>7729314745</v>
      </c>
      <c r="B184" s="44" t="s">
        <v>391</v>
      </c>
      <c r="C184" s="44" t="s">
        <v>396</v>
      </c>
      <c r="D184" s="57">
        <f>1342.0825*0.6</f>
        <v>805.24950000000001</v>
      </c>
      <c r="E184" s="57">
        <f>1342.0825*0.4</f>
        <v>536.83299999999997</v>
      </c>
      <c r="F184" s="57">
        <f>1098.0675*0.2</f>
        <v>219.61350000000004</v>
      </c>
      <c r="G184" s="57">
        <f>1098.0675*0.8</f>
        <v>878.45400000000018</v>
      </c>
      <c r="H184" s="57">
        <f t="shared" si="13"/>
        <v>2440.15</v>
      </c>
      <c r="I184" s="46">
        <v>3243.75</v>
      </c>
      <c r="J184" s="46">
        <v>3373.5</v>
      </c>
      <c r="K184" s="46">
        <v>1206.83</v>
      </c>
      <c r="L184" s="46">
        <v>1255.0999999999999</v>
      </c>
      <c r="M184" s="47">
        <f t="shared" si="14"/>
        <v>1640228.8115400001</v>
      </c>
      <c r="N184" s="47">
        <f t="shared" si="15"/>
        <v>1093485.87436</v>
      </c>
      <c r="O184" s="47">
        <f t="shared" si="16"/>
        <v>465229.23840000009</v>
      </c>
      <c r="P184" s="47">
        <f t="shared" si="17"/>
        <v>1860916.9536000004</v>
      </c>
      <c r="Q184" s="47">
        <f t="shared" si="18"/>
        <v>5059860.8779000007</v>
      </c>
      <c r="R184" s="48"/>
      <c r="S184" s="48"/>
      <c r="T184" s="48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</row>
    <row r="185" spans="1:184" s="24" customFormat="1">
      <c r="A185" s="43" t="s">
        <v>283</v>
      </c>
      <c r="B185" s="44" t="s">
        <v>228</v>
      </c>
      <c r="C185" s="44" t="s">
        <v>329</v>
      </c>
      <c r="D185" s="57">
        <v>2831.7330000000002</v>
      </c>
      <c r="E185" s="57">
        <f>4262.825-D185</f>
        <v>1431.0919999999996</v>
      </c>
      <c r="F185" s="57">
        <v>699.79499999999996</v>
      </c>
      <c r="G185" s="57">
        <f>3526.956-F185</f>
        <v>2827.1610000000001</v>
      </c>
      <c r="H185" s="57">
        <f t="shared" si="13"/>
        <v>7789.7809999999999</v>
      </c>
      <c r="I185" s="46">
        <v>4189.6965760000003</v>
      </c>
      <c r="J185" s="46">
        <v>4357.2844390400005</v>
      </c>
      <c r="K185" s="46">
        <v>1462.1162250240004</v>
      </c>
      <c r="L185" s="46">
        <v>1520.6008740249604</v>
      </c>
      <c r="M185" s="47">
        <f t="shared" si="14"/>
        <v>7723779.2900103219</v>
      </c>
      <c r="N185" s="47">
        <f t="shared" si="15"/>
        <v>3903418.4196389448</v>
      </c>
      <c r="O185" s="47">
        <f t="shared" si="16"/>
        <v>1985096.9753796998</v>
      </c>
      <c r="P185" s="47">
        <f t="shared" si="17"/>
        <v>8019761.1443514861</v>
      </c>
      <c r="Q185" s="47">
        <f t="shared" si="18"/>
        <v>21632055.829380453</v>
      </c>
      <c r="R185" s="48"/>
      <c r="S185" s="48"/>
      <c r="T185" s="48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</row>
    <row r="186" spans="1:184" s="24" customFormat="1" ht="30">
      <c r="A186" s="43" t="s">
        <v>400</v>
      </c>
      <c r="B186" s="44" t="s">
        <v>399</v>
      </c>
      <c r="C186" s="44" t="s">
        <v>229</v>
      </c>
      <c r="D186" s="57">
        <f>87.97428*0.4</f>
        <v>35.189712</v>
      </c>
      <c r="E186" s="57">
        <f>87.97428*0.6</f>
        <v>52.784567999999993</v>
      </c>
      <c r="F186" s="57">
        <f>69.68572*0.2</f>
        <v>13.937144000000002</v>
      </c>
      <c r="G186" s="57">
        <f>69.68572*0.8</f>
        <v>55.748576000000007</v>
      </c>
      <c r="H186" s="57">
        <f t="shared" si="13"/>
        <v>157.66</v>
      </c>
      <c r="I186" s="46">
        <v>1841.2076800000002</v>
      </c>
      <c r="J186" s="46">
        <v>1914.8559872000003</v>
      </c>
      <c r="K186" s="46">
        <v>1189.2591984000003</v>
      </c>
      <c r="L186" s="46">
        <v>1236.8295663360004</v>
      </c>
      <c r="M186" s="47">
        <f t="shared" si="14"/>
        <v>22941.879306341296</v>
      </c>
      <c r="N186" s="47">
        <f t="shared" si="15"/>
        <v>34412.81895951194</v>
      </c>
      <c r="O186" s="47">
        <f t="shared" si="16"/>
        <v>9449.751863386171</v>
      </c>
      <c r="P186" s="47">
        <f t="shared" si="17"/>
        <v>37799.007453544684</v>
      </c>
      <c r="Q186" s="47">
        <f t="shared" si="18"/>
        <v>104603.45758278409</v>
      </c>
      <c r="R186" s="48"/>
      <c r="S186" s="48"/>
      <c r="T186" s="48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</row>
    <row r="187" spans="1:184" s="24" customFormat="1" ht="15.75">
      <c r="A187" s="112" t="s">
        <v>230</v>
      </c>
      <c r="B187" s="112"/>
      <c r="C187" s="112"/>
      <c r="D187" s="99"/>
      <c r="E187" s="99"/>
      <c r="F187" s="98"/>
      <c r="G187" s="98"/>
      <c r="H187" s="57"/>
      <c r="I187" s="40"/>
      <c r="J187" s="40"/>
      <c r="K187" s="40"/>
      <c r="L187" s="40"/>
      <c r="M187" s="47">
        <f t="shared" si="14"/>
        <v>0</v>
      </c>
      <c r="N187" s="47">
        <f t="shared" si="15"/>
        <v>0</v>
      </c>
      <c r="O187" s="47">
        <f t="shared" si="16"/>
        <v>0</v>
      </c>
      <c r="P187" s="47">
        <f t="shared" si="17"/>
        <v>0</v>
      </c>
      <c r="Q187" s="47">
        <f t="shared" si="18"/>
        <v>0</v>
      </c>
      <c r="R187" s="88"/>
      <c r="S187" s="88"/>
      <c r="T187" s="88"/>
    </row>
    <row r="188" spans="1:184" s="24" customFormat="1">
      <c r="A188" s="43" t="s">
        <v>281</v>
      </c>
      <c r="B188" s="44" t="s">
        <v>231</v>
      </c>
      <c r="C188" s="44" t="s">
        <v>232</v>
      </c>
      <c r="D188" s="57">
        <v>1854.579</v>
      </c>
      <c r="E188" s="57">
        <f>2745.348-D188</f>
        <v>890.76900000000001</v>
      </c>
      <c r="F188" s="57">
        <v>420.50400000000002</v>
      </c>
      <c r="G188" s="57">
        <f>2230.078-F188</f>
        <v>1809.5740000000001</v>
      </c>
      <c r="H188" s="57">
        <f t="shared" si="13"/>
        <v>4975.4259999999995</v>
      </c>
      <c r="I188" s="46">
        <v>3848.5383040000002</v>
      </c>
      <c r="J188" s="46">
        <v>4002.4798361600001</v>
      </c>
      <c r="K188" s="46">
        <v>2056.1668022272002</v>
      </c>
      <c r="L188" s="46">
        <v>2138.4134743162881</v>
      </c>
      <c r="M188" s="47">
        <f t="shared" si="14"/>
        <v>3324094.5473862975</v>
      </c>
      <c r="N188" s="47">
        <f t="shared" si="15"/>
        <v>1596588.9702626553</v>
      </c>
      <c r="O188" s="47">
        <f t="shared" si="16"/>
        <v>783847.36142072827</v>
      </c>
      <c r="P188" s="47">
        <f t="shared" si="17"/>
        <v>3373166.0226669735</v>
      </c>
      <c r="Q188" s="47">
        <f t="shared" si="18"/>
        <v>9077696.9017366543</v>
      </c>
      <c r="R188" s="48"/>
      <c r="S188" s="48"/>
      <c r="T188" s="48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</row>
    <row r="189" spans="1:184" s="24" customFormat="1">
      <c r="A189" s="43" t="s">
        <v>26</v>
      </c>
      <c r="B189" s="44" t="s">
        <v>233</v>
      </c>
      <c r="C189" s="44" t="s">
        <v>232</v>
      </c>
      <c r="D189" s="57">
        <v>2332.665</v>
      </c>
      <c r="E189" s="57">
        <f>3487.96-D189</f>
        <v>1155.2950000000001</v>
      </c>
      <c r="F189" s="57">
        <v>552.88199999999995</v>
      </c>
      <c r="G189" s="57">
        <f>2878.562-F189</f>
        <v>2325.6799999999998</v>
      </c>
      <c r="H189" s="57">
        <f t="shared" si="13"/>
        <v>6366.5219999999999</v>
      </c>
      <c r="I189" s="46">
        <v>4205.1526400000002</v>
      </c>
      <c r="J189" s="46">
        <v>4373.3587456000005</v>
      </c>
      <c r="K189" s="46">
        <v>2056.1668022272002</v>
      </c>
      <c r="L189" s="46">
        <v>2138.4134743162881</v>
      </c>
      <c r="M189" s="47">
        <f t="shared" si="14"/>
        <v>5012864.0492682885</v>
      </c>
      <c r="N189" s="47">
        <f t="shared" si="15"/>
        <v>2482712.5934497272</v>
      </c>
      <c r="O189" s="47">
        <f t="shared" si="16"/>
        <v>1235661.0114778813</v>
      </c>
      <c r="P189" s="47">
        <f t="shared" si="17"/>
        <v>5197767.5185191035</v>
      </c>
      <c r="Q189" s="47">
        <f t="shared" si="18"/>
        <v>13929005.172715001</v>
      </c>
      <c r="R189" s="48"/>
      <c r="S189" s="48"/>
      <c r="T189" s="48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</row>
    <row r="190" spans="1:184" s="24" customFormat="1">
      <c r="A190" s="43" t="s">
        <v>26</v>
      </c>
      <c r="B190" s="44" t="s">
        <v>233</v>
      </c>
      <c r="C190" s="44" t="s">
        <v>234</v>
      </c>
      <c r="D190" s="57">
        <v>578.21600000000001</v>
      </c>
      <c r="E190" s="57">
        <f>863.393-D190</f>
        <v>285.17700000000002</v>
      </c>
      <c r="F190" s="57">
        <v>138.613</v>
      </c>
      <c r="G190" s="57">
        <f>712.309-F190</f>
        <v>573.69599999999991</v>
      </c>
      <c r="H190" s="57">
        <f t="shared" si="13"/>
        <v>1575.702</v>
      </c>
      <c r="I190" s="46"/>
      <c r="J190" s="46"/>
      <c r="K190" s="46"/>
      <c r="L190" s="46"/>
      <c r="M190" s="47">
        <f t="shared" si="14"/>
        <v>0</v>
      </c>
      <c r="N190" s="47">
        <f t="shared" si="15"/>
        <v>0</v>
      </c>
      <c r="O190" s="47">
        <f t="shared" si="16"/>
        <v>0</v>
      </c>
      <c r="P190" s="47">
        <f t="shared" si="17"/>
        <v>0</v>
      </c>
      <c r="Q190" s="47">
        <f t="shared" si="18"/>
        <v>0</v>
      </c>
      <c r="R190" s="48"/>
      <c r="S190" s="48"/>
      <c r="T190" s="48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</row>
    <row r="191" spans="1:184" s="24" customFormat="1">
      <c r="A191" s="43" t="s">
        <v>29</v>
      </c>
      <c r="B191" s="44" t="s">
        <v>87</v>
      </c>
      <c r="C191" s="44" t="s">
        <v>235</v>
      </c>
      <c r="D191" s="57">
        <v>102.801</v>
      </c>
      <c r="E191" s="57">
        <f>153.649-D191</f>
        <v>50.847999999999999</v>
      </c>
      <c r="F191" s="57">
        <v>22.844000000000001</v>
      </c>
      <c r="G191" s="57">
        <f>125.645-F191</f>
        <v>102.80099999999999</v>
      </c>
      <c r="H191" s="57">
        <f t="shared" si="13"/>
        <v>279.29399999999998</v>
      </c>
      <c r="I191" s="46">
        <v>4268.6641920000002</v>
      </c>
      <c r="J191" s="46">
        <v>4439.4107596800004</v>
      </c>
      <c r="K191" s="46">
        <v>1716.3595438080004</v>
      </c>
      <c r="L191" s="46">
        <v>1785.0139255603203</v>
      </c>
      <c r="M191" s="47">
        <f t="shared" si="14"/>
        <v>262379.47013878578</v>
      </c>
      <c r="N191" s="47">
        <f t="shared" si="15"/>
        <v>129779.58675126682</v>
      </c>
      <c r="O191" s="47">
        <f t="shared" si="16"/>
        <v>60637.041278629978</v>
      </c>
      <c r="P191" s="47">
        <f t="shared" si="17"/>
        <v>272874.64894433721</v>
      </c>
      <c r="Q191" s="47">
        <f t="shared" si="18"/>
        <v>725670.74711301981</v>
      </c>
      <c r="R191" s="48"/>
      <c r="S191" s="48"/>
      <c r="T191" s="48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</row>
    <row r="192" spans="1:184" s="24" customFormat="1" ht="45">
      <c r="A192" s="43" t="s">
        <v>29</v>
      </c>
      <c r="B192" s="44" t="s">
        <v>87</v>
      </c>
      <c r="C192" s="44" t="s">
        <v>344</v>
      </c>
      <c r="D192" s="57">
        <v>67.397999999999996</v>
      </c>
      <c r="E192" s="57">
        <f>112.33-D192</f>
        <v>44.932000000000002</v>
      </c>
      <c r="F192" s="57">
        <v>20.968</v>
      </c>
      <c r="G192" s="57">
        <f>88.366-F192</f>
        <v>67.397999999999996</v>
      </c>
      <c r="H192" s="57">
        <f t="shared" si="13"/>
        <v>200.696</v>
      </c>
      <c r="I192" s="46">
        <v>4042.923456</v>
      </c>
      <c r="J192" s="46">
        <v>4204.6403942400002</v>
      </c>
      <c r="K192" s="46">
        <v>1716.3595438080004</v>
      </c>
      <c r="L192" s="46">
        <v>1785.0139255603203</v>
      </c>
      <c r="M192" s="47">
        <f t="shared" si="14"/>
        <v>156805.75455391637</v>
      </c>
      <c r="N192" s="47">
        <f t="shared" si="15"/>
        <v>104537.16970261092</v>
      </c>
      <c r="O192" s="47">
        <f t="shared" si="16"/>
        <v>50734.727795275525</v>
      </c>
      <c r="P192" s="47">
        <f t="shared" si="17"/>
        <v>163077.98473607306</v>
      </c>
      <c r="Q192" s="47">
        <f t="shared" si="18"/>
        <v>475155.63678787585</v>
      </c>
      <c r="R192" s="48"/>
      <c r="S192" s="48"/>
      <c r="T192" s="48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</row>
    <row r="193" spans="1:184" s="24" customFormat="1" ht="45">
      <c r="A193" s="43" t="s">
        <v>29</v>
      </c>
      <c r="B193" s="44" t="s">
        <v>87</v>
      </c>
      <c r="C193" s="44" t="s">
        <v>345</v>
      </c>
      <c r="D193" s="57">
        <v>193.31700000000001</v>
      </c>
      <c r="E193" s="57">
        <f>289.975-D193</f>
        <v>96.658000000000015</v>
      </c>
      <c r="F193" s="57">
        <v>33.991999999999997</v>
      </c>
      <c r="G193" s="57">
        <f>226.606-F193</f>
        <v>192.614</v>
      </c>
      <c r="H193" s="57">
        <f t="shared" si="13"/>
        <v>516.58100000000002</v>
      </c>
      <c r="I193" s="46">
        <v>4629.2912640000004</v>
      </c>
      <c r="J193" s="46">
        <v>4814.4629145600002</v>
      </c>
      <c r="K193" s="46">
        <v>1716.3595438080004</v>
      </c>
      <c r="L193" s="46">
        <v>1785.0139255603203</v>
      </c>
      <c r="M193" s="47">
        <f t="shared" si="14"/>
        <v>563119.22135235695</v>
      </c>
      <c r="N193" s="47">
        <f t="shared" si="15"/>
        <v>281558.1542103184</v>
      </c>
      <c r="O193" s="47">
        <f t="shared" si="16"/>
        <v>102977.03003407711</v>
      </c>
      <c r="P193" s="47">
        <f t="shared" si="17"/>
        <v>583514.28756718431</v>
      </c>
      <c r="Q193" s="47">
        <f t="shared" si="18"/>
        <v>1531168.6931639367</v>
      </c>
      <c r="R193" s="48"/>
      <c r="S193" s="48"/>
      <c r="T193" s="48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</row>
    <row r="194" spans="1:184" s="24" customFormat="1">
      <c r="A194" s="43" t="s">
        <v>29</v>
      </c>
      <c r="B194" s="44" t="s">
        <v>87</v>
      </c>
      <c r="C194" s="44" t="s">
        <v>75</v>
      </c>
      <c r="D194" s="57">
        <v>76.367999999999995</v>
      </c>
      <c r="E194" s="57">
        <f>112.282-D194</f>
        <v>35.914000000000001</v>
      </c>
      <c r="F194" s="57">
        <v>18.106999999999999</v>
      </c>
      <c r="G194" s="57">
        <f>90.687-F194</f>
        <v>72.58</v>
      </c>
      <c r="H194" s="57">
        <f t="shared" si="13"/>
        <v>202.96899999999999</v>
      </c>
      <c r="I194" s="46">
        <v>4385.2931200000003</v>
      </c>
      <c r="J194" s="46">
        <v>4560.7048448000005</v>
      </c>
      <c r="K194" s="46">
        <v>1345.2095529600003</v>
      </c>
      <c r="L194" s="46">
        <v>1399.0179350784003</v>
      </c>
      <c r="M194" s="47">
        <f t="shared" si="14"/>
        <v>232165.10184771073</v>
      </c>
      <c r="N194" s="47">
        <f t="shared" si="15"/>
        <v>109181.56122667457</v>
      </c>
      <c r="O194" s="47">
        <f t="shared" si="16"/>
        <v>57248.664874329013</v>
      </c>
      <c r="P194" s="47">
        <f t="shared" si="17"/>
        <v>229475.23590759374</v>
      </c>
      <c r="Q194" s="47">
        <f t="shared" si="18"/>
        <v>628070.56385630812</v>
      </c>
      <c r="R194" s="48"/>
      <c r="S194" s="48"/>
      <c r="T194" s="48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</row>
    <row r="195" spans="1:184" s="24" customFormat="1">
      <c r="A195" s="112" t="s">
        <v>236</v>
      </c>
      <c r="B195" s="112"/>
      <c r="C195" s="112"/>
      <c r="D195" s="108"/>
      <c r="E195" s="102"/>
      <c r="F195" s="103"/>
      <c r="G195" s="103"/>
      <c r="H195" s="57"/>
      <c r="I195" s="61"/>
      <c r="J195" s="61"/>
      <c r="K195" s="61"/>
      <c r="L195" s="61"/>
      <c r="M195" s="47">
        <f t="shared" si="14"/>
        <v>0</v>
      </c>
      <c r="N195" s="47">
        <f t="shared" si="15"/>
        <v>0</v>
      </c>
      <c r="O195" s="47">
        <f t="shared" si="16"/>
        <v>0</v>
      </c>
      <c r="P195" s="47">
        <f t="shared" si="17"/>
        <v>0</v>
      </c>
      <c r="Q195" s="47">
        <f t="shared" si="18"/>
        <v>0</v>
      </c>
      <c r="R195" s="47"/>
      <c r="S195" s="47"/>
      <c r="T195" s="47"/>
    </row>
    <row r="196" spans="1:184" s="24" customFormat="1" ht="15.75">
      <c r="A196" s="89" t="s">
        <v>280</v>
      </c>
      <c r="B196" s="44" t="s">
        <v>70</v>
      </c>
      <c r="C196" s="89" t="s">
        <v>237</v>
      </c>
      <c r="D196" s="105">
        <v>27996.595000000001</v>
      </c>
      <c r="E196" s="105">
        <f>41790.798-D196</f>
        <v>13794.203000000001</v>
      </c>
      <c r="F196" s="105">
        <v>1918.1610000000001</v>
      </c>
      <c r="G196" s="105">
        <v>24296.691999999999</v>
      </c>
      <c r="H196" s="57">
        <f t="shared" si="13"/>
        <v>68005.650999999998</v>
      </c>
      <c r="I196" s="66">
        <v>4329.6475040000005</v>
      </c>
      <c r="J196" s="66">
        <v>4502.833404160001</v>
      </c>
      <c r="K196" s="66">
        <v>1495.5957322342399</v>
      </c>
      <c r="L196" s="66">
        <v>1555.4195615236094</v>
      </c>
      <c r="M196" s="47">
        <f t="shared" si="14"/>
        <v>79343799.663158432</v>
      </c>
      <c r="N196" s="47">
        <f t="shared" si="15"/>
        <v>39093485.452246569</v>
      </c>
      <c r="O196" s="47">
        <f t="shared" si="16"/>
        <v>5653614.2838052632</v>
      </c>
      <c r="P196" s="47">
        <f t="shared" si="17"/>
        <v>71612406.331072867</v>
      </c>
      <c r="Q196" s="47">
        <f t="shared" si="18"/>
        <v>195703305.73028314</v>
      </c>
      <c r="R196" s="47"/>
      <c r="S196" s="47"/>
      <c r="T196" s="88"/>
    </row>
    <row r="197" spans="1:184" s="24" customFormat="1" ht="15.75">
      <c r="A197" s="89" t="s">
        <v>280</v>
      </c>
      <c r="B197" s="44" t="s">
        <v>70</v>
      </c>
      <c r="C197" s="89" t="s">
        <v>238</v>
      </c>
      <c r="D197" s="105">
        <v>1130.731</v>
      </c>
      <c r="E197" s="105">
        <f>1874.703-D197</f>
        <v>743.97199999999998</v>
      </c>
      <c r="F197" s="105">
        <v>157.666</v>
      </c>
      <c r="G197" s="105">
        <v>1135.1949999999999</v>
      </c>
      <c r="H197" s="57">
        <f t="shared" si="13"/>
        <v>3167.5639999999999</v>
      </c>
      <c r="I197" s="66">
        <v>4329.6475040000005</v>
      </c>
      <c r="J197" s="66">
        <v>4502.833404160001</v>
      </c>
      <c r="K197" s="66">
        <v>1495.5957322342399</v>
      </c>
      <c r="L197" s="66">
        <v>1555.4195615236094</v>
      </c>
      <c r="M197" s="47">
        <f t="shared" si="14"/>
        <v>3204550.19394047</v>
      </c>
      <c r="N197" s="47">
        <f t="shared" si="15"/>
        <v>2108455.1647441164</v>
      </c>
      <c r="O197" s="47">
        <f t="shared" si="16"/>
        <v>464706.95091310929</v>
      </c>
      <c r="P197" s="47">
        <f t="shared" si="17"/>
        <v>3345889.4570916183</v>
      </c>
      <c r="Q197" s="47">
        <f t="shared" si="18"/>
        <v>9123601.7666893136</v>
      </c>
      <c r="R197" s="47"/>
      <c r="S197" s="47"/>
      <c r="T197" s="88"/>
    </row>
    <row r="198" spans="1:184" s="24" customFormat="1" ht="15.75">
      <c r="A198" s="89" t="s">
        <v>30</v>
      </c>
      <c r="B198" s="89" t="s">
        <v>159</v>
      </c>
      <c r="C198" s="89" t="s">
        <v>239</v>
      </c>
      <c r="D198" s="105">
        <v>414.82600000000002</v>
      </c>
      <c r="E198" s="105">
        <f>619.559-D198</f>
        <v>204.73299999999995</v>
      </c>
      <c r="F198" s="105">
        <v>76.114000000000004</v>
      </c>
      <c r="G198" s="105">
        <f>504.256-F198</f>
        <v>428.14199999999994</v>
      </c>
      <c r="H198" s="57">
        <f t="shared" si="13"/>
        <v>1123.8150000000001</v>
      </c>
      <c r="I198" s="66">
        <v>4172.9312721540218</v>
      </c>
      <c r="J198" s="66">
        <v>4339.848523040183</v>
      </c>
      <c r="K198" s="66">
        <v>1495.0426273036799</v>
      </c>
      <c r="L198" s="66">
        <v>1554.8443323958272</v>
      </c>
      <c r="M198" s="47">
        <f t="shared" si="14"/>
        <v>1110857.8349886879</v>
      </c>
      <c r="N198" s="47">
        <f t="shared" si="15"/>
        <v>548252.17592614482</v>
      </c>
      <c r="O198" s="47">
        <f t="shared" si="16"/>
        <v>211977.8089667045</v>
      </c>
      <c r="P198" s="47">
        <f t="shared" si="17"/>
        <v>1192377.2641908557</v>
      </c>
      <c r="Q198" s="47">
        <f t="shared" si="18"/>
        <v>3063465.0840723929</v>
      </c>
      <c r="R198" s="47"/>
      <c r="S198" s="47"/>
      <c r="T198" s="88"/>
    </row>
    <row r="199" spans="1:184" s="24" customFormat="1" ht="15.75">
      <c r="A199" s="89" t="s">
        <v>24</v>
      </c>
      <c r="B199" s="89" t="s">
        <v>240</v>
      </c>
      <c r="C199" s="89" t="s">
        <v>237</v>
      </c>
      <c r="D199" s="105">
        <v>17.07</v>
      </c>
      <c r="E199" s="105">
        <v>11.38</v>
      </c>
      <c r="F199" s="105">
        <v>2.84</v>
      </c>
      <c r="G199" s="105">
        <v>17.059999999999999</v>
      </c>
      <c r="H199" s="57">
        <f t="shared" si="13"/>
        <v>48.35</v>
      </c>
      <c r="I199" s="66">
        <v>7513.2803199999998</v>
      </c>
      <c r="J199" s="66">
        <v>7813.8115328000004</v>
      </c>
      <c r="K199" s="66">
        <v>1794.0513866496003</v>
      </c>
      <c r="L199" s="66">
        <v>1865.8134421155844</v>
      </c>
      <c r="M199" s="47">
        <f t="shared" si="14"/>
        <v>97627.237892291319</v>
      </c>
      <c r="N199" s="47">
        <f t="shared" si="15"/>
        <v>65084.825261527549</v>
      </c>
      <c r="O199" s="47">
        <f t="shared" si="16"/>
        <v>16892.314577543741</v>
      </c>
      <c r="P199" s="47">
        <f t="shared" si="17"/>
        <v>101472.84742707612</v>
      </c>
      <c r="Q199" s="47">
        <f t="shared" si="18"/>
        <v>281077.22515843873</v>
      </c>
      <c r="R199" s="47"/>
      <c r="S199" s="47"/>
      <c r="T199" s="88"/>
    </row>
    <row r="200" spans="1:184" s="24" customFormat="1" ht="15.75">
      <c r="A200" s="89" t="s">
        <v>279</v>
      </c>
      <c r="B200" s="89" t="s">
        <v>241</v>
      </c>
      <c r="C200" s="89" t="s">
        <v>238</v>
      </c>
      <c r="D200" s="105">
        <v>529.71299999999997</v>
      </c>
      <c r="E200" s="105">
        <f>786.026-D200</f>
        <v>256.31299999999999</v>
      </c>
      <c r="F200" s="105">
        <v>86.331999999999994</v>
      </c>
      <c r="G200" s="105">
        <f>616.045-F200</f>
        <v>529.71299999999997</v>
      </c>
      <c r="H200" s="57">
        <f t="shared" si="13"/>
        <v>1402.0709999999999</v>
      </c>
      <c r="I200" s="66">
        <v>5864.4676479999998</v>
      </c>
      <c r="J200" s="66">
        <v>6099.04635392</v>
      </c>
      <c r="K200" s="66">
        <v>1794.7151126528001</v>
      </c>
      <c r="L200" s="66">
        <v>1866.5037171589122</v>
      </c>
      <c r="M200" s="47">
        <f t="shared" si="14"/>
        <v>2155800.8247563709</v>
      </c>
      <c r="N200" s="47">
        <f t="shared" si="15"/>
        <v>1043130.4815924468</v>
      </c>
      <c r="O200" s="47">
        <f t="shared" si="16"/>
        <v>365403.8709168582</v>
      </c>
      <c r="P200" s="47">
        <f t="shared" si="17"/>
        <v>2242032.8577466263</v>
      </c>
      <c r="Q200" s="47">
        <f t="shared" si="18"/>
        <v>5806368.035012302</v>
      </c>
      <c r="R200" s="47"/>
      <c r="S200" s="47"/>
      <c r="T200" s="88"/>
    </row>
    <row r="201" spans="1:184" s="26" customFormat="1" ht="15.75">
      <c r="A201" s="89" t="s">
        <v>21</v>
      </c>
      <c r="B201" s="89" t="s">
        <v>116</v>
      </c>
      <c r="C201" s="89" t="s">
        <v>237</v>
      </c>
      <c r="D201" s="105">
        <v>2700.0140000000001</v>
      </c>
      <c r="E201" s="105">
        <f>4341.82-D201</f>
        <v>1641.8059999999996</v>
      </c>
      <c r="F201" s="105">
        <v>656.99900000000002</v>
      </c>
      <c r="G201" s="105">
        <f>3027.224-F201</f>
        <v>2370.2250000000004</v>
      </c>
      <c r="H201" s="57">
        <f t="shared" si="13"/>
        <v>7369.0439999999999</v>
      </c>
      <c r="I201" s="76">
        <v>3030.3544127999999</v>
      </c>
      <c r="J201" s="76">
        <v>3151.5685893119999</v>
      </c>
      <c r="K201" s="76">
        <v>1495.5842286250668</v>
      </c>
      <c r="L201" s="81">
        <v>1555.4075977700695</v>
      </c>
      <c r="M201" s="47">
        <f t="shared" si="14"/>
        <v>4143900.9840548979</v>
      </c>
      <c r="N201" s="47">
        <f t="shared" si="15"/>
        <v>2519794.8969995095</v>
      </c>
      <c r="O201" s="47">
        <f t="shared" si="16"/>
        <v>1048676.1752820567</v>
      </c>
      <c r="P201" s="47">
        <f t="shared" si="17"/>
        <v>3783260.6861774726</v>
      </c>
      <c r="Q201" s="47">
        <f t="shared" si="18"/>
        <v>11495632.742513936</v>
      </c>
      <c r="R201" s="82"/>
      <c r="S201" s="82"/>
      <c r="T201" s="96"/>
    </row>
    <row r="202" spans="1:184" s="24" customFormat="1" ht="15.75">
      <c r="A202" s="112" t="s">
        <v>242</v>
      </c>
      <c r="B202" s="112"/>
      <c r="C202" s="38"/>
      <c r="D202" s="102"/>
      <c r="E202" s="102"/>
      <c r="F202" s="103"/>
      <c r="G202" s="103"/>
      <c r="H202" s="57"/>
      <c r="I202" s="61"/>
      <c r="J202" s="61"/>
      <c r="K202" s="61"/>
      <c r="L202" s="76"/>
      <c r="M202" s="47">
        <f t="shared" ref="M202:M228" si="19">(I202-K202)*D202</f>
        <v>0</v>
      </c>
      <c r="N202" s="47">
        <f t="shared" ref="N202:N228" si="20">(I202-K202)*E202</f>
        <v>0</v>
      </c>
      <c r="O202" s="47">
        <f t="shared" ref="O202:O228" si="21">(J202-L202)*F202</f>
        <v>0</v>
      </c>
      <c r="P202" s="47">
        <f t="shared" ref="P202:P228" si="22">(G202*(J202-L202))</f>
        <v>0</v>
      </c>
      <c r="Q202" s="47">
        <f t="shared" ref="Q202:Q228" si="23">SUM(M202:P202)</f>
        <v>0</v>
      </c>
      <c r="R202" s="47"/>
      <c r="S202" s="47"/>
      <c r="T202" s="88"/>
    </row>
    <row r="203" spans="1:184" s="24" customFormat="1" ht="15.75">
      <c r="A203" s="89" t="s">
        <v>29</v>
      </c>
      <c r="B203" s="89" t="s">
        <v>243</v>
      </c>
      <c r="C203" s="89" t="s">
        <v>244</v>
      </c>
      <c r="D203" s="105">
        <v>360.822</v>
      </c>
      <c r="E203" s="105">
        <f>534.632-D203</f>
        <v>173.80999999999995</v>
      </c>
      <c r="F203" s="105">
        <v>59.058</v>
      </c>
      <c r="G203" s="105">
        <f>364.227-F203</f>
        <v>305.16899999999998</v>
      </c>
      <c r="H203" s="57">
        <f t="shared" ref="H203:H228" si="24">SUM(D203:G203)</f>
        <v>898.85899999999992</v>
      </c>
      <c r="I203" s="66">
        <v>3477.0087040000003</v>
      </c>
      <c r="J203" s="66">
        <v>3616.0890521600004</v>
      </c>
      <c r="K203" s="66">
        <v>1701.4762916528</v>
      </c>
      <c r="L203" s="66">
        <v>1769.5353433189121</v>
      </c>
      <c r="M203" s="47">
        <f t="shared" si="19"/>
        <v>640651.15608794149</v>
      </c>
      <c r="N203" s="47">
        <f t="shared" si="20"/>
        <v>308605.28859006678</v>
      </c>
      <c r="O203" s="47">
        <f t="shared" si="21"/>
        <v>109053.76893673699</v>
      </c>
      <c r="P203" s="47">
        <f t="shared" si="22"/>
        <v>563510.948773326</v>
      </c>
      <c r="Q203" s="47">
        <f t="shared" si="23"/>
        <v>1621821.1623880714</v>
      </c>
      <c r="R203" s="47"/>
      <c r="S203" s="47"/>
      <c r="T203" s="88"/>
    </row>
    <row r="204" spans="1:184" s="24" customFormat="1" ht="15.75">
      <c r="A204" s="89" t="s">
        <v>29</v>
      </c>
      <c r="B204" s="89" t="s">
        <v>243</v>
      </c>
      <c r="C204" s="89" t="s">
        <v>245</v>
      </c>
      <c r="D204" s="105">
        <v>1431.4590000000001</v>
      </c>
      <c r="E204" s="105">
        <f>2142.433-D204</f>
        <v>710.97399999999993</v>
      </c>
      <c r="F204" s="105">
        <v>224.423</v>
      </c>
      <c r="G204" s="105">
        <f>1717.06-F204</f>
        <v>1492.6369999999999</v>
      </c>
      <c r="H204" s="57">
        <f t="shared" si="24"/>
        <v>3859.4929999999995</v>
      </c>
      <c r="I204" s="66">
        <v>3477.0087040000003</v>
      </c>
      <c r="J204" s="66">
        <v>3616.0890521600004</v>
      </c>
      <c r="K204" s="66">
        <v>1670.7588119040001</v>
      </c>
      <c r="L204" s="66">
        <v>1737.5891643801601</v>
      </c>
      <c r="M204" s="47">
        <f t="shared" si="19"/>
        <v>2585572.6642898484</v>
      </c>
      <c r="N204" s="47">
        <f t="shared" si="20"/>
        <v>1284196.7107830616</v>
      </c>
      <c r="O204" s="47">
        <f t="shared" si="21"/>
        <v>421578.58031521511</v>
      </c>
      <c r="P204" s="47">
        <f t="shared" si="22"/>
        <v>2803918.4369960371</v>
      </c>
      <c r="Q204" s="47">
        <f t="shared" si="23"/>
        <v>7095266.3923841622</v>
      </c>
      <c r="R204" s="47"/>
      <c r="S204" s="47"/>
      <c r="T204" s="88"/>
    </row>
    <row r="205" spans="1:184" s="24" customFormat="1" ht="15.75">
      <c r="A205" s="89" t="s">
        <v>47</v>
      </c>
      <c r="B205" s="89" t="s">
        <v>246</v>
      </c>
      <c r="C205" s="89" t="s">
        <v>247</v>
      </c>
      <c r="D205" s="105">
        <v>81.010000000000005</v>
      </c>
      <c r="E205" s="105">
        <f>120.36-D205</f>
        <v>39.349999999999994</v>
      </c>
      <c r="F205" s="105">
        <v>12.61</v>
      </c>
      <c r="G205" s="105">
        <f>94.64-F205</f>
        <v>82.03</v>
      </c>
      <c r="H205" s="57">
        <f t="shared" si="24"/>
        <v>215</v>
      </c>
      <c r="I205" s="66">
        <v>2032.4237440000002</v>
      </c>
      <c r="J205" s="66">
        <v>2113.7206937600004</v>
      </c>
      <c r="K205" s="66">
        <v>1782.5808000000002</v>
      </c>
      <c r="L205" s="66">
        <v>1853.8840320000002</v>
      </c>
      <c r="M205" s="47">
        <f t="shared" si="19"/>
        <v>20239.776893440001</v>
      </c>
      <c r="N205" s="47">
        <f t="shared" si="20"/>
        <v>9831.3198463999979</v>
      </c>
      <c r="O205" s="47">
        <f t="shared" si="21"/>
        <v>3276.5403047936024</v>
      </c>
      <c r="P205" s="47">
        <f t="shared" si="22"/>
        <v>21314.401364172816</v>
      </c>
      <c r="Q205" s="47">
        <f t="shared" si="23"/>
        <v>54662.038408806417</v>
      </c>
      <c r="R205" s="47"/>
      <c r="S205" s="47"/>
      <c r="T205" s="88"/>
    </row>
    <row r="206" spans="1:184" s="24" customFormat="1" ht="15.75">
      <c r="A206" s="89" t="s">
        <v>274</v>
      </c>
      <c r="B206" s="89" t="s">
        <v>248</v>
      </c>
      <c r="C206" s="89" t="s">
        <v>249</v>
      </c>
      <c r="D206" s="105">
        <v>68.388000000000005</v>
      </c>
      <c r="E206" s="105">
        <f>101.479-D206</f>
        <v>33.090999999999994</v>
      </c>
      <c r="F206" s="105">
        <v>10.638</v>
      </c>
      <c r="G206" s="105">
        <f>79.026-F206</f>
        <v>68.387999999999991</v>
      </c>
      <c r="H206" s="57">
        <f t="shared" si="24"/>
        <v>180.505</v>
      </c>
      <c r="I206" s="66">
        <v>4219.4513919999999</v>
      </c>
      <c r="J206" s="66">
        <v>4388.2294476799998</v>
      </c>
      <c r="K206" s="66">
        <v>1555.733734464</v>
      </c>
      <c r="L206" s="66">
        <v>1617.9630838425601</v>
      </c>
      <c r="M206" s="47">
        <f t="shared" si="19"/>
        <v>182166.32316357197</v>
      </c>
      <c r="N206" s="47">
        <f t="shared" si="20"/>
        <v>88145.081005523753</v>
      </c>
      <c r="O206" s="47">
        <f t="shared" si="21"/>
        <v>29470.093578502685</v>
      </c>
      <c r="P206" s="47">
        <f t="shared" si="22"/>
        <v>189452.9760901148</v>
      </c>
      <c r="Q206" s="47">
        <f t="shared" si="23"/>
        <v>489234.47383771325</v>
      </c>
      <c r="R206" s="47"/>
      <c r="S206" s="47"/>
      <c r="T206" s="88"/>
    </row>
    <row r="207" spans="1:184" s="24" customFormat="1" ht="15.75">
      <c r="A207" s="89" t="s">
        <v>278</v>
      </c>
      <c r="B207" s="89" t="s">
        <v>243</v>
      </c>
      <c r="C207" s="89" t="s">
        <v>250</v>
      </c>
      <c r="D207" s="105">
        <v>108.432</v>
      </c>
      <c r="E207" s="105">
        <f>162.249-D207</f>
        <v>53.816999999999993</v>
      </c>
      <c r="F207" s="105">
        <v>12.077</v>
      </c>
      <c r="G207" s="105">
        <f>121.608-F207</f>
        <v>109.53100000000001</v>
      </c>
      <c r="H207" s="57">
        <f t="shared" si="24"/>
        <v>283.85699999999997</v>
      </c>
      <c r="I207" s="66">
        <v>3477.0087040000003</v>
      </c>
      <c r="J207" s="66">
        <v>3616.0890521600004</v>
      </c>
      <c r="K207" s="66">
        <v>1924.3677398400002</v>
      </c>
      <c r="L207" s="66">
        <v>2001.3424494336002</v>
      </c>
      <c r="M207" s="47">
        <f t="shared" si="19"/>
        <v>168355.96502579714</v>
      </c>
      <c r="N207" s="47">
        <f t="shared" si="20"/>
        <v>83558.478768198707</v>
      </c>
      <c r="O207" s="47">
        <f t="shared" si="21"/>
        <v>19501.294721126735</v>
      </c>
      <c r="P207" s="47">
        <f t="shared" si="22"/>
        <v>176864.81014322536</v>
      </c>
      <c r="Q207" s="47">
        <f t="shared" si="23"/>
        <v>448280.54865834792</v>
      </c>
      <c r="R207" s="47"/>
      <c r="S207" s="47"/>
      <c r="T207" s="88"/>
    </row>
    <row r="208" spans="1:184" s="24" customFormat="1" ht="15.75">
      <c r="A208" s="89" t="s">
        <v>277</v>
      </c>
      <c r="B208" s="89" t="s">
        <v>243</v>
      </c>
      <c r="C208" s="89" t="s">
        <v>251</v>
      </c>
      <c r="D208" s="105">
        <v>146.178</v>
      </c>
      <c r="E208" s="105">
        <f>187.974-D208</f>
        <v>41.795999999999992</v>
      </c>
      <c r="F208" s="105">
        <v>29.762</v>
      </c>
      <c r="G208" s="105">
        <f>221.093-F208</f>
        <v>191.33099999999999</v>
      </c>
      <c r="H208" s="57">
        <f t="shared" si="24"/>
        <v>409.06700000000001</v>
      </c>
      <c r="I208" s="66">
        <v>3477.0087040000003</v>
      </c>
      <c r="J208" s="66">
        <v>3616.0890521600004</v>
      </c>
      <c r="K208" s="66">
        <v>1381.5204923520002</v>
      </c>
      <c r="L208" s="66">
        <v>1436.7813120460803</v>
      </c>
      <c r="M208" s="47">
        <f t="shared" si="19"/>
        <v>306314.27580228139</v>
      </c>
      <c r="N208" s="47">
        <f t="shared" si="20"/>
        <v>87583.025294039806</v>
      </c>
      <c r="O208" s="47">
        <f t="shared" si="21"/>
        <v>64860.556961270486</v>
      </c>
      <c r="P208" s="47">
        <f t="shared" si="22"/>
        <v>416969.12922373635</v>
      </c>
      <c r="Q208" s="47">
        <f t="shared" si="23"/>
        <v>875726.98728132807</v>
      </c>
      <c r="R208" s="47"/>
      <c r="S208" s="47"/>
      <c r="T208" s="88"/>
    </row>
    <row r="209" spans="1:20" s="24" customFormat="1" ht="15.75">
      <c r="A209" s="89" t="s">
        <v>274</v>
      </c>
      <c r="B209" s="89" t="s">
        <v>248</v>
      </c>
      <c r="C209" s="89" t="s">
        <v>252</v>
      </c>
      <c r="D209" s="105">
        <v>280.971</v>
      </c>
      <c r="E209" s="105">
        <f>416.925-D209</f>
        <v>135.95400000000001</v>
      </c>
      <c r="F209" s="105">
        <v>43.707000000000001</v>
      </c>
      <c r="G209" s="105">
        <f>324.678-F209</f>
        <v>280.971</v>
      </c>
      <c r="H209" s="57">
        <f t="shared" si="24"/>
        <v>741.60300000000007</v>
      </c>
      <c r="I209" s="66">
        <v>3462.353024</v>
      </c>
      <c r="J209" s="66">
        <v>3600.8471449600002</v>
      </c>
      <c r="K209" s="66">
        <v>1762.4165811200003</v>
      </c>
      <c r="L209" s="66">
        <v>1832.9132443648004</v>
      </c>
      <c r="M209" s="47">
        <f t="shared" si="19"/>
        <v>477632.8422924364</v>
      </c>
      <c r="N209" s="47">
        <f t="shared" si="20"/>
        <v>231113.15915530748</v>
      </c>
      <c r="O209" s="47">
        <f t="shared" si="21"/>
        <v>77271.086993314399</v>
      </c>
      <c r="P209" s="47">
        <f t="shared" si="22"/>
        <v>496738.15598413389</v>
      </c>
      <c r="Q209" s="47">
        <f t="shared" si="23"/>
        <v>1282755.2444251922</v>
      </c>
      <c r="R209" s="47"/>
      <c r="S209" s="47"/>
      <c r="T209" s="88"/>
    </row>
    <row r="210" spans="1:20" s="24" customFormat="1" ht="15.75">
      <c r="A210" s="89" t="s">
        <v>276</v>
      </c>
      <c r="B210" s="89" t="s">
        <v>253</v>
      </c>
      <c r="C210" s="89" t="s">
        <v>254</v>
      </c>
      <c r="D210" s="105">
        <v>458.59</v>
      </c>
      <c r="E210" s="105">
        <f>671.624-D210</f>
        <v>213.03400000000005</v>
      </c>
      <c r="F210" s="105">
        <v>67.546000000000006</v>
      </c>
      <c r="G210" s="105">
        <f>514.983-F210</f>
        <v>447.43699999999995</v>
      </c>
      <c r="H210" s="57">
        <f t="shared" si="24"/>
        <v>1186.607</v>
      </c>
      <c r="I210" s="66">
        <v>2443.7670400000002</v>
      </c>
      <c r="J210" s="66">
        <v>2541.5177216000002</v>
      </c>
      <c r="K210" s="66">
        <v>1316.8354967040004</v>
      </c>
      <c r="L210" s="66">
        <v>1369.5089165721604</v>
      </c>
      <c r="M210" s="47">
        <f t="shared" si="19"/>
        <v>516799.53644011251</v>
      </c>
      <c r="N210" s="47">
        <f t="shared" si="20"/>
        <v>240074.73439452006</v>
      </c>
      <c r="O210" s="47">
        <f t="shared" si="21"/>
        <v>79164.506744410479</v>
      </c>
      <c r="P210" s="47">
        <f t="shared" si="22"/>
        <v>524400.1036952415</v>
      </c>
      <c r="Q210" s="47">
        <f t="shared" si="23"/>
        <v>1360438.8812742846</v>
      </c>
      <c r="R210" s="47"/>
      <c r="S210" s="47"/>
      <c r="T210" s="88"/>
    </row>
    <row r="211" spans="1:20" s="24" customFormat="1" ht="15.75">
      <c r="A211" s="89">
        <v>2907014810</v>
      </c>
      <c r="B211" s="89" t="s">
        <v>243</v>
      </c>
      <c r="C211" s="89" t="s">
        <v>255</v>
      </c>
      <c r="D211" s="105">
        <v>832.79200000000003</v>
      </c>
      <c r="E211" s="105">
        <f>1237.703-D211</f>
        <v>404.91099999999994</v>
      </c>
      <c r="F211" s="105">
        <v>128.26499999999999</v>
      </c>
      <c r="G211" s="105">
        <f>957.355-F211</f>
        <v>829.09</v>
      </c>
      <c r="H211" s="57">
        <f t="shared" si="24"/>
        <v>2195.058</v>
      </c>
      <c r="I211" s="66">
        <v>3477.0087040000003</v>
      </c>
      <c r="J211" s="66">
        <v>3616.0890521600004</v>
      </c>
      <c r="K211" s="66">
        <v>1904.1204000000002</v>
      </c>
      <c r="L211" s="66">
        <v>1980.2852160000002</v>
      </c>
      <c r="M211" s="47">
        <f t="shared" si="19"/>
        <v>1309888.796464768</v>
      </c>
      <c r="N211" s="47">
        <f t="shared" si="20"/>
        <v>636879.77606094396</v>
      </c>
      <c r="O211" s="47">
        <f t="shared" si="21"/>
        <v>209816.37904506241</v>
      </c>
      <c r="P211" s="47">
        <f t="shared" si="22"/>
        <v>1356228.6025218945</v>
      </c>
      <c r="Q211" s="47">
        <f t="shared" si="23"/>
        <v>3512813.5540926689</v>
      </c>
      <c r="R211" s="47"/>
      <c r="S211" s="47"/>
      <c r="T211" s="88"/>
    </row>
    <row r="212" spans="1:20" s="24" customFormat="1" ht="15.75">
      <c r="A212" s="89" t="s">
        <v>46</v>
      </c>
      <c r="B212" s="89" t="s">
        <v>256</v>
      </c>
      <c r="C212" s="89" t="s">
        <v>257</v>
      </c>
      <c r="D212" s="105">
        <v>250.64099999999999</v>
      </c>
      <c r="E212" s="105">
        <f>374.614-D212</f>
        <v>123.97299999999998</v>
      </c>
      <c r="F212" s="105">
        <v>50.128</v>
      </c>
      <c r="G212" s="105">
        <f>296.551-F212</f>
        <v>246.423</v>
      </c>
      <c r="H212" s="57">
        <f t="shared" si="24"/>
        <v>671.16499999999996</v>
      </c>
      <c r="I212" s="66">
        <v>1746.2066058666669</v>
      </c>
      <c r="J212" s="66">
        <v>1816.0548701013336</v>
      </c>
      <c r="K212" s="66">
        <v>1338.1944576000005</v>
      </c>
      <c r="L212" s="66">
        <v>1391.7222359040006</v>
      </c>
      <c r="M212" s="47">
        <f t="shared" si="19"/>
        <v>102264.57285370553</v>
      </c>
      <c r="N212" s="47">
        <f t="shared" si="20"/>
        <v>50582.490057063427</v>
      </c>
      <c r="O212" s="47">
        <f t="shared" si="21"/>
        <v>21270.946287043906</v>
      </c>
      <c r="P212" s="47">
        <f t="shared" si="22"/>
        <v>104565.32071680938</v>
      </c>
      <c r="Q212" s="47">
        <f t="shared" si="23"/>
        <v>278683.32991462224</v>
      </c>
      <c r="R212" s="47"/>
      <c r="S212" s="47"/>
      <c r="T212" s="88"/>
    </row>
    <row r="213" spans="1:20" s="24" customFormat="1" ht="15.75">
      <c r="A213" s="89" t="s">
        <v>275</v>
      </c>
      <c r="B213" s="89" t="s">
        <v>243</v>
      </c>
      <c r="C213" s="89" t="s">
        <v>258</v>
      </c>
      <c r="D213" s="105">
        <v>566.34</v>
      </c>
      <c r="E213" s="105">
        <f>834.597-D213</f>
        <v>268.25699999999995</v>
      </c>
      <c r="F213" s="105">
        <v>88.16</v>
      </c>
      <c r="G213" s="105">
        <f>654.499-F213</f>
        <v>566.33900000000006</v>
      </c>
      <c r="H213" s="57">
        <f t="shared" si="24"/>
        <v>1489.096</v>
      </c>
      <c r="I213" s="66">
        <v>3477.0087040000003</v>
      </c>
      <c r="J213" s="66">
        <v>3616.0890521600004</v>
      </c>
      <c r="K213" s="66">
        <v>1773.6493756800003</v>
      </c>
      <c r="L213" s="66">
        <v>1844.5953507072004</v>
      </c>
      <c r="M213" s="47">
        <f t="shared" si="19"/>
        <v>964680.5220007489</v>
      </c>
      <c r="N213" s="47">
        <f t="shared" si="20"/>
        <v>456938.06333713816</v>
      </c>
      <c r="O213" s="47">
        <f t="shared" si="21"/>
        <v>156174.88472007884</v>
      </c>
      <c r="P213" s="47">
        <f t="shared" si="22"/>
        <v>1003265.9713870774</v>
      </c>
      <c r="Q213" s="47">
        <f t="shared" si="23"/>
        <v>2581059.4414450433</v>
      </c>
      <c r="R213" s="47"/>
      <c r="S213" s="47"/>
      <c r="T213" s="88"/>
    </row>
    <row r="214" spans="1:20" s="24" customFormat="1" ht="15.75">
      <c r="A214" s="89" t="s">
        <v>10</v>
      </c>
      <c r="B214" s="89" t="s">
        <v>259</v>
      </c>
      <c r="C214" s="89" t="s">
        <v>260</v>
      </c>
      <c r="D214" s="105">
        <v>131.79</v>
      </c>
      <c r="E214" s="105">
        <f>194.86-D214</f>
        <v>63.070000000000022</v>
      </c>
      <c r="F214" s="105">
        <v>23.43</v>
      </c>
      <c r="G214" s="105">
        <f>155.22-F214</f>
        <v>131.79</v>
      </c>
      <c r="H214" s="57">
        <f t="shared" si="24"/>
        <v>350.08000000000004</v>
      </c>
      <c r="I214" s="66">
        <v>2582.2442880000003</v>
      </c>
      <c r="J214" s="66">
        <v>2685.5340595200005</v>
      </c>
      <c r="K214" s="66">
        <v>2068.1641344000004</v>
      </c>
      <c r="L214" s="66">
        <v>2150.8906997760005</v>
      </c>
      <c r="M214" s="47">
        <f t="shared" si="19"/>
        <v>67750.623442943979</v>
      </c>
      <c r="N214" s="47">
        <f t="shared" si="20"/>
        <v>32423.035287552004</v>
      </c>
      <c r="O214" s="47">
        <f t="shared" si="21"/>
        <v>12526.693918801921</v>
      </c>
      <c r="P214" s="47">
        <f t="shared" si="22"/>
        <v>70460.648380661762</v>
      </c>
      <c r="Q214" s="47">
        <f t="shared" si="23"/>
        <v>183161.00102995965</v>
      </c>
      <c r="R214" s="47"/>
      <c r="S214" s="47"/>
      <c r="T214" s="88"/>
    </row>
    <row r="215" spans="1:20" s="24" customFormat="1" ht="15.75">
      <c r="A215" s="89" t="s">
        <v>274</v>
      </c>
      <c r="B215" s="89" t="s">
        <v>248</v>
      </c>
      <c r="C215" s="89" t="s">
        <v>261</v>
      </c>
      <c r="D215" s="105">
        <v>661.90300000000002</v>
      </c>
      <c r="E215" s="105">
        <f>984.395-D215</f>
        <v>322.49199999999996</v>
      </c>
      <c r="F215" s="105">
        <v>101.879</v>
      </c>
      <c r="G215" s="105">
        <f>762.779-F215</f>
        <v>660.9</v>
      </c>
      <c r="H215" s="57">
        <f t="shared" si="24"/>
        <v>1747.174</v>
      </c>
      <c r="I215" s="66">
        <v>2271.2410239999999</v>
      </c>
      <c r="J215" s="66">
        <v>2362.0906649600001</v>
      </c>
      <c r="K215" s="66">
        <v>1634.7886464000003</v>
      </c>
      <c r="L215" s="66">
        <v>1700.1801922560003</v>
      </c>
      <c r="M215" s="47">
        <f t="shared" si="19"/>
        <v>421269.73809057259</v>
      </c>
      <c r="N215" s="47">
        <f t="shared" si="20"/>
        <v>205250.80015697906</v>
      </c>
      <c r="O215" s="47">
        <f t="shared" si="21"/>
        <v>67434.777048610806</v>
      </c>
      <c r="P215" s="47">
        <f t="shared" si="22"/>
        <v>437456.63141007349</v>
      </c>
      <c r="Q215" s="47">
        <f t="shared" si="23"/>
        <v>1131411.9467062359</v>
      </c>
      <c r="R215" s="47"/>
      <c r="S215" s="47"/>
      <c r="T215" s="88"/>
    </row>
    <row r="216" spans="1:20" s="24" customFormat="1" ht="15.75">
      <c r="A216" s="89" t="s">
        <v>2</v>
      </c>
      <c r="B216" s="89" t="s">
        <v>70</v>
      </c>
      <c r="C216" s="89" t="s">
        <v>262</v>
      </c>
      <c r="D216" s="105">
        <f>2409.134-386.194</f>
        <v>2022.94</v>
      </c>
      <c r="E216" s="105">
        <f>3429.789-D216</f>
        <v>1406.8490000000002</v>
      </c>
      <c r="F216" s="105">
        <v>351.32299999999998</v>
      </c>
      <c r="G216" s="105">
        <v>1756.614</v>
      </c>
      <c r="H216" s="57">
        <f t="shared" si="24"/>
        <v>5537.7260000000006</v>
      </c>
      <c r="I216" s="66">
        <v>3618.0744010666667</v>
      </c>
      <c r="J216" s="66">
        <v>3762.7973771093334</v>
      </c>
      <c r="K216" s="66">
        <v>1461.6981866240003</v>
      </c>
      <c r="L216" s="66">
        <v>1520.1661140889603</v>
      </c>
      <c r="M216" s="47">
        <f t="shared" si="19"/>
        <v>4362219.6992446473</v>
      </c>
      <c r="N216" s="47">
        <f t="shared" si="20"/>
        <v>3033695.7209124514</v>
      </c>
      <c r="O216" s="47">
        <f t="shared" si="21"/>
        <v>787887.9432181064</v>
      </c>
      <c r="P216" s="47">
        <f t="shared" si="22"/>
        <v>3939437.4734592694</v>
      </c>
      <c r="Q216" s="47">
        <f t="shared" si="23"/>
        <v>12123240.836834475</v>
      </c>
      <c r="R216" s="47"/>
      <c r="S216" s="47"/>
      <c r="T216" s="88"/>
    </row>
    <row r="217" spans="1:20" s="24" customFormat="1" ht="15.75">
      <c r="A217" s="84" t="s">
        <v>382</v>
      </c>
      <c r="B217" s="89" t="s">
        <v>424</v>
      </c>
      <c r="C217" s="89" t="s">
        <v>263</v>
      </c>
      <c r="D217" s="105">
        <v>6289.7309999999998</v>
      </c>
      <c r="E217" s="105">
        <f>8710.952-D217</f>
        <v>2421.2209999999995</v>
      </c>
      <c r="F217" s="105">
        <v>767.44299999999998</v>
      </c>
      <c r="G217" s="105">
        <f>5415.633-F217</f>
        <v>4648.1899999999996</v>
      </c>
      <c r="H217" s="57">
        <f t="shared" si="24"/>
        <v>14126.584999999999</v>
      </c>
      <c r="I217" s="66">
        <v>3848.3219840000002</v>
      </c>
      <c r="J217" s="66">
        <v>4002.2548633600004</v>
      </c>
      <c r="K217" s="66">
        <v>2265.2884800000002</v>
      </c>
      <c r="L217" s="66">
        <v>2355.9000192000003</v>
      </c>
      <c r="M217" s="47">
        <f t="shared" si="19"/>
        <v>9956854.9041474238</v>
      </c>
      <c r="N217" s="47">
        <f t="shared" si="20"/>
        <v>3832873.963588383</v>
      </c>
      <c r="O217" s="47">
        <f t="shared" si="21"/>
        <v>1263483.5006666828</v>
      </c>
      <c r="P217" s="47">
        <f t="shared" si="22"/>
        <v>7652570.1230760701</v>
      </c>
      <c r="Q217" s="47">
        <f t="shared" si="23"/>
        <v>22705782.491478562</v>
      </c>
      <c r="R217" s="47"/>
      <c r="S217" s="47"/>
      <c r="T217" s="88"/>
    </row>
    <row r="218" spans="1:20" s="24" customFormat="1" ht="15.75">
      <c r="A218" s="89" t="s">
        <v>6</v>
      </c>
      <c r="B218" s="89" t="s">
        <v>264</v>
      </c>
      <c r="C218" s="89" t="s">
        <v>265</v>
      </c>
      <c r="D218" s="105">
        <v>155.4</v>
      </c>
      <c r="E218" s="105">
        <f>229.28-D218</f>
        <v>73.88</v>
      </c>
      <c r="F218" s="105">
        <v>30.17</v>
      </c>
      <c r="G218" s="105">
        <f>193.39-F218</f>
        <v>163.21999999999997</v>
      </c>
      <c r="H218" s="57">
        <f t="shared" si="24"/>
        <v>422.66999999999996</v>
      </c>
      <c r="I218" s="66">
        <v>2583.23936</v>
      </c>
      <c r="J218" s="66">
        <v>2686.5689344000002</v>
      </c>
      <c r="K218" s="66">
        <v>1706.4739577600001</v>
      </c>
      <c r="L218" s="66">
        <v>1774.7329160704001</v>
      </c>
      <c r="M218" s="47">
        <f t="shared" si="19"/>
        <v>136249.343508096</v>
      </c>
      <c r="N218" s="47">
        <f t="shared" si="20"/>
        <v>64775.427917491194</v>
      </c>
      <c r="O218" s="47">
        <f t="shared" si="21"/>
        <v>27510.092673004037</v>
      </c>
      <c r="P218" s="47">
        <f t="shared" si="22"/>
        <v>148829.8749117573</v>
      </c>
      <c r="Q218" s="47">
        <f t="shared" si="23"/>
        <v>377364.73901034851</v>
      </c>
      <c r="R218" s="47"/>
      <c r="S218" s="47"/>
      <c r="T218" s="88"/>
    </row>
    <row r="219" spans="1:20" s="24" customFormat="1" ht="15.75">
      <c r="A219" s="89" t="s">
        <v>273</v>
      </c>
      <c r="B219" s="89" t="s">
        <v>70</v>
      </c>
      <c r="C219" s="89" t="s">
        <v>265</v>
      </c>
      <c r="D219" s="105">
        <v>26403.424999999999</v>
      </c>
      <c r="E219" s="105">
        <f>39576.728-D219</f>
        <v>13173.303000000004</v>
      </c>
      <c r="F219" s="105">
        <v>0</v>
      </c>
      <c r="G219" s="105">
        <v>25187.68</v>
      </c>
      <c r="H219" s="57">
        <f t="shared" si="24"/>
        <v>64764.408000000003</v>
      </c>
      <c r="I219" s="66">
        <v>3057.4329898666665</v>
      </c>
      <c r="J219" s="66">
        <v>3179.7303094613335</v>
      </c>
      <c r="K219" s="66">
        <v>1437.5341032000001</v>
      </c>
      <c r="L219" s="66">
        <v>1495.0354673280001</v>
      </c>
      <c r="M219" s="47">
        <f t="shared" si="19"/>
        <v>42770878.761686824</v>
      </c>
      <c r="N219" s="47">
        <f t="shared" si="20"/>
        <v>21339418.863422662</v>
      </c>
      <c r="O219" s="47">
        <f t="shared" si="21"/>
        <v>0</v>
      </c>
      <c r="P219" s="47">
        <f t="shared" si="22"/>
        <v>42433554.581304923</v>
      </c>
      <c r="Q219" s="47">
        <f t="shared" si="23"/>
        <v>106543852.2064144</v>
      </c>
      <c r="R219" s="47"/>
      <c r="S219" s="47"/>
      <c r="T219" s="88"/>
    </row>
    <row r="220" spans="1:20" s="24" customFormat="1" ht="15.75">
      <c r="A220" s="89" t="s">
        <v>272</v>
      </c>
      <c r="B220" s="89" t="s">
        <v>243</v>
      </c>
      <c r="C220" s="89" t="s">
        <v>266</v>
      </c>
      <c r="D220" s="105">
        <v>232.53700000000001</v>
      </c>
      <c r="E220" s="105">
        <f>345.05-D220</f>
        <v>112.51300000000001</v>
      </c>
      <c r="F220" s="105">
        <v>36.436</v>
      </c>
      <c r="G220" s="105">
        <f>265.266-F220</f>
        <v>228.83</v>
      </c>
      <c r="H220" s="57">
        <f t="shared" si="24"/>
        <v>610.31600000000003</v>
      </c>
      <c r="I220" s="66">
        <v>3477.0087040000003</v>
      </c>
      <c r="J220" s="66">
        <v>3616.0890521600004</v>
      </c>
      <c r="K220" s="66">
        <v>1705.9236742080002</v>
      </c>
      <c r="L220" s="66">
        <v>1774.1606211763203</v>
      </c>
      <c r="M220" s="47">
        <f t="shared" si="19"/>
        <v>411842.79957274237</v>
      </c>
      <c r="N220" s="47">
        <f t="shared" si="20"/>
        <v>199270.08995698733</v>
      </c>
      <c r="O220" s="47">
        <f t="shared" si="21"/>
        <v>67112.504311321361</v>
      </c>
      <c r="P220" s="47">
        <f t="shared" si="22"/>
        <v>421488.48286199552</v>
      </c>
      <c r="Q220" s="47">
        <f t="shared" si="23"/>
        <v>1099713.8767030465</v>
      </c>
      <c r="R220" s="47"/>
      <c r="S220" s="47"/>
      <c r="T220" s="88"/>
    </row>
    <row r="221" spans="1:20" s="24" customFormat="1" ht="15.75">
      <c r="A221" s="89" t="s">
        <v>272</v>
      </c>
      <c r="B221" s="89" t="s">
        <v>243</v>
      </c>
      <c r="C221" s="89" t="s">
        <v>267</v>
      </c>
      <c r="D221" s="105">
        <v>173.64400000000001</v>
      </c>
      <c r="E221" s="105">
        <f>254.332-D221</f>
        <v>80.687999999999988</v>
      </c>
      <c r="F221" s="105">
        <v>27.074000000000002</v>
      </c>
      <c r="G221" s="105">
        <f>195.817-F221</f>
        <v>168.74299999999999</v>
      </c>
      <c r="H221" s="57">
        <f t="shared" si="24"/>
        <v>450.149</v>
      </c>
      <c r="I221" s="66">
        <v>3477.0087040000003</v>
      </c>
      <c r="J221" s="66">
        <v>3616.0890521600004</v>
      </c>
      <c r="K221" s="66">
        <v>1448.4395016000003</v>
      </c>
      <c r="L221" s="66">
        <v>1506.3770816640003</v>
      </c>
      <c r="M221" s="47">
        <f t="shared" si="19"/>
        <v>352248.87058154563</v>
      </c>
      <c r="N221" s="47">
        <f t="shared" si="20"/>
        <v>163681.19180325119</v>
      </c>
      <c r="O221" s="47">
        <f t="shared" si="21"/>
        <v>57118.341889208707</v>
      </c>
      <c r="P221" s="47">
        <f t="shared" si="22"/>
        <v>355999.12703740655</v>
      </c>
      <c r="Q221" s="47">
        <f t="shared" si="23"/>
        <v>929047.53131141199</v>
      </c>
      <c r="R221" s="47"/>
      <c r="S221" s="47"/>
      <c r="T221" s="88"/>
    </row>
    <row r="222" spans="1:20" s="24" customFormat="1" ht="15.75">
      <c r="A222" s="89" t="s">
        <v>271</v>
      </c>
      <c r="B222" s="89" t="s">
        <v>268</v>
      </c>
      <c r="C222" s="89" t="s">
        <v>265</v>
      </c>
      <c r="D222" s="105">
        <v>324.13499999999999</v>
      </c>
      <c r="E222" s="105">
        <f>456.897-D222</f>
        <v>132.762</v>
      </c>
      <c r="F222" s="105">
        <v>15.795</v>
      </c>
      <c r="G222" s="105">
        <f>258.23-F222</f>
        <v>242.43500000000003</v>
      </c>
      <c r="H222" s="57">
        <f t="shared" si="24"/>
        <v>715.12700000000007</v>
      </c>
      <c r="I222" s="66">
        <v>3012.4723199999999</v>
      </c>
      <c r="J222" s="66">
        <v>3132.9712128000001</v>
      </c>
      <c r="K222" s="66">
        <v>1706.4693360000001</v>
      </c>
      <c r="L222" s="66">
        <v>1774.7281094400003</v>
      </c>
      <c r="M222" s="47">
        <f t="shared" si="19"/>
        <v>423321.27721883991</v>
      </c>
      <c r="N222" s="47">
        <f t="shared" si="20"/>
        <v>173387.56816180795</v>
      </c>
      <c r="O222" s="47">
        <f t="shared" si="21"/>
        <v>21453.449817571196</v>
      </c>
      <c r="P222" s="47">
        <f t="shared" si="22"/>
        <v>329285.66676308162</v>
      </c>
      <c r="Q222" s="47">
        <f t="shared" si="23"/>
        <v>947447.96196130058</v>
      </c>
      <c r="R222" s="47"/>
      <c r="S222" s="47"/>
      <c r="T222" s="88"/>
    </row>
    <row r="223" spans="1:20" s="24" customFormat="1" ht="15.75">
      <c r="A223" s="89" t="s">
        <v>270</v>
      </c>
      <c r="B223" s="89" t="s">
        <v>269</v>
      </c>
      <c r="C223" s="89" t="s">
        <v>263</v>
      </c>
      <c r="D223" s="105">
        <v>834.03899999999999</v>
      </c>
      <c r="E223" s="105">
        <f>1204.893-D223</f>
        <v>370.85400000000004</v>
      </c>
      <c r="F223" s="105">
        <v>158.06899999999999</v>
      </c>
      <c r="G223" s="105">
        <f>935.928-F223</f>
        <v>777.85900000000004</v>
      </c>
      <c r="H223" s="57">
        <f t="shared" si="24"/>
        <v>2140.8209999999999</v>
      </c>
      <c r="I223" s="66">
        <v>4617.1124479999999</v>
      </c>
      <c r="J223" s="66">
        <v>4801.7969459200003</v>
      </c>
      <c r="K223" s="66">
        <v>2239.32019584</v>
      </c>
      <c r="L223" s="66">
        <v>2328.8930036736001</v>
      </c>
      <c r="M223" s="47">
        <f t="shared" si="19"/>
        <v>1983171.472199274</v>
      </c>
      <c r="N223" s="47">
        <f t="shared" si="20"/>
        <v>881813.76788254466</v>
      </c>
      <c r="O223" s="47">
        <f t="shared" si="21"/>
        <v>390889.45324694621</v>
      </c>
      <c r="P223" s="47">
        <f t="shared" si="22"/>
        <v>1923570.5876118427</v>
      </c>
      <c r="Q223" s="47">
        <f t="shared" si="23"/>
        <v>5179445.2809406081</v>
      </c>
      <c r="R223" s="47"/>
      <c r="S223" s="47"/>
      <c r="T223" s="88"/>
    </row>
    <row r="224" spans="1:20" s="24" customFormat="1" ht="15.75">
      <c r="A224" s="89" t="s">
        <v>402</v>
      </c>
      <c r="B224" s="89" t="s">
        <v>401</v>
      </c>
      <c r="C224" s="89" t="s">
        <v>262</v>
      </c>
      <c r="D224" s="105">
        <f>45.1773333333333*0.6</f>
        <v>27.106399999999979</v>
      </c>
      <c r="E224" s="105">
        <f>45.1773333333333*0.4</f>
        <v>18.070933333333322</v>
      </c>
      <c r="F224" s="105">
        <f>45.906*0.2</f>
        <v>9.1812000000000005</v>
      </c>
      <c r="G224" s="105">
        <f>45.906*0.8</f>
        <v>36.724800000000002</v>
      </c>
      <c r="H224" s="57">
        <f t="shared" si="24"/>
        <v>91.0833333333333</v>
      </c>
      <c r="I224" s="66">
        <v>3175.4003476178091</v>
      </c>
      <c r="J224" s="66">
        <v>3302.4163615225216</v>
      </c>
      <c r="K224" s="66">
        <v>1723.0385598816003</v>
      </c>
      <c r="L224" s="66">
        <v>1791.9601022768645</v>
      </c>
      <c r="M224" s="47">
        <f t="shared" si="19"/>
        <v>39368.29956309274</v>
      </c>
      <c r="N224" s="47">
        <f t="shared" si="20"/>
        <v>26245.53304206183</v>
      </c>
      <c r="O224" s="47">
        <f t="shared" si="21"/>
        <v>13867.801007386228</v>
      </c>
      <c r="P224" s="47">
        <f t="shared" si="22"/>
        <v>55471.204029544911</v>
      </c>
      <c r="Q224" s="47">
        <f t="shared" si="23"/>
        <v>134952.83764208571</v>
      </c>
      <c r="R224" s="47"/>
      <c r="S224" s="47"/>
      <c r="T224" s="88"/>
    </row>
    <row r="225" spans="1:20" s="24" customFormat="1" ht="15.75">
      <c r="A225" s="112" t="s">
        <v>390</v>
      </c>
      <c r="B225" s="112"/>
      <c r="C225" s="89"/>
      <c r="D225" s="105"/>
      <c r="E225" s="105"/>
      <c r="F225" s="105"/>
      <c r="G225" s="105"/>
      <c r="H225" s="57"/>
      <c r="I225" s="66"/>
      <c r="J225" s="66"/>
      <c r="K225" s="66"/>
      <c r="L225" s="66"/>
      <c r="M225" s="47">
        <f t="shared" si="19"/>
        <v>0</v>
      </c>
      <c r="N225" s="47">
        <f t="shared" si="20"/>
        <v>0</v>
      </c>
      <c r="O225" s="47">
        <f t="shared" si="21"/>
        <v>0</v>
      </c>
      <c r="P225" s="47">
        <f t="shared" si="22"/>
        <v>0</v>
      </c>
      <c r="Q225" s="47">
        <f t="shared" si="23"/>
        <v>0</v>
      </c>
      <c r="R225" s="47"/>
      <c r="S225" s="47"/>
      <c r="T225" s="88"/>
    </row>
    <row r="226" spans="1:20" s="24" customFormat="1" ht="15.75">
      <c r="A226" s="89">
        <v>7729314745</v>
      </c>
      <c r="B226" s="89" t="s">
        <v>391</v>
      </c>
      <c r="C226" s="89"/>
      <c r="D226" s="57">
        <f>523.721*0.6</f>
        <v>314.23259999999999</v>
      </c>
      <c r="E226" s="57">
        <f>523.721*0.4</f>
        <v>209.48840000000001</v>
      </c>
      <c r="F226" s="57">
        <f>428.499*0.2</f>
        <v>85.69980000000001</v>
      </c>
      <c r="G226" s="57">
        <f>428.499*0.8</f>
        <v>342.79920000000004</v>
      </c>
      <c r="H226" s="57">
        <f t="shared" si="24"/>
        <v>952.22</v>
      </c>
      <c r="I226" s="66">
        <v>5026.2299999999996</v>
      </c>
      <c r="J226" s="66">
        <v>5227.28</v>
      </c>
      <c r="K226" s="66">
        <v>1533.12</v>
      </c>
      <c r="L226" s="66">
        <v>1594.44</v>
      </c>
      <c r="M226" s="47">
        <f t="shared" si="19"/>
        <v>1097649.0373859999</v>
      </c>
      <c r="N226" s="47">
        <f t="shared" si="20"/>
        <v>731766.02492400003</v>
      </c>
      <c r="O226" s="47">
        <f t="shared" si="21"/>
        <v>311333.66143199999</v>
      </c>
      <c r="P226" s="47">
        <f t="shared" si="22"/>
        <v>1245334.645728</v>
      </c>
      <c r="Q226" s="47">
        <f t="shared" si="23"/>
        <v>3386083.3694699998</v>
      </c>
      <c r="R226" s="47"/>
      <c r="S226" s="47"/>
      <c r="T226" s="88"/>
    </row>
    <row r="227" spans="1:20" s="24" customFormat="1" ht="15.75">
      <c r="A227" s="112" t="s">
        <v>393</v>
      </c>
      <c r="B227" s="112"/>
      <c r="C227" s="89"/>
      <c r="D227" s="105"/>
      <c r="E227" s="105"/>
      <c r="F227" s="105"/>
      <c r="G227" s="105"/>
      <c r="H227" s="57"/>
      <c r="I227" s="66"/>
      <c r="J227" s="66"/>
      <c r="K227" s="66"/>
      <c r="L227" s="66"/>
      <c r="M227" s="47">
        <f t="shared" si="19"/>
        <v>0</v>
      </c>
      <c r="N227" s="47">
        <f t="shared" si="20"/>
        <v>0</v>
      </c>
      <c r="O227" s="47">
        <f t="shared" si="21"/>
        <v>0</v>
      </c>
      <c r="P227" s="47">
        <f t="shared" si="22"/>
        <v>0</v>
      </c>
      <c r="Q227" s="47">
        <f t="shared" si="23"/>
        <v>0</v>
      </c>
      <c r="R227" s="47"/>
      <c r="S227" s="47"/>
      <c r="T227" s="88"/>
    </row>
    <row r="228" spans="1:20" s="24" customFormat="1" ht="15.75">
      <c r="A228" s="89">
        <v>7729314745</v>
      </c>
      <c r="B228" s="89" t="s">
        <v>391</v>
      </c>
      <c r="C228" s="89"/>
      <c r="D228" s="45">
        <f>8464.885*0.6</f>
        <v>5078.9309999999996</v>
      </c>
      <c r="E228" s="45">
        <f>8464.885*0.4</f>
        <v>3385.9540000000002</v>
      </c>
      <c r="F228" s="45">
        <f>6925.815*0.2</f>
        <v>1385.163</v>
      </c>
      <c r="G228" s="45">
        <f>6925.815*0.8</f>
        <v>5540.652</v>
      </c>
      <c r="H228" s="45">
        <f t="shared" si="24"/>
        <v>15390.7</v>
      </c>
      <c r="I228" s="66">
        <v>7458.28</v>
      </c>
      <c r="J228" s="66">
        <v>7756.61</v>
      </c>
      <c r="K228" s="66">
        <v>2072.86</v>
      </c>
      <c r="L228" s="66">
        <v>2155.7800000000002</v>
      </c>
      <c r="M228" s="47">
        <f t="shared" si="19"/>
        <v>27352176.586019997</v>
      </c>
      <c r="N228" s="47">
        <f t="shared" si="20"/>
        <v>18234784.39068</v>
      </c>
      <c r="O228" s="47">
        <f t="shared" si="21"/>
        <v>7758062.4852900002</v>
      </c>
      <c r="P228" s="47">
        <f t="shared" si="22"/>
        <v>31032249.941160001</v>
      </c>
      <c r="Q228" s="47">
        <f t="shared" si="23"/>
        <v>84377273.403149992</v>
      </c>
      <c r="R228" s="47"/>
      <c r="S228" s="47"/>
      <c r="T228" s="88"/>
    </row>
    <row r="229" spans="1:20" s="27" customFormat="1">
      <c r="A229" s="112" t="s">
        <v>49</v>
      </c>
      <c r="B229" s="112"/>
      <c r="C229" s="39"/>
      <c r="D229" s="85">
        <f>SUM(D9:D228)</f>
        <v>416570.66014814458</v>
      </c>
      <c r="E229" s="85">
        <f t="shared" ref="E229:H229" si="25">SUM(E9:E228)</f>
        <v>222265.81049209635</v>
      </c>
      <c r="F229" s="85">
        <f t="shared" si="25"/>
        <v>91494.567887878758</v>
      </c>
      <c r="G229" s="85">
        <f t="shared" si="25"/>
        <v>369435.14821221365</v>
      </c>
      <c r="H229" s="85">
        <f t="shared" si="25"/>
        <v>1099766.1867403334</v>
      </c>
      <c r="I229" s="86"/>
      <c r="J229" s="86"/>
      <c r="K229" s="86"/>
      <c r="L229" s="86"/>
      <c r="M229" s="86">
        <f>SUM(M9:M228)</f>
        <v>841389370.83519483</v>
      </c>
      <c r="N229" s="86">
        <f t="shared" ref="N229:Q229" si="26">SUM(N9:N228)</f>
        <v>443776709.05972832</v>
      </c>
      <c r="O229" s="86">
        <f t="shared" si="26"/>
        <v>179642900.20497158</v>
      </c>
      <c r="P229" s="86">
        <f t="shared" si="26"/>
        <v>773371071.06201637</v>
      </c>
      <c r="Q229" s="86">
        <f t="shared" si="26"/>
        <v>2238180051.161912</v>
      </c>
      <c r="R229" s="86">
        <f>'2020'!S229</f>
        <v>267705374.11424503</v>
      </c>
      <c r="S229" s="86">
        <f>P229*0.36</f>
        <v>278413585.58232588</v>
      </c>
      <c r="T229" s="86">
        <f>Q229+R229-S229</f>
        <v>2227471839.693831</v>
      </c>
    </row>
    <row r="230" spans="1:20" ht="18" customHeight="1">
      <c r="T230" s="12"/>
    </row>
    <row r="231" spans="1:20" ht="18" customHeight="1">
      <c r="H231" s="10"/>
      <c r="T231" s="13"/>
    </row>
    <row r="232" spans="1:20" ht="18" customHeight="1">
      <c r="E232" s="23"/>
      <c r="R232" s="21"/>
      <c r="S232" s="21"/>
      <c r="T232" s="21"/>
    </row>
    <row r="233" spans="1:20" ht="18" customHeight="1"/>
  </sheetData>
  <autoFilter ref="A7:T229"/>
  <mergeCells count="36">
    <mergeCell ref="T5:T6"/>
    <mergeCell ref="A8:C8"/>
    <mergeCell ref="A15:C15"/>
    <mergeCell ref="A25:C25"/>
    <mergeCell ref="A33:C33"/>
    <mergeCell ref="I5:J5"/>
    <mergeCell ref="K5:L5"/>
    <mergeCell ref="M5:Q5"/>
    <mergeCell ref="R5:R6"/>
    <mergeCell ref="S5:S6"/>
    <mergeCell ref="A43:C43"/>
    <mergeCell ref="A5:A6"/>
    <mergeCell ref="B5:B6"/>
    <mergeCell ref="C5:C6"/>
    <mergeCell ref="D5:H5"/>
    <mergeCell ref="A202:B202"/>
    <mergeCell ref="A229:B229"/>
    <mergeCell ref="A225:B225"/>
    <mergeCell ref="A227:B227"/>
    <mergeCell ref="A149:C149"/>
    <mergeCell ref="D3:K3"/>
    <mergeCell ref="A154:C154"/>
    <mergeCell ref="A168:C168"/>
    <mergeCell ref="A187:C187"/>
    <mergeCell ref="A195:C195"/>
    <mergeCell ref="A55:C55"/>
    <mergeCell ref="A67:C67"/>
    <mergeCell ref="A70:C70"/>
    <mergeCell ref="A74:C74"/>
    <mergeCell ref="A81:C81"/>
    <mergeCell ref="A83:C83"/>
    <mergeCell ref="A86:C86"/>
    <mergeCell ref="A89:C89"/>
    <mergeCell ref="A95:C95"/>
    <mergeCell ref="A107:C107"/>
    <mergeCell ref="A125:C125"/>
  </mergeCells>
  <pageMargins left="0.19685039370078741" right="0.19685039370078741" top="0.98425196850393704" bottom="0.59055118110236227" header="0.31496062992125984" footer="0.31496062992125984"/>
  <pageSetup paperSize="9" scale="53" fitToHeight="0" orientation="landscape" r:id="rId1"/>
  <headerFooter>
    <oddFooter>&amp;C&amp;P</oddFooter>
  </headerFooter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2019</vt:lpstr>
      <vt:lpstr>2020</vt:lpstr>
      <vt:lpstr>2021</vt:lpstr>
      <vt:lpstr>'2019'!Заголовки_для_печати</vt:lpstr>
      <vt:lpstr>'2020'!Заголовки_для_печати</vt:lpstr>
      <vt:lpstr>'2021'!Заголовки_для_печати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2019-02-19T14:00:42Z</cp:lastPrinted>
  <dcterms:created xsi:type="dcterms:W3CDTF">2014-12-30T11:05:19Z</dcterms:created>
  <dcterms:modified xsi:type="dcterms:W3CDTF">2019-02-19T14:16:54Z</dcterms:modified>
</cp:coreProperties>
</file>