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35" windowHeight="12270" tabRatio="578"/>
  </bookViews>
  <sheets>
    <sheet name="2019-2021" sheetId="16" r:id="rId1"/>
  </sheets>
  <definedNames>
    <definedName name="_xlnm.Print_Titles" localSheetId="0">'2019-2021'!$A:$A</definedName>
  </definedNames>
  <calcPr calcId="125725"/>
</workbook>
</file>

<file path=xl/calcChain.xml><?xml version="1.0" encoding="utf-8"?>
<calcChain xmlns="http://schemas.openxmlformats.org/spreadsheetml/2006/main">
  <c r="AG9" i="16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9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C35" l="1"/>
  <c r="B35"/>
  <c r="AC33"/>
  <c r="X33"/>
  <c r="V33"/>
  <c r="W33" s="1"/>
  <c r="I33"/>
  <c r="H33"/>
  <c r="G33"/>
  <c r="F33"/>
  <c r="AC32"/>
  <c r="X32"/>
  <c r="V32"/>
  <c r="W32" s="1"/>
  <c r="I32"/>
  <c r="H32"/>
  <c r="G32"/>
  <c r="F32"/>
  <c r="AC31"/>
  <c r="X31"/>
  <c r="I31"/>
  <c r="H31"/>
  <c r="G31"/>
  <c r="F31"/>
  <c r="AC30"/>
  <c r="X30"/>
  <c r="V30"/>
  <c r="W30" s="1"/>
  <c r="I30"/>
  <c r="H30"/>
  <c r="G30"/>
  <c r="F30"/>
  <c r="AC29"/>
  <c r="X29"/>
  <c r="V29"/>
  <c r="W29" s="1"/>
  <c r="I29"/>
  <c r="H29"/>
  <c r="G29"/>
  <c r="F29"/>
  <c r="AC28"/>
  <c r="X28"/>
  <c r="V28"/>
  <c r="W28" s="1"/>
  <c r="I28"/>
  <c r="H28"/>
  <c r="G28"/>
  <c r="F28"/>
  <c r="AC27"/>
  <c r="X27"/>
  <c r="I27"/>
  <c r="H27"/>
  <c r="G27"/>
  <c r="F27"/>
  <c r="AC26"/>
  <c r="X26"/>
  <c r="V26"/>
  <c r="W26" s="1"/>
  <c r="I26"/>
  <c r="H26"/>
  <c r="G26"/>
  <c r="F26"/>
  <c r="AC25"/>
  <c r="X25"/>
  <c r="V25"/>
  <c r="W25" s="1"/>
  <c r="I25"/>
  <c r="H25"/>
  <c r="G25"/>
  <c r="F25"/>
  <c r="AC24"/>
  <c r="X24"/>
  <c r="V24"/>
  <c r="W24" s="1"/>
  <c r="I24"/>
  <c r="H24"/>
  <c r="G24"/>
  <c r="F24"/>
  <c r="AC23"/>
  <c r="X23"/>
  <c r="V23"/>
  <c r="W23" s="1"/>
  <c r="I23"/>
  <c r="H23"/>
  <c r="Y23" s="1"/>
  <c r="Z23" s="1"/>
  <c r="G23"/>
  <c r="F23"/>
  <c r="AC22"/>
  <c r="X22"/>
  <c r="V22"/>
  <c r="W22" s="1"/>
  <c r="I22"/>
  <c r="H22"/>
  <c r="G22"/>
  <c r="F22"/>
  <c r="AC21"/>
  <c r="X21"/>
  <c r="V21"/>
  <c r="I21"/>
  <c r="H21"/>
  <c r="Y21" s="1"/>
  <c r="AA21" s="1"/>
  <c r="G21"/>
  <c r="F21"/>
  <c r="AC20"/>
  <c r="X20"/>
  <c r="V20"/>
  <c r="I20"/>
  <c r="J20" s="1"/>
  <c r="H20"/>
  <c r="G20"/>
  <c r="F20"/>
  <c r="AC19"/>
  <c r="X19"/>
  <c r="V19"/>
  <c r="W19" s="1"/>
  <c r="I19"/>
  <c r="H19"/>
  <c r="G19"/>
  <c r="F19"/>
  <c r="AC18"/>
  <c r="X18"/>
  <c r="V18"/>
  <c r="W18" s="1"/>
  <c r="I18"/>
  <c r="H18"/>
  <c r="G18"/>
  <c r="F18"/>
  <c r="AC17"/>
  <c r="X17"/>
  <c r="V17"/>
  <c r="W17" s="1"/>
  <c r="I17"/>
  <c r="H17"/>
  <c r="G17"/>
  <c r="F17"/>
  <c r="AC16"/>
  <c r="X16"/>
  <c r="V16"/>
  <c r="W16" s="1"/>
  <c r="I16"/>
  <c r="H16"/>
  <c r="G16"/>
  <c r="F16"/>
  <c r="AC15"/>
  <c r="X15"/>
  <c r="V15"/>
  <c r="I15"/>
  <c r="H15"/>
  <c r="AD15" s="1"/>
  <c r="G15"/>
  <c r="F15"/>
  <c r="AC14"/>
  <c r="X14"/>
  <c r="I14"/>
  <c r="H14"/>
  <c r="G14"/>
  <c r="F14"/>
  <c r="AC13"/>
  <c r="X13"/>
  <c r="V13"/>
  <c r="W13" s="1"/>
  <c r="I13"/>
  <c r="H13"/>
  <c r="G13"/>
  <c r="F13"/>
  <c r="AC12"/>
  <c r="X12"/>
  <c r="V12"/>
  <c r="W12" s="1"/>
  <c r="I12"/>
  <c r="H12"/>
  <c r="G12"/>
  <c r="F12"/>
  <c r="AC11"/>
  <c r="X11"/>
  <c r="V11"/>
  <c r="I11"/>
  <c r="H11"/>
  <c r="G11"/>
  <c r="F11"/>
  <c r="AC10"/>
  <c r="X10"/>
  <c r="I10"/>
  <c r="H10"/>
  <c r="J10" s="1"/>
  <c r="G10"/>
  <c r="F10"/>
  <c r="AC9"/>
  <c r="AB35"/>
  <c r="X9"/>
  <c r="I9"/>
  <c r="H9"/>
  <c r="G9"/>
  <c r="F9"/>
  <c r="Y30" l="1"/>
  <c r="Y31"/>
  <c r="J23"/>
  <c r="N23" s="1"/>
  <c r="Y26"/>
  <c r="I35"/>
  <c r="J13"/>
  <c r="AD16"/>
  <c r="AF16" s="1"/>
  <c r="J17"/>
  <c r="J27"/>
  <c r="J19"/>
  <c r="AD24"/>
  <c r="AF24" s="1"/>
  <c r="AD27"/>
  <c r="AD12"/>
  <c r="AF12" s="1"/>
  <c r="AD30"/>
  <c r="AF30" s="1"/>
  <c r="Y14"/>
  <c r="Y10"/>
  <c r="J11"/>
  <c r="N11" s="1"/>
  <c r="O11" s="1"/>
  <c r="AD20"/>
  <c r="AF20" s="1"/>
  <c r="Y29"/>
  <c r="AA29" s="1"/>
  <c r="AD32"/>
  <c r="AF32" s="1"/>
  <c r="N20"/>
  <c r="O20" s="1"/>
  <c r="R20"/>
  <c r="S20" s="1"/>
  <c r="F35"/>
  <c r="AD11"/>
  <c r="AD10"/>
  <c r="AD14"/>
  <c r="AE14" s="1"/>
  <c r="Y19"/>
  <c r="AD23"/>
  <c r="J26"/>
  <c r="AD26"/>
  <c r="J29"/>
  <c r="N29" s="1"/>
  <c r="Y33"/>
  <c r="AA33" s="1"/>
  <c r="Y17"/>
  <c r="J14"/>
  <c r="N14" s="1"/>
  <c r="O14" s="1"/>
  <c r="AD19"/>
  <c r="AD21"/>
  <c r="Y22"/>
  <c r="J30"/>
  <c r="N30" s="1"/>
  <c r="J31"/>
  <c r="AD31"/>
  <c r="X35"/>
  <c r="AD13"/>
  <c r="AF13" s="1"/>
  <c r="AD17"/>
  <c r="AF17" s="1"/>
  <c r="AA23"/>
  <c r="Y25"/>
  <c r="AA25" s="1"/>
  <c r="AE30"/>
  <c r="AA10"/>
  <c r="Z10"/>
  <c r="AF15"/>
  <c r="AE15"/>
  <c r="AF11"/>
  <c r="AE11"/>
  <c r="AE10"/>
  <c r="J9"/>
  <c r="AF10"/>
  <c r="R11"/>
  <c r="Y11"/>
  <c r="AE12"/>
  <c r="P14"/>
  <c r="Y18"/>
  <c r="J18"/>
  <c r="AD18"/>
  <c r="R19"/>
  <c r="N19"/>
  <c r="Z19"/>
  <c r="AA19"/>
  <c r="V10"/>
  <c r="W10" s="1"/>
  <c r="Y9"/>
  <c r="N10"/>
  <c r="R10"/>
  <c r="W11"/>
  <c r="Y12"/>
  <c r="J12"/>
  <c r="Y13"/>
  <c r="AE13"/>
  <c r="V14"/>
  <c r="W14" s="1"/>
  <c r="AF14"/>
  <c r="AE17"/>
  <c r="P11"/>
  <c r="N13"/>
  <c r="R13"/>
  <c r="AA14"/>
  <c r="Z14"/>
  <c r="Y15"/>
  <c r="J15"/>
  <c r="W15"/>
  <c r="AE16"/>
  <c r="N17"/>
  <c r="R17"/>
  <c r="AA17"/>
  <c r="Z17"/>
  <c r="O23"/>
  <c r="AE23"/>
  <c r="N27"/>
  <c r="R27"/>
  <c r="G35"/>
  <c r="U35"/>
  <c r="AC35"/>
  <c r="AG35"/>
  <c r="R14"/>
  <c r="J16"/>
  <c r="Y20"/>
  <c r="W21"/>
  <c r="J22"/>
  <c r="AF23"/>
  <c r="AE27"/>
  <c r="AF27"/>
  <c r="O29"/>
  <c r="AE20"/>
  <c r="H35"/>
  <c r="V9"/>
  <c r="AD9"/>
  <c r="Y16"/>
  <c r="W20"/>
  <c r="J21"/>
  <c r="P20"/>
  <c r="Z21"/>
  <c r="AD22"/>
  <c r="R23"/>
  <c r="AA31"/>
  <c r="Z31"/>
  <c r="AE31"/>
  <c r="AF31"/>
  <c r="R26"/>
  <c r="R29"/>
  <c r="Z30"/>
  <c r="AE24"/>
  <c r="AD25"/>
  <c r="Y27"/>
  <c r="J28"/>
  <c r="Y28"/>
  <c r="O30"/>
  <c r="AA30"/>
  <c r="V31"/>
  <c r="W31" s="1"/>
  <c r="AE32"/>
  <c r="Z33"/>
  <c r="AD33"/>
  <c r="J25"/>
  <c r="N26"/>
  <c r="Z26"/>
  <c r="AD28"/>
  <c r="R30"/>
  <c r="J33"/>
  <c r="J24"/>
  <c r="Y24"/>
  <c r="AA26"/>
  <c r="V27"/>
  <c r="W27" s="1"/>
  <c r="Z29"/>
  <c r="AD29"/>
  <c r="J32"/>
  <c r="Y32"/>
  <c r="N31" l="1"/>
  <c r="R31"/>
  <c r="AE19"/>
  <c r="AF19"/>
  <c r="AA22"/>
  <c r="Z22"/>
  <c r="AF26"/>
  <c r="AE26"/>
  <c r="Z25"/>
  <c r="T20"/>
  <c r="AF21"/>
  <c r="AE21"/>
  <c r="K20"/>
  <c r="L20" s="1"/>
  <c r="R28"/>
  <c r="N28"/>
  <c r="AF25"/>
  <c r="AE25"/>
  <c r="S29"/>
  <c r="T29" s="1"/>
  <c r="R21"/>
  <c r="N21"/>
  <c r="V35"/>
  <c r="W9"/>
  <c r="S27"/>
  <c r="T27" s="1"/>
  <c r="O17"/>
  <c r="AA15"/>
  <c r="Z15"/>
  <c r="Y35"/>
  <c r="Z9"/>
  <c r="AA9"/>
  <c r="AA18"/>
  <c r="Z18"/>
  <c r="S11"/>
  <c r="K11" s="1"/>
  <c r="L11" s="1"/>
  <c r="AA32"/>
  <c r="Z32"/>
  <c r="AF29"/>
  <c r="AE29"/>
  <c r="AA24"/>
  <c r="Z24"/>
  <c r="S30"/>
  <c r="T30" s="1"/>
  <c r="AA27"/>
  <c r="Z27"/>
  <c r="S23"/>
  <c r="K23" s="1"/>
  <c r="L23" s="1"/>
  <c r="N22"/>
  <c r="R22"/>
  <c r="R16"/>
  <c r="N16"/>
  <c r="AA13"/>
  <c r="Z13"/>
  <c r="S19"/>
  <c r="N32"/>
  <c r="R32"/>
  <c r="N24"/>
  <c r="R24"/>
  <c r="AF28"/>
  <c r="AE28"/>
  <c r="O26"/>
  <c r="AF33"/>
  <c r="AE33"/>
  <c r="S26"/>
  <c r="AF22"/>
  <c r="AE22"/>
  <c r="Z16"/>
  <c r="AA16"/>
  <c r="P29"/>
  <c r="S14"/>
  <c r="K14" s="1"/>
  <c r="L14" s="1"/>
  <c r="O27"/>
  <c r="P23"/>
  <c r="S13"/>
  <c r="T13"/>
  <c r="R12"/>
  <c r="N12"/>
  <c r="S10"/>
  <c r="T10"/>
  <c r="AF18"/>
  <c r="AE18"/>
  <c r="J35"/>
  <c r="R9"/>
  <c r="N9"/>
  <c r="R33"/>
  <c r="N33"/>
  <c r="R25"/>
  <c r="N25"/>
  <c r="AA28"/>
  <c r="Z28"/>
  <c r="P30"/>
  <c r="AD35"/>
  <c r="AE9"/>
  <c r="AF9"/>
  <c r="AA20"/>
  <c r="Z20"/>
  <c r="S17"/>
  <c r="T17" s="1"/>
  <c r="N15"/>
  <c r="R15"/>
  <c r="O13"/>
  <c r="K13" s="1"/>
  <c r="L13" s="1"/>
  <c r="Z12"/>
  <c r="AA12"/>
  <c r="O10"/>
  <c r="K10" s="1"/>
  <c r="L10" s="1"/>
  <c r="O19"/>
  <c r="P19" s="1"/>
  <c r="R18"/>
  <c r="N18"/>
  <c r="AA11"/>
  <c r="Z11"/>
  <c r="S31" l="1"/>
  <c r="T31" s="1"/>
  <c r="K27"/>
  <c r="L27" s="1"/>
  <c r="O31"/>
  <c r="AE35"/>
  <c r="K26"/>
  <c r="L26" s="1"/>
  <c r="K29"/>
  <c r="L29" s="1"/>
  <c r="P13"/>
  <c r="S33"/>
  <c r="T33" s="1"/>
  <c r="S25"/>
  <c r="T25" s="1"/>
  <c r="S12"/>
  <c r="T12" s="1"/>
  <c r="T14"/>
  <c r="S24"/>
  <c r="T24" s="1"/>
  <c r="T19"/>
  <c r="O16"/>
  <c r="P16" s="1"/>
  <c r="T23"/>
  <c r="T11"/>
  <c r="AA35"/>
  <c r="P17"/>
  <c r="O15"/>
  <c r="O25"/>
  <c r="P25" s="1"/>
  <c r="O12"/>
  <c r="S15"/>
  <c r="T15" s="1"/>
  <c r="AF35"/>
  <c r="N35"/>
  <c r="O9"/>
  <c r="P9" s="1"/>
  <c r="P27"/>
  <c r="T26"/>
  <c r="O32"/>
  <c r="O22"/>
  <c r="P22" s="1"/>
  <c r="K30"/>
  <c r="L30" s="1"/>
  <c r="Z35"/>
  <c r="W35"/>
  <c r="S21"/>
  <c r="T21" s="1"/>
  <c r="O18"/>
  <c r="K19"/>
  <c r="L19" s="1"/>
  <c r="P10"/>
  <c r="O33"/>
  <c r="P26"/>
  <c r="O24"/>
  <c r="K24" s="1"/>
  <c r="L24" s="1"/>
  <c r="S16"/>
  <c r="T16" s="1"/>
  <c r="O28"/>
  <c r="P28" s="1"/>
  <c r="S18"/>
  <c r="R35"/>
  <c r="S9"/>
  <c r="S32"/>
  <c r="T32" s="1"/>
  <c r="S22"/>
  <c r="T22" s="1"/>
  <c r="K17"/>
  <c r="L17" s="1"/>
  <c r="O21"/>
  <c r="K21" s="1"/>
  <c r="L21" s="1"/>
  <c r="S28"/>
  <c r="T28" s="1"/>
  <c r="K31" l="1"/>
  <c r="L31" s="1"/>
  <c r="P24"/>
  <c r="K33"/>
  <c r="L33" s="1"/>
  <c r="K18"/>
  <c r="L18" s="1"/>
  <c r="P33"/>
  <c r="K12"/>
  <c r="L12" s="1"/>
  <c r="S35"/>
  <c r="K25"/>
  <c r="L25" s="1"/>
  <c r="P12"/>
  <c r="P31"/>
  <c r="P21"/>
  <c r="T18"/>
  <c r="P18"/>
  <c r="P32"/>
  <c r="K15"/>
  <c r="L15" s="1"/>
  <c r="K28"/>
  <c r="L28" s="1"/>
  <c r="K22"/>
  <c r="L22" s="1"/>
  <c r="O35"/>
  <c r="K9"/>
  <c r="P15"/>
  <c r="K16"/>
  <c r="L16" s="1"/>
  <c r="T9"/>
  <c r="T35" s="1"/>
  <c r="K32"/>
  <c r="L32" s="1"/>
  <c r="P35" l="1"/>
  <c r="K35"/>
  <c r="L9"/>
  <c r="L35" s="1"/>
</calcChain>
</file>

<file path=xl/sharedStrings.xml><?xml version="1.0" encoding="utf-8"?>
<sst xmlns="http://schemas.openxmlformats.org/spreadsheetml/2006/main" count="101" uniqueCount="91">
  <si>
    <t>приложение к письму министерства образования от 10.08.2011 г. № 209</t>
  </si>
  <si>
    <t>наименование  МО</t>
  </si>
  <si>
    <t xml:space="preserve"> Рыночная стоимость 1 кв. м. на вторичном рынке жилья, рублей</t>
  </si>
  <si>
    <t>Социальная норма общей площади жилья на 1 чел., кв. м.</t>
  </si>
  <si>
    <t>Общая потребность средств на приобретение жилья всем лицам из числа детей-сирот и детей, оставшихся без попечения родителей (тыс. руб)</t>
  </si>
  <si>
    <t xml:space="preserve">Расчетная стоимость 1 жилого помещения исходя из рыночной стоимости 1 кв.м. на вторичном рынке жилья, тыс. рублей </t>
  </si>
  <si>
    <t>гр.1</t>
  </si>
  <si>
    <t>гр.2</t>
  </si>
  <si>
    <t>гр.3</t>
  </si>
  <si>
    <t>гр.4</t>
  </si>
  <si>
    <t>гр.5=(гр.2 х гр.3 х гр.4)/1000</t>
  </si>
  <si>
    <t>гр.6=(гр3 х гр4)/1000</t>
  </si>
  <si>
    <t>гр.8=гр.6 + гр.7</t>
  </si>
  <si>
    <t>МО "Вельский район"</t>
  </si>
  <si>
    <t>МО "Верхнетоемский район"</t>
  </si>
  <si>
    <t>МО "Вилегодский район"</t>
  </si>
  <si>
    <t>МО "Виноградовский район"</t>
  </si>
  <si>
    <t>МО "Каргопольский район"</t>
  </si>
  <si>
    <t>МО "Коношский район"</t>
  </si>
  <si>
    <t>МО "Котласский район"</t>
  </si>
  <si>
    <t>МО "Красноборский район"</t>
  </si>
  <si>
    <t>МО "Ленский район"</t>
  </si>
  <si>
    <t>МО "Лешуконский район"</t>
  </si>
  <si>
    <t>МО "Мезенский район"</t>
  </si>
  <si>
    <t>МО "Няндомский район"</t>
  </si>
  <si>
    <t>МО "Онежский район"</t>
  </si>
  <si>
    <t>МО "Пинежский район"</t>
  </si>
  <si>
    <t>МО "Плесецкий район"</t>
  </si>
  <si>
    <t>МО "Приморский район"</t>
  </si>
  <si>
    <t>МО "Устьянский район"</t>
  </si>
  <si>
    <t>МО "Холмогорский район"</t>
  </si>
  <si>
    <t xml:space="preserve">МО "Шенкурский район" </t>
  </si>
  <si>
    <t>МО "Город Архангельск "</t>
  </si>
  <si>
    <t>МО "Северодвинск"</t>
  </si>
  <si>
    <t>МО "Котлас"</t>
  </si>
  <si>
    <t>МО "Город Новодвинск"</t>
  </si>
  <si>
    <t>МО "Город Коряжма"</t>
  </si>
  <si>
    <t>МО "Город Мирный"</t>
  </si>
  <si>
    <t>Итого муниципальные образования Архангельской области</t>
  </si>
  <si>
    <t xml:space="preserve"> в том числе</t>
  </si>
  <si>
    <t xml:space="preserve"> по договорам специализированных жилых помещений за счет средств областного бюджета</t>
  </si>
  <si>
    <t xml:space="preserve"> по договорам специализированных жилых помещений за счет средств федерального бюджета</t>
  </si>
  <si>
    <t>требуемый процент софинансирования за счет средств ОБ</t>
  </si>
  <si>
    <t>требуемый процент софинансирования за счет средств ФБ</t>
  </si>
  <si>
    <t>гр.9</t>
  </si>
  <si>
    <t>гр.10=гр.9 х гр.8</t>
  </si>
  <si>
    <t>гр.11</t>
  </si>
  <si>
    <t>гр.12=гр.11 х гр.8</t>
  </si>
  <si>
    <t>ИТОГО  по договорам специализированных жилых помещений за счет средств областного  и федерального бюджета</t>
  </si>
  <si>
    <t>на 2020 год</t>
  </si>
  <si>
    <t>в том числе</t>
  </si>
  <si>
    <t>Нераспределенный остаток</t>
  </si>
  <si>
    <t>гр.8.1=гр.10.1+ гр.12.1</t>
  </si>
  <si>
    <t>Итого за минусом нераспределенного остатка</t>
  </si>
  <si>
    <t>гр.12.1= гр.12 х 005</t>
  </si>
  <si>
    <t>гр.8.2.=гр.8 - гр. 8.1</t>
  </si>
  <si>
    <t>гр.13.2.=гр.13 - гр.13.1</t>
  </si>
  <si>
    <t>гр.13.1= гр.13 х 0,05</t>
  </si>
  <si>
    <t xml:space="preserve"> на 2019 год</t>
  </si>
  <si>
    <t>Прогнозная численность лиц из числа детей-сирот и детей, оставшихся без попечения родителей, состоящих на учете в качестве нуждающихся в жилых помещениях на 2019-2021  годы, чел.</t>
  </si>
  <si>
    <t>гр.15=гр.6 + гр.15</t>
  </si>
  <si>
    <t>гр.16=гр.15*10%</t>
  </si>
  <si>
    <t>гр.17=гр.15*90%</t>
  </si>
  <si>
    <t>на 2021 год</t>
  </si>
  <si>
    <t>гр.20=гр.6 + гр.19</t>
  </si>
  <si>
    <t>гр.21=гр.20*10%</t>
  </si>
  <si>
    <t>гр.22=гр.20*90%</t>
  </si>
  <si>
    <t>гр.10.1=гр.10 х 0,06</t>
  </si>
  <si>
    <t>гр.10.2</t>
  </si>
  <si>
    <t>гр.12.2</t>
  </si>
  <si>
    <t xml:space="preserve"> в том числе  на судебные решения</t>
  </si>
  <si>
    <t>гр.2а</t>
  </si>
  <si>
    <t xml:space="preserve"> в т.ч на судебные решения</t>
  </si>
  <si>
    <t>гр.5а=(гр.2а х гр.3 х гр.4)/1001</t>
  </si>
  <si>
    <t>гр.18=(85000-гр.16)/1581*гр.2</t>
  </si>
  <si>
    <t>гр.23=(85000-гр.16)/1581*гр.2</t>
  </si>
  <si>
    <t>Распределение остатка предусмотренных средств на 2019 год в размере 102504,0 тыс.руб. пропорционально численности нуждающихся в жилье лиц из числа сирот, тыс. руб. (102504,0 тыс.руб.-28532,2 тыс.руб)</t>
  </si>
  <si>
    <t>гр.7= (102504,0 т.р. - 28532,2 т.р.)/1581 чел х гр.2</t>
  </si>
  <si>
    <t>Распределение остатка предусмотренных средств на 2020 год в размере 106604,11111 тыс.руб. пропорционально численности нуждающихся в жилье лиц из числа сирот, тыс. руб. (106604,11111 тыс.руб.-28532,2 тыс.руб)</t>
  </si>
  <si>
    <t>гр.14= (106604,11111 т.р. - 28532,2 т.р.)/1581 чел х гр.2</t>
  </si>
  <si>
    <t>Распределение остатка предусмотренных средств на 2021 год в размере 106604,11111 тыс.руб. пропорционально численности нуждающихся в жилье лиц из числа сирот, тыс. руб. (106604,1111 тыс.руб.-28532,2 тыс.руб)</t>
  </si>
  <si>
    <t>гр.19= (106604,11111 т.р. - 28532,2 т.р.)/1581 чел х гр.2</t>
  </si>
  <si>
    <t>гр.13=(239189,6-гр.10)/1581*гр.2</t>
  </si>
  <si>
    <t>Всего за счет средств  областного  и федерального бюджета, тыс. рублей</t>
  </si>
  <si>
    <t>в т.ч. нераспределенный остаток в  сумме 5 %</t>
  </si>
  <si>
    <t xml:space="preserve">Всего  по договорам специализированных жилых помещений </t>
  </si>
  <si>
    <t>ВСЕГО по договорам специализированных жилых помещений за счет средств областного бюджета</t>
  </si>
  <si>
    <t>Расчет субвенций бюджетам муниципальных образований Архангельской области 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на 2019 год и на плановый период 2020 и 2021 годов</t>
  </si>
  <si>
    <t xml:space="preserve">Всего  по договорам специализированных жилых помещений  в рамках соглашения </t>
  </si>
  <si>
    <t xml:space="preserve"> по договорам специализированных жилых помещений за счет средств областного бюджета в рамках соглашения</t>
  </si>
  <si>
    <t xml:space="preserve"> по договорам специализированных жилых помещений за счет средств областного бюджета в рамках соглашения </t>
  </si>
</sst>
</file>

<file path=xl/styles.xml><?xml version="1.0" encoding="utf-8"?>
<styleSheet xmlns="http://schemas.openxmlformats.org/spreadsheetml/2006/main">
  <numFmts count="8">
    <numFmt numFmtId="164" formatCode="0.0"/>
    <numFmt numFmtId="165" formatCode="_(* #,##0.00_);_(* \(#,##0.00\);_(* &quot;-&quot;??_);_(@_)"/>
    <numFmt numFmtId="166" formatCode="_(* #,##0.0_);_(* \(#,##0.0\);_(* &quot;-&quot;??_);_(@_)"/>
    <numFmt numFmtId="167" formatCode="_-* #,##0.0_р_._-;\-* #,##0.0_р_._-;_-* &quot;-&quot;?_р_._-;_-@_-"/>
    <numFmt numFmtId="168" formatCode="_(* #,##0_);_(* \(#,##0\);_(* &quot;-&quot;??_);_(@_)"/>
    <numFmt numFmtId="169" formatCode="_-* #,##0.00_р_._-;\-* #,##0.00_р_._-;_-* &quot;-&quot;?_р_._-;_-@_-"/>
    <numFmt numFmtId="170" formatCode="_(* #,##0.0000_);_(* \(#,##0.0000\);_(* &quot;-&quot;??_);_(@_)"/>
    <numFmt numFmtId="171" formatCode="_-* #,##0.0\ _₽_-;\-* #,##0.0\ _₽_-;_-* &quot;-&quot;??\ _₽_-;_-@_-"/>
  </numFmts>
  <fonts count="14">
    <font>
      <sz val="10"/>
      <name val="Arial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Times New Roman"/>
      <family val="1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8" fillId="0" borderId="1" xfId="0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167" fontId="0" fillId="0" borderId="0" xfId="0" applyNumberFormat="1"/>
    <xf numFmtId="0" fontId="9" fillId="0" borderId="1" xfId="0" applyFont="1" applyBorder="1" applyAlignment="1">
      <alignment horizontal="left" vertical="center" wrapText="1"/>
    </xf>
    <xf numFmtId="168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166" fontId="0" fillId="0" borderId="0" xfId="0" applyNumberFormat="1"/>
    <xf numFmtId="167" fontId="8" fillId="2" borderId="1" xfId="0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70" fontId="3" fillId="2" borderId="1" xfId="1" applyNumberFormat="1" applyFont="1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169" fontId="8" fillId="2" borderId="1" xfId="0" applyNumberFormat="1" applyFont="1" applyFill="1" applyBorder="1" applyAlignment="1">
      <alignment horizontal="center"/>
    </xf>
    <xf numFmtId="167" fontId="11" fillId="2" borderId="1" xfId="0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1" fontId="8" fillId="0" borderId="1" xfId="0" applyNumberFormat="1" applyFont="1" applyBorder="1" applyAlignment="1">
      <alignment horizontal="center"/>
    </xf>
    <xf numFmtId="171" fontId="8" fillId="2" borderId="1" xfId="0" applyNumberFormat="1" applyFont="1" applyFill="1" applyBorder="1" applyAlignment="1">
      <alignment horizontal="center"/>
    </xf>
    <xf numFmtId="171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G37"/>
  <sheetViews>
    <sheetView tabSelected="1" view="pageBreakPreview" zoomScale="89" zoomScaleNormal="90" zoomScaleSheetLayoutView="89" workbookViewId="0">
      <selection activeCell="M7" sqref="M7"/>
    </sheetView>
  </sheetViews>
  <sheetFormatPr defaultRowHeight="7.5" customHeight="1"/>
  <cols>
    <col min="1" max="1" width="26" customWidth="1"/>
    <col min="2" max="3" width="13.140625" customWidth="1"/>
    <col min="4" max="4" width="18.140625" customWidth="1"/>
    <col min="5" max="5" width="9.5703125" customWidth="1"/>
    <col min="6" max="6" width="19.28515625" customWidth="1"/>
    <col min="7" max="7" width="17.28515625" customWidth="1"/>
    <col min="8" max="8" width="16" customWidth="1"/>
    <col min="9" max="10" width="20.42578125" customWidth="1"/>
    <col min="11" max="11" width="15.7109375" customWidth="1"/>
    <col min="12" max="12" width="18" customWidth="1"/>
    <col min="13" max="13" width="10.28515625" customWidth="1"/>
    <col min="14" max="14" width="15.42578125" customWidth="1"/>
    <col min="15" max="15" width="15" customWidth="1"/>
    <col min="16" max="16" width="15.140625" customWidth="1"/>
    <col min="17" max="17" width="11.28515625" customWidth="1"/>
    <col min="18" max="18" width="15.85546875" customWidth="1"/>
    <col min="19" max="19" width="15.5703125" customWidth="1"/>
    <col min="20" max="20" width="16.42578125" customWidth="1"/>
    <col min="21" max="21" width="18.28515625" customWidth="1"/>
    <col min="22" max="22" width="16.28515625" customWidth="1"/>
    <col min="23" max="23" width="20.42578125" customWidth="1"/>
    <col min="24" max="24" width="19.42578125" customWidth="1"/>
    <col min="25" max="25" width="22.85546875" customWidth="1"/>
    <col min="26" max="27" width="20.5703125" customWidth="1"/>
    <col min="28" max="28" width="18.5703125" customWidth="1"/>
    <col min="29" max="32" width="20.5703125" customWidth="1"/>
    <col min="33" max="33" width="23.5703125" customWidth="1"/>
  </cols>
  <sheetData>
    <row r="1" spans="1:33" ht="21" customHeight="1">
      <c r="F1" s="42" t="s">
        <v>0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33"/>
      <c r="Z1" s="33"/>
      <c r="AA1" s="1"/>
      <c r="AB1" s="1"/>
    </row>
    <row r="2" spans="1:33" ht="52.5" customHeight="1">
      <c r="B2" s="55" t="s">
        <v>87</v>
      </c>
      <c r="C2" s="55"/>
      <c r="D2" s="55"/>
      <c r="E2" s="55"/>
      <c r="F2" s="55"/>
      <c r="G2" s="55"/>
      <c r="H2" s="55"/>
      <c r="I2" s="69"/>
      <c r="J2" s="69"/>
      <c r="K2" s="69"/>
      <c r="L2" s="69"/>
      <c r="M2" s="41"/>
      <c r="N2" s="41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33" ht="14.25" customHeight="1"/>
    <row r="4" spans="1:33" ht="15.75" customHeight="1">
      <c r="AE4" s="2"/>
      <c r="AF4" s="2"/>
      <c r="AG4" s="2"/>
    </row>
    <row r="5" spans="1:33" ht="21" customHeight="1">
      <c r="A5" s="43" t="s">
        <v>1</v>
      </c>
      <c r="B5" s="44" t="s">
        <v>59</v>
      </c>
      <c r="C5" s="46" t="s">
        <v>70</v>
      </c>
      <c r="D5" s="49" t="s">
        <v>2</v>
      </c>
      <c r="E5" s="49" t="s">
        <v>3</v>
      </c>
      <c r="F5" s="49" t="s">
        <v>4</v>
      </c>
      <c r="G5" s="50" t="s">
        <v>72</v>
      </c>
      <c r="H5" s="53" t="s">
        <v>58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9" t="s">
        <v>49</v>
      </c>
      <c r="Y5" s="59"/>
      <c r="Z5" s="59"/>
      <c r="AA5" s="59"/>
      <c r="AB5" s="59"/>
      <c r="AC5" s="59" t="s">
        <v>63</v>
      </c>
      <c r="AD5" s="59"/>
      <c r="AE5" s="59"/>
      <c r="AF5" s="59"/>
      <c r="AG5" s="59"/>
    </row>
    <row r="6" spans="1:33" ht="21" customHeight="1">
      <c r="A6" s="43"/>
      <c r="B6" s="45"/>
      <c r="C6" s="47"/>
      <c r="D6" s="49"/>
      <c r="E6" s="49"/>
      <c r="F6" s="49"/>
      <c r="G6" s="51"/>
      <c r="H6" s="64" t="s">
        <v>5</v>
      </c>
      <c r="I6" s="59" t="s">
        <v>76</v>
      </c>
      <c r="J6" s="59" t="s">
        <v>83</v>
      </c>
      <c r="K6" s="61" t="s">
        <v>84</v>
      </c>
      <c r="L6" s="61" t="s">
        <v>88</v>
      </c>
      <c r="M6" s="56" t="s">
        <v>39</v>
      </c>
      <c r="N6" s="57"/>
      <c r="O6" s="57"/>
      <c r="P6" s="57"/>
      <c r="Q6" s="57"/>
      <c r="R6" s="57"/>
      <c r="S6" s="57"/>
      <c r="T6" s="58"/>
      <c r="U6" s="59" t="s">
        <v>40</v>
      </c>
      <c r="V6" s="61" t="s">
        <v>84</v>
      </c>
      <c r="W6" s="61" t="s">
        <v>86</v>
      </c>
      <c r="X6" s="59" t="s">
        <v>78</v>
      </c>
      <c r="Y6" s="65" t="s">
        <v>48</v>
      </c>
      <c r="Z6" s="67" t="s">
        <v>50</v>
      </c>
      <c r="AA6" s="68"/>
      <c r="AB6" s="60" t="s">
        <v>40</v>
      </c>
      <c r="AC6" s="59" t="s">
        <v>80</v>
      </c>
      <c r="AD6" s="65" t="s">
        <v>48</v>
      </c>
      <c r="AE6" s="67" t="s">
        <v>50</v>
      </c>
      <c r="AF6" s="68"/>
      <c r="AG6" s="60" t="s">
        <v>40</v>
      </c>
    </row>
    <row r="7" spans="1:33" ht="204" customHeight="1">
      <c r="A7" s="43"/>
      <c r="B7" s="45"/>
      <c r="C7" s="48"/>
      <c r="D7" s="49"/>
      <c r="E7" s="49"/>
      <c r="F7" s="49"/>
      <c r="G7" s="52"/>
      <c r="H7" s="64"/>
      <c r="I7" s="64"/>
      <c r="J7" s="60"/>
      <c r="K7" s="62"/>
      <c r="L7" s="63"/>
      <c r="M7" s="22" t="s">
        <v>42</v>
      </c>
      <c r="N7" s="40" t="s">
        <v>89</v>
      </c>
      <c r="O7" s="23" t="s">
        <v>84</v>
      </c>
      <c r="P7" s="39" t="s">
        <v>53</v>
      </c>
      <c r="Q7" s="22" t="s">
        <v>43</v>
      </c>
      <c r="R7" s="23" t="s">
        <v>41</v>
      </c>
      <c r="S7" s="23" t="s">
        <v>84</v>
      </c>
      <c r="T7" s="39" t="s">
        <v>85</v>
      </c>
      <c r="U7" s="60"/>
      <c r="V7" s="62"/>
      <c r="W7" s="63"/>
      <c r="X7" s="64"/>
      <c r="Y7" s="66"/>
      <c r="Z7" s="40" t="s">
        <v>90</v>
      </c>
      <c r="AA7" s="35" t="s">
        <v>41</v>
      </c>
      <c r="AB7" s="60"/>
      <c r="AC7" s="64"/>
      <c r="AD7" s="66"/>
      <c r="AE7" s="40" t="s">
        <v>90</v>
      </c>
      <c r="AF7" s="34" t="s">
        <v>41</v>
      </c>
      <c r="AG7" s="60"/>
    </row>
    <row r="8" spans="1:33" ht="48" customHeight="1">
      <c r="A8" s="3" t="s">
        <v>6</v>
      </c>
      <c r="B8" s="4" t="s">
        <v>7</v>
      </c>
      <c r="C8" s="4" t="s">
        <v>71</v>
      </c>
      <c r="D8" s="3" t="s">
        <v>8</v>
      </c>
      <c r="E8" s="3" t="s">
        <v>9</v>
      </c>
      <c r="F8" s="3" t="s">
        <v>10</v>
      </c>
      <c r="G8" s="3" t="s">
        <v>73</v>
      </c>
      <c r="H8" s="18" t="s">
        <v>11</v>
      </c>
      <c r="I8" s="19" t="s">
        <v>77</v>
      </c>
      <c r="J8" s="19" t="s">
        <v>12</v>
      </c>
      <c r="K8" s="19" t="s">
        <v>52</v>
      </c>
      <c r="L8" s="19" t="s">
        <v>55</v>
      </c>
      <c r="M8" s="19" t="s">
        <v>44</v>
      </c>
      <c r="N8" s="19" t="s">
        <v>45</v>
      </c>
      <c r="O8" s="19" t="s">
        <v>68</v>
      </c>
      <c r="P8" s="19" t="s">
        <v>67</v>
      </c>
      <c r="Q8" s="19" t="s">
        <v>46</v>
      </c>
      <c r="R8" s="19" t="s">
        <v>47</v>
      </c>
      <c r="S8" s="19" t="s">
        <v>54</v>
      </c>
      <c r="T8" s="19" t="s">
        <v>69</v>
      </c>
      <c r="U8" s="19" t="s">
        <v>82</v>
      </c>
      <c r="V8" s="19" t="s">
        <v>57</v>
      </c>
      <c r="W8" s="19" t="s">
        <v>56</v>
      </c>
      <c r="X8" s="19" t="s">
        <v>79</v>
      </c>
      <c r="Y8" s="19" t="s">
        <v>60</v>
      </c>
      <c r="Z8" s="19" t="s">
        <v>61</v>
      </c>
      <c r="AA8" s="19" t="s">
        <v>62</v>
      </c>
      <c r="AB8" s="19" t="s">
        <v>74</v>
      </c>
      <c r="AC8" s="19" t="s">
        <v>81</v>
      </c>
      <c r="AD8" s="19" t="s">
        <v>64</v>
      </c>
      <c r="AE8" s="19" t="s">
        <v>65</v>
      </c>
      <c r="AF8" s="19" t="s">
        <v>66</v>
      </c>
      <c r="AG8" s="19" t="s">
        <v>75</v>
      </c>
    </row>
    <row r="9" spans="1:33" ht="15.75" customHeight="1">
      <c r="A9" s="5" t="s">
        <v>13</v>
      </c>
      <c r="B9" s="31">
        <v>137</v>
      </c>
      <c r="C9" s="31">
        <v>75</v>
      </c>
      <c r="D9" s="36">
        <v>39850</v>
      </c>
      <c r="E9" s="6">
        <v>33</v>
      </c>
      <c r="F9" s="7">
        <f>ROUND(B9*D9*E9/1000,1)</f>
        <v>180161.9</v>
      </c>
      <c r="G9" s="7">
        <f>ROUND(C9*D9*E9/1000,1)</f>
        <v>98628.800000000003</v>
      </c>
      <c r="H9" s="20">
        <f>ROUND(D9*E9/1000,1)</f>
        <v>1315.1</v>
      </c>
      <c r="I9" s="21">
        <f>ROUND((102504-28532.2)/1581 *B9,5)+0.00001</f>
        <v>6409.9535799999994</v>
      </c>
      <c r="J9" s="14">
        <f>H9+I9</f>
        <v>7725.0535799999998</v>
      </c>
      <c r="K9" s="14">
        <f>O9+S9</f>
        <v>386.20000000000005</v>
      </c>
      <c r="L9" s="14">
        <f>ROUND(J9-K9,5)</f>
        <v>7338.85358</v>
      </c>
      <c r="M9" s="28">
        <v>10</v>
      </c>
      <c r="N9" s="14">
        <f>ROUND(J9*M9/100,5)-0.00002</f>
        <v>772.50534000000005</v>
      </c>
      <c r="O9" s="14">
        <f>ROUND(N9*0.05,1)</f>
        <v>38.6</v>
      </c>
      <c r="P9" s="14">
        <f>ROUND(N9-O9,5)</f>
        <v>733.90534000000002</v>
      </c>
      <c r="Q9" s="28">
        <v>90</v>
      </c>
      <c r="R9" s="14">
        <f>ROUND(J9*Q9/100,5)-0.00002</f>
        <v>6952.5481999999993</v>
      </c>
      <c r="S9" s="14">
        <f>ROUND(R9*0.05,1)</f>
        <v>347.6</v>
      </c>
      <c r="T9" s="14">
        <f>ROUND(R9-S9,5)</f>
        <v>6604.9481999999998</v>
      </c>
      <c r="U9" s="29">
        <f>ROUND((239189.6-10250.4)/1581 *B9,5)-0.00002</f>
        <v>19838.501179999999</v>
      </c>
      <c r="V9" s="14">
        <f>ROUND(U9*0.05,1)</f>
        <v>991.9</v>
      </c>
      <c r="W9" s="29">
        <f>U9-V9</f>
        <v>18846.601179999998</v>
      </c>
      <c r="X9" s="14">
        <f>ROUND((106604.11111-28532.2)/1581 *B9,5)</f>
        <v>6765.24467</v>
      </c>
      <c r="Y9" s="14">
        <f>ROUND(H9+X9,1)-0.08889</f>
        <v>8080.2111100000002</v>
      </c>
      <c r="Z9" s="14">
        <f>ROUND(Y9*M9/100,1)+0.11111</f>
        <v>808.11111000000005</v>
      </c>
      <c r="AA9" s="14">
        <f>ROUND(Y9*Q9/100,1)-0.1</f>
        <v>7272.0999999999995</v>
      </c>
      <c r="AB9" s="29">
        <f>ROUND((85000-10660.41111)/1581*B9,5)</f>
        <v>6441.8239599999997</v>
      </c>
      <c r="AC9" s="14">
        <f>ROUND((106604.11111-28532.2)/1581 *B9,5)</f>
        <v>6765.24467</v>
      </c>
      <c r="AD9" s="14">
        <f>ROUND(AC9+H9,1)-0.08889</f>
        <v>8080.2111100000002</v>
      </c>
      <c r="AE9" s="14">
        <f>ROUND(AD9*M9/100,1)+0.11111</f>
        <v>808.11111000000005</v>
      </c>
      <c r="AF9" s="14">
        <f>ROUND(AD9*Q9/100,1)-0.1</f>
        <v>7272.0999999999995</v>
      </c>
      <c r="AG9" s="29">
        <f>ROUND((85000-10660.41111)/1581 *B9,5)-0.00004</f>
        <v>6441.8239199999998</v>
      </c>
    </row>
    <row r="10" spans="1:33" ht="15.75" customHeight="1">
      <c r="A10" s="5" t="s">
        <v>14</v>
      </c>
      <c r="B10" s="31">
        <v>17</v>
      </c>
      <c r="C10" s="31">
        <v>2</v>
      </c>
      <c r="D10" s="36">
        <v>20975.9</v>
      </c>
      <c r="E10" s="6">
        <v>33</v>
      </c>
      <c r="F10" s="7">
        <f t="shared" ref="F10:F32" si="0">ROUND(B10*D10*E10/1000,1)</f>
        <v>11767.5</v>
      </c>
      <c r="G10" s="7">
        <f t="shared" ref="G10:G33" si="1">ROUND(C10*D10*E10/1000,1)</f>
        <v>1384.4</v>
      </c>
      <c r="H10" s="20">
        <f t="shared" ref="H10:H33" si="2">ROUND(D10*E10/1000,1)</f>
        <v>692.2</v>
      </c>
      <c r="I10" s="21">
        <f t="shared" ref="I10:I33" si="3">ROUND((102504-28532.2)/1581 *B10,5)</f>
        <v>795.39570000000003</v>
      </c>
      <c r="J10" s="14">
        <f t="shared" ref="J10:J32" si="4">H10+I10</f>
        <v>1487.5957000000001</v>
      </c>
      <c r="K10" s="14">
        <f t="shared" ref="K10:K33" si="5">O10+S10</f>
        <v>74.300000000000011</v>
      </c>
      <c r="L10" s="14">
        <f t="shared" ref="L10:L33" si="6">J10-K10</f>
        <v>1413.2957000000001</v>
      </c>
      <c r="M10" s="28">
        <v>10</v>
      </c>
      <c r="N10" s="27">
        <f t="shared" ref="N10:N33" si="7">ROUND(J10*M10/100,5)</f>
        <v>148.75957</v>
      </c>
      <c r="O10" s="14">
        <f t="shared" ref="O10:O33" si="8">ROUND(N10*0.05,1)</f>
        <v>7.4</v>
      </c>
      <c r="P10" s="14">
        <f t="shared" ref="P10:P33" si="9">ROUND(N10-O10,5)</f>
        <v>141.35956999999999</v>
      </c>
      <c r="Q10" s="28">
        <v>90</v>
      </c>
      <c r="R10" s="14">
        <f t="shared" ref="R10:R33" si="10">ROUND(J10*Q10/100,5)</f>
        <v>1338.8361299999999</v>
      </c>
      <c r="S10" s="14">
        <f t="shared" ref="S10:S33" si="11">ROUND(R10*0.05,1)</f>
        <v>66.900000000000006</v>
      </c>
      <c r="T10" s="14">
        <f t="shared" ref="T10:T33" si="12">ROUND(R10-S10,5)</f>
        <v>1271.93613</v>
      </c>
      <c r="U10" s="29">
        <f t="shared" ref="U10:U33" si="13">ROUND((239189.6-10250.4)/1581 *B10,5)</f>
        <v>2461.7118300000002</v>
      </c>
      <c r="V10" s="14">
        <f t="shared" ref="V10:V33" si="14">ROUND(U10*0.05,1)</f>
        <v>123.1</v>
      </c>
      <c r="W10" s="29">
        <f>U10-V10</f>
        <v>2338.6118300000003</v>
      </c>
      <c r="X10" s="14">
        <f t="shared" ref="X10:X33" si="15">ROUND((106604.11111-28532.2)/1581 *B10,5)</f>
        <v>839.48292000000004</v>
      </c>
      <c r="Y10" s="14">
        <f>ROUND(H10+X10,1)</f>
        <v>1531.7</v>
      </c>
      <c r="Z10" s="14">
        <f>ROUND(Y10*M10/100,1)</f>
        <v>153.19999999999999</v>
      </c>
      <c r="AA10" s="14">
        <f t="shared" ref="AA10:AA33" si="16">ROUND(Y10*Q10/100,1)</f>
        <v>1378.5</v>
      </c>
      <c r="AB10" s="29">
        <f t="shared" ref="AB10:AB33" si="17">ROUND((85000-10660.41111)/1581*B10,5)</f>
        <v>799.35041999999999</v>
      </c>
      <c r="AC10" s="14">
        <f t="shared" ref="AC10:AC33" si="18">ROUND((106604.11111-28532.2)/1581 *B10,5)</f>
        <v>839.48292000000004</v>
      </c>
      <c r="AD10" s="14">
        <f t="shared" ref="AD10:AD33" si="19">ROUND(AC10+H10,1)</f>
        <v>1531.7</v>
      </c>
      <c r="AE10" s="14">
        <f>ROUND(AD10*M10/100,1)</f>
        <v>153.19999999999999</v>
      </c>
      <c r="AF10" s="14">
        <f>ROUND(AD10*Q10/100,1)</f>
        <v>1378.5</v>
      </c>
      <c r="AG10" s="29">
        <f t="shared" ref="AG10:AG33" si="20">ROUND((85000-10660.41111)/1581 *B10,5)</f>
        <v>799.35041999999999</v>
      </c>
    </row>
    <row r="11" spans="1:33" ht="15.75" customHeight="1">
      <c r="A11" s="5" t="s">
        <v>15</v>
      </c>
      <c r="B11" s="32">
        <v>9</v>
      </c>
      <c r="C11" s="32"/>
      <c r="D11" s="36">
        <v>35088.620000000003</v>
      </c>
      <c r="E11" s="6">
        <v>33</v>
      </c>
      <c r="F11" s="7">
        <f t="shared" si="0"/>
        <v>10421.299999999999</v>
      </c>
      <c r="G11" s="7">
        <f t="shared" si="1"/>
        <v>0</v>
      </c>
      <c r="H11" s="20">
        <f t="shared" si="2"/>
        <v>1157.9000000000001</v>
      </c>
      <c r="I11" s="21">
        <f t="shared" si="3"/>
        <v>421.09183999999999</v>
      </c>
      <c r="J11" s="14">
        <f t="shared" si="4"/>
        <v>1578.9918400000001</v>
      </c>
      <c r="K11" s="14">
        <f t="shared" si="5"/>
        <v>79</v>
      </c>
      <c r="L11" s="14">
        <f t="shared" si="6"/>
        <v>1499.9918400000001</v>
      </c>
      <c r="M11" s="28">
        <v>10</v>
      </c>
      <c r="N11" s="14">
        <f t="shared" si="7"/>
        <v>157.89918</v>
      </c>
      <c r="O11" s="14">
        <f t="shared" si="8"/>
        <v>7.9</v>
      </c>
      <c r="P11" s="14">
        <f t="shared" si="9"/>
        <v>149.99918</v>
      </c>
      <c r="Q11" s="28">
        <v>90</v>
      </c>
      <c r="R11" s="14">
        <f t="shared" si="10"/>
        <v>1421.09266</v>
      </c>
      <c r="S11" s="14">
        <f t="shared" si="11"/>
        <v>71.099999999999994</v>
      </c>
      <c r="T11" s="14">
        <f t="shared" si="12"/>
        <v>1349.9926599999999</v>
      </c>
      <c r="U11" s="29">
        <f t="shared" si="13"/>
        <v>1303.2592</v>
      </c>
      <c r="V11" s="14">
        <f t="shared" si="14"/>
        <v>65.2</v>
      </c>
      <c r="W11" s="29">
        <f t="shared" ref="W11:W33" si="21">U11-V11</f>
        <v>1238.0591999999999</v>
      </c>
      <c r="X11" s="14">
        <f t="shared" si="15"/>
        <v>444.43212999999997</v>
      </c>
      <c r="Y11" s="14">
        <f t="shared" ref="Y11:Y33" si="22">ROUND(H11+X11,1)</f>
        <v>1602.3</v>
      </c>
      <c r="Z11" s="14">
        <f t="shared" ref="Z11:Z33" si="23">ROUND(Y11*M11/100,1)</f>
        <v>160.19999999999999</v>
      </c>
      <c r="AA11" s="14">
        <f t="shared" si="16"/>
        <v>1442.1</v>
      </c>
      <c r="AB11" s="29">
        <f t="shared" si="17"/>
        <v>423.18552</v>
      </c>
      <c r="AC11" s="14">
        <f t="shared" si="18"/>
        <v>444.43212999999997</v>
      </c>
      <c r="AD11" s="14">
        <f t="shared" si="19"/>
        <v>1602.3</v>
      </c>
      <c r="AE11" s="14">
        <f t="shared" ref="AE11:AE33" si="24">ROUND(AD11*M11/100,1)</f>
        <v>160.19999999999999</v>
      </c>
      <c r="AF11" s="14">
        <f t="shared" ref="AF11:AF33" si="25">ROUND(AD11*Q11/100,1)</f>
        <v>1442.1</v>
      </c>
      <c r="AG11" s="29">
        <f t="shared" si="20"/>
        <v>423.18552</v>
      </c>
    </row>
    <row r="12" spans="1:33" ht="15.75" customHeight="1">
      <c r="A12" s="5" t="s">
        <v>16</v>
      </c>
      <c r="B12" s="31">
        <v>23</v>
      </c>
      <c r="C12" s="31"/>
      <c r="D12" s="36">
        <v>30614.5</v>
      </c>
      <c r="E12" s="6">
        <v>33</v>
      </c>
      <c r="F12" s="7">
        <f t="shared" si="0"/>
        <v>23236.400000000001</v>
      </c>
      <c r="G12" s="7">
        <f t="shared" si="1"/>
        <v>0</v>
      </c>
      <c r="H12" s="20">
        <f t="shared" si="2"/>
        <v>1010.3</v>
      </c>
      <c r="I12" s="21">
        <f t="shared" si="3"/>
        <v>1076.1235899999999</v>
      </c>
      <c r="J12" s="14">
        <f t="shared" si="4"/>
        <v>2086.4235899999999</v>
      </c>
      <c r="K12" s="14">
        <f>O12+S12</f>
        <v>104.35000000000001</v>
      </c>
      <c r="L12" s="14">
        <f>J12-K12</f>
        <v>1982.07359</v>
      </c>
      <c r="M12" s="28">
        <v>10</v>
      </c>
      <c r="N12" s="14">
        <f t="shared" si="7"/>
        <v>208.64236</v>
      </c>
      <c r="O12" s="14">
        <f>ROUND(N12*0.05,1)+0.05</f>
        <v>10.450000000000001</v>
      </c>
      <c r="P12" s="14">
        <f t="shared" si="9"/>
        <v>198.19236000000001</v>
      </c>
      <c r="Q12" s="28">
        <v>90</v>
      </c>
      <c r="R12" s="14">
        <f t="shared" si="10"/>
        <v>1877.7812300000001</v>
      </c>
      <c r="S12" s="14">
        <f t="shared" si="11"/>
        <v>93.9</v>
      </c>
      <c r="T12" s="14">
        <f t="shared" si="12"/>
        <v>1783.88123</v>
      </c>
      <c r="U12" s="29">
        <f t="shared" si="13"/>
        <v>3330.5513000000001</v>
      </c>
      <c r="V12" s="14">
        <f t="shared" si="14"/>
        <v>166.5</v>
      </c>
      <c r="W12" s="29">
        <f t="shared" si="21"/>
        <v>3164.0513000000001</v>
      </c>
      <c r="X12" s="14">
        <f t="shared" si="15"/>
        <v>1135.771</v>
      </c>
      <c r="Y12" s="14">
        <f t="shared" si="22"/>
        <v>2146.1</v>
      </c>
      <c r="Z12" s="14">
        <f t="shared" si="23"/>
        <v>214.6</v>
      </c>
      <c r="AA12" s="14">
        <f t="shared" si="16"/>
        <v>1931.5</v>
      </c>
      <c r="AB12" s="29">
        <f t="shared" si="17"/>
        <v>1081.4740999999999</v>
      </c>
      <c r="AC12" s="14">
        <f t="shared" si="18"/>
        <v>1135.771</v>
      </c>
      <c r="AD12" s="14">
        <f t="shared" si="19"/>
        <v>2146.1</v>
      </c>
      <c r="AE12" s="14">
        <f t="shared" si="24"/>
        <v>214.6</v>
      </c>
      <c r="AF12" s="14">
        <f t="shared" si="25"/>
        <v>1931.5</v>
      </c>
      <c r="AG12" s="29">
        <f t="shared" si="20"/>
        <v>1081.4740999999999</v>
      </c>
    </row>
    <row r="13" spans="1:33" ht="15.75" customHeight="1">
      <c r="A13" s="5" t="s">
        <v>17</v>
      </c>
      <c r="B13" s="31">
        <v>28</v>
      </c>
      <c r="C13" s="31">
        <v>3</v>
      </c>
      <c r="D13" s="36">
        <v>24815.3</v>
      </c>
      <c r="E13" s="6">
        <v>33</v>
      </c>
      <c r="F13" s="7">
        <f t="shared" si="0"/>
        <v>22929.3</v>
      </c>
      <c r="G13" s="7">
        <f t="shared" si="1"/>
        <v>2456.6999999999998</v>
      </c>
      <c r="H13" s="20">
        <f t="shared" si="2"/>
        <v>818.9</v>
      </c>
      <c r="I13" s="21">
        <f t="shared" si="3"/>
        <v>1310.0635</v>
      </c>
      <c r="J13" s="14">
        <f t="shared" si="4"/>
        <v>2128.9634999999998</v>
      </c>
      <c r="K13" s="14">
        <f t="shared" si="5"/>
        <v>106.39999999999999</v>
      </c>
      <c r="L13" s="14">
        <f t="shared" si="6"/>
        <v>2022.5634999999997</v>
      </c>
      <c r="M13" s="28">
        <v>10</v>
      </c>
      <c r="N13" s="14">
        <f t="shared" si="7"/>
        <v>212.89635000000001</v>
      </c>
      <c r="O13" s="14">
        <f t="shared" si="8"/>
        <v>10.6</v>
      </c>
      <c r="P13" s="14">
        <f t="shared" si="9"/>
        <v>202.29634999999999</v>
      </c>
      <c r="Q13" s="28">
        <v>90</v>
      </c>
      <c r="R13" s="14">
        <f t="shared" si="10"/>
        <v>1916.0671500000001</v>
      </c>
      <c r="S13" s="14">
        <f t="shared" si="11"/>
        <v>95.8</v>
      </c>
      <c r="T13" s="14">
        <f t="shared" si="12"/>
        <v>1820.2671499999999</v>
      </c>
      <c r="U13" s="29">
        <f t="shared" si="13"/>
        <v>4054.58419</v>
      </c>
      <c r="V13" s="14">
        <f t="shared" si="14"/>
        <v>202.7</v>
      </c>
      <c r="W13" s="29">
        <f t="shared" si="21"/>
        <v>3851.8841900000002</v>
      </c>
      <c r="X13" s="14">
        <f t="shared" si="15"/>
        <v>1382.6777400000001</v>
      </c>
      <c r="Y13" s="14">
        <f t="shared" si="22"/>
        <v>2201.6</v>
      </c>
      <c r="Z13" s="14">
        <f t="shared" si="23"/>
        <v>220.2</v>
      </c>
      <c r="AA13" s="14">
        <f t="shared" si="16"/>
        <v>1981.4</v>
      </c>
      <c r="AB13" s="29">
        <f t="shared" si="17"/>
        <v>1316.57716</v>
      </c>
      <c r="AC13" s="14">
        <f t="shared" si="18"/>
        <v>1382.6777400000001</v>
      </c>
      <c r="AD13" s="14">
        <f t="shared" si="19"/>
        <v>2201.6</v>
      </c>
      <c r="AE13" s="14">
        <f t="shared" si="24"/>
        <v>220.2</v>
      </c>
      <c r="AF13" s="14">
        <f t="shared" si="25"/>
        <v>1981.4</v>
      </c>
      <c r="AG13" s="29">
        <f t="shared" si="20"/>
        <v>1316.57716</v>
      </c>
    </row>
    <row r="14" spans="1:33" ht="15.75" customHeight="1">
      <c r="A14" s="5" t="s">
        <v>18</v>
      </c>
      <c r="B14" s="31">
        <v>43</v>
      </c>
      <c r="C14" s="31"/>
      <c r="D14" s="36">
        <v>26666.66</v>
      </c>
      <c r="E14" s="6">
        <v>33</v>
      </c>
      <c r="F14" s="7">
        <f t="shared" si="0"/>
        <v>37840</v>
      </c>
      <c r="G14" s="7">
        <f t="shared" si="1"/>
        <v>0</v>
      </c>
      <c r="H14" s="20">
        <f t="shared" si="2"/>
        <v>880</v>
      </c>
      <c r="I14" s="21">
        <f t="shared" si="3"/>
        <v>2011.8832399999999</v>
      </c>
      <c r="J14" s="14">
        <f t="shared" si="4"/>
        <v>2891.8832400000001</v>
      </c>
      <c r="K14" s="14">
        <f t="shared" si="5"/>
        <v>144.6</v>
      </c>
      <c r="L14" s="14">
        <f t="shared" si="6"/>
        <v>2747.2832400000002</v>
      </c>
      <c r="M14" s="28">
        <v>10</v>
      </c>
      <c r="N14" s="14">
        <f t="shared" si="7"/>
        <v>289.18831999999998</v>
      </c>
      <c r="O14" s="14">
        <f t="shared" si="8"/>
        <v>14.5</v>
      </c>
      <c r="P14" s="14">
        <f t="shared" si="9"/>
        <v>274.68831999999998</v>
      </c>
      <c r="Q14" s="28">
        <v>90</v>
      </c>
      <c r="R14" s="14">
        <f t="shared" si="10"/>
        <v>2602.6949199999999</v>
      </c>
      <c r="S14" s="14">
        <f t="shared" si="11"/>
        <v>130.1</v>
      </c>
      <c r="T14" s="14">
        <f t="shared" si="12"/>
        <v>2472.59492</v>
      </c>
      <c r="U14" s="29">
        <f t="shared" si="13"/>
        <v>6226.6828599999999</v>
      </c>
      <c r="V14" s="14">
        <f t="shared" si="14"/>
        <v>311.3</v>
      </c>
      <c r="W14" s="29">
        <f t="shared" si="21"/>
        <v>5915.3828599999997</v>
      </c>
      <c r="X14" s="14">
        <f t="shared" si="15"/>
        <v>2123.3979599999998</v>
      </c>
      <c r="Y14" s="14">
        <f t="shared" si="22"/>
        <v>3003.4</v>
      </c>
      <c r="Z14" s="14">
        <f t="shared" si="23"/>
        <v>300.3</v>
      </c>
      <c r="AA14" s="14">
        <f t="shared" si="16"/>
        <v>2703.1</v>
      </c>
      <c r="AB14" s="29">
        <f t="shared" si="17"/>
        <v>2021.88635</v>
      </c>
      <c r="AC14" s="14">
        <f t="shared" si="18"/>
        <v>2123.3979599999998</v>
      </c>
      <c r="AD14" s="14">
        <f t="shared" si="19"/>
        <v>3003.4</v>
      </c>
      <c r="AE14" s="14">
        <f t="shared" si="24"/>
        <v>300.3</v>
      </c>
      <c r="AF14" s="14">
        <f t="shared" si="25"/>
        <v>2703.1</v>
      </c>
      <c r="AG14" s="29">
        <f t="shared" si="20"/>
        <v>2021.88635</v>
      </c>
    </row>
    <row r="15" spans="1:33" ht="15.75" customHeight="1">
      <c r="A15" s="5" t="s">
        <v>19</v>
      </c>
      <c r="B15" s="31">
        <v>58</v>
      </c>
      <c r="C15" s="31">
        <v>18</v>
      </c>
      <c r="D15" s="36">
        <v>30388.34</v>
      </c>
      <c r="E15" s="6">
        <v>33</v>
      </c>
      <c r="F15" s="7">
        <f t="shared" si="0"/>
        <v>58163.3</v>
      </c>
      <c r="G15" s="7">
        <f t="shared" si="1"/>
        <v>18050.7</v>
      </c>
      <c r="H15" s="20">
        <f t="shared" si="2"/>
        <v>1002.8</v>
      </c>
      <c r="I15" s="21">
        <f t="shared" si="3"/>
        <v>2713.7029699999998</v>
      </c>
      <c r="J15" s="14">
        <f t="shared" si="4"/>
        <v>3716.5029699999996</v>
      </c>
      <c r="K15" s="14">
        <f t="shared" si="5"/>
        <v>185.79999999999998</v>
      </c>
      <c r="L15" s="14">
        <f t="shared" si="6"/>
        <v>3530.7029699999994</v>
      </c>
      <c r="M15" s="28">
        <v>10</v>
      </c>
      <c r="N15" s="14">
        <f t="shared" si="7"/>
        <v>371.65030000000002</v>
      </c>
      <c r="O15" s="14">
        <f t="shared" si="8"/>
        <v>18.600000000000001</v>
      </c>
      <c r="P15" s="14">
        <f t="shared" si="9"/>
        <v>353.05029999999999</v>
      </c>
      <c r="Q15" s="28">
        <v>90</v>
      </c>
      <c r="R15" s="14">
        <f t="shared" si="10"/>
        <v>3344.8526700000002</v>
      </c>
      <c r="S15" s="14">
        <f t="shared" si="11"/>
        <v>167.2</v>
      </c>
      <c r="T15" s="14">
        <f t="shared" si="12"/>
        <v>3177.6526699999999</v>
      </c>
      <c r="U15" s="29">
        <f t="shared" si="13"/>
        <v>8398.7815300000002</v>
      </c>
      <c r="V15" s="14">
        <f t="shared" si="14"/>
        <v>419.9</v>
      </c>
      <c r="W15" s="29">
        <f t="shared" si="21"/>
        <v>7978.8815300000006</v>
      </c>
      <c r="X15" s="14">
        <f t="shared" si="15"/>
        <v>2864.1181799999999</v>
      </c>
      <c r="Y15" s="14">
        <f t="shared" si="22"/>
        <v>3866.9</v>
      </c>
      <c r="Z15" s="14">
        <f t="shared" si="23"/>
        <v>386.7</v>
      </c>
      <c r="AA15" s="14">
        <f t="shared" si="16"/>
        <v>3480.2</v>
      </c>
      <c r="AB15" s="29">
        <f t="shared" si="17"/>
        <v>2727.1955400000002</v>
      </c>
      <c r="AC15" s="14">
        <f t="shared" si="18"/>
        <v>2864.1181799999999</v>
      </c>
      <c r="AD15" s="14">
        <f t="shared" si="19"/>
        <v>3866.9</v>
      </c>
      <c r="AE15" s="14">
        <f t="shared" si="24"/>
        <v>386.7</v>
      </c>
      <c r="AF15" s="14">
        <f t="shared" si="25"/>
        <v>3480.2</v>
      </c>
      <c r="AG15" s="29">
        <f t="shared" si="20"/>
        <v>2727.1955400000002</v>
      </c>
    </row>
    <row r="16" spans="1:33" ht="15.75" customHeight="1">
      <c r="A16" s="5" t="s">
        <v>20</v>
      </c>
      <c r="B16" s="31">
        <v>30</v>
      </c>
      <c r="C16" s="31">
        <v>2</v>
      </c>
      <c r="D16" s="36">
        <v>29145.934999999998</v>
      </c>
      <c r="E16" s="6">
        <v>33</v>
      </c>
      <c r="F16" s="7">
        <f t="shared" si="0"/>
        <v>28854.5</v>
      </c>
      <c r="G16" s="7">
        <f t="shared" si="1"/>
        <v>1923.6</v>
      </c>
      <c r="H16" s="20">
        <f t="shared" si="2"/>
        <v>961.8</v>
      </c>
      <c r="I16" s="21">
        <f t="shared" si="3"/>
        <v>1403.6394700000001</v>
      </c>
      <c r="J16" s="14">
        <f t="shared" si="4"/>
        <v>2365.4394700000003</v>
      </c>
      <c r="K16" s="14">
        <f t="shared" si="5"/>
        <v>118.2</v>
      </c>
      <c r="L16" s="14">
        <f t="shared" si="6"/>
        <v>2247.2394700000004</v>
      </c>
      <c r="M16" s="28">
        <v>10</v>
      </c>
      <c r="N16" s="14">
        <f t="shared" si="7"/>
        <v>236.54395</v>
      </c>
      <c r="O16" s="14">
        <f t="shared" si="8"/>
        <v>11.8</v>
      </c>
      <c r="P16" s="14">
        <f t="shared" si="9"/>
        <v>224.74395000000001</v>
      </c>
      <c r="Q16" s="28">
        <v>90</v>
      </c>
      <c r="R16" s="14">
        <f t="shared" si="10"/>
        <v>2128.89552</v>
      </c>
      <c r="S16" s="14">
        <f t="shared" si="11"/>
        <v>106.4</v>
      </c>
      <c r="T16" s="14">
        <f t="shared" si="12"/>
        <v>2022.4955199999999</v>
      </c>
      <c r="U16" s="29">
        <f t="shared" si="13"/>
        <v>4344.1973399999997</v>
      </c>
      <c r="V16" s="14">
        <f t="shared" si="14"/>
        <v>217.2</v>
      </c>
      <c r="W16" s="29">
        <f t="shared" si="21"/>
        <v>4126.9973399999999</v>
      </c>
      <c r="X16" s="14">
        <f t="shared" si="15"/>
        <v>1481.4404400000001</v>
      </c>
      <c r="Y16" s="14">
        <f t="shared" si="22"/>
        <v>2443.1999999999998</v>
      </c>
      <c r="Z16" s="14">
        <f t="shared" si="23"/>
        <v>244.3</v>
      </c>
      <c r="AA16" s="14">
        <f t="shared" si="16"/>
        <v>2198.9</v>
      </c>
      <c r="AB16" s="29">
        <f t="shared" si="17"/>
        <v>1410.6183900000001</v>
      </c>
      <c r="AC16" s="14">
        <f t="shared" si="18"/>
        <v>1481.4404400000001</v>
      </c>
      <c r="AD16" s="14">
        <f t="shared" si="19"/>
        <v>2443.1999999999998</v>
      </c>
      <c r="AE16" s="14">
        <f t="shared" si="24"/>
        <v>244.3</v>
      </c>
      <c r="AF16" s="14">
        <f t="shared" si="25"/>
        <v>2198.9</v>
      </c>
      <c r="AG16" s="29">
        <f t="shared" si="20"/>
        <v>1410.6183900000001</v>
      </c>
    </row>
    <row r="17" spans="1:33" ht="15.75" customHeight="1">
      <c r="A17" s="5" t="s">
        <v>21</v>
      </c>
      <c r="B17" s="32">
        <v>31</v>
      </c>
      <c r="C17" s="32">
        <v>4</v>
      </c>
      <c r="D17" s="36">
        <v>33590.46</v>
      </c>
      <c r="E17" s="6">
        <v>33</v>
      </c>
      <c r="F17" s="7">
        <f t="shared" si="0"/>
        <v>34363</v>
      </c>
      <c r="G17" s="7">
        <f t="shared" si="1"/>
        <v>4433.8999999999996</v>
      </c>
      <c r="H17" s="20">
        <f t="shared" si="2"/>
        <v>1108.5</v>
      </c>
      <c r="I17" s="21">
        <f t="shared" si="3"/>
        <v>1450.4274499999999</v>
      </c>
      <c r="J17" s="14">
        <f t="shared" si="4"/>
        <v>2558.9274500000001</v>
      </c>
      <c r="K17" s="14">
        <f t="shared" si="5"/>
        <v>128.08000000000001</v>
      </c>
      <c r="L17" s="14">
        <f t="shared" si="6"/>
        <v>2430.8474500000002</v>
      </c>
      <c r="M17" s="28">
        <v>10</v>
      </c>
      <c r="N17" s="14">
        <f t="shared" si="7"/>
        <v>255.89275000000001</v>
      </c>
      <c r="O17" s="14">
        <f>ROUND(N17*0.05,1)+0.08</f>
        <v>12.88</v>
      </c>
      <c r="P17" s="14">
        <f t="shared" si="9"/>
        <v>243.01275000000001</v>
      </c>
      <c r="Q17" s="28">
        <v>90</v>
      </c>
      <c r="R17" s="14">
        <f t="shared" si="10"/>
        <v>2303.0347099999999</v>
      </c>
      <c r="S17" s="14">
        <f t="shared" si="11"/>
        <v>115.2</v>
      </c>
      <c r="T17" s="14">
        <f t="shared" si="12"/>
        <v>2187.8347100000001</v>
      </c>
      <c r="U17" s="29">
        <f t="shared" si="13"/>
        <v>4489.0039200000001</v>
      </c>
      <c r="V17" s="14">
        <f t="shared" si="14"/>
        <v>224.5</v>
      </c>
      <c r="W17" s="29">
        <f t="shared" si="21"/>
        <v>4264.5039200000001</v>
      </c>
      <c r="X17" s="14">
        <f t="shared" si="15"/>
        <v>1530.82179</v>
      </c>
      <c r="Y17" s="14">
        <f t="shared" si="22"/>
        <v>2639.3</v>
      </c>
      <c r="Z17" s="14">
        <f t="shared" si="23"/>
        <v>263.89999999999998</v>
      </c>
      <c r="AA17" s="14">
        <f t="shared" si="16"/>
        <v>2375.4</v>
      </c>
      <c r="AB17" s="29">
        <f t="shared" si="17"/>
        <v>1457.6389999999999</v>
      </c>
      <c r="AC17" s="14">
        <f t="shared" si="18"/>
        <v>1530.82179</v>
      </c>
      <c r="AD17" s="14">
        <f t="shared" si="19"/>
        <v>2639.3</v>
      </c>
      <c r="AE17" s="14">
        <f t="shared" si="24"/>
        <v>263.89999999999998</v>
      </c>
      <c r="AF17" s="14">
        <f t="shared" si="25"/>
        <v>2375.4</v>
      </c>
      <c r="AG17" s="29">
        <f t="shared" si="20"/>
        <v>1457.6389999999999</v>
      </c>
    </row>
    <row r="18" spans="1:33" ht="15.75" customHeight="1">
      <c r="A18" s="5" t="s">
        <v>22</v>
      </c>
      <c r="B18" s="32">
        <v>7</v>
      </c>
      <c r="C18" s="32"/>
      <c r="D18" s="36">
        <v>15152.21</v>
      </c>
      <c r="E18" s="6">
        <v>33</v>
      </c>
      <c r="F18" s="7">
        <f t="shared" si="0"/>
        <v>3500.2</v>
      </c>
      <c r="G18" s="7">
        <f t="shared" si="1"/>
        <v>0</v>
      </c>
      <c r="H18" s="20">
        <f t="shared" si="2"/>
        <v>500</v>
      </c>
      <c r="I18" s="21">
        <f t="shared" si="3"/>
        <v>327.51587999999998</v>
      </c>
      <c r="J18" s="14">
        <f t="shared" si="4"/>
        <v>827.51587999999992</v>
      </c>
      <c r="K18" s="14">
        <f t="shared" si="5"/>
        <v>41.300000000000004</v>
      </c>
      <c r="L18" s="14">
        <f t="shared" si="6"/>
        <v>786.21587999999997</v>
      </c>
      <c r="M18" s="28">
        <v>10</v>
      </c>
      <c r="N18" s="14">
        <f t="shared" si="7"/>
        <v>82.751589999999993</v>
      </c>
      <c r="O18" s="14">
        <f t="shared" si="8"/>
        <v>4.0999999999999996</v>
      </c>
      <c r="P18" s="14">
        <f t="shared" si="9"/>
        <v>78.651589999999999</v>
      </c>
      <c r="Q18" s="28">
        <v>90</v>
      </c>
      <c r="R18" s="14">
        <f t="shared" si="10"/>
        <v>744.76428999999996</v>
      </c>
      <c r="S18" s="14">
        <f t="shared" si="11"/>
        <v>37.200000000000003</v>
      </c>
      <c r="T18" s="14">
        <f t="shared" si="12"/>
        <v>707.56429000000003</v>
      </c>
      <c r="U18" s="29">
        <f t="shared" si="13"/>
        <v>1013.6460499999999</v>
      </c>
      <c r="V18" s="14">
        <f t="shared" si="14"/>
        <v>50.7</v>
      </c>
      <c r="W18" s="29">
        <f t="shared" si="21"/>
        <v>962.9460499999999</v>
      </c>
      <c r="X18" s="14">
        <f t="shared" si="15"/>
        <v>345.66944000000001</v>
      </c>
      <c r="Y18" s="14">
        <f t="shared" si="22"/>
        <v>845.7</v>
      </c>
      <c r="Z18" s="14">
        <f t="shared" si="23"/>
        <v>84.6</v>
      </c>
      <c r="AA18" s="14">
        <f t="shared" si="16"/>
        <v>761.1</v>
      </c>
      <c r="AB18" s="29">
        <f t="shared" si="17"/>
        <v>329.14429000000001</v>
      </c>
      <c r="AC18" s="14">
        <f t="shared" si="18"/>
        <v>345.66944000000001</v>
      </c>
      <c r="AD18" s="14">
        <f t="shared" si="19"/>
        <v>845.7</v>
      </c>
      <c r="AE18" s="14">
        <f t="shared" si="24"/>
        <v>84.6</v>
      </c>
      <c r="AF18" s="14">
        <f t="shared" si="25"/>
        <v>761.1</v>
      </c>
      <c r="AG18" s="29">
        <f t="shared" si="20"/>
        <v>329.14429000000001</v>
      </c>
    </row>
    <row r="19" spans="1:33" ht="15.75" customHeight="1">
      <c r="A19" s="5" t="s">
        <v>23</v>
      </c>
      <c r="B19" s="32">
        <v>9</v>
      </c>
      <c r="C19" s="32"/>
      <c r="D19" s="36">
        <v>28996.559999999998</v>
      </c>
      <c r="E19" s="6">
        <v>33</v>
      </c>
      <c r="F19" s="7">
        <f t="shared" si="0"/>
        <v>8612</v>
      </c>
      <c r="G19" s="7">
        <f t="shared" si="1"/>
        <v>0</v>
      </c>
      <c r="H19" s="20">
        <f t="shared" si="2"/>
        <v>956.9</v>
      </c>
      <c r="I19" s="21">
        <f t="shared" si="3"/>
        <v>421.09183999999999</v>
      </c>
      <c r="J19" s="14">
        <f t="shared" si="4"/>
        <v>1377.9918399999999</v>
      </c>
      <c r="K19" s="14">
        <f t="shared" si="5"/>
        <v>68.900000000000006</v>
      </c>
      <c r="L19" s="14">
        <f t="shared" si="6"/>
        <v>1309.0918399999998</v>
      </c>
      <c r="M19" s="28">
        <v>10</v>
      </c>
      <c r="N19" s="14">
        <f t="shared" si="7"/>
        <v>137.79918000000001</v>
      </c>
      <c r="O19" s="14">
        <f t="shared" si="8"/>
        <v>6.9</v>
      </c>
      <c r="P19" s="14">
        <f t="shared" si="9"/>
        <v>130.89918</v>
      </c>
      <c r="Q19" s="28">
        <v>90</v>
      </c>
      <c r="R19" s="14">
        <f t="shared" si="10"/>
        <v>1240.1926599999999</v>
      </c>
      <c r="S19" s="14">
        <f t="shared" si="11"/>
        <v>62</v>
      </c>
      <c r="T19" s="14">
        <f t="shared" si="12"/>
        <v>1178.1926599999999</v>
      </c>
      <c r="U19" s="29">
        <f t="shared" si="13"/>
        <v>1303.2592</v>
      </c>
      <c r="V19" s="14">
        <f t="shared" si="14"/>
        <v>65.2</v>
      </c>
      <c r="W19" s="29">
        <f t="shared" si="21"/>
        <v>1238.0591999999999</v>
      </c>
      <c r="X19" s="14">
        <f t="shared" si="15"/>
        <v>444.43212999999997</v>
      </c>
      <c r="Y19" s="14">
        <f t="shared" si="22"/>
        <v>1401.3</v>
      </c>
      <c r="Z19" s="14">
        <f t="shared" si="23"/>
        <v>140.1</v>
      </c>
      <c r="AA19" s="14">
        <f t="shared" si="16"/>
        <v>1261.2</v>
      </c>
      <c r="AB19" s="29">
        <f t="shared" si="17"/>
        <v>423.18552</v>
      </c>
      <c r="AC19" s="14">
        <f t="shared" si="18"/>
        <v>444.43212999999997</v>
      </c>
      <c r="AD19" s="14">
        <f t="shared" si="19"/>
        <v>1401.3</v>
      </c>
      <c r="AE19" s="14">
        <f t="shared" si="24"/>
        <v>140.1</v>
      </c>
      <c r="AF19" s="14">
        <f t="shared" si="25"/>
        <v>1261.2</v>
      </c>
      <c r="AG19" s="29">
        <f t="shared" si="20"/>
        <v>423.18552</v>
      </c>
    </row>
    <row r="20" spans="1:33" ht="15.75" customHeight="1">
      <c r="A20" s="5" t="s">
        <v>24</v>
      </c>
      <c r="B20" s="31">
        <v>45</v>
      </c>
      <c r="C20" s="31">
        <v>6</v>
      </c>
      <c r="D20" s="36">
        <v>35029</v>
      </c>
      <c r="E20" s="6">
        <v>33</v>
      </c>
      <c r="F20" s="7">
        <f t="shared" si="0"/>
        <v>52018.1</v>
      </c>
      <c r="G20" s="7">
        <f t="shared" si="1"/>
        <v>6935.7</v>
      </c>
      <c r="H20" s="20">
        <f t="shared" si="2"/>
        <v>1156</v>
      </c>
      <c r="I20" s="21">
        <f t="shared" si="3"/>
        <v>2105.4591999999998</v>
      </c>
      <c r="J20" s="14">
        <f t="shared" si="4"/>
        <v>3261.4591999999998</v>
      </c>
      <c r="K20" s="14">
        <f t="shared" si="5"/>
        <v>163.10000000000002</v>
      </c>
      <c r="L20" s="14">
        <f t="shared" si="6"/>
        <v>3098.3591999999999</v>
      </c>
      <c r="M20" s="28">
        <v>10</v>
      </c>
      <c r="N20" s="14">
        <f t="shared" si="7"/>
        <v>326.14591999999999</v>
      </c>
      <c r="O20" s="14">
        <f t="shared" si="8"/>
        <v>16.3</v>
      </c>
      <c r="P20" s="14">
        <f t="shared" si="9"/>
        <v>309.84591999999998</v>
      </c>
      <c r="Q20" s="28">
        <v>90</v>
      </c>
      <c r="R20" s="14">
        <f t="shared" si="10"/>
        <v>2935.3132799999998</v>
      </c>
      <c r="S20" s="14">
        <f t="shared" si="11"/>
        <v>146.80000000000001</v>
      </c>
      <c r="T20" s="14">
        <f t="shared" si="12"/>
        <v>2788.5132800000001</v>
      </c>
      <c r="U20" s="29">
        <f t="shared" si="13"/>
        <v>6516.2960199999998</v>
      </c>
      <c r="V20" s="14">
        <f t="shared" si="14"/>
        <v>325.8</v>
      </c>
      <c r="W20" s="29">
        <f t="shared" si="21"/>
        <v>6190.4960199999996</v>
      </c>
      <c r="X20" s="14">
        <f t="shared" si="15"/>
        <v>2222.16066</v>
      </c>
      <c r="Y20" s="14">
        <f t="shared" si="22"/>
        <v>3378.2</v>
      </c>
      <c r="Z20" s="14">
        <f t="shared" si="23"/>
        <v>337.8</v>
      </c>
      <c r="AA20" s="14">
        <f t="shared" si="16"/>
        <v>3040.4</v>
      </c>
      <c r="AB20" s="29">
        <f t="shared" si="17"/>
        <v>2115.92758</v>
      </c>
      <c r="AC20" s="14">
        <f t="shared" si="18"/>
        <v>2222.16066</v>
      </c>
      <c r="AD20" s="14">
        <f t="shared" si="19"/>
        <v>3378.2</v>
      </c>
      <c r="AE20" s="14">
        <f t="shared" si="24"/>
        <v>337.8</v>
      </c>
      <c r="AF20" s="14">
        <f t="shared" si="25"/>
        <v>3040.4</v>
      </c>
      <c r="AG20" s="29">
        <f t="shared" si="20"/>
        <v>2115.92758</v>
      </c>
    </row>
    <row r="21" spans="1:33" ht="15.75" customHeight="1">
      <c r="A21" s="5" t="s">
        <v>25</v>
      </c>
      <c r="B21" s="31">
        <v>87</v>
      </c>
      <c r="C21" s="31">
        <v>14</v>
      </c>
      <c r="D21" s="36">
        <v>36041</v>
      </c>
      <c r="E21" s="6">
        <v>33</v>
      </c>
      <c r="F21" s="7">
        <f t="shared" si="0"/>
        <v>103473.7</v>
      </c>
      <c r="G21" s="7">
        <f t="shared" si="1"/>
        <v>16650.900000000001</v>
      </c>
      <c r="H21" s="20">
        <f t="shared" si="2"/>
        <v>1189.4000000000001</v>
      </c>
      <c r="I21" s="21">
        <f t="shared" si="3"/>
        <v>4070.5544599999998</v>
      </c>
      <c r="J21" s="14">
        <f t="shared" si="4"/>
        <v>5259.9544599999999</v>
      </c>
      <c r="K21" s="14">
        <f t="shared" si="5"/>
        <v>263</v>
      </c>
      <c r="L21" s="14">
        <f t="shared" si="6"/>
        <v>4996.9544599999999</v>
      </c>
      <c r="M21" s="28">
        <v>10</v>
      </c>
      <c r="N21" s="14">
        <f t="shared" si="7"/>
        <v>525.99545000000001</v>
      </c>
      <c r="O21" s="14">
        <f t="shared" si="8"/>
        <v>26.3</v>
      </c>
      <c r="P21" s="14">
        <f t="shared" si="9"/>
        <v>499.69544999999999</v>
      </c>
      <c r="Q21" s="28">
        <v>90</v>
      </c>
      <c r="R21" s="14">
        <f t="shared" si="10"/>
        <v>4733.9590099999996</v>
      </c>
      <c r="S21" s="14">
        <f t="shared" si="11"/>
        <v>236.7</v>
      </c>
      <c r="T21" s="14">
        <f t="shared" si="12"/>
        <v>4497.2590099999998</v>
      </c>
      <c r="U21" s="29">
        <f t="shared" si="13"/>
        <v>12598.1723</v>
      </c>
      <c r="V21" s="14">
        <f t="shared" si="14"/>
        <v>629.9</v>
      </c>
      <c r="W21" s="29">
        <f t="shared" si="21"/>
        <v>11968.272300000001</v>
      </c>
      <c r="X21" s="14">
        <f t="shared" si="15"/>
        <v>4296.1772700000001</v>
      </c>
      <c r="Y21" s="14">
        <f t="shared" si="22"/>
        <v>5485.6</v>
      </c>
      <c r="Z21" s="14">
        <f t="shared" si="23"/>
        <v>548.6</v>
      </c>
      <c r="AA21" s="14">
        <f t="shared" si="16"/>
        <v>4937</v>
      </c>
      <c r="AB21" s="29">
        <f t="shared" si="17"/>
        <v>4090.7933200000002</v>
      </c>
      <c r="AC21" s="14">
        <f t="shared" si="18"/>
        <v>4296.1772700000001</v>
      </c>
      <c r="AD21" s="14">
        <f t="shared" si="19"/>
        <v>5485.6</v>
      </c>
      <c r="AE21" s="14">
        <f t="shared" si="24"/>
        <v>548.6</v>
      </c>
      <c r="AF21" s="14">
        <f t="shared" si="25"/>
        <v>4937</v>
      </c>
      <c r="AG21" s="29">
        <f t="shared" si="20"/>
        <v>4090.7933200000002</v>
      </c>
    </row>
    <row r="22" spans="1:33" ht="15.75" customHeight="1">
      <c r="A22" s="5" t="s">
        <v>26</v>
      </c>
      <c r="B22" s="31">
        <v>31</v>
      </c>
      <c r="C22" s="31"/>
      <c r="D22" s="36">
        <v>18040</v>
      </c>
      <c r="E22" s="6">
        <v>33</v>
      </c>
      <c r="F22" s="7">
        <f t="shared" si="0"/>
        <v>18454.900000000001</v>
      </c>
      <c r="G22" s="7">
        <f t="shared" si="1"/>
        <v>0</v>
      </c>
      <c r="H22" s="20">
        <f t="shared" si="2"/>
        <v>595.29999999999995</v>
      </c>
      <c r="I22" s="21">
        <f t="shared" si="3"/>
        <v>1450.4274499999999</v>
      </c>
      <c r="J22" s="14">
        <f t="shared" si="4"/>
        <v>2045.7274499999999</v>
      </c>
      <c r="K22" s="14">
        <f t="shared" si="5"/>
        <v>102.3</v>
      </c>
      <c r="L22" s="14">
        <f t="shared" si="6"/>
        <v>1943.4274499999999</v>
      </c>
      <c r="M22" s="28">
        <v>10</v>
      </c>
      <c r="N22" s="14">
        <f t="shared" si="7"/>
        <v>204.57275000000001</v>
      </c>
      <c r="O22" s="14">
        <f t="shared" si="8"/>
        <v>10.199999999999999</v>
      </c>
      <c r="P22" s="14">
        <f t="shared" si="9"/>
        <v>194.37275</v>
      </c>
      <c r="Q22" s="28">
        <v>90</v>
      </c>
      <c r="R22" s="14">
        <f t="shared" si="10"/>
        <v>1841.15471</v>
      </c>
      <c r="S22" s="14">
        <f t="shared" si="11"/>
        <v>92.1</v>
      </c>
      <c r="T22" s="14">
        <f t="shared" si="12"/>
        <v>1749.0547099999999</v>
      </c>
      <c r="U22" s="29">
        <f t="shared" si="13"/>
        <v>4489.0039200000001</v>
      </c>
      <c r="V22" s="14">
        <f t="shared" si="14"/>
        <v>224.5</v>
      </c>
      <c r="W22" s="29">
        <f t="shared" si="21"/>
        <v>4264.5039200000001</v>
      </c>
      <c r="X22" s="14">
        <f t="shared" si="15"/>
        <v>1530.82179</v>
      </c>
      <c r="Y22" s="14">
        <f t="shared" si="22"/>
        <v>2126.1</v>
      </c>
      <c r="Z22" s="14">
        <f t="shared" si="23"/>
        <v>212.6</v>
      </c>
      <c r="AA22" s="14">
        <f t="shared" si="16"/>
        <v>1913.5</v>
      </c>
      <c r="AB22" s="29">
        <f t="shared" si="17"/>
        <v>1457.6389999999999</v>
      </c>
      <c r="AC22" s="14">
        <f t="shared" si="18"/>
        <v>1530.82179</v>
      </c>
      <c r="AD22" s="14">
        <f t="shared" si="19"/>
        <v>2126.1</v>
      </c>
      <c r="AE22" s="14">
        <f t="shared" si="24"/>
        <v>212.6</v>
      </c>
      <c r="AF22" s="14">
        <f t="shared" si="25"/>
        <v>1913.5</v>
      </c>
      <c r="AG22" s="29">
        <f t="shared" si="20"/>
        <v>1457.6389999999999</v>
      </c>
    </row>
    <row r="23" spans="1:33" ht="15.75" customHeight="1">
      <c r="A23" s="5" t="s">
        <v>27</v>
      </c>
      <c r="B23" s="31">
        <v>105</v>
      </c>
      <c r="C23" s="31">
        <v>34</v>
      </c>
      <c r="D23" s="36">
        <v>44580.639999999999</v>
      </c>
      <c r="E23" s="6">
        <v>33</v>
      </c>
      <c r="F23" s="7">
        <f t="shared" si="0"/>
        <v>154471.9</v>
      </c>
      <c r="G23" s="7">
        <f t="shared" si="1"/>
        <v>50019.5</v>
      </c>
      <c r="H23" s="20">
        <f t="shared" si="2"/>
        <v>1471.2</v>
      </c>
      <c r="I23" s="21">
        <f t="shared" si="3"/>
        <v>4912.7381400000004</v>
      </c>
      <c r="J23" s="14">
        <f t="shared" si="4"/>
        <v>6383.9381400000002</v>
      </c>
      <c r="K23" s="14">
        <f t="shared" si="5"/>
        <v>319.2</v>
      </c>
      <c r="L23" s="14">
        <f t="shared" si="6"/>
        <v>6064.7381400000004</v>
      </c>
      <c r="M23" s="28">
        <v>10</v>
      </c>
      <c r="N23" s="14">
        <f t="shared" si="7"/>
        <v>638.39381000000003</v>
      </c>
      <c r="O23" s="14">
        <f t="shared" si="8"/>
        <v>31.9</v>
      </c>
      <c r="P23" s="14">
        <f t="shared" si="9"/>
        <v>606.49381000000005</v>
      </c>
      <c r="Q23" s="28">
        <v>90</v>
      </c>
      <c r="R23" s="14">
        <f t="shared" si="10"/>
        <v>5745.5443299999997</v>
      </c>
      <c r="S23" s="14">
        <f t="shared" si="11"/>
        <v>287.3</v>
      </c>
      <c r="T23" s="14">
        <f t="shared" si="12"/>
        <v>5458.2443300000004</v>
      </c>
      <c r="U23" s="29">
        <f t="shared" si="13"/>
        <v>15204.690699999999</v>
      </c>
      <c r="V23" s="14">
        <f t="shared" si="14"/>
        <v>760.2</v>
      </c>
      <c r="W23" s="29">
        <f t="shared" si="21"/>
        <v>14444.490699999998</v>
      </c>
      <c r="X23" s="14">
        <f t="shared" si="15"/>
        <v>5185.0415300000004</v>
      </c>
      <c r="Y23" s="14">
        <f t="shared" si="22"/>
        <v>6656.2</v>
      </c>
      <c r="Z23" s="14">
        <f t="shared" si="23"/>
        <v>665.6</v>
      </c>
      <c r="AA23" s="14">
        <f t="shared" si="16"/>
        <v>5990.6</v>
      </c>
      <c r="AB23" s="29">
        <f t="shared" si="17"/>
        <v>4937.16435</v>
      </c>
      <c r="AC23" s="14">
        <f t="shared" si="18"/>
        <v>5185.0415300000004</v>
      </c>
      <c r="AD23" s="14">
        <f t="shared" si="19"/>
        <v>6656.2</v>
      </c>
      <c r="AE23" s="14">
        <f t="shared" si="24"/>
        <v>665.6</v>
      </c>
      <c r="AF23" s="14">
        <f t="shared" si="25"/>
        <v>5990.6</v>
      </c>
      <c r="AG23" s="29">
        <f t="shared" si="20"/>
        <v>4937.16435</v>
      </c>
    </row>
    <row r="24" spans="1:33" ht="15.75" customHeight="1">
      <c r="A24" s="5" t="s">
        <v>28</v>
      </c>
      <c r="B24" s="31">
        <v>18</v>
      </c>
      <c r="C24" s="31">
        <v>3</v>
      </c>
      <c r="D24" s="36">
        <v>44130.73</v>
      </c>
      <c r="E24" s="6">
        <v>33</v>
      </c>
      <c r="F24" s="7">
        <f t="shared" si="0"/>
        <v>26213.7</v>
      </c>
      <c r="G24" s="7">
        <f t="shared" si="1"/>
        <v>4368.8999999999996</v>
      </c>
      <c r="H24" s="20">
        <f t="shared" si="2"/>
        <v>1456.3</v>
      </c>
      <c r="I24" s="21">
        <f t="shared" si="3"/>
        <v>842.18367999999998</v>
      </c>
      <c r="J24" s="14">
        <f t="shared" si="4"/>
        <v>2298.4836799999998</v>
      </c>
      <c r="K24" s="14">
        <f t="shared" si="5"/>
        <v>114.9</v>
      </c>
      <c r="L24" s="14">
        <f t="shared" si="6"/>
        <v>2183.5836799999997</v>
      </c>
      <c r="M24" s="28">
        <v>10</v>
      </c>
      <c r="N24" s="14">
        <f t="shared" si="7"/>
        <v>229.84836999999999</v>
      </c>
      <c r="O24" s="14">
        <f t="shared" si="8"/>
        <v>11.5</v>
      </c>
      <c r="P24" s="14">
        <f t="shared" si="9"/>
        <v>218.34836999999999</v>
      </c>
      <c r="Q24" s="28">
        <v>90</v>
      </c>
      <c r="R24" s="14">
        <f t="shared" si="10"/>
        <v>2068.6353100000001</v>
      </c>
      <c r="S24" s="14">
        <f t="shared" si="11"/>
        <v>103.4</v>
      </c>
      <c r="T24" s="14">
        <f t="shared" si="12"/>
        <v>1965.23531</v>
      </c>
      <c r="U24" s="29">
        <f t="shared" si="13"/>
        <v>2606.5184100000001</v>
      </c>
      <c r="V24" s="14">
        <f t="shared" si="14"/>
        <v>130.30000000000001</v>
      </c>
      <c r="W24" s="29">
        <f t="shared" si="21"/>
        <v>2476.2184099999999</v>
      </c>
      <c r="X24" s="14">
        <f t="shared" si="15"/>
        <v>888.86425999999994</v>
      </c>
      <c r="Y24" s="14">
        <f t="shared" si="22"/>
        <v>2345.1999999999998</v>
      </c>
      <c r="Z24" s="14">
        <f t="shared" si="23"/>
        <v>234.5</v>
      </c>
      <c r="AA24" s="14">
        <f t="shared" si="16"/>
        <v>2110.6999999999998</v>
      </c>
      <c r="AB24" s="29">
        <f t="shared" si="17"/>
        <v>846.37103000000002</v>
      </c>
      <c r="AC24" s="14">
        <f t="shared" si="18"/>
        <v>888.86425999999994</v>
      </c>
      <c r="AD24" s="14">
        <f t="shared" si="19"/>
        <v>2345.1999999999998</v>
      </c>
      <c r="AE24" s="14">
        <f t="shared" si="24"/>
        <v>234.5</v>
      </c>
      <c r="AF24" s="14">
        <f t="shared" si="25"/>
        <v>2110.6999999999998</v>
      </c>
      <c r="AG24" s="29">
        <f t="shared" si="20"/>
        <v>846.37103000000002</v>
      </c>
    </row>
    <row r="25" spans="1:33" s="17" customFormat="1" ht="15.75" customHeight="1">
      <c r="A25" s="25" t="s">
        <v>29</v>
      </c>
      <c r="B25" s="32">
        <v>66</v>
      </c>
      <c r="C25" s="32">
        <v>10</v>
      </c>
      <c r="D25" s="37">
        <v>33609.660000000003</v>
      </c>
      <c r="E25" s="26">
        <v>33</v>
      </c>
      <c r="F25" s="20">
        <f t="shared" si="0"/>
        <v>73201.8</v>
      </c>
      <c r="G25" s="7">
        <f t="shared" si="1"/>
        <v>11091.2</v>
      </c>
      <c r="H25" s="20">
        <f t="shared" si="2"/>
        <v>1109.0999999999999</v>
      </c>
      <c r="I25" s="21">
        <f t="shared" si="3"/>
        <v>3088.0068299999998</v>
      </c>
      <c r="J25" s="14">
        <f t="shared" si="4"/>
        <v>4197.1068299999997</v>
      </c>
      <c r="K25" s="14">
        <f t="shared" si="5"/>
        <v>209.9</v>
      </c>
      <c r="L25" s="14">
        <f t="shared" si="6"/>
        <v>3987.2068299999996</v>
      </c>
      <c r="M25" s="28">
        <v>10</v>
      </c>
      <c r="N25" s="14">
        <f t="shared" si="7"/>
        <v>419.71068000000002</v>
      </c>
      <c r="O25" s="14">
        <f t="shared" si="8"/>
        <v>21</v>
      </c>
      <c r="P25" s="14">
        <f t="shared" si="9"/>
        <v>398.71068000000002</v>
      </c>
      <c r="Q25" s="28">
        <v>90</v>
      </c>
      <c r="R25" s="14">
        <f t="shared" si="10"/>
        <v>3777.39615</v>
      </c>
      <c r="S25" s="14">
        <f t="shared" si="11"/>
        <v>188.9</v>
      </c>
      <c r="T25" s="14">
        <f t="shared" si="12"/>
        <v>3588.4961499999999</v>
      </c>
      <c r="U25" s="29">
        <f t="shared" si="13"/>
        <v>9557.23416</v>
      </c>
      <c r="V25" s="14">
        <f>ROUND(U25*0.05,1)+0.03</f>
        <v>477.92999999999995</v>
      </c>
      <c r="W25" s="29">
        <f t="shared" si="21"/>
        <v>9079.3041599999997</v>
      </c>
      <c r="X25" s="14">
        <f t="shared" si="15"/>
        <v>3259.16896</v>
      </c>
      <c r="Y25" s="14">
        <f t="shared" si="22"/>
        <v>4368.3</v>
      </c>
      <c r="Z25" s="14">
        <f t="shared" si="23"/>
        <v>436.8</v>
      </c>
      <c r="AA25" s="14">
        <f t="shared" si="16"/>
        <v>3931.5</v>
      </c>
      <c r="AB25" s="29">
        <f t="shared" si="17"/>
        <v>3103.3604500000001</v>
      </c>
      <c r="AC25" s="14">
        <f t="shared" si="18"/>
        <v>3259.16896</v>
      </c>
      <c r="AD25" s="14">
        <f t="shared" si="19"/>
        <v>4368.3</v>
      </c>
      <c r="AE25" s="14">
        <f t="shared" si="24"/>
        <v>436.8</v>
      </c>
      <c r="AF25" s="14">
        <f t="shared" si="25"/>
        <v>3931.5</v>
      </c>
      <c r="AG25" s="29">
        <f t="shared" si="20"/>
        <v>3103.3604500000001</v>
      </c>
    </row>
    <row r="26" spans="1:33" s="17" customFormat="1" ht="15.75" customHeight="1">
      <c r="A26" s="25" t="s">
        <v>30</v>
      </c>
      <c r="B26" s="32">
        <v>34</v>
      </c>
      <c r="C26" s="32">
        <v>2</v>
      </c>
      <c r="D26" s="37">
        <v>23126.73</v>
      </c>
      <c r="E26" s="26">
        <v>33</v>
      </c>
      <c r="F26" s="20">
        <f t="shared" si="0"/>
        <v>25948.2</v>
      </c>
      <c r="G26" s="7">
        <f t="shared" si="1"/>
        <v>1526.4</v>
      </c>
      <c r="H26" s="20">
        <f t="shared" si="2"/>
        <v>763.2</v>
      </c>
      <c r="I26" s="21">
        <f t="shared" si="3"/>
        <v>1590.7914000000001</v>
      </c>
      <c r="J26" s="14">
        <f t="shared" si="4"/>
        <v>2353.9913999999999</v>
      </c>
      <c r="K26" s="14">
        <f t="shared" si="5"/>
        <v>117.7</v>
      </c>
      <c r="L26" s="14">
        <f t="shared" si="6"/>
        <v>2236.2914000000001</v>
      </c>
      <c r="M26" s="28">
        <v>10</v>
      </c>
      <c r="N26" s="14">
        <f t="shared" si="7"/>
        <v>235.39913999999999</v>
      </c>
      <c r="O26" s="14">
        <f t="shared" si="8"/>
        <v>11.8</v>
      </c>
      <c r="P26" s="14">
        <f t="shared" si="9"/>
        <v>223.59914000000001</v>
      </c>
      <c r="Q26" s="28">
        <v>90</v>
      </c>
      <c r="R26" s="14">
        <f t="shared" si="10"/>
        <v>2118.5922599999999</v>
      </c>
      <c r="S26" s="14">
        <f t="shared" si="11"/>
        <v>105.9</v>
      </c>
      <c r="T26" s="14">
        <f t="shared" si="12"/>
        <v>2012.69226</v>
      </c>
      <c r="U26" s="29">
        <f t="shared" si="13"/>
        <v>4923.4236600000004</v>
      </c>
      <c r="V26" s="14">
        <f t="shared" si="14"/>
        <v>246.2</v>
      </c>
      <c r="W26" s="29">
        <f t="shared" si="21"/>
        <v>4677.2236600000006</v>
      </c>
      <c r="X26" s="14">
        <f t="shared" si="15"/>
        <v>1678.9658300000001</v>
      </c>
      <c r="Y26" s="14">
        <f t="shared" si="22"/>
        <v>2442.1999999999998</v>
      </c>
      <c r="Z26" s="14">
        <f t="shared" si="23"/>
        <v>244.2</v>
      </c>
      <c r="AA26" s="14">
        <f t="shared" si="16"/>
        <v>2198</v>
      </c>
      <c r="AB26" s="29">
        <f t="shared" si="17"/>
        <v>1598.70084</v>
      </c>
      <c r="AC26" s="14">
        <f t="shared" si="18"/>
        <v>1678.9658300000001</v>
      </c>
      <c r="AD26" s="14">
        <f t="shared" si="19"/>
        <v>2442.1999999999998</v>
      </c>
      <c r="AE26" s="14">
        <f t="shared" si="24"/>
        <v>244.2</v>
      </c>
      <c r="AF26" s="14">
        <f t="shared" si="25"/>
        <v>2198</v>
      </c>
      <c r="AG26" s="29">
        <f t="shared" si="20"/>
        <v>1598.70084</v>
      </c>
    </row>
    <row r="27" spans="1:33" s="17" customFormat="1" ht="15.75" customHeight="1">
      <c r="A27" s="25" t="s">
        <v>31</v>
      </c>
      <c r="B27" s="32">
        <v>29</v>
      </c>
      <c r="C27" s="32"/>
      <c r="D27" s="37">
        <v>16775.96</v>
      </c>
      <c r="E27" s="26">
        <v>33</v>
      </c>
      <c r="F27" s="20">
        <f t="shared" si="0"/>
        <v>16054.6</v>
      </c>
      <c r="G27" s="7">
        <f t="shared" si="1"/>
        <v>0</v>
      </c>
      <c r="H27" s="20">
        <f t="shared" si="2"/>
        <v>553.6</v>
      </c>
      <c r="I27" s="21">
        <f t="shared" si="3"/>
        <v>1356.85149</v>
      </c>
      <c r="J27" s="14">
        <f t="shared" si="4"/>
        <v>1910.4514899999999</v>
      </c>
      <c r="K27" s="14">
        <f t="shared" si="5"/>
        <v>95.6</v>
      </c>
      <c r="L27" s="14">
        <f t="shared" si="6"/>
        <v>1814.85149</v>
      </c>
      <c r="M27" s="28">
        <v>10</v>
      </c>
      <c r="N27" s="14">
        <f t="shared" si="7"/>
        <v>191.04515000000001</v>
      </c>
      <c r="O27" s="14">
        <f t="shared" si="8"/>
        <v>9.6</v>
      </c>
      <c r="P27" s="14">
        <f t="shared" si="9"/>
        <v>181.44515000000001</v>
      </c>
      <c r="Q27" s="28">
        <v>90</v>
      </c>
      <c r="R27" s="14">
        <f t="shared" si="10"/>
        <v>1719.40634</v>
      </c>
      <c r="S27" s="14">
        <f t="shared" si="11"/>
        <v>86</v>
      </c>
      <c r="T27" s="14">
        <f t="shared" si="12"/>
        <v>1633.40634</v>
      </c>
      <c r="U27" s="29">
        <f t="shared" si="13"/>
        <v>4199.39077</v>
      </c>
      <c r="V27" s="14">
        <f t="shared" si="14"/>
        <v>210</v>
      </c>
      <c r="W27" s="29">
        <f t="shared" si="21"/>
        <v>3989.39077</v>
      </c>
      <c r="X27" s="14">
        <f t="shared" si="15"/>
        <v>1432.05909</v>
      </c>
      <c r="Y27" s="14">
        <f t="shared" si="22"/>
        <v>1985.7</v>
      </c>
      <c r="Z27" s="14">
        <f t="shared" si="23"/>
        <v>198.6</v>
      </c>
      <c r="AA27" s="14">
        <f t="shared" si="16"/>
        <v>1787.1</v>
      </c>
      <c r="AB27" s="29">
        <f t="shared" si="17"/>
        <v>1363.5977700000001</v>
      </c>
      <c r="AC27" s="14">
        <f t="shared" si="18"/>
        <v>1432.05909</v>
      </c>
      <c r="AD27" s="14">
        <f t="shared" si="19"/>
        <v>1985.7</v>
      </c>
      <c r="AE27" s="14">
        <f t="shared" si="24"/>
        <v>198.6</v>
      </c>
      <c r="AF27" s="14">
        <f t="shared" si="25"/>
        <v>1787.1</v>
      </c>
      <c r="AG27" s="29">
        <f t="shared" si="20"/>
        <v>1363.5977700000001</v>
      </c>
    </row>
    <row r="28" spans="1:33" s="17" customFormat="1" ht="15.75" customHeight="1">
      <c r="A28" s="25" t="s">
        <v>32</v>
      </c>
      <c r="B28" s="32">
        <v>441</v>
      </c>
      <c r="C28" s="32">
        <v>266</v>
      </c>
      <c r="D28" s="37">
        <v>71354.87</v>
      </c>
      <c r="E28" s="26">
        <v>33</v>
      </c>
      <c r="F28" s="20">
        <f t="shared" si="0"/>
        <v>1038427.4</v>
      </c>
      <c r="G28" s="7">
        <f t="shared" si="1"/>
        <v>626353</v>
      </c>
      <c r="H28" s="20">
        <f t="shared" si="2"/>
        <v>2354.6999999999998</v>
      </c>
      <c r="I28" s="21">
        <f t="shared" si="3"/>
        <v>20633.500189999999</v>
      </c>
      <c r="J28" s="14">
        <f t="shared" si="4"/>
        <v>22988.20019</v>
      </c>
      <c r="K28" s="14">
        <f t="shared" si="5"/>
        <v>1149.4000000000001</v>
      </c>
      <c r="L28" s="14">
        <f t="shared" si="6"/>
        <v>21838.800189999998</v>
      </c>
      <c r="M28" s="28">
        <v>10</v>
      </c>
      <c r="N28" s="14">
        <f t="shared" si="7"/>
        <v>2298.8200200000001</v>
      </c>
      <c r="O28" s="14">
        <f t="shared" si="8"/>
        <v>114.9</v>
      </c>
      <c r="P28" s="14">
        <f t="shared" si="9"/>
        <v>2183.92002</v>
      </c>
      <c r="Q28" s="28">
        <v>90</v>
      </c>
      <c r="R28" s="14">
        <f t="shared" si="10"/>
        <v>20689.38017</v>
      </c>
      <c r="S28" s="14">
        <f t="shared" si="11"/>
        <v>1034.5</v>
      </c>
      <c r="T28" s="14">
        <f t="shared" si="12"/>
        <v>19654.88017</v>
      </c>
      <c r="U28" s="29">
        <f t="shared" si="13"/>
        <v>63859.700949999999</v>
      </c>
      <c r="V28" s="14">
        <f>ROUND(U28*0.05,1)-0.1</f>
        <v>3192.9</v>
      </c>
      <c r="W28" s="29">
        <f t="shared" si="21"/>
        <v>60666.800949999997</v>
      </c>
      <c r="X28" s="14">
        <f t="shared" si="15"/>
        <v>21777.174449999999</v>
      </c>
      <c r="Y28" s="14">
        <f t="shared" si="22"/>
        <v>24131.9</v>
      </c>
      <c r="Z28" s="14">
        <f t="shared" si="23"/>
        <v>2413.1999999999998</v>
      </c>
      <c r="AA28" s="14">
        <f t="shared" si="16"/>
        <v>21718.7</v>
      </c>
      <c r="AB28" s="29">
        <f t="shared" si="17"/>
        <v>20736.090260000001</v>
      </c>
      <c r="AC28" s="14">
        <f t="shared" si="18"/>
        <v>21777.174449999999</v>
      </c>
      <c r="AD28" s="14">
        <f t="shared" si="19"/>
        <v>24131.9</v>
      </c>
      <c r="AE28" s="14">
        <f t="shared" si="24"/>
        <v>2413.1999999999998</v>
      </c>
      <c r="AF28" s="14">
        <f t="shared" si="25"/>
        <v>21718.7</v>
      </c>
      <c r="AG28" s="29">
        <f t="shared" si="20"/>
        <v>20736.090260000001</v>
      </c>
    </row>
    <row r="29" spans="1:33" ht="15.75" customHeight="1">
      <c r="A29" s="5" t="s">
        <v>33</v>
      </c>
      <c r="B29" s="31">
        <v>189</v>
      </c>
      <c r="C29" s="31">
        <v>129</v>
      </c>
      <c r="D29" s="36">
        <v>68640.160000000003</v>
      </c>
      <c r="E29" s="6">
        <v>33</v>
      </c>
      <c r="F29" s="7">
        <f t="shared" si="0"/>
        <v>428108.7</v>
      </c>
      <c r="G29" s="7">
        <f t="shared" si="1"/>
        <v>292201.2</v>
      </c>
      <c r="H29" s="20">
        <f t="shared" si="2"/>
        <v>2265.1</v>
      </c>
      <c r="I29" s="21">
        <f t="shared" si="3"/>
        <v>8842.9286499999998</v>
      </c>
      <c r="J29" s="14">
        <f t="shared" si="4"/>
        <v>11108.02865</v>
      </c>
      <c r="K29" s="14">
        <f t="shared" si="5"/>
        <v>555.4</v>
      </c>
      <c r="L29" s="14">
        <f t="shared" si="6"/>
        <v>10552.628650000001</v>
      </c>
      <c r="M29" s="28">
        <v>10</v>
      </c>
      <c r="N29" s="14">
        <f t="shared" si="7"/>
        <v>1110.80287</v>
      </c>
      <c r="O29" s="14">
        <f t="shared" si="8"/>
        <v>55.5</v>
      </c>
      <c r="P29" s="14">
        <f t="shared" si="9"/>
        <v>1055.30287</v>
      </c>
      <c r="Q29" s="28">
        <v>90</v>
      </c>
      <c r="R29" s="14">
        <f t="shared" si="10"/>
        <v>9997.2257900000004</v>
      </c>
      <c r="S29" s="14">
        <f t="shared" si="11"/>
        <v>499.9</v>
      </c>
      <c r="T29" s="14">
        <f t="shared" si="12"/>
        <v>9497.3257900000008</v>
      </c>
      <c r="U29" s="29">
        <f t="shared" si="13"/>
        <v>27368.44326</v>
      </c>
      <c r="V29" s="14">
        <f t="shared" si="14"/>
        <v>1368.4</v>
      </c>
      <c r="W29" s="29">
        <f t="shared" si="21"/>
        <v>26000.043259999999</v>
      </c>
      <c r="X29" s="14">
        <f t="shared" si="15"/>
        <v>9333.0747599999995</v>
      </c>
      <c r="Y29" s="14">
        <f t="shared" si="22"/>
        <v>11598.2</v>
      </c>
      <c r="Z29" s="14">
        <f t="shared" si="23"/>
        <v>1159.8</v>
      </c>
      <c r="AA29" s="14">
        <f t="shared" si="16"/>
        <v>10438.4</v>
      </c>
      <c r="AB29" s="29">
        <f t="shared" si="17"/>
        <v>8886.8958299999995</v>
      </c>
      <c r="AC29" s="14">
        <f t="shared" si="18"/>
        <v>9333.0747599999995</v>
      </c>
      <c r="AD29" s="14">
        <f t="shared" si="19"/>
        <v>11598.2</v>
      </c>
      <c r="AE29" s="14">
        <f t="shared" si="24"/>
        <v>1159.8</v>
      </c>
      <c r="AF29" s="14">
        <f t="shared" si="25"/>
        <v>10438.4</v>
      </c>
      <c r="AG29" s="29">
        <f t="shared" si="20"/>
        <v>8886.8958299999995</v>
      </c>
    </row>
    <row r="30" spans="1:33" ht="15.75" customHeight="1">
      <c r="A30" s="5" t="s">
        <v>34</v>
      </c>
      <c r="B30" s="31">
        <v>85</v>
      </c>
      <c r="C30" s="31">
        <v>46</v>
      </c>
      <c r="D30" s="36">
        <v>39636.244999999995</v>
      </c>
      <c r="E30" s="6">
        <v>33</v>
      </c>
      <c r="F30" s="7">
        <f t="shared" si="0"/>
        <v>111179.7</v>
      </c>
      <c r="G30" s="7">
        <f t="shared" si="1"/>
        <v>60167.8</v>
      </c>
      <c r="H30" s="20">
        <f t="shared" si="2"/>
        <v>1308</v>
      </c>
      <c r="I30" s="21">
        <f t="shared" si="3"/>
        <v>3976.97849</v>
      </c>
      <c r="J30" s="14">
        <f t="shared" si="4"/>
        <v>5284.9784899999995</v>
      </c>
      <c r="K30" s="14">
        <f t="shared" si="5"/>
        <v>264.2</v>
      </c>
      <c r="L30" s="14">
        <f t="shared" si="6"/>
        <v>5020.7784899999997</v>
      </c>
      <c r="M30" s="28">
        <v>10</v>
      </c>
      <c r="N30" s="14">
        <f t="shared" si="7"/>
        <v>528.49784999999997</v>
      </c>
      <c r="O30" s="14">
        <f t="shared" si="8"/>
        <v>26.4</v>
      </c>
      <c r="P30" s="14">
        <f t="shared" si="9"/>
        <v>502.09784999999999</v>
      </c>
      <c r="Q30" s="28">
        <v>90</v>
      </c>
      <c r="R30" s="14">
        <f t="shared" si="10"/>
        <v>4756.4806399999998</v>
      </c>
      <c r="S30" s="14">
        <f t="shared" si="11"/>
        <v>237.8</v>
      </c>
      <c r="T30" s="14">
        <f t="shared" si="12"/>
        <v>4518.6806399999996</v>
      </c>
      <c r="U30" s="29">
        <f t="shared" si="13"/>
        <v>12308.559139999999</v>
      </c>
      <c r="V30" s="14">
        <f t="shared" si="14"/>
        <v>615.4</v>
      </c>
      <c r="W30" s="29">
        <f t="shared" si="21"/>
        <v>11693.15914</v>
      </c>
      <c r="X30" s="14">
        <f t="shared" si="15"/>
        <v>4197.4145799999997</v>
      </c>
      <c r="Y30" s="14">
        <f t="shared" si="22"/>
        <v>5505.4</v>
      </c>
      <c r="Z30" s="14">
        <f t="shared" si="23"/>
        <v>550.5</v>
      </c>
      <c r="AA30" s="14">
        <f t="shared" si="16"/>
        <v>4954.8999999999996</v>
      </c>
      <c r="AB30" s="29">
        <f t="shared" si="17"/>
        <v>3996.75209</v>
      </c>
      <c r="AC30" s="14">
        <f t="shared" si="18"/>
        <v>4197.4145799999997</v>
      </c>
      <c r="AD30" s="14">
        <f t="shared" si="19"/>
        <v>5505.4</v>
      </c>
      <c r="AE30" s="14">
        <f t="shared" si="24"/>
        <v>550.5</v>
      </c>
      <c r="AF30" s="14">
        <f t="shared" si="25"/>
        <v>4954.8999999999996</v>
      </c>
      <c r="AG30" s="29">
        <f t="shared" si="20"/>
        <v>3996.75209</v>
      </c>
    </row>
    <row r="31" spans="1:33" ht="15.75" customHeight="1">
      <c r="A31" s="5" t="s">
        <v>35</v>
      </c>
      <c r="B31" s="31">
        <v>34</v>
      </c>
      <c r="C31" s="31">
        <v>19</v>
      </c>
      <c r="D31" s="36">
        <v>38963</v>
      </c>
      <c r="E31" s="6">
        <v>33</v>
      </c>
      <c r="F31" s="7">
        <f t="shared" si="0"/>
        <v>43716.5</v>
      </c>
      <c r="G31" s="7">
        <f t="shared" si="1"/>
        <v>24429.8</v>
      </c>
      <c r="H31" s="20">
        <f t="shared" si="2"/>
        <v>1285.8</v>
      </c>
      <c r="I31" s="21">
        <f t="shared" si="3"/>
        <v>1590.7914000000001</v>
      </c>
      <c r="J31" s="14">
        <f t="shared" si="4"/>
        <v>2876.5914000000002</v>
      </c>
      <c r="K31" s="14">
        <f t="shared" si="5"/>
        <v>143.80000000000001</v>
      </c>
      <c r="L31" s="14">
        <f t="shared" si="6"/>
        <v>2732.7914000000001</v>
      </c>
      <c r="M31" s="28">
        <v>10</v>
      </c>
      <c r="N31" s="14">
        <f t="shared" si="7"/>
        <v>287.65913999999998</v>
      </c>
      <c r="O31" s="14">
        <f t="shared" si="8"/>
        <v>14.4</v>
      </c>
      <c r="P31" s="14">
        <f t="shared" si="9"/>
        <v>273.25914</v>
      </c>
      <c r="Q31" s="28">
        <v>90</v>
      </c>
      <c r="R31" s="14">
        <f t="shared" si="10"/>
        <v>2588.93226</v>
      </c>
      <c r="S31" s="14">
        <f t="shared" si="11"/>
        <v>129.4</v>
      </c>
      <c r="T31" s="14">
        <f t="shared" si="12"/>
        <v>2459.53226</v>
      </c>
      <c r="U31" s="29">
        <f t="shared" si="13"/>
        <v>4923.4236600000004</v>
      </c>
      <c r="V31" s="14">
        <f t="shared" si="14"/>
        <v>246.2</v>
      </c>
      <c r="W31" s="29">
        <f t="shared" si="21"/>
        <v>4677.2236600000006</v>
      </c>
      <c r="X31" s="14">
        <f t="shared" si="15"/>
        <v>1678.9658300000001</v>
      </c>
      <c r="Y31" s="14">
        <f t="shared" si="22"/>
        <v>2964.8</v>
      </c>
      <c r="Z31" s="14">
        <f t="shared" si="23"/>
        <v>296.5</v>
      </c>
      <c r="AA31" s="14">
        <f t="shared" si="16"/>
        <v>2668.3</v>
      </c>
      <c r="AB31" s="29">
        <f t="shared" si="17"/>
        <v>1598.70084</v>
      </c>
      <c r="AC31" s="14">
        <f t="shared" si="18"/>
        <v>1678.9658300000001</v>
      </c>
      <c r="AD31" s="14">
        <f t="shared" si="19"/>
        <v>2964.8</v>
      </c>
      <c r="AE31" s="14">
        <f t="shared" si="24"/>
        <v>296.5</v>
      </c>
      <c r="AF31" s="14">
        <f t="shared" si="25"/>
        <v>2668.3</v>
      </c>
      <c r="AG31" s="29">
        <f t="shared" si="20"/>
        <v>1598.70084</v>
      </c>
    </row>
    <row r="32" spans="1:33" ht="15.75" customHeight="1">
      <c r="A32" s="5" t="s">
        <v>36</v>
      </c>
      <c r="B32" s="31">
        <v>20</v>
      </c>
      <c r="C32" s="31">
        <v>10</v>
      </c>
      <c r="D32" s="36">
        <v>36215.5</v>
      </c>
      <c r="E32" s="6">
        <v>33</v>
      </c>
      <c r="F32" s="7">
        <f t="shared" si="0"/>
        <v>23902.2</v>
      </c>
      <c r="G32" s="7">
        <f t="shared" si="1"/>
        <v>11951.1</v>
      </c>
      <c r="H32" s="20">
        <f t="shared" si="2"/>
        <v>1195.0999999999999</v>
      </c>
      <c r="I32" s="21">
        <f t="shared" si="3"/>
        <v>935.75964999999997</v>
      </c>
      <c r="J32" s="14">
        <f t="shared" si="4"/>
        <v>2130.8596499999999</v>
      </c>
      <c r="K32" s="14">
        <f t="shared" si="5"/>
        <v>106.60000000000001</v>
      </c>
      <c r="L32" s="14">
        <f t="shared" si="6"/>
        <v>2024.25965</v>
      </c>
      <c r="M32" s="28">
        <v>10</v>
      </c>
      <c r="N32" s="14">
        <f t="shared" si="7"/>
        <v>213.08597</v>
      </c>
      <c r="O32" s="14">
        <f t="shared" si="8"/>
        <v>10.7</v>
      </c>
      <c r="P32" s="14">
        <f t="shared" si="9"/>
        <v>202.38596999999999</v>
      </c>
      <c r="Q32" s="28">
        <v>90</v>
      </c>
      <c r="R32" s="14">
        <f t="shared" si="10"/>
        <v>1917.77369</v>
      </c>
      <c r="S32" s="14">
        <f t="shared" si="11"/>
        <v>95.9</v>
      </c>
      <c r="T32" s="14">
        <f t="shared" si="12"/>
        <v>1821.8736899999999</v>
      </c>
      <c r="U32" s="29">
        <f t="shared" si="13"/>
        <v>2896.1315599999998</v>
      </c>
      <c r="V32" s="14">
        <f t="shared" si="14"/>
        <v>144.80000000000001</v>
      </c>
      <c r="W32" s="29">
        <f t="shared" si="21"/>
        <v>2751.3315599999996</v>
      </c>
      <c r="X32" s="14">
        <f t="shared" si="15"/>
        <v>987.62696000000005</v>
      </c>
      <c r="Y32" s="14">
        <f t="shared" si="22"/>
        <v>2182.6999999999998</v>
      </c>
      <c r="Z32" s="14">
        <f t="shared" si="23"/>
        <v>218.3</v>
      </c>
      <c r="AA32" s="14">
        <f t="shared" si="16"/>
        <v>1964.4</v>
      </c>
      <c r="AB32" s="29">
        <f t="shared" si="17"/>
        <v>940.41225999999995</v>
      </c>
      <c r="AC32" s="14">
        <f t="shared" si="18"/>
        <v>987.62696000000005</v>
      </c>
      <c r="AD32" s="14">
        <f t="shared" si="19"/>
        <v>2182.6999999999998</v>
      </c>
      <c r="AE32" s="14">
        <f t="shared" si="24"/>
        <v>218.3</v>
      </c>
      <c r="AF32" s="14">
        <f t="shared" si="25"/>
        <v>1964.4</v>
      </c>
      <c r="AG32" s="29">
        <f t="shared" si="20"/>
        <v>940.41225999999995</v>
      </c>
    </row>
    <row r="33" spans="1:33" ht="15.75" customHeight="1">
      <c r="A33" s="5" t="s">
        <v>37</v>
      </c>
      <c r="B33" s="31">
        <v>5</v>
      </c>
      <c r="C33" s="31">
        <v>3</v>
      </c>
      <c r="D33" s="36">
        <v>43180.37</v>
      </c>
      <c r="E33" s="6">
        <v>33</v>
      </c>
      <c r="F33" s="7">
        <f>ROUND(B33*D33*E33/1000,1)</f>
        <v>7124.8</v>
      </c>
      <c r="G33" s="7">
        <f t="shared" si="1"/>
        <v>4274.8999999999996</v>
      </c>
      <c r="H33" s="20">
        <f t="shared" si="2"/>
        <v>1425</v>
      </c>
      <c r="I33" s="21">
        <f t="shared" si="3"/>
        <v>233.93991</v>
      </c>
      <c r="J33" s="14">
        <f>H33+I33</f>
        <v>1658.9399100000001</v>
      </c>
      <c r="K33" s="14">
        <f t="shared" si="5"/>
        <v>83</v>
      </c>
      <c r="L33" s="14">
        <f t="shared" si="6"/>
        <v>1575.9399100000001</v>
      </c>
      <c r="M33" s="28">
        <v>10</v>
      </c>
      <c r="N33" s="14">
        <f t="shared" si="7"/>
        <v>165.89399</v>
      </c>
      <c r="O33" s="14">
        <f t="shared" si="8"/>
        <v>8.3000000000000007</v>
      </c>
      <c r="P33" s="14">
        <f t="shared" si="9"/>
        <v>157.59398999999999</v>
      </c>
      <c r="Q33" s="28">
        <v>90</v>
      </c>
      <c r="R33" s="14">
        <f t="shared" si="10"/>
        <v>1493.04592</v>
      </c>
      <c r="S33" s="14">
        <f t="shared" si="11"/>
        <v>74.7</v>
      </c>
      <c r="T33" s="14">
        <f t="shared" si="12"/>
        <v>1418.34592</v>
      </c>
      <c r="U33" s="29">
        <f t="shared" si="13"/>
        <v>724.03288999999995</v>
      </c>
      <c r="V33" s="14">
        <f t="shared" si="14"/>
        <v>36.200000000000003</v>
      </c>
      <c r="W33" s="29">
        <f t="shared" si="21"/>
        <v>687.83288999999991</v>
      </c>
      <c r="X33" s="14">
        <f t="shared" si="15"/>
        <v>246.90674000000001</v>
      </c>
      <c r="Y33" s="14">
        <f t="shared" si="22"/>
        <v>1671.9</v>
      </c>
      <c r="Z33" s="14">
        <f t="shared" si="23"/>
        <v>167.2</v>
      </c>
      <c r="AA33" s="14">
        <f t="shared" si="16"/>
        <v>1504.7</v>
      </c>
      <c r="AB33" s="29">
        <f t="shared" si="17"/>
        <v>235.10306</v>
      </c>
      <c r="AC33" s="14">
        <f t="shared" si="18"/>
        <v>246.90674000000001</v>
      </c>
      <c r="AD33" s="14">
        <f t="shared" si="19"/>
        <v>1671.9</v>
      </c>
      <c r="AE33" s="14">
        <f t="shared" si="24"/>
        <v>167.2</v>
      </c>
      <c r="AF33" s="14">
        <f t="shared" si="25"/>
        <v>1504.7</v>
      </c>
      <c r="AG33" s="29">
        <f t="shared" si="20"/>
        <v>235.10306</v>
      </c>
    </row>
    <row r="34" spans="1:33" ht="15.75" customHeight="1">
      <c r="A34" s="5" t="s">
        <v>51</v>
      </c>
      <c r="B34" s="31"/>
      <c r="C34" s="31"/>
      <c r="D34" s="36"/>
      <c r="E34" s="6"/>
      <c r="F34" s="7"/>
      <c r="G34" s="7"/>
      <c r="H34" s="20"/>
      <c r="I34" s="21"/>
      <c r="J34" s="14"/>
      <c r="K34" s="14"/>
      <c r="L34" s="14">
        <v>5125.2299999999996</v>
      </c>
      <c r="M34" s="28"/>
      <c r="N34" s="14"/>
      <c r="O34" s="14"/>
      <c r="P34" s="14">
        <v>512.53</v>
      </c>
      <c r="Q34" s="28"/>
      <c r="R34" s="14"/>
      <c r="S34" s="14"/>
      <c r="T34" s="14">
        <v>4612.7</v>
      </c>
      <c r="U34" s="14"/>
      <c r="V34" s="29"/>
      <c r="W34" s="29">
        <v>11446.93</v>
      </c>
      <c r="X34" s="14"/>
      <c r="Y34" s="14"/>
      <c r="Z34" s="14"/>
      <c r="AA34" s="14"/>
      <c r="AB34" s="29"/>
      <c r="AC34" s="14"/>
      <c r="AD34" s="14"/>
      <c r="AE34" s="14"/>
      <c r="AF34" s="14"/>
      <c r="AG34" s="29"/>
    </row>
    <row r="35" spans="1:33" ht="44.45" customHeight="1">
      <c r="A35" s="9" t="s">
        <v>38</v>
      </c>
      <c r="B35" s="10">
        <f>SUM(B9:B33)</f>
        <v>1581</v>
      </c>
      <c r="C35" s="10">
        <f>SUM(C9:C33)</f>
        <v>646</v>
      </c>
      <c r="D35" s="38">
        <v>34584.33</v>
      </c>
      <c r="E35" s="11">
        <v>33</v>
      </c>
      <c r="F35" s="12">
        <f t="shared" ref="F35:AG35" si="26">SUM(F9:F33)</f>
        <v>2542145.6</v>
      </c>
      <c r="G35" s="12">
        <f t="shared" si="26"/>
        <v>1236848.5</v>
      </c>
      <c r="H35" s="15">
        <f>SUM(H9:H33)</f>
        <v>28532.199999999993</v>
      </c>
      <c r="I35" s="16">
        <f t="shared" si="26"/>
        <v>73971.8</v>
      </c>
      <c r="J35" s="16">
        <f t="shared" si="26"/>
        <v>102504</v>
      </c>
      <c r="K35" s="16">
        <f t="shared" si="26"/>
        <v>5125.2300000000005</v>
      </c>
      <c r="L35" s="16">
        <f>SUM(L9:L34)</f>
        <v>102504</v>
      </c>
      <c r="M35" s="16">
        <v>10</v>
      </c>
      <c r="N35" s="16">
        <f>SUM(N9:N33)</f>
        <v>10250.4</v>
      </c>
      <c r="O35" s="24">
        <f t="shared" si="26"/>
        <v>512.53</v>
      </c>
      <c r="P35" s="16">
        <f>SUM(P9:P34)</f>
        <v>10250.4</v>
      </c>
      <c r="Q35" s="16">
        <v>90</v>
      </c>
      <c r="R35" s="16">
        <f>SUM(R9:R33)</f>
        <v>92253.599999999991</v>
      </c>
      <c r="S35" s="16">
        <f>SUM(S9:S33)</f>
        <v>4612.7</v>
      </c>
      <c r="T35" s="16">
        <f>SUM(T9:T34)</f>
        <v>92253.60000000002</v>
      </c>
      <c r="U35" s="16">
        <f>SUM(U9:U34)</f>
        <v>228939.20000000004</v>
      </c>
      <c r="V35" s="16">
        <f t="shared" si="26"/>
        <v>11446.93</v>
      </c>
      <c r="W35" s="16">
        <f>SUM(W9:W34)</f>
        <v>228939.19999999998</v>
      </c>
      <c r="X35" s="16">
        <f>SUM(X9:X33)</f>
        <v>78071.911110000001</v>
      </c>
      <c r="Y35" s="16">
        <f>SUM(Y9:Y33)</f>
        <v>106604.11110999998</v>
      </c>
      <c r="Z35" s="16">
        <f>SUM(Z9:Z33)</f>
        <v>10660.411110000001</v>
      </c>
      <c r="AA35" s="16">
        <f t="shared" si="26"/>
        <v>95943.699999999983</v>
      </c>
      <c r="AB35" s="16">
        <f t="shared" si="26"/>
        <v>74339.588929999984</v>
      </c>
      <c r="AC35" s="16">
        <f t="shared" si="26"/>
        <v>78071.911110000001</v>
      </c>
      <c r="AD35" s="16">
        <f>SUM(AD9:AD33)</f>
        <v>106604.11110999998</v>
      </c>
      <c r="AE35" s="16">
        <f t="shared" si="26"/>
        <v>10660.411110000001</v>
      </c>
      <c r="AF35" s="16">
        <f t="shared" si="26"/>
        <v>95943.699999999983</v>
      </c>
      <c r="AG35" s="16">
        <f t="shared" si="26"/>
        <v>74339.588889999985</v>
      </c>
    </row>
    <row r="36" spans="1:33" ht="13.5" customHeight="1">
      <c r="R36" s="13"/>
      <c r="U36" s="8"/>
      <c r="V36" s="8"/>
      <c r="W36" s="8"/>
    </row>
    <row r="37" spans="1:33" ht="18" customHeight="1"/>
  </sheetData>
  <mergeCells count="29">
    <mergeCell ref="B2:L2"/>
    <mergeCell ref="AE6:AF6"/>
    <mergeCell ref="AG6:AG7"/>
    <mergeCell ref="AC6:AC7"/>
    <mergeCell ref="X5:AB5"/>
    <mergeCell ref="AC5:AG5"/>
    <mergeCell ref="Y6:Y7"/>
    <mergeCell ref="Z6:AA6"/>
    <mergeCell ref="AB6:AB7"/>
    <mergeCell ref="I6:I7"/>
    <mergeCell ref="J6:J7"/>
    <mergeCell ref="K6:K7"/>
    <mergeCell ref="L6:L7"/>
    <mergeCell ref="AD6:AD7"/>
    <mergeCell ref="F1:X1"/>
    <mergeCell ref="A5:A7"/>
    <mergeCell ref="B5:B7"/>
    <mergeCell ref="C5:C7"/>
    <mergeCell ref="D5:D7"/>
    <mergeCell ref="E5:E7"/>
    <mergeCell ref="F5:F7"/>
    <mergeCell ref="G5:G7"/>
    <mergeCell ref="H5:W5"/>
    <mergeCell ref="M6:T6"/>
    <mergeCell ref="U6:U7"/>
    <mergeCell ref="V6:V7"/>
    <mergeCell ref="W6:W7"/>
    <mergeCell ref="X6:X7"/>
    <mergeCell ref="H6:H7"/>
  </mergeCells>
  <pageMargins left="0.59055118110236227" right="0.39370078740157483" top="0.59055118110236227" bottom="0.39370078740157483" header="0.51181102362204722" footer="0.31496062992125984"/>
  <pageSetup paperSize="9" scale="6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2019-2021</vt:lpstr>
      <vt:lpstr>'2019-2021'!Заголовки_для_печати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bachurihina</dc:creator>
  <cp:lastModifiedBy>minfin user</cp:lastModifiedBy>
  <cp:lastPrinted>2018-10-11T16:53:24Z</cp:lastPrinted>
  <dcterms:created xsi:type="dcterms:W3CDTF">2017-03-02T11:37:14Z</dcterms:created>
  <dcterms:modified xsi:type="dcterms:W3CDTF">2018-10-11T16:53:26Z</dcterms:modified>
</cp:coreProperties>
</file>