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/>
  <bookViews>
    <workbookView xWindow="0" yWindow="60" windowWidth="23250" windowHeight="12165"/>
  </bookViews>
  <sheets>
    <sheet name="Общая потребностьпо автобусам" sheetId="2" r:id="rId1"/>
    <sheet name="Табл 1" sheetId="1" r:id="rId2"/>
    <sheet name="Табл 2" sheetId="3" r:id="rId3"/>
  </sheets>
  <externalReferences>
    <externalReference r:id="rId4"/>
    <externalReference r:id="rId5"/>
  </externalReferences>
  <definedNames>
    <definedName name="_xlnm.Print_Titles" localSheetId="2">'Табл 2'!$6:$8</definedName>
    <definedName name="_xlnm.Print_Area" localSheetId="2">'Табл 2'!$A$1:$S$123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2" i="3"/>
  <c r="N100" s="1"/>
  <c r="Q100"/>
  <c r="M100"/>
  <c r="R99"/>
  <c r="Q99"/>
  <c r="P99"/>
  <c r="O99"/>
  <c r="N99"/>
  <c r="M99"/>
  <c r="L99"/>
  <c r="K99"/>
  <c r="J99"/>
  <c r="I99"/>
  <c r="H99"/>
  <c r="G99"/>
  <c r="F99"/>
  <c r="E99"/>
  <c r="D99"/>
  <c r="R95"/>
  <c r="R102" s="1"/>
  <c r="R100" s="1"/>
  <c r="Q95"/>
  <c r="Q102" s="1"/>
  <c r="P95"/>
  <c r="P102" s="1"/>
  <c r="P100" s="1"/>
  <c r="O95"/>
  <c r="O102" s="1"/>
  <c r="O100" s="1"/>
  <c r="N95"/>
  <c r="M95"/>
  <c r="M102" s="1"/>
  <c r="L95"/>
  <c r="L102" s="1"/>
  <c r="L100" s="1"/>
  <c r="K95"/>
  <c r="K102" s="1"/>
  <c r="K100" s="1"/>
  <c r="J95"/>
  <c r="J102" s="1"/>
  <c r="J100" s="1"/>
  <c r="I95"/>
  <c r="I102" s="1"/>
  <c r="I100" s="1"/>
  <c r="H95"/>
  <c r="H102" s="1"/>
  <c r="H100" s="1"/>
  <c r="G95"/>
  <c r="G102" s="1"/>
  <c r="G100" s="1"/>
  <c r="F95"/>
  <c r="F102" s="1"/>
  <c r="F100" s="1"/>
  <c r="E95"/>
  <c r="E102" s="1"/>
  <c r="E100" s="1"/>
  <c r="D95"/>
  <c r="D102" s="1"/>
  <c r="D100" s="1"/>
  <c r="R91"/>
  <c r="Q91"/>
  <c r="P91"/>
  <c r="O91"/>
  <c r="N91"/>
  <c r="M91"/>
  <c r="L91"/>
  <c r="K91"/>
  <c r="J91"/>
  <c r="I91"/>
  <c r="H91"/>
  <c r="G91"/>
  <c r="F91"/>
  <c r="E91"/>
  <c r="D91"/>
  <c r="R86"/>
  <c r="Q86"/>
  <c r="P86"/>
  <c r="O86"/>
  <c r="N86"/>
  <c r="M86"/>
  <c r="L86"/>
  <c r="K86"/>
  <c r="J86"/>
  <c r="I86"/>
  <c r="H86"/>
  <c r="G86"/>
  <c r="F86"/>
  <c r="E86"/>
  <c r="D86"/>
  <c r="R85"/>
  <c r="N85"/>
  <c r="J85"/>
  <c r="F85"/>
  <c r="R84"/>
  <c r="Q84"/>
  <c r="Q85" s="1"/>
  <c r="P84"/>
  <c r="P85" s="1"/>
  <c r="P87" s="1"/>
  <c r="P77" s="1"/>
  <c r="O84"/>
  <c r="O85" s="1"/>
  <c r="N84"/>
  <c r="M84"/>
  <c r="M85" s="1"/>
  <c r="L84"/>
  <c r="L85" s="1"/>
  <c r="K84"/>
  <c r="K85" s="1"/>
  <c r="J84"/>
  <c r="I84"/>
  <c r="I85" s="1"/>
  <c r="H84"/>
  <c r="H85" s="1"/>
  <c r="G84"/>
  <c r="G85" s="1"/>
  <c r="F84"/>
  <c r="E84"/>
  <c r="E85" s="1"/>
  <c r="D84"/>
  <c r="D85" s="1"/>
  <c r="P83"/>
  <c r="H83"/>
  <c r="D83"/>
  <c r="R80"/>
  <c r="N80"/>
  <c r="J80"/>
  <c r="F80"/>
  <c r="R78"/>
  <c r="Q78"/>
  <c r="Q80" s="1"/>
  <c r="P78"/>
  <c r="P80" s="1"/>
  <c r="P81" s="1"/>
  <c r="O78"/>
  <c r="O80" s="1"/>
  <c r="N78"/>
  <c r="M78"/>
  <c r="M80" s="1"/>
  <c r="L78"/>
  <c r="L80" s="1"/>
  <c r="L81" s="1"/>
  <c r="L83" s="1"/>
  <c r="L87" s="1"/>
  <c r="L77" s="1"/>
  <c r="K78"/>
  <c r="K80" s="1"/>
  <c r="J78"/>
  <c r="I78"/>
  <c r="I80" s="1"/>
  <c r="H78"/>
  <c r="H80" s="1"/>
  <c r="H81" s="1"/>
  <c r="G78"/>
  <c r="G80" s="1"/>
  <c r="F78"/>
  <c r="E78"/>
  <c r="E80" s="1"/>
  <c r="D78"/>
  <c r="D80" s="1"/>
  <c r="D81" s="1"/>
  <c r="R75"/>
  <c r="N75"/>
  <c r="J75"/>
  <c r="F75"/>
  <c r="R74"/>
  <c r="Q74"/>
  <c r="Q75" s="1"/>
  <c r="P74"/>
  <c r="P75" s="1"/>
  <c r="O74"/>
  <c r="O75" s="1"/>
  <c r="N74"/>
  <c r="M74"/>
  <c r="M75" s="1"/>
  <c r="L74"/>
  <c r="L75" s="1"/>
  <c r="K74"/>
  <c r="K75" s="1"/>
  <c r="J74"/>
  <c r="I74"/>
  <c r="I75" s="1"/>
  <c r="H74"/>
  <c r="H75" s="1"/>
  <c r="G74"/>
  <c r="G75" s="1"/>
  <c r="F74"/>
  <c r="E74"/>
  <c r="E75" s="1"/>
  <c r="D74"/>
  <c r="D75" s="1"/>
  <c r="R71"/>
  <c r="Q71"/>
  <c r="P71"/>
  <c r="O71"/>
  <c r="N71"/>
  <c r="M71"/>
  <c r="L71"/>
  <c r="K71"/>
  <c r="J71"/>
  <c r="I71"/>
  <c r="H71"/>
  <c r="G71"/>
  <c r="F71"/>
  <c r="E71"/>
  <c r="D71"/>
  <c r="O69"/>
  <c r="D60"/>
  <c r="D59"/>
  <c r="D58"/>
  <c r="D57"/>
  <c r="R52"/>
  <c r="Q52"/>
  <c r="P52"/>
  <c r="O52"/>
  <c r="N52"/>
  <c r="M52"/>
  <c r="L52"/>
  <c r="K52"/>
  <c r="J52"/>
  <c r="I52"/>
  <c r="H52"/>
  <c r="G52"/>
  <c r="F52"/>
  <c r="E52"/>
  <c r="D52"/>
  <c r="R49"/>
  <c r="Q49"/>
  <c r="P49"/>
  <c r="O49"/>
  <c r="N49"/>
  <c r="M49"/>
  <c r="L49"/>
  <c r="K49"/>
  <c r="J49"/>
  <c r="I49"/>
  <c r="H49"/>
  <c r="G49"/>
  <c r="F49"/>
  <c r="E49"/>
  <c r="D49"/>
  <c r="R46"/>
  <c r="Q46"/>
  <c r="P46"/>
  <c r="O46"/>
  <c r="N46"/>
  <c r="M46"/>
  <c r="L46"/>
  <c r="K46"/>
  <c r="J46"/>
  <c r="I46"/>
  <c r="H46"/>
  <c r="G46"/>
  <c r="G43" s="1"/>
  <c r="F46"/>
  <c r="E46"/>
  <c r="D46"/>
  <c r="I43"/>
  <c r="R37"/>
  <c r="Q37"/>
  <c r="P37"/>
  <c r="O37"/>
  <c r="N37"/>
  <c r="M37"/>
  <c r="L37"/>
  <c r="K37"/>
  <c r="J37"/>
  <c r="I37"/>
  <c r="H37"/>
  <c r="G37"/>
  <c r="F37"/>
  <c r="E37"/>
  <c r="D37"/>
  <c r="R36"/>
  <c r="Q36"/>
  <c r="P36"/>
  <c r="O36"/>
  <c r="N36"/>
  <c r="M36"/>
  <c r="L36"/>
  <c r="K36"/>
  <c r="J36"/>
  <c r="I36"/>
  <c r="H36"/>
  <c r="G36"/>
  <c r="F36"/>
  <c r="E36"/>
  <c r="D36"/>
  <c r="K33"/>
  <c r="R32"/>
  <c r="J32"/>
  <c r="Q29"/>
  <c r="Q33" s="1"/>
  <c r="M29"/>
  <c r="M33" s="1"/>
  <c r="I29"/>
  <c r="I33" s="1"/>
  <c r="E29"/>
  <c r="E33" s="1"/>
  <c r="P28"/>
  <c r="P32" s="1"/>
  <c r="L28"/>
  <c r="L32" s="1"/>
  <c r="H28"/>
  <c r="H32" s="1"/>
  <c r="D28"/>
  <c r="D32" s="1"/>
  <c r="R27"/>
  <c r="Q27"/>
  <c r="P27"/>
  <c r="P29" s="1"/>
  <c r="P33" s="1"/>
  <c r="O27"/>
  <c r="O29" s="1"/>
  <c r="O33" s="1"/>
  <c r="O40" s="1"/>
  <c r="N27"/>
  <c r="M27"/>
  <c r="L27"/>
  <c r="L29" s="1"/>
  <c r="L33" s="1"/>
  <c r="K27"/>
  <c r="K29" s="1"/>
  <c r="J27"/>
  <c r="I27"/>
  <c r="H27"/>
  <c r="H29" s="1"/>
  <c r="H33" s="1"/>
  <c r="G27"/>
  <c r="G29" s="1"/>
  <c r="G33" s="1"/>
  <c r="G40" s="1"/>
  <c r="F27"/>
  <c r="E27"/>
  <c r="D27"/>
  <c r="D29" s="1"/>
  <c r="D33" s="1"/>
  <c r="R26"/>
  <c r="R28" s="1"/>
  <c r="Q26"/>
  <c r="P26"/>
  <c r="O26"/>
  <c r="O28" s="1"/>
  <c r="O32" s="1"/>
  <c r="N26"/>
  <c r="N28" s="1"/>
  <c r="N32" s="1"/>
  <c r="N38" s="1"/>
  <c r="M26"/>
  <c r="L26"/>
  <c r="K26"/>
  <c r="K28" s="1"/>
  <c r="K32" s="1"/>
  <c r="J26"/>
  <c r="J28" s="1"/>
  <c r="I26"/>
  <c r="H26"/>
  <c r="G26"/>
  <c r="G28" s="1"/>
  <c r="G32" s="1"/>
  <c r="F26"/>
  <c r="F28" s="1"/>
  <c r="F32" s="1"/>
  <c r="F38" s="1"/>
  <c r="E26"/>
  <c r="D26"/>
  <c r="R20"/>
  <c r="Q20"/>
  <c r="P20"/>
  <c r="O20"/>
  <c r="N20"/>
  <c r="M20"/>
  <c r="L20"/>
  <c r="K20"/>
  <c r="J20"/>
  <c r="I20"/>
  <c r="H20"/>
  <c r="G20"/>
  <c r="F20"/>
  <c r="E20"/>
  <c r="D20"/>
  <c r="Q19"/>
  <c r="Q116" s="1"/>
  <c r="M19"/>
  <c r="M116" s="1"/>
  <c r="L19"/>
  <c r="L116" s="1"/>
  <c r="I19"/>
  <c r="I116" s="1"/>
  <c r="E19"/>
  <c r="E116" s="1"/>
  <c r="C19"/>
  <c r="Q18"/>
  <c r="O18"/>
  <c r="M18"/>
  <c r="E18"/>
  <c r="R17"/>
  <c r="R19" s="1"/>
  <c r="R116" s="1"/>
  <c r="Q17"/>
  <c r="P17"/>
  <c r="P19" s="1"/>
  <c r="P116" s="1"/>
  <c r="O17"/>
  <c r="O19" s="1"/>
  <c r="O116" s="1"/>
  <c r="N17"/>
  <c r="N19" s="1"/>
  <c r="N116" s="1"/>
  <c r="M17"/>
  <c r="K17"/>
  <c r="J17"/>
  <c r="J19" s="1"/>
  <c r="J116" s="1"/>
  <c r="I17"/>
  <c r="I14" s="1"/>
  <c r="I16" s="1"/>
  <c r="H17"/>
  <c r="H19" s="1"/>
  <c r="H116" s="1"/>
  <c r="G17"/>
  <c r="F17"/>
  <c r="F19" s="1"/>
  <c r="F116" s="1"/>
  <c r="E17"/>
  <c r="E14" s="1"/>
  <c r="D17"/>
  <c r="D19" s="1"/>
  <c r="D116" s="1"/>
  <c r="N16"/>
  <c r="L16"/>
  <c r="F16"/>
  <c r="D16"/>
  <c r="Q15"/>
  <c r="O15"/>
  <c r="M15"/>
  <c r="M47" s="1"/>
  <c r="M51" s="1"/>
  <c r="I15"/>
  <c r="I47" s="1"/>
  <c r="I51" s="1"/>
  <c r="E15"/>
  <c r="R14"/>
  <c r="R16" s="1"/>
  <c r="Q14"/>
  <c r="Q16" s="1"/>
  <c r="P14"/>
  <c r="O14"/>
  <c r="O16" s="1"/>
  <c r="O47" s="1"/>
  <c r="N14"/>
  <c r="M14"/>
  <c r="M16" s="1"/>
  <c r="L14"/>
  <c r="J14"/>
  <c r="H14"/>
  <c r="H16" s="1"/>
  <c r="F14"/>
  <c r="D14"/>
  <c r="R12"/>
  <c r="Q12"/>
  <c r="P12"/>
  <c r="O12"/>
  <c r="N12"/>
  <c r="M12"/>
  <c r="L12"/>
  <c r="K12"/>
  <c r="J12"/>
  <c r="I12"/>
  <c r="H12"/>
  <c r="G12"/>
  <c r="F12"/>
  <c r="E12"/>
  <c r="D12"/>
  <c r="L96" l="1"/>
  <c r="L76" s="1"/>
  <c r="O51"/>
  <c r="J18"/>
  <c r="J15"/>
  <c r="J47" s="1"/>
  <c r="D18"/>
  <c r="D15"/>
  <c r="D47" s="1"/>
  <c r="L18"/>
  <c r="L15"/>
  <c r="L47" s="1"/>
  <c r="P18"/>
  <c r="P15"/>
  <c r="P47" s="1"/>
  <c r="P16"/>
  <c r="G14"/>
  <c r="G19"/>
  <c r="G116" s="1"/>
  <c r="K14"/>
  <c r="K19"/>
  <c r="K116" s="1"/>
  <c r="I18"/>
  <c r="D38"/>
  <c r="H38"/>
  <c r="L38"/>
  <c r="P38"/>
  <c r="P42" s="1"/>
  <c r="P22" s="1"/>
  <c r="E40"/>
  <c r="I40"/>
  <c r="M40"/>
  <c r="Q40"/>
  <c r="J38"/>
  <c r="K40"/>
  <c r="J16"/>
  <c r="N40"/>
  <c r="N42" s="1"/>
  <c r="N22" s="1"/>
  <c r="G69"/>
  <c r="R81"/>
  <c r="R83" s="1"/>
  <c r="R87"/>
  <c r="R77" s="1"/>
  <c r="P96"/>
  <c r="P76" s="1"/>
  <c r="F18"/>
  <c r="F15"/>
  <c r="F47" s="1"/>
  <c r="Q47"/>
  <c r="M38"/>
  <c r="M42" s="1"/>
  <c r="M22" s="1"/>
  <c r="H18"/>
  <c r="H15"/>
  <c r="H47" s="1"/>
  <c r="N18"/>
  <c r="N15"/>
  <c r="N47" s="1"/>
  <c r="R18"/>
  <c r="R15"/>
  <c r="R47" s="1"/>
  <c r="E16"/>
  <c r="E47" s="1"/>
  <c r="E69"/>
  <c r="R38"/>
  <c r="D69"/>
  <c r="H69"/>
  <c r="L69"/>
  <c r="P69"/>
  <c r="J69"/>
  <c r="E28"/>
  <c r="E32" s="1"/>
  <c r="E38" s="1"/>
  <c r="E42" s="1"/>
  <c r="E22" s="1"/>
  <c r="I28"/>
  <c r="I32" s="1"/>
  <c r="I38" s="1"/>
  <c r="I42" s="1"/>
  <c r="M28"/>
  <c r="M32" s="1"/>
  <c r="Q28"/>
  <c r="Q32" s="1"/>
  <c r="Q38" s="1"/>
  <c r="Q42" s="1"/>
  <c r="Q22" s="1"/>
  <c r="F29"/>
  <c r="F33" s="1"/>
  <c r="F40" s="1"/>
  <c r="F42" s="1"/>
  <c r="F22" s="1"/>
  <c r="J29"/>
  <c r="J33" s="1"/>
  <c r="J40" s="1"/>
  <c r="N29"/>
  <c r="N33" s="1"/>
  <c r="R29"/>
  <c r="R33" s="1"/>
  <c r="R40" s="1"/>
  <c r="G38"/>
  <c r="G42" s="1"/>
  <c r="K38"/>
  <c r="K42" s="1"/>
  <c r="K22" s="1"/>
  <c r="O38"/>
  <c r="O42" s="1"/>
  <c r="O22" s="1"/>
  <c r="D40"/>
  <c r="H40"/>
  <c r="L40"/>
  <c r="P40"/>
  <c r="I69"/>
  <c r="M69"/>
  <c r="Q69"/>
  <c r="N69"/>
  <c r="O87"/>
  <c r="O77" s="1"/>
  <c r="F81"/>
  <c r="F83" s="1"/>
  <c r="F87" s="1"/>
  <c r="F77" s="1"/>
  <c r="G81"/>
  <c r="G83" s="1"/>
  <c r="G87" s="1"/>
  <c r="G77" s="1"/>
  <c r="R69"/>
  <c r="J81"/>
  <c r="J83" s="1"/>
  <c r="J87" s="1"/>
  <c r="J77" s="1"/>
  <c r="K81"/>
  <c r="K83" s="1"/>
  <c r="K87" s="1"/>
  <c r="K77" s="1"/>
  <c r="D87"/>
  <c r="D77" s="1"/>
  <c r="F69"/>
  <c r="E81"/>
  <c r="E83" s="1"/>
  <c r="E87"/>
  <c r="E77" s="1"/>
  <c r="I81"/>
  <c r="I83" s="1"/>
  <c r="I87" s="1"/>
  <c r="I77" s="1"/>
  <c r="M81"/>
  <c r="M83" s="1"/>
  <c r="M87"/>
  <c r="M77" s="1"/>
  <c r="Q81"/>
  <c r="Q83" s="1"/>
  <c r="Q87" s="1"/>
  <c r="Q77" s="1"/>
  <c r="N81"/>
  <c r="N83" s="1"/>
  <c r="N87"/>
  <c r="N77" s="1"/>
  <c r="O81"/>
  <c r="O83" s="1"/>
  <c r="H87"/>
  <c r="H77" s="1"/>
  <c r="I96" l="1"/>
  <c r="I76" s="1"/>
  <c r="Q96"/>
  <c r="Q76"/>
  <c r="Q107" s="1"/>
  <c r="Q106" s="1"/>
  <c r="F96"/>
  <c r="F76" s="1"/>
  <c r="E43"/>
  <c r="E51"/>
  <c r="G96"/>
  <c r="G76" s="1"/>
  <c r="N43"/>
  <c r="K96"/>
  <c r="K76"/>
  <c r="J96"/>
  <c r="J76" s="1"/>
  <c r="J107" s="1"/>
  <c r="J106" s="1"/>
  <c r="Q43"/>
  <c r="Q109" s="1"/>
  <c r="F43"/>
  <c r="D96"/>
  <c r="D76" s="1"/>
  <c r="R96"/>
  <c r="R76"/>
  <c r="D51"/>
  <c r="D107" s="1"/>
  <c r="D106" s="1"/>
  <c r="R51"/>
  <c r="R107" s="1"/>
  <c r="R106" s="1"/>
  <c r="H51"/>
  <c r="M43"/>
  <c r="M109" s="1"/>
  <c r="Q51"/>
  <c r="L42"/>
  <c r="L22" s="1"/>
  <c r="M96"/>
  <c r="M76" s="1"/>
  <c r="M107" s="1"/>
  <c r="M106" s="1"/>
  <c r="O96"/>
  <c r="O76"/>
  <c r="O107" s="1"/>
  <c r="O106" s="1"/>
  <c r="P43"/>
  <c r="P51"/>
  <c r="P109" s="1"/>
  <c r="P107"/>
  <c r="P106" s="1"/>
  <c r="H96"/>
  <c r="H76" s="1"/>
  <c r="F51"/>
  <c r="H42"/>
  <c r="H22" s="1"/>
  <c r="G18"/>
  <c r="G16"/>
  <c r="G15"/>
  <c r="G47" s="1"/>
  <c r="L107"/>
  <c r="L106" s="1"/>
  <c r="L51"/>
  <c r="N96"/>
  <c r="N76"/>
  <c r="E96"/>
  <c r="E76" s="1"/>
  <c r="E107" s="1"/>
  <c r="E106" s="1"/>
  <c r="K43"/>
  <c r="K69"/>
  <c r="K18"/>
  <c r="K16"/>
  <c r="K15"/>
  <c r="K47" s="1"/>
  <c r="J51"/>
  <c r="O43"/>
  <c r="R42"/>
  <c r="R22" s="1"/>
  <c r="N51"/>
  <c r="J42"/>
  <c r="J22" s="1"/>
  <c r="D42"/>
  <c r="D22" s="1"/>
  <c r="Q110" l="1"/>
  <c r="Q112"/>
  <c r="Q114" s="1"/>
  <c r="H107"/>
  <c r="H106" s="1"/>
  <c r="M110"/>
  <c r="M112"/>
  <c r="M114" s="1"/>
  <c r="P110"/>
  <c r="P112"/>
  <c r="P114" s="1"/>
  <c r="O109"/>
  <c r="F107"/>
  <c r="F106" s="1"/>
  <c r="F109"/>
  <c r="E109"/>
  <c r="I107"/>
  <c r="I106" s="1"/>
  <c r="I109"/>
  <c r="K107"/>
  <c r="K106" s="1"/>
  <c r="K51"/>
  <c r="K109" s="1"/>
  <c r="L43"/>
  <c r="L109" s="1"/>
  <c r="J109"/>
  <c r="J43"/>
  <c r="N107"/>
  <c r="N106" s="1"/>
  <c r="N109" s="1"/>
  <c r="G51"/>
  <c r="D43"/>
  <c r="D109" s="1"/>
  <c r="R109"/>
  <c r="R43"/>
  <c r="H43"/>
  <c r="H109" s="1"/>
  <c r="H110" l="1"/>
  <c r="H112"/>
  <c r="H114" s="1"/>
  <c r="K110"/>
  <c r="K112"/>
  <c r="K114" s="1"/>
  <c r="L110"/>
  <c r="L112"/>
  <c r="L114" s="1"/>
  <c r="N112"/>
  <c r="N114" s="1"/>
  <c r="N110"/>
  <c r="D110"/>
  <c r="D112"/>
  <c r="D114" s="1"/>
  <c r="F112"/>
  <c r="F114" s="1"/>
  <c r="F110"/>
  <c r="I110"/>
  <c r="I112"/>
  <c r="I114" s="1"/>
  <c r="M115"/>
  <c r="M117"/>
  <c r="M118" s="1"/>
  <c r="Q115"/>
  <c r="Q117"/>
  <c r="Q118" s="1"/>
  <c r="R112"/>
  <c r="R114" s="1"/>
  <c r="R110"/>
  <c r="G107"/>
  <c r="G106" s="1"/>
  <c r="G109" s="1"/>
  <c r="O110"/>
  <c r="O112"/>
  <c r="O114" s="1"/>
  <c r="J112"/>
  <c r="J114" s="1"/>
  <c r="J110"/>
  <c r="E110"/>
  <c r="E112"/>
  <c r="E114" s="1"/>
  <c r="P115"/>
  <c r="P117"/>
  <c r="P118" s="1"/>
  <c r="G110" l="1"/>
  <c r="G112"/>
  <c r="G114" s="1"/>
  <c r="E115"/>
  <c r="E117"/>
  <c r="E118" s="1"/>
  <c r="F115"/>
  <c r="F117"/>
  <c r="F118" s="1"/>
  <c r="I115"/>
  <c r="I117"/>
  <c r="I118" s="1"/>
  <c r="D115"/>
  <c r="D117"/>
  <c r="D118" s="1"/>
  <c r="N115"/>
  <c r="N117"/>
  <c r="N118" s="1"/>
  <c r="R115"/>
  <c r="R117"/>
  <c r="R118" s="1"/>
  <c r="L115"/>
  <c r="L117"/>
  <c r="L118" s="1"/>
  <c r="H115"/>
  <c r="H117"/>
  <c r="H118" s="1"/>
  <c r="O115"/>
  <c r="O117"/>
  <c r="O118" s="1"/>
  <c r="K115"/>
  <c r="K117"/>
  <c r="K118" s="1"/>
  <c r="J115"/>
  <c r="J117"/>
  <c r="J118" s="1"/>
  <c r="G115" l="1"/>
  <c r="G117"/>
  <c r="G118" s="1"/>
  <c r="D119" s="1"/>
  <c r="D122" s="1"/>
  <c r="C10" i="2" l="1"/>
  <c r="L8" i="1" l="1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G39"/>
  <c r="H39"/>
  <c r="I39"/>
  <c r="J39"/>
  <c r="K39"/>
  <c r="E39" l="1"/>
  <c r="D9" i="2" s="1"/>
  <c r="F39" i="1"/>
  <c r="E9" i="2" s="1"/>
  <c r="D39" i="1"/>
  <c r="C9" i="2" s="1"/>
  <c r="C11" s="1"/>
  <c r="C39" i="1"/>
  <c r="E10" i="2" l="1"/>
  <c r="F122" i="3" s="1"/>
  <c r="D10" i="2"/>
  <c r="E122" i="3" s="1"/>
  <c r="L7" i="1"/>
  <c r="L39" s="1"/>
  <c r="D11" i="2" l="1"/>
  <c r="E11"/>
</calcChain>
</file>

<file path=xl/sharedStrings.xml><?xml version="1.0" encoding="utf-8"?>
<sst xmlns="http://schemas.openxmlformats.org/spreadsheetml/2006/main" count="324" uniqueCount="237">
  <si>
    <t>№ п/п</t>
  </si>
  <si>
    <t xml:space="preserve">362, 363, 364, 369 </t>
  </si>
  <si>
    <t>507, 521, 607, 621, 625</t>
  </si>
  <si>
    <t xml:space="preserve">153, 163, 515, 527, 530 </t>
  </si>
  <si>
    <t>921, 976</t>
  </si>
  <si>
    <t>306, 308, 350</t>
  </si>
  <si>
    <t>317, 318</t>
  </si>
  <si>
    <t>156, 160, 170</t>
  </si>
  <si>
    <t>109, 114, 116, 117</t>
  </si>
  <si>
    <t>110, 115, 125</t>
  </si>
  <si>
    <t>360, 368</t>
  </si>
  <si>
    <t>401, 402, 403, 404</t>
  </si>
  <si>
    <t>312, 314, 315, 322</t>
  </si>
  <si>
    <t>105, 106</t>
  </si>
  <si>
    <t>519, 520</t>
  </si>
  <si>
    <t>265, 267</t>
  </si>
  <si>
    <t>502, 524, 602</t>
  </si>
  <si>
    <t>Номера межмуниципальных маршрутов, входящих в предмет государственных контрактов</t>
  </si>
  <si>
    <t>Сумма выплат по государственным контрактам с разбивкой по годам, руб.</t>
  </si>
  <si>
    <t>Цена контракта, руб.</t>
  </si>
  <si>
    <t>2018 год</t>
  </si>
  <si>
    <t>2019 год</t>
  </si>
  <si>
    <t>2020 год</t>
  </si>
  <si>
    <t>2021 год</t>
  </si>
  <si>
    <t xml:space="preserve">Наименование </t>
  </si>
  <si>
    <t>Период, год</t>
  </si>
  <si>
    <t>Потребность денежных средств по заключенным контрактам, тыс. рублей</t>
  </si>
  <si>
    <t>Примечание</t>
  </si>
  <si>
    <t>Потребность денежных средств для организации аукциона, тыс. рублей</t>
  </si>
  <si>
    <t>тыс. руб.</t>
  </si>
  <si>
    <t>Единицы измерения</t>
  </si>
  <si>
    <t>Номер маршрута и его наименование</t>
  </si>
  <si>
    <t>Примечания</t>
  </si>
  <si>
    <t>№ 105 "Архангельск (м.р. вокзал) - дер. Великое"</t>
  </si>
  <si>
    <t>№ 106 "г. Архангельск (м.р. вокзал) - дер. Перхачево"</t>
  </si>
  <si>
    <t>№ 265 "г. Новодвинск - дер. Негино"</t>
  </si>
  <si>
    <t>№ 267 "г. Новодинск - муниципальное клдбище"</t>
  </si>
  <si>
    <t>№ 501 "г. Архангельск  (автовокзал) - г. Шенкурск"</t>
  </si>
  <si>
    <t>№ 503 "г. Архангельск (автовокзал) - с. Емецк"</t>
  </si>
  <si>
    <t xml:space="preserve">№ 525 "г. Архангельск (автовокзал) - г. Вельск" </t>
  </si>
  <si>
    <t>№ 601 "г. Северодвинск - (ж.д. вокзал) - г. Шенкурск</t>
  </si>
  <si>
    <t>№ 616 "г. Северодвинск (ж.д. вокзал) - дер. Усть-Пинега"</t>
  </si>
  <si>
    <t>№ 603 "г. "Северодвинск (ж.д. вокзал) - с. Емецк"</t>
  </si>
  <si>
    <t>№ 519 "г. Архангельск (автовокзал) - пос. Плесецк"</t>
  </si>
  <si>
    <t>№ 520 "г. Архангельск  (автовокзал) - пос. Долматово - г. Каргополь"</t>
  </si>
  <si>
    <t>№ 901 "г. Вельск - г. Шенкурск"</t>
  </si>
  <si>
    <t>№ 921 "г. Каргополь - пос. Плесецк"</t>
  </si>
  <si>
    <t>№ 976 "г. Каргополь - г. Няндома"</t>
  </si>
  <si>
    <t>1. Количество оборотных рейсов</t>
  </si>
  <si>
    <t>рейс</t>
  </si>
  <si>
    <t>По заказу министерства транспорта АО</t>
  </si>
  <si>
    <t>Протояженность оборотного рейса</t>
  </si>
  <si>
    <t>км</t>
  </si>
  <si>
    <t>2. Отработано часов</t>
  </si>
  <si>
    <t>час</t>
  </si>
  <si>
    <t>3. Время рейса</t>
  </si>
  <si>
    <t>Частное от деления отработанных часов на общее количество оборотных рейсов</t>
  </si>
  <si>
    <t>4. Средняя вместимость автобуса</t>
  </si>
  <si>
    <t>пасс.</t>
  </si>
  <si>
    <t>В рамках прогнозируемых расчетов принята вместимость салона автобуса 50 для автобуса ПАЗ-4234</t>
  </si>
  <si>
    <t>6. Пробег - всего</t>
  </si>
  <si>
    <t xml:space="preserve">    летний период</t>
  </si>
  <si>
    <t xml:space="preserve">    зимний период</t>
  </si>
  <si>
    <t>в. т.ч. с пассажирами</t>
  </si>
  <si>
    <t>7. Процент холостого пробега</t>
  </si>
  <si>
    <t>%</t>
  </si>
  <si>
    <t>8. Пассажирооборот</t>
  </si>
  <si>
    <t>тыс. пас.км</t>
  </si>
  <si>
    <t>Определен как произведение заполненности салона автобуса и пробега автобуса с пассажирами</t>
  </si>
  <si>
    <t>10. Заполненность салона</t>
  </si>
  <si>
    <t xml:space="preserve"> пасс.</t>
  </si>
  <si>
    <t>Определена как произведение средней вместимости автобуса на коэффициент использования вместимости</t>
  </si>
  <si>
    <t>11. Коэфф. исп. Вместимости</t>
  </si>
  <si>
    <t>К</t>
  </si>
  <si>
    <t>Верхняя граница нормативной загрузки в пригородном сообщении</t>
  </si>
  <si>
    <r>
      <t>I. Расходы на оплату труда водителей и кондукторов Р</t>
    </r>
    <r>
      <rPr>
        <b/>
        <i/>
        <vertAlign val="subscript"/>
        <sz val="10"/>
        <rFont val="Arial Cyr"/>
        <charset val="204"/>
      </rPr>
      <t>отiкм</t>
    </r>
  </si>
  <si>
    <t>руб./км</t>
  </si>
  <si>
    <t xml:space="preserve">Среднемесячная номинальная начисленная заработная плата </t>
  </si>
  <si>
    <t>руб.</t>
  </si>
  <si>
    <r>
      <t>К</t>
    </r>
    <r>
      <rPr>
        <vertAlign val="subscript"/>
        <sz val="10"/>
        <rFont val="Arial Cyr"/>
        <charset val="204"/>
      </rPr>
      <t>зп</t>
    </r>
    <r>
      <rPr>
        <sz val="10"/>
        <rFont val="Arial Cyr"/>
        <charset val="204"/>
      </rPr>
      <t xml:space="preserve"> для водителей</t>
    </r>
  </si>
  <si>
    <t xml:space="preserve"> - </t>
  </si>
  <si>
    <r>
      <t>К</t>
    </r>
    <r>
      <rPr>
        <vertAlign val="subscript"/>
        <sz val="10"/>
        <rFont val="Arial Cyr"/>
        <charset val="204"/>
      </rPr>
      <t>зп</t>
    </r>
    <r>
      <rPr>
        <sz val="10"/>
        <rFont val="Arial Cyr"/>
        <charset val="204"/>
      </rPr>
      <t xml:space="preserve"> для кондуктора</t>
    </r>
  </si>
  <si>
    <r>
      <t>Расчетная месячная оплата труда водителя ЗП</t>
    </r>
    <r>
      <rPr>
        <vertAlign val="subscript"/>
        <sz val="10"/>
        <rFont val="Arial Cyr"/>
        <charset val="204"/>
      </rPr>
      <t>в (2015)</t>
    </r>
  </si>
  <si>
    <t>По предложению предприятия</t>
  </si>
  <si>
    <r>
      <t>Расчетная месячная оплата труда кондуктора ЗП</t>
    </r>
    <r>
      <rPr>
        <vertAlign val="subscript"/>
        <sz val="10"/>
        <rFont val="Arial Cyr"/>
        <charset val="204"/>
      </rPr>
      <t>к (2015)</t>
    </r>
  </si>
  <si>
    <r>
      <t>Годовая заработная плата водителя ЗП</t>
    </r>
    <r>
      <rPr>
        <vertAlign val="subscript"/>
        <sz val="10"/>
        <rFont val="Arial Cyr"/>
        <charset val="204"/>
      </rPr>
      <t>год в</t>
    </r>
  </si>
  <si>
    <r>
      <t>Годовая заработная плата водителя ЗП</t>
    </r>
    <r>
      <rPr>
        <vertAlign val="subscript"/>
        <sz val="10"/>
        <rFont val="Arial Cyr"/>
        <charset val="204"/>
      </rPr>
      <t>год к</t>
    </r>
  </si>
  <si>
    <t>Количество дней отпуска водителя</t>
  </si>
  <si>
    <t>дн.</t>
  </si>
  <si>
    <r>
      <t>Оплата основного и дополнительного отпуска водителя ОО</t>
    </r>
    <r>
      <rPr>
        <vertAlign val="subscript"/>
        <sz val="10"/>
        <rFont val="Arial Cyr"/>
        <charset val="204"/>
      </rPr>
      <t>в</t>
    </r>
  </si>
  <si>
    <r>
      <t>Оплата основного и дополнительного отпуска кондуктора ОО</t>
    </r>
    <r>
      <rPr>
        <vertAlign val="subscript"/>
        <sz val="10"/>
        <rFont val="Arial Cyr"/>
        <charset val="204"/>
      </rPr>
      <t>к</t>
    </r>
  </si>
  <si>
    <r>
      <t>Годовая величина фонда рабочего времени водителя ФРВ</t>
    </r>
    <r>
      <rPr>
        <vertAlign val="subscript"/>
        <sz val="10"/>
        <rFont val="Arial Cyr"/>
        <charset val="204"/>
      </rPr>
      <t>годв(2016)</t>
    </r>
  </si>
  <si>
    <t>Скорректирован в соответствии с производственным календарем 2016 года</t>
  </si>
  <si>
    <r>
      <t>Годовая величина фонда рабочего времени кондуктора ФРВ</t>
    </r>
    <r>
      <rPr>
        <vertAlign val="subscript"/>
        <sz val="10"/>
        <rFont val="Arial Cyr"/>
        <charset val="204"/>
      </rPr>
      <t>годк(2016)</t>
    </r>
  </si>
  <si>
    <t>При нормативном подходе принимается               40 часовая рабочая неделя (не учитывается половой признак кондуктора)</t>
  </si>
  <si>
    <r>
      <t>Средняя месячная величина фонда рабочего времени водителя ФРВ</t>
    </r>
    <r>
      <rPr>
        <vertAlign val="subscript"/>
        <sz val="10"/>
        <rFont val="Arial Cyr"/>
        <charset val="204"/>
      </rPr>
      <t>ср мес.в</t>
    </r>
  </si>
  <si>
    <t>час.</t>
  </si>
  <si>
    <t>Частное от деления годовой величины фонда рабочего времени кондуктора на 12</t>
  </si>
  <si>
    <r>
      <t>Средняя месячная величина фонда рабочего времени кондуктора ФРВ</t>
    </r>
    <r>
      <rPr>
        <vertAlign val="subscript"/>
        <sz val="10"/>
        <rFont val="Arial Cyr"/>
        <charset val="204"/>
      </rPr>
      <t>ср мес.к</t>
    </r>
  </si>
  <si>
    <r>
      <t>Расчетная часовая величина оплаты труда водителя ЗП</t>
    </r>
    <r>
      <rPr>
        <vertAlign val="subscript"/>
        <sz val="10"/>
        <rFont val="Arial Cyr"/>
        <charset val="204"/>
      </rPr>
      <t>в</t>
    </r>
  </si>
  <si>
    <t>руб/час.</t>
  </si>
  <si>
    <r>
      <t>Расчетная часовая величина оплаты труда кондуктра ЗП</t>
    </r>
    <r>
      <rPr>
        <vertAlign val="subscript"/>
        <sz val="10"/>
        <rFont val="Arial Cyr"/>
        <charset val="204"/>
      </rPr>
      <t>к</t>
    </r>
  </si>
  <si>
    <t>руб./час.</t>
  </si>
  <si>
    <t>Прогнозная величина ИПЦ (2019/2018)</t>
  </si>
  <si>
    <t xml:space="preserve"> -</t>
  </si>
  <si>
    <t>Согласно прогнозу Минэкономразвития на 2019 год ИПЦ составляет 104,0%</t>
  </si>
  <si>
    <t>Расходы на оплату труда с учетом оплаты отпусков и ИПЦ</t>
  </si>
  <si>
    <r>
      <t>II. Отчисления на социальные нужды СР</t>
    </r>
    <r>
      <rPr>
        <b/>
        <i/>
        <vertAlign val="subscript"/>
        <sz val="10"/>
        <rFont val="Arial Cyr"/>
        <charset val="204"/>
      </rPr>
      <t>отiкм</t>
    </r>
  </si>
  <si>
    <t>руб./км.</t>
  </si>
  <si>
    <t>Отчисления в ПФ РФ</t>
  </si>
  <si>
    <t>Процент отчислений во внебюджетные фонды</t>
  </si>
  <si>
    <t>Отчисления на страхование от несчастных случаев и от профессиональных заболеваний</t>
  </si>
  <si>
    <t>Отчисления от несчастных случаев на производстве и от профессиональных заболеваний, 0,8 %</t>
  </si>
  <si>
    <t>Всего отчислений на социальные нужды</t>
  </si>
  <si>
    <t>Сумма 30,0 %+ 0,8 %</t>
  </si>
  <si>
    <r>
      <t>III. Расходы на топливо Р</t>
    </r>
    <r>
      <rPr>
        <b/>
        <i/>
        <vertAlign val="subscript"/>
        <sz val="10"/>
        <rFont val="Arial Cyr"/>
        <charset val="204"/>
      </rPr>
      <t>тiкм</t>
    </r>
  </si>
  <si>
    <t>руб. км</t>
  </si>
  <si>
    <r>
      <t>Н</t>
    </r>
    <r>
      <rPr>
        <vertAlign val="subscript"/>
        <sz val="10"/>
        <rFont val="Arial Cyr"/>
        <charset val="204"/>
      </rPr>
      <t xml:space="preserve">т л </t>
    </r>
    <r>
      <rPr>
        <sz val="10"/>
        <rFont val="Arial Cyr"/>
        <charset val="204"/>
      </rPr>
      <t>норма расхода топлива автобуса в в летний период</t>
    </r>
  </si>
  <si>
    <t>л/100 км</t>
  </si>
  <si>
    <t>Принят в соответствии с нормативом расхода топлива для ПАЗ</t>
  </si>
  <si>
    <r>
      <t>Н</t>
    </r>
    <r>
      <rPr>
        <vertAlign val="subscript"/>
        <sz val="10"/>
        <rFont val="Arial Cyr"/>
        <charset val="204"/>
      </rPr>
      <t xml:space="preserve">т л </t>
    </r>
    <r>
      <rPr>
        <sz val="10"/>
        <rFont val="Arial Cyr"/>
        <charset val="204"/>
      </rPr>
      <t>норма расхода топлива автобуса в в зимний период</t>
    </r>
  </si>
  <si>
    <r>
      <t>С</t>
    </r>
    <r>
      <rPr>
        <vertAlign val="subscript"/>
        <sz val="10"/>
        <rFont val="Arial Cyr"/>
        <charset val="204"/>
      </rPr>
      <t xml:space="preserve">т </t>
    </r>
    <r>
      <rPr>
        <sz val="10"/>
        <rFont val="Arial Cyr"/>
        <charset val="204"/>
      </rPr>
      <t>прогнозируемая цена на топлива в течение планового периода</t>
    </r>
  </si>
  <si>
    <t>Принята по предложению предприятия</t>
  </si>
  <si>
    <r>
      <t>IV.Расходы на смазочные материалы Р</t>
    </r>
    <r>
      <rPr>
        <b/>
        <i/>
        <vertAlign val="subscript"/>
        <sz val="10"/>
        <rFont val="Arial Cyr"/>
        <charset val="204"/>
      </rPr>
      <t>смкм</t>
    </r>
  </si>
  <si>
    <t>Произведение суммы расходов на топливо на коэффициент 0,075 (согласно Методики)</t>
  </si>
  <si>
    <r>
      <t>V. Расходы на износ и ремонт шин Р</t>
    </r>
    <r>
      <rPr>
        <b/>
        <i/>
        <vertAlign val="subscript"/>
        <sz val="10"/>
        <rFont val="Arial Cyr"/>
        <charset val="204"/>
      </rPr>
      <t>шi</t>
    </r>
  </si>
  <si>
    <r>
      <t>n</t>
    </r>
    <r>
      <rPr>
        <vertAlign val="subscript"/>
        <sz val="10"/>
        <rFont val="Arial Cyr"/>
        <charset val="204"/>
      </rPr>
      <t xml:space="preserve">шi </t>
    </r>
    <r>
      <rPr>
        <sz val="10"/>
        <rFont val="Arial Cyr"/>
        <charset val="204"/>
      </rPr>
      <t>число шин, установленных на автобус</t>
    </r>
  </si>
  <si>
    <t>шт.</t>
  </si>
  <si>
    <r>
      <t>С</t>
    </r>
    <r>
      <rPr>
        <vertAlign val="subscript"/>
        <sz val="10"/>
        <rFont val="Arial Cyr"/>
        <charset val="204"/>
      </rPr>
      <t xml:space="preserve">шi </t>
    </r>
    <r>
      <rPr>
        <sz val="10"/>
        <rFont val="Arial Cyr"/>
        <charset val="204"/>
      </rPr>
      <t>средняя стоимость одной шины, установленной на транспортное средство</t>
    </r>
  </si>
  <si>
    <t>Средняя цена в 2018 году</t>
  </si>
  <si>
    <t>Наименование п/п</t>
  </si>
  <si>
    <t>План АТиЦ на 2016 год                      (1 вариант)</t>
  </si>
  <si>
    <t>ССЧ  водителей</t>
  </si>
  <si>
    <t>Среднемесячная зарплата водителя</t>
  </si>
  <si>
    <t>ССЧ кондукторов</t>
  </si>
  <si>
    <t xml:space="preserve">Среднемесячная зарплата кондуктора </t>
  </si>
  <si>
    <t>Н норма эксплуатационного пробега шин</t>
  </si>
  <si>
    <t>Принято согласно Методическим рекомендациям нормы расхода топлив и смазочных материалов на автомобильном транспорте, утвержденных распоряжением Минтранса РФ от 14.03.2008 № АМ-23-р</t>
  </si>
  <si>
    <r>
      <rPr>
        <sz val="10"/>
        <rFont val="Arial Cyr"/>
        <charset val="204"/>
      </rPr>
      <t>К</t>
    </r>
    <r>
      <rPr>
        <vertAlign val="subscript"/>
        <sz val="10"/>
        <rFont val="Arial Cyr"/>
        <charset val="204"/>
      </rPr>
      <t xml:space="preserve">1ш </t>
    </r>
    <r>
      <rPr>
        <sz val="10"/>
        <rFont val="Arial Cyr"/>
        <charset val="204"/>
      </rPr>
      <t>поправочный коэффициент, учитывающий категорию условий эксплуатации транспортного средства;</t>
    </r>
  </si>
  <si>
    <r>
      <rPr>
        <sz val="10"/>
        <rFont val="Arial Cyr"/>
        <charset val="204"/>
      </rPr>
      <t>К</t>
    </r>
    <r>
      <rPr>
        <vertAlign val="subscript"/>
        <sz val="10"/>
        <rFont val="Arial Cyr"/>
        <charset val="204"/>
      </rPr>
      <t xml:space="preserve">2ш </t>
    </r>
    <r>
      <rPr>
        <sz val="10"/>
        <rFont val="Arial Cyr"/>
        <charset val="204"/>
      </rPr>
      <t>поправочный коэффициент, учитывающий условия эксплуатации транспортного средства;</t>
    </r>
  </si>
  <si>
    <t>Индекс цен производителей резиновых изделий</t>
  </si>
  <si>
    <t>Принят согласно прогнозу Минэкономразвития на 2019 год</t>
  </si>
  <si>
    <r>
      <t>VI. Амортизация транспортных средств А</t>
    </r>
    <r>
      <rPr>
        <b/>
        <i/>
        <vertAlign val="subscript"/>
        <sz val="10"/>
        <rFont val="Arial Cyr"/>
        <charset val="204"/>
      </rPr>
      <t>км</t>
    </r>
  </si>
  <si>
    <t>Расходы приняты исходя из автобуса со сроком эксплуатации 5 лет и стоимости 1500000 руб.</t>
  </si>
  <si>
    <r>
      <t xml:space="preserve"> </t>
    </r>
    <r>
      <rPr>
        <sz val="10"/>
        <rFont val="Arial Cyr"/>
        <charset val="204"/>
      </rPr>
      <t>Т</t>
    </r>
    <r>
      <rPr>
        <vertAlign val="subscript"/>
        <sz val="10"/>
        <rFont val="Arial Cyr"/>
        <charset val="204"/>
      </rPr>
      <t xml:space="preserve">пи </t>
    </r>
    <r>
      <rPr>
        <sz val="10"/>
        <rFont val="Arial Cyr"/>
        <charset val="204"/>
      </rPr>
      <t>срок полезного использования транспортных средств данной модели</t>
    </r>
  </si>
  <si>
    <t>лет</t>
  </si>
  <si>
    <r>
      <t>Н</t>
    </r>
    <r>
      <rPr>
        <vertAlign val="subscript"/>
        <sz val="10"/>
        <rFont val="Arial Cyr"/>
        <charset val="204"/>
      </rPr>
      <t>а</t>
    </r>
    <r>
      <rPr>
        <sz val="10"/>
        <rFont val="Arial Cyr"/>
        <charset val="204"/>
      </rPr>
      <t xml:space="preserve"> норма авортизации транспортных средств данной модели</t>
    </r>
  </si>
  <si>
    <t>n количество транспортных средств, работающих на маршруте</t>
  </si>
  <si>
    <t>ед.</t>
  </si>
  <si>
    <r>
      <t>С</t>
    </r>
    <r>
      <rPr>
        <vertAlign val="subscript"/>
        <sz val="10"/>
        <rFont val="Arial Cyr"/>
        <charset val="204"/>
      </rPr>
      <t xml:space="preserve">пб </t>
    </r>
    <r>
      <rPr>
        <sz val="10"/>
        <rFont val="Arial Cyr"/>
        <charset val="204"/>
      </rPr>
      <t>величина первоначальной балансовой стоимости транспортного средства</t>
    </r>
  </si>
  <si>
    <r>
      <t>А</t>
    </r>
    <r>
      <rPr>
        <vertAlign val="subscript"/>
        <sz val="10"/>
        <rFont val="Arial Cyr"/>
        <charset val="204"/>
      </rPr>
      <t xml:space="preserve">год </t>
    </r>
    <r>
      <rPr>
        <sz val="10"/>
        <rFont val="Arial Cyr"/>
        <charset val="204"/>
      </rPr>
      <t>годовая сумма амортизации транспортного средства</t>
    </r>
  </si>
  <si>
    <r>
      <t>А</t>
    </r>
    <r>
      <rPr>
        <vertAlign val="subscript"/>
        <sz val="10"/>
        <rFont val="Arial Cyr"/>
        <charset val="204"/>
      </rPr>
      <t>год сум</t>
    </r>
    <r>
      <rPr>
        <sz val="10"/>
        <rFont val="Arial Cyr"/>
        <charset val="204"/>
      </rPr>
      <t xml:space="preserve"> годовая сумма амортизации всех транспортных средств</t>
    </r>
  </si>
  <si>
    <r>
      <t>VII. Расходы на ТО и ремонт Р</t>
    </r>
    <r>
      <rPr>
        <b/>
        <i/>
        <vertAlign val="subscript"/>
        <sz val="10"/>
        <rFont val="Arial Cyr"/>
        <charset val="204"/>
      </rPr>
      <t>тоiкм</t>
    </r>
  </si>
  <si>
    <r>
      <t>VII.I. Расходы на оплату труда ремонтных рабочих ОТ</t>
    </r>
    <r>
      <rPr>
        <b/>
        <vertAlign val="subscript"/>
        <sz val="10"/>
        <rFont val="Arial Cyr"/>
        <charset val="204"/>
      </rPr>
      <t>ррiкм</t>
    </r>
  </si>
  <si>
    <t>Среднемесячная номинальная начисленная заработная плата                      (по данным статистики)</t>
  </si>
  <si>
    <r>
      <t>Расчетная месячная оплата труда ремонтного рабочего ЗП</t>
    </r>
    <r>
      <rPr>
        <vertAlign val="subscript"/>
        <sz val="10"/>
        <rFont val="Arial Cyr"/>
        <charset val="204"/>
      </rPr>
      <t>р (2015)</t>
    </r>
  </si>
  <si>
    <r>
      <t>Годовая заработная плата ремонтного рабочего ЗП</t>
    </r>
    <r>
      <rPr>
        <vertAlign val="subscript"/>
        <sz val="10"/>
        <rFont val="Arial Cyr"/>
        <charset val="204"/>
      </rPr>
      <t>год р</t>
    </r>
  </si>
  <si>
    <t>Количество дней отпуска ремонтного рабочего</t>
  </si>
  <si>
    <r>
      <t>Оплата основного и дополнительного отпуска ремонтного рабочего ОО</t>
    </r>
    <r>
      <rPr>
        <vertAlign val="subscript"/>
        <sz val="10"/>
        <rFont val="Arial Cyr"/>
        <charset val="204"/>
      </rPr>
      <t>в</t>
    </r>
  </si>
  <si>
    <r>
      <t>Годовая величина фонда рабочего времени ремонтного рабочего ФРВ</t>
    </r>
    <r>
      <rPr>
        <vertAlign val="subscript"/>
        <sz val="10"/>
        <rFont val="Arial Cyr"/>
        <charset val="204"/>
      </rPr>
      <t>годр(2016)</t>
    </r>
  </si>
  <si>
    <t>Скорректирован в соответствии с производственным календарем 2019 года</t>
  </si>
  <si>
    <r>
      <t>Средняя месячная величина фонда рабочего времени ремонтного рабочего ФРВ</t>
    </r>
    <r>
      <rPr>
        <vertAlign val="subscript"/>
        <sz val="10"/>
        <rFont val="Arial Cyr"/>
        <charset val="204"/>
      </rPr>
      <t>ср мес.р</t>
    </r>
  </si>
  <si>
    <r>
      <t>Расчетная часовая величина оплаты труда ремонтных рабочих ЗП</t>
    </r>
    <r>
      <rPr>
        <vertAlign val="subscript"/>
        <sz val="10"/>
        <rFont val="Arial Cyr"/>
        <charset val="204"/>
      </rPr>
      <t>р</t>
    </r>
  </si>
  <si>
    <t>По предложению предприятия, в соответствии с нормами</t>
  </si>
  <si>
    <r>
      <t xml:space="preserve"> Т</t>
    </r>
    <r>
      <rPr>
        <vertAlign val="subscript"/>
        <sz val="10"/>
        <rFont val="Arial Cyr"/>
        <charset val="204"/>
      </rPr>
      <t>т</t>
    </r>
    <r>
      <rPr>
        <sz val="10"/>
        <rFont val="Arial Cyr"/>
        <charset val="204"/>
      </rPr>
      <t xml:space="preserve"> величина базовой удельной трудоемкости технического обслуживания </t>
    </r>
  </si>
  <si>
    <t xml:space="preserve">час./1000 км </t>
  </si>
  <si>
    <r>
      <t xml:space="preserve"> Т</t>
    </r>
    <r>
      <rPr>
        <vertAlign val="subscript"/>
        <sz val="10"/>
        <rFont val="Arial Cyr"/>
        <charset val="204"/>
      </rPr>
      <t>р</t>
    </r>
    <r>
      <rPr>
        <sz val="10"/>
        <rFont val="Arial Cyr"/>
        <charset val="204"/>
      </rPr>
      <t xml:space="preserve"> величина базовой удельной трудоемкости текущего ремонта</t>
    </r>
  </si>
  <si>
    <r>
      <t>К</t>
    </r>
    <r>
      <rPr>
        <vertAlign val="subscript"/>
        <sz val="10"/>
        <rFont val="Arial Cyr"/>
        <charset val="204"/>
      </rPr>
      <t>1п</t>
    </r>
    <r>
      <rPr>
        <sz val="10"/>
        <rFont val="Arial Cyr"/>
        <charset val="204"/>
      </rPr>
      <t xml:space="preserve"> коэффициент корректирования нормативов периодичности технического обслуживания от условий эксплуатации </t>
    </r>
  </si>
  <si>
    <r>
      <t>К</t>
    </r>
    <r>
      <rPr>
        <vertAlign val="subscript"/>
        <sz val="10"/>
        <rFont val="Arial Cyr"/>
        <charset val="204"/>
      </rPr>
      <t>2п</t>
    </r>
    <r>
      <rPr>
        <sz val="10"/>
        <rFont val="Arial Cyr"/>
        <charset val="204"/>
      </rPr>
      <t xml:space="preserve"> коэффициент корректирования нормативов периодичности технического обслуживания от природно-климатических условий </t>
    </r>
  </si>
  <si>
    <r>
      <t>К</t>
    </r>
    <r>
      <rPr>
        <vertAlign val="subscript"/>
        <sz val="10"/>
        <rFont val="Arial Cyr"/>
        <charset val="204"/>
      </rPr>
      <t xml:space="preserve">1 </t>
    </r>
    <r>
      <rPr>
        <sz val="10"/>
        <rFont val="Arial Cyr"/>
        <charset val="204"/>
      </rPr>
      <t>коэффициент корректирования нормативов трудоёмкости от условий эксплуатации</t>
    </r>
  </si>
  <si>
    <r>
      <t>К</t>
    </r>
    <r>
      <rPr>
        <vertAlign val="subscript"/>
        <sz val="10"/>
        <rFont val="Arial Cyr"/>
        <charset val="204"/>
      </rPr>
      <t xml:space="preserve">3 </t>
    </r>
    <r>
      <rPr>
        <sz val="10"/>
        <rFont val="Arial Cyr"/>
        <charset val="204"/>
      </rPr>
      <t>коэффициент корректирования нормативов трудоёмкости от модификации подвижного состава и условий эксплуатации</t>
    </r>
  </si>
  <si>
    <r>
      <t>К</t>
    </r>
    <r>
      <rPr>
        <vertAlign val="subscript"/>
        <sz val="10"/>
        <rFont val="Arial Cyr"/>
        <charset val="204"/>
      </rPr>
      <t xml:space="preserve">4 </t>
    </r>
    <r>
      <rPr>
        <sz val="10"/>
        <rFont val="Arial Cyr"/>
        <charset val="204"/>
      </rPr>
      <t>коэффициент корректирования нормативов трудоёмкости от пробега с начала эксплуатации</t>
    </r>
  </si>
  <si>
    <r>
      <t>i</t>
    </r>
    <r>
      <rPr>
        <vertAlign val="subscript"/>
        <sz val="10"/>
        <rFont val="Arial Cyr"/>
        <charset val="204"/>
      </rPr>
      <t>ц зч</t>
    </r>
    <r>
      <rPr>
        <sz val="10"/>
        <rFont val="Arial Cyr"/>
        <charset val="204"/>
      </rPr>
      <t xml:space="preserve"> суммарный индекс цен на запасные части и материалы с января 2013 года по планируемый период</t>
    </r>
  </si>
  <si>
    <t>Индекс не учитывается (пункт 10 Методических рекомендации по расчету экономических обоснованных расходов)</t>
  </si>
  <si>
    <r>
      <t>VII.II. Отчисления на социальные нужды СР</t>
    </r>
    <r>
      <rPr>
        <b/>
        <vertAlign val="subscript"/>
        <sz val="10"/>
        <rFont val="Arial Cyr"/>
        <charset val="204"/>
      </rPr>
      <t>ррiкм</t>
    </r>
  </si>
  <si>
    <t>Предприятие находится на упрощенной системе налогообложения, страховой тариф составляет 30,0 %</t>
  </si>
  <si>
    <r>
      <t>VII.III. Расчет расходов на запасные части ЗЧ</t>
    </r>
    <r>
      <rPr>
        <b/>
        <vertAlign val="subscript"/>
        <sz val="10"/>
        <rFont val="Arial Cyr"/>
        <charset val="204"/>
      </rPr>
      <t>iкм</t>
    </r>
  </si>
  <si>
    <r>
      <t>Н</t>
    </r>
    <r>
      <rPr>
        <vertAlign val="subscript"/>
        <sz val="10"/>
        <rFont val="Arial Cyr"/>
        <charset val="204"/>
      </rPr>
      <t xml:space="preserve">зч i км </t>
    </r>
    <r>
      <rPr>
        <sz val="10"/>
        <rFont val="Arial Cyr"/>
        <charset val="204"/>
      </rPr>
      <t>базовый удельный расход на запасные части</t>
    </r>
  </si>
  <si>
    <t>Таблица 4.2 Приложение № 4 к Методике расчета экономических обоснованных расходов</t>
  </si>
  <si>
    <r>
      <t>i</t>
    </r>
    <r>
      <rPr>
        <vertAlign val="subscript"/>
        <sz val="10"/>
        <rFont val="Arial Cyr"/>
        <charset val="204"/>
      </rPr>
      <t>ц зч</t>
    </r>
    <r>
      <rPr>
        <sz val="10"/>
        <rFont val="Arial Cyr"/>
        <charset val="204"/>
      </rPr>
      <t xml:space="preserve"> суммарный индекс цен на запасные части и материалы с января 2013 года по планмруемый период</t>
    </r>
  </si>
  <si>
    <t>Индекс не учитвается (пункт 10 Методических рекомендации по расчету экономических обоснованных расходов)</t>
  </si>
  <si>
    <r>
      <t>К</t>
    </r>
    <r>
      <rPr>
        <vertAlign val="subscript"/>
        <sz val="10"/>
        <rFont val="Arial Cyr"/>
        <charset val="204"/>
      </rPr>
      <t xml:space="preserve">1 </t>
    </r>
    <r>
      <rPr>
        <sz val="10"/>
        <rFont val="Arial Cyr"/>
        <charset val="204"/>
      </rPr>
      <t>коэффициент корректирования удельных расходов на приобретение запасных частей и материалов от условий эксплуатации</t>
    </r>
  </si>
  <si>
    <t>По предложению предприятия, согласно нормативам</t>
  </si>
  <si>
    <r>
      <t>К</t>
    </r>
    <r>
      <rPr>
        <vertAlign val="subscript"/>
        <sz val="10"/>
        <rFont val="Arial Cyr"/>
        <charset val="204"/>
      </rPr>
      <t xml:space="preserve">3 </t>
    </r>
    <r>
      <rPr>
        <sz val="10"/>
        <rFont val="Arial Cyr"/>
        <charset val="204"/>
      </rPr>
      <t>коэффициент корректирования удельных расходов на приобретение запасных частей и материалов от природно-климатических условий</t>
    </r>
  </si>
  <si>
    <r>
      <t>К</t>
    </r>
    <r>
      <rPr>
        <vertAlign val="subscript"/>
        <sz val="10"/>
        <rFont val="Arial Cyr"/>
        <charset val="204"/>
      </rPr>
      <t>4</t>
    </r>
    <r>
      <rPr>
        <vertAlign val="superscript"/>
        <sz val="10"/>
        <rFont val="Arial Cyr"/>
        <charset val="204"/>
      </rPr>
      <t xml:space="preserve">/ </t>
    </r>
    <r>
      <rPr>
        <sz val="10"/>
        <rFont val="Arial Cyr"/>
        <charset val="204"/>
      </rPr>
      <t>коэффициент корректирования удельных расходов на приобретение запасных частей и материалов от пробега с начала эксплуатации</t>
    </r>
  </si>
  <si>
    <t>Принят согласно нормативам</t>
  </si>
  <si>
    <r>
      <t>VIII. Прочие расходы по обычным видам деятельности ПКР</t>
    </r>
    <r>
      <rPr>
        <b/>
        <vertAlign val="subscript"/>
        <sz val="10"/>
        <rFont val="Arial Cyr"/>
        <charset val="204"/>
      </rPr>
      <t>iкм</t>
    </r>
  </si>
  <si>
    <r>
      <t>Сумма переменных расходов (Р</t>
    </r>
    <r>
      <rPr>
        <vertAlign val="subscript"/>
        <sz val="10"/>
        <rFont val="Arial Cyr"/>
        <charset val="204"/>
      </rPr>
      <t>т i км</t>
    </r>
    <r>
      <rPr>
        <sz val="10"/>
        <rFont val="Arial Cyr"/>
        <charset val="204"/>
      </rPr>
      <t>, Р</t>
    </r>
    <r>
      <rPr>
        <vertAlign val="subscript"/>
        <sz val="10"/>
        <rFont val="Arial Cyr"/>
        <charset val="204"/>
      </rPr>
      <t>см i км</t>
    </r>
    <r>
      <rPr>
        <sz val="10"/>
        <rFont val="Arial Cyr"/>
        <charset val="204"/>
      </rPr>
      <t>, P</t>
    </r>
    <r>
      <rPr>
        <vertAlign val="subscript"/>
        <sz val="10"/>
        <rFont val="Arial Cyr"/>
        <charset val="204"/>
      </rPr>
      <t>ш i км</t>
    </r>
    <r>
      <rPr>
        <sz val="10"/>
        <rFont val="Arial Cyr"/>
        <charset val="204"/>
      </rPr>
      <t>, P</t>
    </r>
    <r>
      <rPr>
        <vertAlign val="subscript"/>
        <sz val="10"/>
        <rFont val="Arial Cyr"/>
        <charset val="204"/>
      </rPr>
      <t>то i км</t>
    </r>
    <r>
      <rPr>
        <sz val="10"/>
        <rFont val="Arial Cyr"/>
        <charset val="204"/>
      </rPr>
      <t>)</t>
    </r>
  </si>
  <si>
    <t>Сумма соответствующих расходов</t>
  </si>
  <si>
    <r>
      <t>О</t>
    </r>
    <r>
      <rPr>
        <vertAlign val="subscript"/>
        <sz val="10"/>
        <rFont val="Arial Cyr"/>
        <charset val="204"/>
      </rPr>
      <t xml:space="preserve">пкр п </t>
    </r>
    <r>
      <rPr>
        <sz val="10"/>
        <rFont val="Arial Cyr"/>
        <charset val="204"/>
      </rPr>
      <t>отношение суммы прочих рсходов по обычным видам деятельности и косвенных расходов к переменным</t>
    </r>
  </si>
  <si>
    <t>IX. Себестоимость 1 км пробега</t>
  </si>
  <si>
    <t>руб/км</t>
  </si>
  <si>
    <t>Сумма расходов на 1 км пробега</t>
  </si>
  <si>
    <t>X. Себестоимость</t>
  </si>
  <si>
    <t>руб. за                   1 пасс. км</t>
  </si>
  <si>
    <t>Частное от деления себестоимости 1 км пробега автобуса на номинальную вместимость и норматиный коэффициент использования вместимости салона автобуса</t>
  </si>
  <si>
    <t>Тариф установленный агентством по тарифаи и ценам АО</t>
  </si>
  <si>
    <t>Тариф</t>
  </si>
  <si>
    <t>ХI. Расходы всего</t>
  </si>
  <si>
    <t xml:space="preserve">тыс. руб. </t>
  </si>
  <si>
    <t>Произведения себестоимости на 1 км на пробег с пассажирами</t>
  </si>
  <si>
    <t>Рентабельность, %</t>
  </si>
  <si>
    <t>Необходимая валовая выручка</t>
  </si>
  <si>
    <t>НВВ из расчет на  1 км</t>
  </si>
  <si>
    <t>ХII. Выручка от пассажирских перевозок</t>
  </si>
  <si>
    <t>Произведение тарифа и пассажирооборота</t>
  </si>
  <si>
    <t>XIII. Прибыль (-Убыток) - всего</t>
  </si>
  <si>
    <t>Разница между выручкой и НВВ</t>
  </si>
  <si>
    <t>Потребность денежных средств на 1 год</t>
  </si>
  <si>
    <t>Общая потребность по маршрутам</t>
  </si>
  <si>
    <t>Дополнительная потребность в денежных средствах для организации проведения конкурсных процедур и обеспечения контрактов в 2019-2021 года с учетом 5-ти летних контрактов</t>
  </si>
  <si>
    <t>На 2019 год</t>
  </si>
  <si>
    <t>На 2020 год</t>
  </si>
  <si>
    <t>На 2021 год</t>
  </si>
  <si>
    <t xml:space="preserve">ИТОГО </t>
  </si>
  <si>
    <t>124, 134, 135, 136</t>
  </si>
  <si>
    <t>305, 352, 821, 835</t>
  </si>
  <si>
    <t xml:space="preserve">321, 355, 844 </t>
  </si>
  <si>
    <t>849, 869</t>
  </si>
  <si>
    <t xml:space="preserve">511, 609, 611, 857 </t>
  </si>
  <si>
    <t>108, 111, 113, 512, 513</t>
  </si>
  <si>
    <t>144, 145, 144э, 260, 262</t>
  </si>
  <si>
    <t>501, 503, 525, 601, 603</t>
  </si>
  <si>
    <t>133, 138, 138э, 150</t>
  </si>
  <si>
    <t xml:space="preserve">Итого </t>
  </si>
  <si>
    <t>Примечания: объем необходимых денежных средств на 2020, 2021 годы для организации транспортного обслуживания населения по новым маршрутам будет уточнен с учетом введения новой методики по расчету начальной максимальной цены контракта</t>
  </si>
  <si>
    <t>Потребность средств областного бюджета для осуществления организации транспортного обслуживания населения автомобильным транспортом в межмуниципальном сообщении</t>
  </si>
  <si>
    <t>по данным Архангельсстат</t>
  </si>
  <si>
    <t>С учетом коэффициента для зимней эксплуатации 1,075</t>
  </si>
  <si>
    <t>Приложение № 18</t>
  </si>
  <si>
    <t>к пояснительной записке</t>
  </si>
  <si>
    <t>расчет в таблице № 1</t>
  </si>
  <si>
    <t>расчет в таблице № 2</t>
  </si>
  <si>
    <t>Расчет потребности средств на обеспечение действующих государственных контрактов на выполнение работ, связанных с осуществлением регулярных пассажирских перевозок на межмуниципальных маршрутах</t>
  </si>
  <si>
    <t>Таблица № 1</t>
  </si>
  <si>
    <t>Таблица № 2</t>
  </si>
  <si>
    <t>Потребность средств на 2019 год и на плановый период 2020 и 2021 годов для проведения аукциона на право обслуживания пригородных и междугородных межмуниципальных автобусных маршрутах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</si>
</sst>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4"/>
      <name val="Arial Cyr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i/>
      <sz val="10"/>
      <name val="Arial Cyr"/>
      <charset val="204"/>
    </font>
    <font>
      <i/>
      <sz val="9"/>
      <name val="Arial Cyr"/>
      <charset val="204"/>
    </font>
    <font>
      <sz val="8"/>
      <name val="Arial Cyr"/>
      <charset val="204"/>
    </font>
    <font>
      <i/>
      <sz val="8"/>
      <name val="Arial Cyr"/>
      <charset val="204"/>
    </font>
    <font>
      <b/>
      <i/>
      <vertAlign val="subscript"/>
      <sz val="10"/>
      <name val="Arial Cyr"/>
      <charset val="204"/>
    </font>
    <font>
      <vertAlign val="subscript"/>
      <sz val="10"/>
      <name val="Arial Cyr"/>
      <charset val="204"/>
    </font>
    <font>
      <sz val="9"/>
      <name val="Arial Cyr"/>
      <charset val="204"/>
    </font>
    <font>
      <b/>
      <i/>
      <sz val="8"/>
      <name val="Arial Cyr"/>
      <charset val="204"/>
    </font>
    <font>
      <b/>
      <i/>
      <sz val="9"/>
      <name val="Arial Cyr"/>
      <charset val="204"/>
    </font>
    <font>
      <b/>
      <vertAlign val="subscript"/>
      <sz val="10"/>
      <name val="Arial Cyr"/>
      <charset val="204"/>
    </font>
    <font>
      <vertAlign val="superscript"/>
      <sz val="10"/>
      <name val="Arial Cyr"/>
      <charset val="204"/>
    </font>
    <font>
      <b/>
      <sz val="11"/>
      <color theme="1"/>
      <name val="Calibri"/>
      <family val="2"/>
      <scheme val="minor"/>
    </font>
    <font>
      <sz val="12"/>
      <name val="Arial Cyr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theme="1"/>
      <name val="Calibri"/>
      <family val="2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9">
    <xf numFmtId="0" fontId="0" fillId="0" borderId="0" xfId="0"/>
    <xf numFmtId="0" fontId="2" fillId="2" borderId="21" xfId="2" applyFill="1" applyBorder="1" applyAlignment="1">
      <alignment horizontal="center"/>
    </xf>
    <xf numFmtId="0" fontId="2" fillId="2" borderId="22" xfId="2" applyFill="1" applyBorder="1" applyAlignment="1">
      <alignment horizontal="center"/>
    </xf>
    <xf numFmtId="0" fontId="2" fillId="2" borderId="26" xfId="2" applyFill="1" applyBorder="1" applyAlignment="1">
      <alignment horizontal="center"/>
    </xf>
    <xf numFmtId="0" fontId="2" fillId="2" borderId="27" xfId="2" applyFill="1" applyBorder="1" applyAlignment="1">
      <alignment horizontal="center"/>
    </xf>
    <xf numFmtId="2" fontId="2" fillId="2" borderId="26" xfId="2" applyNumberFormat="1" applyFill="1" applyBorder="1" applyAlignment="1">
      <alignment horizontal="center" vertical="center"/>
    </xf>
    <xf numFmtId="1" fontId="2" fillId="2" borderId="26" xfId="2" applyNumberFormat="1" applyFill="1" applyBorder="1" applyAlignment="1">
      <alignment horizontal="center" vertical="center"/>
    </xf>
    <xf numFmtId="164" fontId="2" fillId="2" borderId="26" xfId="2" applyNumberFormat="1" applyFill="1" applyBorder="1" applyAlignment="1">
      <alignment horizontal="center"/>
    </xf>
    <xf numFmtId="2" fontId="10" fillId="2" borderId="26" xfId="2" applyNumberFormat="1" applyFont="1" applyFill="1" applyBorder="1" applyAlignment="1">
      <alignment horizontal="center" vertical="center"/>
    </xf>
    <xf numFmtId="2" fontId="5" fillId="2" borderId="26" xfId="2" applyNumberFormat="1" applyFont="1" applyFill="1" applyBorder="1" applyAlignment="1">
      <alignment horizontal="center" vertical="center"/>
    </xf>
    <xf numFmtId="1" fontId="2" fillId="2" borderId="26" xfId="2" applyNumberFormat="1" applyFont="1" applyFill="1" applyBorder="1" applyAlignment="1">
      <alignment horizontal="center" vertical="center"/>
    </xf>
    <xf numFmtId="0" fontId="2" fillId="2" borderId="26" xfId="2" applyFont="1" applyFill="1" applyBorder="1" applyAlignment="1">
      <alignment horizontal="center" vertical="center"/>
    </xf>
    <xf numFmtId="0" fontId="2" fillId="2" borderId="34" xfId="2" applyFont="1" applyFill="1" applyBorder="1" applyAlignment="1">
      <alignment horizontal="center" vertical="center" wrapText="1"/>
    </xf>
    <xf numFmtId="0" fontId="2" fillId="2" borderId="22" xfId="2" applyFont="1" applyFill="1" applyBorder="1" applyAlignment="1">
      <alignment horizontal="center" vertical="center" wrapText="1"/>
    </xf>
    <xf numFmtId="0" fontId="2" fillId="2" borderId="27" xfId="2" applyFont="1" applyFill="1" applyBorder="1" applyAlignment="1">
      <alignment horizontal="center" vertical="center"/>
    </xf>
    <xf numFmtId="164" fontId="2" fillId="2" borderId="26" xfId="2" applyNumberFormat="1" applyFont="1" applyFill="1" applyBorder="1" applyAlignment="1">
      <alignment horizontal="center" vertical="center"/>
    </xf>
    <xf numFmtId="164" fontId="2" fillId="2" borderId="27" xfId="2" applyNumberFormat="1" applyFont="1" applyFill="1" applyBorder="1" applyAlignment="1">
      <alignment horizontal="center" vertical="center"/>
    </xf>
    <xf numFmtId="1" fontId="2" fillId="2" borderId="27" xfId="2" applyNumberFormat="1" applyFont="1" applyFill="1" applyBorder="1" applyAlignment="1">
      <alignment horizontal="center" vertical="center"/>
    </xf>
    <xf numFmtId="2" fontId="2" fillId="2" borderId="26" xfId="2" applyNumberFormat="1" applyFont="1" applyFill="1" applyBorder="1" applyAlignment="1">
      <alignment horizontal="center" vertical="center"/>
    </xf>
    <xf numFmtId="165" fontId="2" fillId="2" borderId="26" xfId="2" applyNumberFormat="1" applyFont="1" applyFill="1" applyBorder="1" applyAlignment="1">
      <alignment horizontal="center" vertical="center"/>
    </xf>
    <xf numFmtId="164" fontId="5" fillId="2" borderId="26" xfId="2" applyNumberFormat="1" applyFont="1" applyFill="1" applyBorder="1" applyAlignment="1">
      <alignment horizontal="center" vertical="center"/>
    </xf>
    <xf numFmtId="0" fontId="2" fillId="2" borderId="26" xfId="2" applyFill="1" applyBorder="1" applyAlignment="1">
      <alignment horizontal="center" vertical="center"/>
    </xf>
    <xf numFmtId="164" fontId="2" fillId="2" borderId="26" xfId="2" applyNumberFormat="1" applyFill="1" applyBorder="1" applyAlignment="1">
      <alignment horizontal="center" vertical="center"/>
    </xf>
    <xf numFmtId="165" fontId="2" fillId="2" borderId="26" xfId="2" applyNumberFormat="1" applyFill="1" applyBorder="1" applyAlignment="1">
      <alignment horizontal="center" vertical="center"/>
    </xf>
    <xf numFmtId="2" fontId="2" fillId="2" borderId="26" xfId="2" applyNumberFormat="1" applyFill="1" applyBorder="1" applyAlignment="1">
      <alignment horizontal="center"/>
    </xf>
    <xf numFmtId="0" fontId="9" fillId="2" borderId="24" xfId="2" applyFont="1" applyFill="1" applyBorder="1" applyAlignment="1">
      <alignment horizontal="center" vertical="center" wrapText="1"/>
    </xf>
    <xf numFmtId="0" fontId="9" fillId="2" borderId="13" xfId="2" applyFont="1" applyFill="1" applyBorder="1" applyAlignment="1">
      <alignment vertical="center" wrapText="1"/>
    </xf>
    <xf numFmtId="0" fontId="9" fillId="2" borderId="13" xfId="2" applyFont="1" applyFill="1" applyBorder="1" applyAlignment="1">
      <alignment horizontal="center" vertical="center" wrapText="1"/>
    </xf>
    <xf numFmtId="0" fontId="9" fillId="2" borderId="23" xfId="2" applyFont="1" applyFill="1" applyBorder="1" applyAlignment="1">
      <alignment horizontal="center" vertical="center" wrapText="1"/>
    </xf>
    <xf numFmtId="0" fontId="21" fillId="0" borderId="0" xfId="0" applyFont="1"/>
    <xf numFmtId="0" fontId="23" fillId="0" borderId="5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1" fillId="0" borderId="0" xfId="0" applyFont="1" applyBorder="1"/>
    <xf numFmtId="0" fontId="24" fillId="0" borderId="1" xfId="0" applyFont="1" applyBorder="1"/>
    <xf numFmtId="0" fontId="23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5" fillId="0" borderId="0" xfId="0" applyFont="1"/>
    <xf numFmtId="0" fontId="25" fillId="0" borderId="0" xfId="0" applyFont="1" applyAlignment="1">
      <alignment horizontal="right"/>
    </xf>
    <xf numFmtId="0" fontId="25" fillId="0" borderId="1" xfId="0" applyFont="1" applyBorder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wrapText="1"/>
    </xf>
    <xf numFmtId="0" fontId="25" fillId="0" borderId="1" xfId="0" applyFont="1" applyBorder="1" applyAlignment="1">
      <alignment wrapText="1"/>
    </xf>
    <xf numFmtId="4" fontId="20" fillId="2" borderId="1" xfId="0" applyNumberFormat="1" applyFont="1" applyFill="1" applyBorder="1" applyAlignment="1">
      <alignment horizontal="center" vertical="center"/>
    </xf>
    <xf numFmtId="4" fontId="20" fillId="2" borderId="1" xfId="0" applyNumberFormat="1" applyFont="1" applyFill="1" applyBorder="1" applyAlignment="1">
      <alignment horizontal="center"/>
    </xf>
    <xf numFmtId="4" fontId="23" fillId="2" borderId="6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right"/>
    </xf>
    <xf numFmtId="0" fontId="23" fillId="0" borderId="1" xfId="0" applyFont="1" applyBorder="1" applyAlignment="1">
      <alignment horizontal="center" vertical="center" wrapText="1"/>
    </xf>
    <xf numFmtId="4" fontId="25" fillId="0" borderId="1" xfId="0" applyNumberFormat="1" applyFont="1" applyBorder="1" applyAlignment="1">
      <alignment horizontal="center" vertical="center"/>
    </xf>
    <xf numFmtId="0" fontId="2" fillId="2" borderId="0" xfId="2" applyFill="1"/>
    <xf numFmtId="0" fontId="3" fillId="2" borderId="0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0" fontId="5" fillId="2" borderId="10" xfId="2" applyFont="1" applyFill="1" applyBorder="1" applyAlignment="1"/>
    <xf numFmtId="0" fontId="5" fillId="2" borderId="8" xfId="2" applyFont="1" applyFill="1" applyBorder="1" applyAlignment="1"/>
    <xf numFmtId="0" fontId="2" fillId="2" borderId="19" xfId="2" applyFill="1" applyBorder="1" applyAlignment="1">
      <alignment horizontal="left" vertical="center" wrapText="1"/>
    </xf>
    <xf numFmtId="0" fontId="8" fillId="2" borderId="19" xfId="2" applyFont="1" applyFill="1" applyBorder="1" applyAlignment="1">
      <alignment horizontal="center" vertical="center" wrapText="1"/>
    </xf>
    <xf numFmtId="0" fontId="9" fillId="2" borderId="20" xfId="2" applyFont="1" applyFill="1" applyBorder="1" applyAlignment="1">
      <alignment horizontal="center" vertical="center" wrapText="1"/>
    </xf>
    <xf numFmtId="0" fontId="2" fillId="2" borderId="23" xfId="2" applyFill="1" applyBorder="1" applyAlignment="1">
      <alignment horizontal="left" vertical="center" wrapText="1"/>
    </xf>
    <xf numFmtId="0" fontId="8" fillId="2" borderId="23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2" fillId="2" borderId="24" xfId="2" applyFill="1" applyBorder="1" applyAlignment="1">
      <alignment horizontal="left" vertical="center" wrapText="1"/>
    </xf>
    <xf numFmtId="0" fontId="8" fillId="2" borderId="24" xfId="2" applyFont="1" applyFill="1" applyBorder="1" applyAlignment="1">
      <alignment horizontal="center" vertical="center" wrapText="1"/>
    </xf>
    <xf numFmtId="0" fontId="9" fillId="2" borderId="25" xfId="2" applyFont="1" applyFill="1" applyBorder="1" applyAlignment="1">
      <alignment horizontal="center" vertical="center" wrapText="1"/>
    </xf>
    <xf numFmtId="0" fontId="2" fillId="2" borderId="24" xfId="2" applyFont="1" applyFill="1" applyBorder="1" applyAlignment="1">
      <alignment horizontal="left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2" fillId="2" borderId="24" xfId="2" applyFill="1" applyBorder="1"/>
    <xf numFmtId="0" fontId="8" fillId="2" borderId="24" xfId="2" applyFont="1" applyFill="1" applyBorder="1" applyAlignment="1">
      <alignment horizontal="center"/>
    </xf>
    <xf numFmtId="0" fontId="2" fillId="2" borderId="4" xfId="2" applyFill="1" applyBorder="1"/>
    <xf numFmtId="0" fontId="2" fillId="2" borderId="27" xfId="2" applyFill="1" applyBorder="1" applyAlignment="1">
      <alignment horizontal="left" indent="2"/>
    </xf>
    <xf numFmtId="0" fontId="2" fillId="2" borderId="27" xfId="2" applyFill="1" applyBorder="1" applyAlignment="1">
      <alignment vertical="center"/>
    </xf>
    <xf numFmtId="0" fontId="8" fillId="2" borderId="24" xfId="2" applyFont="1" applyFill="1" applyBorder="1" applyAlignment="1">
      <alignment horizontal="center" vertical="center"/>
    </xf>
    <xf numFmtId="0" fontId="2" fillId="2" borderId="4" xfId="2" applyFill="1" applyBorder="1" applyAlignment="1">
      <alignment vertical="center"/>
    </xf>
    <xf numFmtId="164" fontId="10" fillId="2" borderId="4" xfId="2" applyNumberFormat="1" applyFont="1" applyFill="1" applyBorder="1" applyAlignment="1">
      <alignment vertical="center"/>
    </xf>
    <xf numFmtId="0" fontId="2" fillId="2" borderId="24" xfId="2" applyFill="1" applyBorder="1" applyAlignment="1">
      <alignment vertical="center"/>
    </xf>
    <xf numFmtId="0" fontId="2" fillId="2" borderId="25" xfId="2" applyFill="1" applyBorder="1" applyAlignment="1">
      <alignment vertical="center"/>
    </xf>
    <xf numFmtId="0" fontId="10" fillId="2" borderId="17" xfId="2" applyFont="1" applyFill="1" applyBorder="1" applyAlignment="1">
      <alignment vertical="center"/>
    </xf>
    <xf numFmtId="0" fontId="8" fillId="2" borderId="29" xfId="2" applyFont="1" applyFill="1" applyBorder="1" applyAlignment="1">
      <alignment horizontal="center" vertical="center"/>
    </xf>
    <xf numFmtId="0" fontId="2" fillId="2" borderId="10" xfId="2" applyFill="1" applyBorder="1" applyAlignment="1">
      <alignment vertical="center"/>
    </xf>
    <xf numFmtId="2" fontId="9" fillId="2" borderId="17" xfId="2" applyNumberFormat="1" applyFont="1" applyFill="1" applyBorder="1" applyAlignment="1">
      <alignment horizontal="center" vertical="center"/>
    </xf>
    <xf numFmtId="2" fontId="9" fillId="2" borderId="30" xfId="2" applyNumberFormat="1" applyFont="1" applyFill="1" applyBorder="1" applyAlignment="1">
      <alignment horizontal="center" vertical="center"/>
    </xf>
    <xf numFmtId="0" fontId="9" fillId="2" borderId="31" xfId="2" applyFont="1" applyFill="1" applyBorder="1" applyAlignment="1">
      <alignment horizontal="center" vertical="center" wrapText="1"/>
    </xf>
    <xf numFmtId="0" fontId="7" fillId="2" borderId="32" xfId="2" applyFont="1" applyFill="1" applyBorder="1" applyAlignment="1">
      <alignment vertical="center"/>
    </xf>
    <xf numFmtId="0" fontId="8" fillId="2" borderId="19" xfId="2" applyFont="1" applyFill="1" applyBorder="1" applyAlignment="1">
      <alignment horizontal="center" vertical="center"/>
    </xf>
    <xf numFmtId="0" fontId="2" fillId="2" borderId="8" xfId="2" applyFill="1" applyBorder="1" applyAlignment="1">
      <alignment vertical="center"/>
    </xf>
    <xf numFmtId="2" fontId="5" fillId="2" borderId="21" xfId="2" applyNumberFormat="1" applyFont="1" applyFill="1" applyBorder="1" applyAlignment="1">
      <alignment horizontal="center" vertical="center"/>
    </xf>
    <xf numFmtId="0" fontId="9" fillId="2" borderId="19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vertical="center" wrapText="1"/>
    </xf>
    <xf numFmtId="0" fontId="8" fillId="2" borderId="33" xfId="2" applyFont="1" applyFill="1" applyBorder="1" applyAlignment="1">
      <alignment horizontal="center" vertical="center"/>
    </xf>
    <xf numFmtId="164" fontId="10" fillId="2" borderId="20" xfId="2" applyNumberFormat="1" applyFont="1" applyFill="1" applyBorder="1" applyAlignment="1">
      <alignment vertical="center"/>
    </xf>
    <xf numFmtId="0" fontId="2" fillId="2" borderId="27" xfId="2" applyFont="1" applyFill="1" applyBorder="1" applyAlignment="1">
      <alignment vertical="center" wrapText="1"/>
    </xf>
    <xf numFmtId="0" fontId="2" fillId="2" borderId="24" xfId="2" applyFont="1" applyFill="1" applyBorder="1" applyAlignment="1">
      <alignment horizontal="center"/>
    </xf>
    <xf numFmtId="164" fontId="2" fillId="2" borderId="7" xfId="2" applyNumberFormat="1" applyFont="1" applyFill="1" applyBorder="1"/>
    <xf numFmtId="2" fontId="2" fillId="2" borderId="26" xfId="2" applyNumberFormat="1" applyFont="1" applyFill="1" applyBorder="1" applyAlignment="1">
      <alignment horizontal="center"/>
    </xf>
    <xf numFmtId="0" fontId="2" fillId="2" borderId="27" xfId="2" applyFont="1" applyFill="1" applyBorder="1" applyAlignment="1">
      <alignment horizontal="left"/>
    </xf>
    <xf numFmtId="164" fontId="10" fillId="2" borderId="7" xfId="2" applyNumberFormat="1" applyFont="1" applyFill="1" applyBorder="1"/>
    <xf numFmtId="164" fontId="2" fillId="2" borderId="26" xfId="2" applyNumberFormat="1" applyFont="1" applyFill="1" applyBorder="1" applyAlignment="1">
      <alignment horizontal="center"/>
    </xf>
    <xf numFmtId="0" fontId="2" fillId="2" borderId="27" xfId="2" applyFont="1" applyFill="1" applyBorder="1" applyAlignment="1">
      <alignment vertical="center"/>
    </xf>
    <xf numFmtId="0" fontId="2" fillId="2" borderId="27" xfId="2" applyFont="1" applyFill="1" applyBorder="1"/>
    <xf numFmtId="164" fontId="10" fillId="2" borderId="4" xfId="2" applyNumberFormat="1" applyFont="1" applyFill="1" applyBorder="1"/>
    <xf numFmtId="2" fontId="4" fillId="2" borderId="4" xfId="2" applyNumberFormat="1" applyFont="1" applyFill="1" applyBorder="1" applyAlignment="1">
      <alignment vertical="center"/>
    </xf>
    <xf numFmtId="0" fontId="2" fillId="2" borderId="27" xfId="2" applyFont="1" applyFill="1" applyBorder="1" applyAlignment="1">
      <alignment wrapText="1"/>
    </xf>
    <xf numFmtId="2" fontId="2" fillId="2" borderId="27" xfId="2" applyNumberFormat="1" applyFont="1" applyFill="1" applyBorder="1" applyAlignment="1">
      <alignment horizontal="center"/>
    </xf>
    <xf numFmtId="0" fontId="9" fillId="2" borderId="24" xfId="2" applyFont="1" applyFill="1" applyBorder="1" applyAlignment="1">
      <alignment vertical="center"/>
    </xf>
    <xf numFmtId="0" fontId="9" fillId="2" borderId="24" xfId="2" applyFont="1" applyFill="1" applyBorder="1" applyAlignment="1">
      <alignment horizontal="center"/>
    </xf>
    <xf numFmtId="164" fontId="10" fillId="2" borderId="8" xfId="2" applyNumberFormat="1" applyFont="1" applyFill="1" applyBorder="1" applyAlignment="1">
      <alignment vertical="center"/>
    </xf>
    <xf numFmtId="0" fontId="9" fillId="2" borderId="24" xfId="2" applyFont="1" applyFill="1" applyBorder="1" applyAlignment="1">
      <alignment horizontal="center" wrapText="1"/>
    </xf>
    <xf numFmtId="0" fontId="13" fillId="2" borderId="24" xfId="2" applyFont="1" applyFill="1" applyBorder="1" applyAlignment="1">
      <alignment horizontal="center"/>
    </xf>
    <xf numFmtId="164" fontId="14" fillId="2" borderId="10" xfId="2" applyNumberFormat="1" applyFont="1" applyFill="1" applyBorder="1"/>
    <xf numFmtId="0" fontId="7" fillId="2" borderId="27" xfId="2" applyFont="1" applyFill="1" applyBorder="1" applyAlignment="1">
      <alignment horizontal="left" vertical="center" wrapText="1"/>
    </xf>
    <xf numFmtId="0" fontId="15" fillId="2" borderId="24" xfId="2" applyFont="1" applyFill="1" applyBorder="1" applyAlignment="1">
      <alignment horizontal="center"/>
    </xf>
    <xf numFmtId="164" fontId="14" fillId="2" borderId="12" xfId="2" applyNumberFormat="1" applyFont="1" applyFill="1" applyBorder="1"/>
    <xf numFmtId="0" fontId="9" fillId="2" borderId="24" xfId="2" applyFont="1" applyFill="1" applyBorder="1" applyAlignment="1">
      <alignment vertical="center" wrapText="1"/>
    </xf>
    <xf numFmtId="2" fontId="2" fillId="2" borderId="27" xfId="2" applyNumberFormat="1" applyFont="1" applyFill="1" applyBorder="1" applyAlignment="1">
      <alignment vertical="center" wrapText="1"/>
    </xf>
    <xf numFmtId="164" fontId="9" fillId="2" borderId="24" xfId="2" applyNumberFormat="1" applyFont="1" applyFill="1" applyBorder="1" applyAlignment="1">
      <alignment horizontal="center" vertical="center" wrapText="1"/>
    </xf>
    <xf numFmtId="2" fontId="2" fillId="2" borderId="34" xfId="2" applyNumberFormat="1" applyFont="1" applyFill="1" applyBorder="1" applyAlignment="1">
      <alignment vertical="center" wrapText="1"/>
    </xf>
    <xf numFmtId="0" fontId="8" fillId="2" borderId="28" xfId="2" applyFont="1" applyFill="1" applyBorder="1" applyAlignment="1">
      <alignment horizontal="center" vertical="center"/>
    </xf>
    <xf numFmtId="0" fontId="2" fillId="2" borderId="24" xfId="2" applyFont="1" applyFill="1" applyBorder="1"/>
    <xf numFmtId="0" fontId="8" fillId="2" borderId="2" xfId="2" applyFont="1" applyFill="1" applyBorder="1" applyAlignment="1">
      <alignment horizontal="center"/>
    </xf>
    <xf numFmtId="164" fontId="10" fillId="2" borderId="3" xfId="2" applyNumberFormat="1" applyFont="1" applyFill="1" applyBorder="1"/>
    <xf numFmtId="0" fontId="9" fillId="2" borderId="24" xfId="2" applyFont="1" applyFill="1" applyBorder="1" applyAlignment="1">
      <alignment horizontal="center" vertical="center"/>
    </xf>
    <xf numFmtId="0" fontId="7" fillId="2" borderId="24" xfId="2" applyFont="1" applyFill="1" applyBorder="1"/>
    <xf numFmtId="0" fontId="15" fillId="2" borderId="2" xfId="2" applyFont="1" applyFill="1" applyBorder="1" applyAlignment="1">
      <alignment horizontal="center"/>
    </xf>
    <xf numFmtId="164" fontId="14" fillId="2" borderId="3" xfId="2" applyNumberFormat="1" applyFont="1" applyFill="1" applyBorder="1"/>
    <xf numFmtId="0" fontId="2" fillId="2" borderId="24" xfId="2" applyFont="1" applyFill="1" applyBorder="1" applyAlignment="1">
      <alignment vertical="center"/>
    </xf>
    <xf numFmtId="0" fontId="7" fillId="2" borderId="24" xfId="2" applyFont="1" applyFill="1" applyBorder="1" applyAlignment="1">
      <alignment vertical="center"/>
    </xf>
    <xf numFmtId="0" fontId="15" fillId="2" borderId="2" xfId="2" applyFont="1" applyFill="1" applyBorder="1" applyAlignment="1">
      <alignment horizontal="center" vertical="center"/>
    </xf>
    <xf numFmtId="0" fontId="2" fillId="2" borderId="24" xfId="2" applyFont="1" applyFill="1" applyBorder="1" applyAlignment="1">
      <alignment wrapText="1"/>
    </xf>
    <xf numFmtId="0" fontId="2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/>
    </xf>
    <xf numFmtId="0" fontId="5" fillId="2" borderId="0" xfId="2" applyFont="1" applyFill="1"/>
    <xf numFmtId="0" fontId="2" fillId="2" borderId="26" xfId="2" applyFont="1" applyFill="1" applyBorder="1" applyAlignment="1">
      <alignment horizontal="left"/>
    </xf>
    <xf numFmtId="0" fontId="2" fillId="2" borderId="1" xfId="2" applyFont="1" applyFill="1" applyBorder="1" applyAlignment="1">
      <alignment horizontal="left"/>
    </xf>
    <xf numFmtId="0" fontId="2" fillId="2" borderId="3" xfId="2" applyFont="1" applyFill="1" applyBorder="1" applyAlignment="1">
      <alignment horizontal="left"/>
    </xf>
    <xf numFmtId="0" fontId="2" fillId="2" borderId="26" xfId="2" applyFill="1" applyBorder="1" applyAlignment="1">
      <alignment horizontal="left"/>
    </xf>
    <xf numFmtId="0" fontId="2" fillId="2" borderId="1" xfId="2" applyFill="1" applyBorder="1" applyAlignment="1">
      <alignment horizontal="left"/>
    </xf>
    <xf numFmtId="0" fontId="2" fillId="2" borderId="3" xfId="2" applyFill="1" applyBorder="1" applyAlignment="1">
      <alignment horizontal="left"/>
    </xf>
    <xf numFmtId="0" fontId="2" fillId="2" borderId="26" xfId="2" applyFill="1" applyBorder="1"/>
    <xf numFmtId="0" fontId="2" fillId="2" borderId="1" xfId="2" applyFill="1" applyBorder="1"/>
    <xf numFmtId="0" fontId="2" fillId="2" borderId="3" xfId="2" applyFill="1" applyBorder="1"/>
    <xf numFmtId="0" fontId="2" fillId="2" borderId="24" xfId="2" applyFill="1" applyBorder="1" applyAlignment="1"/>
    <xf numFmtId="0" fontId="2" fillId="2" borderId="2" xfId="2" applyFill="1" applyBorder="1" applyAlignment="1">
      <alignment horizontal="center"/>
    </xf>
    <xf numFmtId="0" fontId="12" fillId="2" borderId="24" xfId="2" applyFont="1" applyFill="1" applyBorder="1" applyAlignment="1">
      <alignment wrapText="1"/>
    </xf>
    <xf numFmtId="0" fontId="2" fillId="2" borderId="2" xfId="2" applyFill="1" applyBorder="1" applyAlignment="1">
      <alignment horizontal="center" vertical="center"/>
    </xf>
    <xf numFmtId="0" fontId="2" fillId="2" borderId="3" xfId="2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/>
    </xf>
    <xf numFmtId="0" fontId="5" fillId="2" borderId="3" xfId="2" applyFont="1" applyFill="1" applyBorder="1"/>
    <xf numFmtId="0" fontId="2" fillId="2" borderId="3" xfId="2" applyFill="1" applyBorder="1" applyAlignment="1">
      <alignment horizontal="center"/>
    </xf>
    <xf numFmtId="0" fontId="2" fillId="2" borderId="24" xfId="2" applyFill="1" applyBorder="1" applyAlignment="1">
      <alignment wrapText="1"/>
    </xf>
    <xf numFmtId="0" fontId="5" fillId="2" borderId="2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5" fillId="2" borderId="24" xfId="2" applyFont="1" applyFill="1" applyBorder="1"/>
    <xf numFmtId="0" fontId="2" fillId="2" borderId="24" xfId="2" applyFont="1" applyFill="1" applyBorder="1" applyAlignment="1">
      <alignment horizontal="center" vertical="center"/>
    </xf>
    <xf numFmtId="0" fontId="2" fillId="2" borderId="24" xfId="2" applyFont="1" applyFill="1" applyBorder="1" applyAlignment="1">
      <alignment vertical="center" wrapText="1"/>
    </xf>
    <xf numFmtId="0" fontId="8" fillId="2" borderId="2" xfId="2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center"/>
    </xf>
    <xf numFmtId="0" fontId="2" fillId="2" borderId="24" xfId="2" applyFont="1" applyFill="1" applyBorder="1" applyAlignment="1">
      <alignment horizontal="left"/>
    </xf>
    <xf numFmtId="0" fontId="2" fillId="2" borderId="3" xfId="2" applyFill="1" applyBorder="1" applyAlignment="1">
      <alignment vertical="center"/>
    </xf>
    <xf numFmtId="0" fontId="2" fillId="2" borderId="2" xfId="2" applyFill="1" applyBorder="1" applyAlignment="1">
      <alignment horizontal="center" vertical="center" wrapText="1"/>
    </xf>
    <xf numFmtId="0" fontId="2" fillId="2" borderId="24" xfId="2" applyFill="1" applyBorder="1" applyAlignment="1">
      <alignment vertical="center" wrapText="1"/>
    </xf>
    <xf numFmtId="2" fontId="2" fillId="2" borderId="24" xfId="2" applyNumberFormat="1" applyFont="1" applyFill="1" applyBorder="1" applyAlignment="1">
      <alignment wrapText="1"/>
    </xf>
    <xf numFmtId="0" fontId="8" fillId="2" borderId="36" xfId="2" applyFont="1" applyFill="1" applyBorder="1" applyAlignment="1">
      <alignment horizontal="center" vertical="center"/>
    </xf>
    <xf numFmtId="2" fontId="2" fillId="2" borderId="28" xfId="2" applyNumberFormat="1" applyFont="1" applyFill="1" applyBorder="1" applyAlignment="1">
      <alignment wrapText="1"/>
    </xf>
    <xf numFmtId="0" fontId="8" fillId="2" borderId="37" xfId="2" applyFont="1" applyFill="1" applyBorder="1" applyAlignment="1">
      <alignment horizontal="center" vertical="center"/>
    </xf>
    <xf numFmtId="0" fontId="2" fillId="2" borderId="24" xfId="2" applyFill="1" applyBorder="1" applyAlignment="1">
      <alignment horizontal="left" vertical="center"/>
    </xf>
    <xf numFmtId="0" fontId="5" fillId="2" borderId="24" xfId="2" applyFont="1" applyFill="1" applyBorder="1" applyAlignment="1">
      <alignment horizontal="left" vertical="center" wrapText="1"/>
    </xf>
    <xf numFmtId="0" fontId="5" fillId="2" borderId="28" xfId="2" applyFont="1" applyFill="1" applyBorder="1" applyAlignment="1">
      <alignment horizontal="left" vertical="center"/>
    </xf>
    <xf numFmtId="0" fontId="5" fillId="2" borderId="38" xfId="2" applyFont="1" applyFill="1" applyBorder="1" applyAlignment="1">
      <alignment horizontal="center" vertical="center" wrapText="1"/>
    </xf>
    <xf numFmtId="0" fontId="2" fillId="2" borderId="39" xfId="2" applyFill="1" applyBorder="1" applyAlignment="1">
      <alignment horizontal="center" vertical="center"/>
    </xf>
    <xf numFmtId="0" fontId="5" fillId="2" borderId="24" xfId="2" applyFont="1" applyFill="1" applyBorder="1" applyAlignment="1">
      <alignment horizontal="left" vertical="center"/>
    </xf>
    <xf numFmtId="0" fontId="5" fillId="2" borderId="2" xfId="2" applyFont="1" applyFill="1" applyBorder="1" applyAlignment="1">
      <alignment horizontal="center" vertical="center" wrapText="1"/>
    </xf>
    <xf numFmtId="2" fontId="4" fillId="2" borderId="26" xfId="2" applyNumberFormat="1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/>
    </xf>
    <xf numFmtId="0" fontId="0" fillId="2" borderId="28" xfId="0" applyFill="1" applyBorder="1" applyAlignment="1">
      <alignment vertical="center"/>
    </xf>
    <xf numFmtId="0" fontId="8" fillId="2" borderId="38" xfId="0" applyFont="1" applyFill="1" applyBorder="1" applyAlignment="1">
      <alignment horizontal="center" vertical="center"/>
    </xf>
    <xf numFmtId="0" fontId="2" fillId="2" borderId="39" xfId="2" applyFill="1" applyBorder="1"/>
    <xf numFmtId="2" fontId="2" fillId="2" borderId="35" xfId="2" applyNumberFormat="1" applyFill="1" applyBorder="1" applyAlignment="1">
      <alignment horizontal="center" vertical="center"/>
    </xf>
    <xf numFmtId="0" fontId="9" fillId="2" borderId="28" xfId="2" applyFont="1" applyFill="1" applyBorder="1" applyAlignment="1">
      <alignment horizontal="center" wrapText="1"/>
    </xf>
    <xf numFmtId="0" fontId="2" fillId="2" borderId="40" xfId="2" applyFill="1" applyBorder="1"/>
    <xf numFmtId="0" fontId="8" fillId="2" borderId="19" xfId="0" applyFont="1" applyFill="1" applyBorder="1" applyAlignment="1">
      <alignment horizontal="center" vertical="center"/>
    </xf>
    <xf numFmtId="0" fontId="2" fillId="2" borderId="41" xfId="2" applyFill="1" applyBorder="1"/>
    <xf numFmtId="2" fontId="2" fillId="2" borderId="42" xfId="2" applyNumberFormat="1" applyFill="1" applyBorder="1" applyAlignment="1">
      <alignment horizontal="center"/>
    </xf>
    <xf numFmtId="0" fontId="2" fillId="2" borderId="43" xfId="2" applyFill="1" applyBorder="1"/>
    <xf numFmtId="0" fontId="2" fillId="2" borderId="30" xfId="2" applyFill="1" applyBorder="1"/>
    <xf numFmtId="0" fontId="8" fillId="2" borderId="31" xfId="0" applyFont="1" applyFill="1" applyBorder="1" applyAlignment="1">
      <alignment horizontal="center" vertical="center"/>
    </xf>
    <xf numFmtId="0" fontId="2" fillId="2" borderId="44" xfId="2" applyFill="1" applyBorder="1"/>
    <xf numFmtId="0" fontId="2" fillId="2" borderId="46" xfId="2" applyFill="1" applyBorder="1"/>
    <xf numFmtId="0" fontId="2" fillId="2" borderId="12" xfId="2" applyFill="1" applyBorder="1"/>
    <xf numFmtId="0" fontId="2" fillId="2" borderId="47" xfId="2" applyFill="1" applyBorder="1" applyAlignment="1">
      <alignment horizontal="center"/>
    </xf>
    <xf numFmtId="0" fontId="2" fillId="2" borderId="48" xfId="2" applyFill="1" applyBorder="1" applyAlignment="1">
      <alignment horizontal="center"/>
    </xf>
    <xf numFmtId="0" fontId="2" fillId="2" borderId="8" xfId="2" applyFill="1" applyBorder="1"/>
    <xf numFmtId="2" fontId="2" fillId="2" borderId="16" xfId="2" applyNumberFormat="1" applyFill="1" applyBorder="1" applyAlignment="1">
      <alignment horizontal="center" vertical="center"/>
    </xf>
    <xf numFmtId="0" fontId="25" fillId="0" borderId="0" xfId="0" applyFont="1" applyAlignment="1">
      <alignment wrapText="1"/>
    </xf>
    <xf numFmtId="0" fontId="0" fillId="0" borderId="0" xfId="0" applyAlignment="1">
      <alignment wrapText="1"/>
    </xf>
    <xf numFmtId="0" fontId="25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2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25" fillId="0" borderId="1" xfId="0" applyFont="1" applyBorder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/>
    <xf numFmtId="0" fontId="19" fillId="2" borderId="11" xfId="2" applyFont="1" applyFill="1" applyBorder="1" applyAlignment="1">
      <alignment horizontal="left" wrapText="1"/>
    </xf>
    <xf numFmtId="0" fontId="19" fillId="2" borderId="49" xfId="2" applyFont="1" applyFill="1" applyBorder="1" applyAlignment="1">
      <alignment horizontal="left" wrapText="1"/>
    </xf>
    <xf numFmtId="0" fontId="2" fillId="2" borderId="12" xfId="2" applyFill="1" applyBorder="1" applyAlignment="1">
      <alignment horizontal="center" vertical="center"/>
    </xf>
    <xf numFmtId="0" fontId="2" fillId="2" borderId="8" xfId="2" applyFill="1" applyBorder="1" applyAlignment="1">
      <alignment horizontal="center" vertical="center"/>
    </xf>
    <xf numFmtId="0" fontId="9" fillId="2" borderId="28" xfId="2" applyFont="1" applyFill="1" applyBorder="1" applyAlignment="1">
      <alignment horizontal="center" vertical="center" wrapText="1"/>
    </xf>
    <xf numFmtId="0" fontId="9" fillId="2" borderId="13" xfId="2" applyFont="1" applyFill="1" applyBorder="1" applyAlignment="1">
      <alignment horizontal="center" vertical="center" wrapText="1"/>
    </xf>
    <xf numFmtId="0" fontId="9" fillId="2" borderId="23" xfId="2" applyFont="1" applyFill="1" applyBorder="1" applyAlignment="1">
      <alignment horizontal="center" vertical="center" wrapText="1"/>
    </xf>
    <xf numFmtId="0" fontId="2" fillId="2" borderId="34" xfId="2" applyFont="1" applyFill="1" applyBorder="1" applyAlignment="1">
      <alignment horizontal="center" vertical="center"/>
    </xf>
    <xf numFmtId="0" fontId="2" fillId="2" borderId="25" xfId="2" applyFont="1" applyFill="1" applyBorder="1" applyAlignment="1">
      <alignment horizontal="center" vertical="center"/>
    </xf>
    <xf numFmtId="0" fontId="2" fillId="2" borderId="22" xfId="2" applyFont="1" applyFill="1" applyBorder="1" applyAlignment="1">
      <alignment horizontal="center" vertical="center"/>
    </xf>
    <xf numFmtId="0" fontId="2" fillId="2" borderId="7" xfId="2" applyFont="1" applyFill="1" applyBorder="1" applyAlignment="1">
      <alignment horizontal="center" vertical="center"/>
    </xf>
    <xf numFmtId="0" fontId="2" fillId="2" borderId="35" xfId="2" applyFont="1" applyFill="1" applyBorder="1" applyAlignment="1">
      <alignment horizontal="center" vertical="center" wrapText="1"/>
    </xf>
    <xf numFmtId="0" fontId="2" fillId="2" borderId="21" xfId="2" applyFont="1" applyFill="1" applyBorder="1" applyAlignment="1">
      <alignment horizontal="center" vertical="center" wrapText="1"/>
    </xf>
    <xf numFmtId="0" fontId="9" fillId="2" borderId="28" xfId="2" applyFont="1" applyFill="1" applyBorder="1" applyAlignment="1">
      <alignment horizontal="center" vertical="center"/>
    </xf>
    <xf numFmtId="0" fontId="9" fillId="2" borderId="13" xfId="2" applyFont="1" applyFill="1" applyBorder="1" applyAlignment="1">
      <alignment horizontal="center" vertical="center"/>
    </xf>
    <xf numFmtId="0" fontId="9" fillId="2" borderId="23" xfId="2" applyFont="1" applyFill="1" applyBorder="1" applyAlignment="1">
      <alignment horizontal="center" vertical="center"/>
    </xf>
    <xf numFmtId="2" fontId="2" fillId="2" borderId="45" xfId="2" applyNumberFormat="1" applyFill="1" applyBorder="1" applyAlignment="1">
      <alignment horizontal="center"/>
    </xf>
    <xf numFmtId="0" fontId="9" fillId="2" borderId="19" xfId="2" applyFont="1" applyFill="1" applyBorder="1" applyAlignment="1">
      <alignment horizontal="center" vertical="center" wrapText="1"/>
    </xf>
    <xf numFmtId="0" fontId="9" fillId="2" borderId="24" xfId="2" applyFont="1" applyFill="1" applyBorder="1" applyAlignment="1">
      <alignment horizontal="center" vertical="center" wrapText="1"/>
    </xf>
    <xf numFmtId="0" fontId="7" fillId="2" borderId="14" xfId="2" applyFont="1" applyFill="1" applyBorder="1" applyAlignment="1">
      <alignment horizontal="center" vertical="center" wrapText="1"/>
    </xf>
    <xf numFmtId="0" fontId="7" fillId="2" borderId="17" xfId="2" applyFont="1" applyFill="1" applyBorder="1" applyAlignment="1">
      <alignment horizontal="center" vertical="center" wrapText="1"/>
    </xf>
    <xf numFmtId="0" fontId="7" fillId="2" borderId="9" xfId="2" applyFont="1" applyFill="1" applyBorder="1" applyAlignment="1">
      <alignment horizontal="center" vertical="center" wrapText="1"/>
    </xf>
    <xf numFmtId="0" fontId="7" fillId="2" borderId="16" xfId="2" applyFont="1" applyFill="1" applyBorder="1" applyAlignment="1">
      <alignment horizontal="center" vertical="center" wrapText="1"/>
    </xf>
    <xf numFmtId="0" fontId="29" fillId="2" borderId="0" xfId="2" applyFont="1" applyFill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2" fillId="2" borderId="9" xfId="2" applyFill="1" applyBorder="1" applyAlignment="1">
      <alignment horizontal="center" vertical="center" wrapText="1"/>
    </xf>
    <xf numFmtId="0" fontId="2" fillId="2" borderId="13" xfId="2" applyFill="1" applyBorder="1" applyAlignment="1">
      <alignment horizontal="center" vertical="center" wrapText="1"/>
    </xf>
    <xf numFmtId="0" fontId="2" fillId="2" borderId="16" xfId="2" applyFill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13" xfId="2" applyFont="1" applyFill="1" applyBorder="1" applyAlignment="1">
      <alignment horizontal="center" vertical="center" wrapText="1"/>
    </xf>
    <xf numFmtId="0" fontId="4" fillId="2" borderId="16" xfId="2" applyFont="1" applyFill="1" applyBorder="1" applyAlignment="1">
      <alignment horizontal="center" vertical="center" wrapText="1"/>
    </xf>
    <xf numFmtId="0" fontId="6" fillId="2" borderId="11" xfId="2" applyFont="1" applyFill="1" applyBorder="1" applyAlignment="1">
      <alignment horizontal="center" vertical="center" wrapText="1"/>
    </xf>
    <xf numFmtId="0" fontId="6" fillId="2" borderId="12" xfId="2" applyFont="1" applyFill="1" applyBorder="1" applyAlignment="1">
      <alignment horizontal="center" vertical="center" wrapText="1"/>
    </xf>
    <xf numFmtId="0" fontId="2" fillId="2" borderId="9" xfId="2" applyFill="1" applyBorder="1" applyAlignment="1">
      <alignment horizontal="center" vertical="center"/>
    </xf>
    <xf numFmtId="0" fontId="2" fillId="2" borderId="15" xfId="2" applyFill="1" applyBorder="1" applyAlignment="1">
      <alignment horizontal="center" vertical="center"/>
    </xf>
    <xf numFmtId="0" fontId="2" fillId="2" borderId="18" xfId="2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2" fillId="0" borderId="0" xfId="0" applyFont="1" applyBorder="1" applyAlignment="1">
      <alignment horizontal="center" wrapText="1"/>
    </xf>
    <xf numFmtId="0" fontId="23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s1/all/Vorobyova%20G%20V/&#1087;&#1088;&#1086;&#1077;&#1082;&#1090;%202019/1%20&#1095;&#1090;&#1077;&#1085;&#1080;&#1077;/&#1052;&#1080;&#1085;&#1090;&#1088;&#1072;&#1085;&#1089;/&#1054;&#1073;&#1086;&#1089;&#1085;&#1086;&#1074;&#1072;&#1085;&#1080;&#1077;%20&#1073;&#1102;&#1076;&#1078;&#1077;&#1090;&#1085;&#1099;&#1093;%20&#1089;&#1088;&#1077;&#1076;&#1089;&#1090;&#1074;%20&#1085;&#1072;%202019%20&#1075;&#1086;&#1076;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5;&#1086;&#1087;&#1086;&#1074;%20&#1070;\&#1053;&#1072;%20&#1082;&#1086;&#1083;&#1083;&#1077;&#1075;&#1080;&#1102;%20&#1040;&#1056;&#1061;&#1040;&#1053;&#1043;&#1045;&#1051;&#1068;&#1057;&#1050;\&#1054;&#1054;&#1054;%20&#1040;&#1074;&#1090;&#1086;&#1082;&#1086;&#1083;&#1086;&#1085;&#1085;&#1072;%20&#8470;%204\&#1056;&#1072;&#1089;&#1095;&#1077;&#1090;%20&#1090;&#1072;&#1088;&#1080;&#1092;&#1072;%20&#1087;&#1086;%20%20&#1040;&#1088;&#1093;&#1090;&#1088;&#1072;&#1085;&#1089;&#1072;&#1074;&#1090;&#1086;%202016%20&#1085;&#1072;%20%2016%2002%202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VOD"/>
      <sheetName val="зарплата"/>
      <sheetName val="Топливо"/>
      <sheetName val="Износ шин"/>
      <sheetName val="расходы на тех обсл. и ремонт"/>
      <sheetName val="запасные части"/>
      <sheetName val="амортизация"/>
      <sheetName val="Прочие и косвенные расходы"/>
      <sheetName val="Расчет общей себестоимотси "/>
      <sheetName val="Рентаб."/>
      <sheetName val="Расчет тарифов"/>
      <sheetName val="Лист4"/>
    </sheetNames>
    <sheetDataSet>
      <sheetData sheetId="0" refreshError="1">
        <row r="122">
          <cell r="D122">
            <v>2945.4759439821564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СВОД"/>
      <sheetName val="КИВА"/>
      <sheetName val="Зарплата "/>
      <sheetName val="Расчетные пок."/>
      <sheetName val="амортизация 2014 год"/>
      <sheetName val="Топл"/>
      <sheetName val="Смазка, масла"/>
      <sheetName val="Авторезина"/>
      <sheetName val="Общехоз"/>
      <sheetName val="Не оригинал Свод"/>
    </sheetNames>
    <sheetDataSet>
      <sheetData sheetId="0"/>
      <sheetData sheetId="1"/>
      <sheetData sheetId="2">
        <row r="59">
          <cell r="C59">
            <v>36</v>
          </cell>
          <cell r="D59">
            <v>27600</v>
          </cell>
        </row>
        <row r="60">
          <cell r="C60">
            <v>39</v>
          </cell>
          <cell r="D60">
            <v>16500</v>
          </cell>
        </row>
      </sheetData>
      <sheetData sheetId="3">
        <row r="13">
          <cell r="F13">
            <v>0.31124195812146926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14"/>
  <sheetViews>
    <sheetView tabSelected="1" view="pageBreakPreview" zoomScale="60" zoomScaleNormal="100" workbookViewId="0">
      <selection activeCell="F11" sqref="F11:G11"/>
    </sheetView>
  </sheetViews>
  <sheetFormatPr defaultColWidth="8.85546875" defaultRowHeight="23.25"/>
  <cols>
    <col min="1" max="1" width="8.85546875" style="39"/>
    <col min="2" max="2" width="71.140625" style="39" customWidth="1"/>
    <col min="3" max="5" width="13.42578125" style="39" bestFit="1" customWidth="1"/>
    <col min="6" max="6" width="47.28515625" style="39" customWidth="1"/>
    <col min="7" max="16384" width="8.85546875" style="39"/>
  </cols>
  <sheetData>
    <row r="1" spans="2:13">
      <c r="F1" s="39" t="s">
        <v>229</v>
      </c>
    </row>
    <row r="2" spans="2:13">
      <c r="F2" s="39" t="s">
        <v>230</v>
      </c>
    </row>
    <row r="4" spans="2:13" ht="56.25" customHeight="1"/>
    <row r="5" spans="2:13" ht="56.25" customHeight="1">
      <c r="B5" s="203" t="s">
        <v>226</v>
      </c>
      <c r="C5" s="203"/>
      <c r="D5" s="203"/>
      <c r="E5" s="203"/>
      <c r="F5" s="203"/>
      <c r="G5" s="204"/>
    </row>
    <row r="6" spans="2:13" ht="36.6" customHeight="1">
      <c r="F6" s="40" t="s">
        <v>29</v>
      </c>
    </row>
    <row r="7" spans="2:13">
      <c r="B7" s="196" t="s">
        <v>24</v>
      </c>
      <c r="C7" s="202" t="s">
        <v>25</v>
      </c>
      <c r="D7" s="202"/>
      <c r="E7" s="202"/>
      <c r="F7" s="196" t="s">
        <v>27</v>
      </c>
      <c r="G7" s="197"/>
    </row>
    <row r="8" spans="2:13">
      <c r="B8" s="196"/>
      <c r="C8" s="41">
        <v>2019</v>
      </c>
      <c r="D8" s="41">
        <v>2020</v>
      </c>
      <c r="E8" s="41">
        <v>2021</v>
      </c>
      <c r="F8" s="196"/>
      <c r="G8" s="197"/>
    </row>
    <row r="9" spans="2:13" ht="46.5">
      <c r="B9" s="44" t="s">
        <v>26</v>
      </c>
      <c r="C9" s="50">
        <f>'Табл 1'!D39/1000</f>
        <v>1074.5156917056918</v>
      </c>
      <c r="D9" s="50">
        <f>'Табл 1'!E39/1000</f>
        <v>1159.094771705692</v>
      </c>
      <c r="E9" s="50">
        <f>'Табл 1'!F39/1000</f>
        <v>1114.6504817056921</v>
      </c>
      <c r="F9" s="198" t="s">
        <v>231</v>
      </c>
      <c r="G9" s="199"/>
    </row>
    <row r="10" spans="2:13" ht="46.5">
      <c r="B10" s="44" t="s">
        <v>28</v>
      </c>
      <c r="C10" s="50">
        <f>[1]CVOD!$D$122</f>
        <v>2945.4759439821564</v>
      </c>
      <c r="D10" s="50">
        <f>1379.9-D9</f>
        <v>220.80522829430811</v>
      </c>
      <c r="E10" s="50">
        <f>1379.9-E9</f>
        <v>265.24951829430802</v>
      </c>
      <c r="F10" s="198" t="s">
        <v>232</v>
      </c>
      <c r="G10" s="199"/>
    </row>
    <row r="11" spans="2:13">
      <c r="B11" s="44" t="s">
        <v>224</v>
      </c>
      <c r="C11" s="50">
        <f>C9+C10+0.01</f>
        <v>4020.0016356878486</v>
      </c>
      <c r="D11" s="50">
        <f t="shared" ref="D11:E11" si="0">D9+D10</f>
        <v>1379.9</v>
      </c>
      <c r="E11" s="50">
        <f t="shared" si="0"/>
        <v>1379.9</v>
      </c>
      <c r="F11" s="200"/>
      <c r="G11" s="201"/>
    </row>
    <row r="12" spans="2:13" ht="66.599999999999994" customHeight="1">
      <c r="C12" s="42"/>
      <c r="D12" s="42"/>
      <c r="E12" s="42"/>
      <c r="H12" s="43"/>
      <c r="I12" s="43"/>
      <c r="J12" s="43"/>
      <c r="K12" s="43"/>
      <c r="L12" s="43"/>
      <c r="M12" s="43"/>
    </row>
    <row r="13" spans="2:13" ht="77.25" customHeight="1">
      <c r="B13" s="194" t="s">
        <v>225</v>
      </c>
      <c r="C13" s="195"/>
      <c r="D13" s="195"/>
      <c r="E13" s="195"/>
      <c r="F13" s="195"/>
      <c r="G13" s="43"/>
    </row>
    <row r="14" spans="2:13">
      <c r="B14" s="194"/>
      <c r="C14" s="195"/>
      <c r="D14" s="195"/>
      <c r="E14" s="195"/>
      <c r="F14" s="195"/>
    </row>
  </sheetData>
  <mergeCells count="9">
    <mergeCell ref="B5:G5"/>
    <mergeCell ref="B14:F14"/>
    <mergeCell ref="F7:G8"/>
    <mergeCell ref="F9:G9"/>
    <mergeCell ref="F10:G10"/>
    <mergeCell ref="F11:G11"/>
    <mergeCell ref="C7:E7"/>
    <mergeCell ref="B7:B8"/>
    <mergeCell ref="B13:F13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9"/>
  <sheetViews>
    <sheetView zoomScale="70" zoomScaleNormal="70" workbookViewId="0">
      <selection activeCell="A2" sqref="A2:L2"/>
    </sheetView>
  </sheetViews>
  <sheetFormatPr defaultColWidth="8.85546875" defaultRowHeight="15"/>
  <cols>
    <col min="1" max="1" width="7.7109375" style="29" customWidth="1"/>
    <col min="2" max="2" width="43.28515625" style="29" customWidth="1"/>
    <col min="3" max="12" width="18.7109375" style="29" customWidth="1"/>
    <col min="13" max="16384" width="8.85546875" style="29"/>
  </cols>
  <sheetData>
    <row r="1" spans="1:13" ht="26.45" customHeight="1">
      <c r="L1" s="48" t="s">
        <v>234</v>
      </c>
    </row>
    <row r="2" spans="1:13" ht="26.45" customHeight="1">
      <c r="L2" s="48"/>
    </row>
    <row r="3" spans="1:13" ht="39" customHeight="1">
      <c r="A3" s="245" t="s">
        <v>233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</row>
    <row r="4" spans="1:13" ht="18.75">
      <c r="A4" s="30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2"/>
    </row>
    <row r="5" spans="1:13" ht="25.9" customHeight="1">
      <c r="A5" s="243"/>
      <c r="B5" s="244"/>
      <c r="C5" s="246" t="s">
        <v>18</v>
      </c>
      <c r="D5" s="247"/>
      <c r="E5" s="247"/>
      <c r="F5" s="247"/>
      <c r="G5" s="247"/>
      <c r="H5" s="247"/>
      <c r="I5" s="247"/>
      <c r="J5" s="247"/>
      <c r="K5" s="248"/>
      <c r="L5" s="33"/>
    </row>
    <row r="6" spans="1:13" ht="69" customHeight="1">
      <c r="A6" s="34" t="s">
        <v>0</v>
      </c>
      <c r="B6" s="49" t="s">
        <v>17</v>
      </c>
      <c r="C6" s="38" t="s">
        <v>20</v>
      </c>
      <c r="D6" s="38" t="s">
        <v>21</v>
      </c>
      <c r="E6" s="38" t="s">
        <v>22</v>
      </c>
      <c r="F6" s="38" t="s">
        <v>23</v>
      </c>
      <c r="G6" s="38">
        <v>2022</v>
      </c>
      <c r="H6" s="38">
        <v>2023</v>
      </c>
      <c r="I6" s="38">
        <v>2024</v>
      </c>
      <c r="J6" s="38">
        <v>2025</v>
      </c>
      <c r="K6" s="38">
        <v>2026</v>
      </c>
      <c r="L6" s="38" t="s">
        <v>19</v>
      </c>
    </row>
    <row r="7" spans="1:13" ht="21.6" customHeight="1">
      <c r="A7" s="35">
        <v>1</v>
      </c>
      <c r="B7" s="36">
        <v>104</v>
      </c>
      <c r="C7" s="45">
        <v>0</v>
      </c>
      <c r="D7" s="45">
        <v>0</v>
      </c>
      <c r="E7" s="45">
        <v>0</v>
      </c>
      <c r="F7" s="45">
        <v>0</v>
      </c>
      <c r="G7" s="45">
        <v>0</v>
      </c>
      <c r="H7" s="45"/>
      <c r="I7" s="45"/>
      <c r="J7" s="45"/>
      <c r="K7" s="45"/>
      <c r="L7" s="45">
        <f t="shared" ref="L7:L38" si="0">SUM(C7:K7)</f>
        <v>0</v>
      </c>
    </row>
    <row r="8" spans="1:13" ht="21.6" customHeight="1">
      <c r="A8" s="35">
        <v>2</v>
      </c>
      <c r="B8" s="37" t="s">
        <v>215</v>
      </c>
      <c r="C8" s="45">
        <v>11002.94</v>
      </c>
      <c r="D8" s="45">
        <v>8712.7999999999993</v>
      </c>
      <c r="E8" s="45">
        <v>5769.21</v>
      </c>
      <c r="F8" s="45">
        <v>8712.7999999999993</v>
      </c>
      <c r="G8" s="45"/>
      <c r="H8" s="45"/>
      <c r="I8" s="45"/>
      <c r="J8" s="45"/>
      <c r="K8" s="45"/>
      <c r="L8" s="45">
        <f t="shared" si="0"/>
        <v>34197.75</v>
      </c>
    </row>
    <row r="9" spans="1:13" ht="21.6" customHeight="1">
      <c r="A9" s="35">
        <v>3</v>
      </c>
      <c r="B9" s="36">
        <v>516</v>
      </c>
      <c r="C9" s="45">
        <v>0</v>
      </c>
      <c r="D9" s="45">
        <v>0</v>
      </c>
      <c r="E9" s="45">
        <v>0</v>
      </c>
      <c r="F9" s="45">
        <v>9002.8799999999992</v>
      </c>
      <c r="G9" s="45"/>
      <c r="H9" s="45"/>
      <c r="I9" s="45"/>
      <c r="J9" s="45"/>
      <c r="K9" s="45"/>
      <c r="L9" s="45">
        <f t="shared" si="0"/>
        <v>9002.8799999999992</v>
      </c>
    </row>
    <row r="10" spans="1:13" ht="21.6" customHeight="1">
      <c r="A10" s="35">
        <v>4</v>
      </c>
      <c r="B10" s="36">
        <v>509</v>
      </c>
      <c r="C10" s="45">
        <v>0</v>
      </c>
      <c r="D10" s="45">
        <v>0</v>
      </c>
      <c r="E10" s="45">
        <v>0</v>
      </c>
      <c r="F10" s="45">
        <v>32630.400000000001</v>
      </c>
      <c r="G10" s="45"/>
      <c r="H10" s="45"/>
      <c r="I10" s="45"/>
      <c r="J10" s="45"/>
      <c r="K10" s="45"/>
      <c r="L10" s="45">
        <f t="shared" si="0"/>
        <v>32630.400000000001</v>
      </c>
    </row>
    <row r="11" spans="1:13" ht="21.6" customHeight="1">
      <c r="A11" s="35">
        <v>5</v>
      </c>
      <c r="B11" s="37" t="s">
        <v>216</v>
      </c>
      <c r="C11" s="45">
        <v>0</v>
      </c>
      <c r="D11" s="45">
        <v>0</v>
      </c>
      <c r="E11" s="45">
        <v>0</v>
      </c>
      <c r="F11" s="45">
        <v>0</v>
      </c>
      <c r="G11" s="45">
        <v>0</v>
      </c>
      <c r="H11" s="45"/>
      <c r="I11" s="45"/>
      <c r="J11" s="45"/>
      <c r="K11" s="45"/>
      <c r="L11" s="45">
        <f t="shared" si="0"/>
        <v>0</v>
      </c>
    </row>
    <row r="12" spans="1:13" ht="21.6" customHeight="1">
      <c r="A12" s="35">
        <v>6</v>
      </c>
      <c r="B12" s="37" t="s">
        <v>217</v>
      </c>
      <c r="C12" s="45">
        <v>18921.98</v>
      </c>
      <c r="D12" s="45">
        <v>16245.42</v>
      </c>
      <c r="E12" s="45">
        <v>16245.42</v>
      </c>
      <c r="F12" s="45">
        <v>16245.42</v>
      </c>
      <c r="G12" s="45">
        <v>45491.11</v>
      </c>
      <c r="H12" s="45"/>
      <c r="I12" s="45"/>
      <c r="J12" s="45"/>
      <c r="K12" s="45"/>
      <c r="L12" s="45">
        <f t="shared" si="0"/>
        <v>113149.35</v>
      </c>
    </row>
    <row r="13" spans="1:13" ht="21.6" customHeight="1">
      <c r="A13" s="35">
        <v>7</v>
      </c>
      <c r="B13" s="37" t="s">
        <v>218</v>
      </c>
      <c r="C13" s="45">
        <v>55802.8</v>
      </c>
      <c r="D13" s="45">
        <v>48066.12</v>
      </c>
      <c r="E13" s="45">
        <v>48066.12</v>
      </c>
      <c r="F13" s="45">
        <v>48066.12</v>
      </c>
      <c r="G13" s="45">
        <v>37926.14</v>
      </c>
      <c r="H13" s="45"/>
      <c r="I13" s="45"/>
      <c r="J13" s="45"/>
      <c r="K13" s="45"/>
      <c r="L13" s="45">
        <f t="shared" si="0"/>
        <v>237927.3</v>
      </c>
    </row>
    <row r="14" spans="1:13" ht="21.6" customHeight="1">
      <c r="A14" s="35">
        <v>8</v>
      </c>
      <c r="B14" s="37" t="s">
        <v>219</v>
      </c>
      <c r="C14" s="45">
        <v>159771.51999999999</v>
      </c>
      <c r="D14" s="45">
        <v>142113.24</v>
      </c>
      <c r="E14" s="45">
        <v>142113.24</v>
      </c>
      <c r="F14" s="45">
        <v>142113.24</v>
      </c>
      <c r="G14" s="45">
        <v>398733.51</v>
      </c>
      <c r="H14" s="45"/>
      <c r="I14" s="45"/>
      <c r="J14" s="45"/>
      <c r="K14" s="45"/>
      <c r="L14" s="45">
        <f t="shared" si="0"/>
        <v>984844.75</v>
      </c>
    </row>
    <row r="15" spans="1:13" ht="21.6" customHeight="1">
      <c r="A15" s="35">
        <v>9</v>
      </c>
      <c r="B15" s="37" t="s">
        <v>1</v>
      </c>
      <c r="C15" s="45">
        <v>3166.56</v>
      </c>
      <c r="D15" s="45">
        <v>2727.55</v>
      </c>
      <c r="E15" s="45">
        <v>2727.55</v>
      </c>
      <c r="F15" s="45">
        <v>2727.55</v>
      </c>
      <c r="G15" s="45">
        <v>2152.16</v>
      </c>
      <c r="H15" s="45"/>
      <c r="I15" s="45"/>
      <c r="J15" s="45"/>
      <c r="K15" s="45"/>
      <c r="L15" s="45">
        <f t="shared" si="0"/>
        <v>13501.369999999999</v>
      </c>
    </row>
    <row r="16" spans="1:13" ht="21.6" customHeight="1">
      <c r="A16" s="35">
        <v>10</v>
      </c>
      <c r="B16" s="37" t="s">
        <v>2</v>
      </c>
      <c r="C16" s="45">
        <v>110893.59</v>
      </c>
      <c r="D16" s="45">
        <v>129019.32</v>
      </c>
      <c r="E16" s="45">
        <v>129019.32</v>
      </c>
      <c r="F16" s="45">
        <v>129019.32</v>
      </c>
      <c r="G16" s="45">
        <v>360026.93</v>
      </c>
      <c r="H16" s="45"/>
      <c r="I16" s="45"/>
      <c r="J16" s="45"/>
      <c r="K16" s="45"/>
      <c r="L16" s="45">
        <f t="shared" si="0"/>
        <v>857978.48</v>
      </c>
    </row>
    <row r="17" spans="1:12" ht="21.6" customHeight="1">
      <c r="A17" s="35">
        <v>11</v>
      </c>
      <c r="B17" s="37" t="s">
        <v>220</v>
      </c>
      <c r="C17" s="45">
        <v>0</v>
      </c>
      <c r="D17" s="45">
        <v>0</v>
      </c>
      <c r="E17" s="45">
        <v>0</v>
      </c>
      <c r="F17" s="45">
        <v>0</v>
      </c>
      <c r="G17" s="45">
        <v>0</v>
      </c>
      <c r="H17" s="45">
        <v>0</v>
      </c>
      <c r="I17" s="45"/>
      <c r="J17" s="45"/>
      <c r="K17" s="45"/>
      <c r="L17" s="45">
        <f t="shared" si="0"/>
        <v>0</v>
      </c>
    </row>
    <row r="18" spans="1:12" ht="21.6" customHeight="1">
      <c r="A18" s="35">
        <v>12</v>
      </c>
      <c r="B18" s="36">
        <v>850</v>
      </c>
      <c r="C18" s="45">
        <v>0</v>
      </c>
      <c r="D18" s="45">
        <v>0</v>
      </c>
      <c r="E18" s="45">
        <v>0</v>
      </c>
      <c r="F18" s="45">
        <v>328.22</v>
      </c>
      <c r="G18" s="45"/>
      <c r="H18" s="45"/>
      <c r="I18" s="45"/>
      <c r="J18" s="45"/>
      <c r="K18" s="45"/>
      <c r="L18" s="45">
        <f t="shared" si="0"/>
        <v>328.22</v>
      </c>
    </row>
    <row r="19" spans="1:12" ht="21.6" customHeight="1">
      <c r="A19" s="35">
        <v>13</v>
      </c>
      <c r="B19" s="36" t="s">
        <v>4</v>
      </c>
      <c r="C19" s="45">
        <v>63995.21</v>
      </c>
      <c r="D19" s="45">
        <v>82247.360000000001</v>
      </c>
      <c r="E19" s="45">
        <v>82247.360000000001</v>
      </c>
      <c r="F19" s="45">
        <v>18252.150000000001</v>
      </c>
      <c r="G19" s="45"/>
      <c r="H19" s="45"/>
      <c r="I19" s="45"/>
      <c r="J19" s="45"/>
      <c r="K19" s="45"/>
      <c r="L19" s="45">
        <f t="shared" si="0"/>
        <v>246742.08</v>
      </c>
    </row>
    <row r="20" spans="1:12" ht="21.6" customHeight="1">
      <c r="A20" s="35">
        <v>14</v>
      </c>
      <c r="B20" s="36" t="s">
        <v>5</v>
      </c>
      <c r="C20" s="45">
        <v>21347.511637161941</v>
      </c>
      <c r="D20" s="45">
        <v>35840.855158111073</v>
      </c>
      <c r="E20" s="45">
        <v>35840.855158111073</v>
      </c>
      <c r="F20" s="45">
        <v>35840.855158111073</v>
      </c>
      <c r="G20" s="45">
        <v>35840.855158111073</v>
      </c>
      <c r="H20" s="45">
        <v>35840.855158111073</v>
      </c>
      <c r="I20" s="45">
        <v>35840.855158111073</v>
      </c>
      <c r="J20" s="45">
        <v>14446.47741417161</v>
      </c>
      <c r="K20" s="45"/>
      <c r="L20" s="45">
        <f t="shared" si="0"/>
        <v>250839.12000000002</v>
      </c>
    </row>
    <row r="21" spans="1:12" ht="21.6" customHeight="1">
      <c r="A21" s="35">
        <v>15</v>
      </c>
      <c r="B21" s="36" t="s">
        <v>6</v>
      </c>
      <c r="C21" s="45">
        <v>1663.6310718166551</v>
      </c>
      <c r="D21" s="45">
        <v>3067.6670097797096</v>
      </c>
      <c r="E21" s="45">
        <v>3067.6670097797096</v>
      </c>
      <c r="F21" s="45">
        <v>3067.6670097797096</v>
      </c>
      <c r="G21" s="45">
        <v>3067.6670097797096</v>
      </c>
      <c r="H21" s="45">
        <v>1403.5308890645065</v>
      </c>
      <c r="I21" s="45"/>
      <c r="J21" s="45"/>
      <c r="K21" s="45"/>
      <c r="L21" s="45">
        <f t="shared" si="0"/>
        <v>15337.830000000002</v>
      </c>
    </row>
    <row r="22" spans="1:12" ht="21.6" customHeight="1">
      <c r="A22" s="35">
        <v>16</v>
      </c>
      <c r="B22" s="36" t="s">
        <v>7</v>
      </c>
      <c r="C22" s="45">
        <v>145.77106635853417</v>
      </c>
      <c r="D22" s="45">
        <v>234.93953780125455</v>
      </c>
      <c r="E22" s="45">
        <v>234.93953780125455</v>
      </c>
      <c r="F22" s="45">
        <v>234.93953780125455</v>
      </c>
      <c r="G22" s="45">
        <v>234.93953780125455</v>
      </c>
      <c r="H22" s="45">
        <v>88.780782436447666</v>
      </c>
      <c r="I22" s="45"/>
      <c r="J22" s="45"/>
      <c r="K22" s="45"/>
      <c r="L22" s="45">
        <f t="shared" si="0"/>
        <v>1174.31</v>
      </c>
    </row>
    <row r="23" spans="1:12" ht="21.6" customHeight="1">
      <c r="A23" s="35">
        <v>17</v>
      </c>
      <c r="B23" s="36" t="s">
        <v>8</v>
      </c>
      <c r="C23" s="45">
        <v>0</v>
      </c>
      <c r="D23" s="45">
        <v>0</v>
      </c>
      <c r="E23" s="45">
        <v>0</v>
      </c>
      <c r="F23" s="45">
        <v>0</v>
      </c>
      <c r="G23" s="45"/>
      <c r="H23" s="45"/>
      <c r="I23" s="45"/>
      <c r="J23" s="45"/>
      <c r="K23" s="45"/>
      <c r="L23" s="45">
        <f t="shared" si="0"/>
        <v>0</v>
      </c>
    </row>
    <row r="24" spans="1:12" ht="21.6" customHeight="1">
      <c r="A24" s="35">
        <v>18</v>
      </c>
      <c r="B24" s="36" t="s">
        <v>9</v>
      </c>
      <c r="C24" s="45">
        <v>0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/>
      <c r="J24" s="45"/>
      <c r="K24" s="45"/>
      <c r="L24" s="45">
        <f t="shared" si="0"/>
        <v>0</v>
      </c>
    </row>
    <row r="25" spans="1:12" ht="21.6" customHeight="1">
      <c r="A25" s="35">
        <v>19</v>
      </c>
      <c r="B25" s="36" t="s">
        <v>10</v>
      </c>
      <c r="C25" s="45">
        <v>258.05</v>
      </c>
      <c r="D25" s="45">
        <v>663.3</v>
      </c>
      <c r="E25" s="45">
        <v>663.3</v>
      </c>
      <c r="F25" s="45">
        <v>663.3</v>
      </c>
      <c r="G25" s="45">
        <v>663.3</v>
      </c>
      <c r="H25" s="45">
        <v>405.25</v>
      </c>
      <c r="I25" s="45"/>
      <c r="J25" s="45"/>
      <c r="K25" s="45"/>
      <c r="L25" s="45">
        <f t="shared" si="0"/>
        <v>3316.5</v>
      </c>
    </row>
    <row r="26" spans="1:12" ht="21.6" customHeight="1">
      <c r="A26" s="35">
        <v>20</v>
      </c>
      <c r="B26" s="36" t="s">
        <v>11</v>
      </c>
      <c r="C26" s="45">
        <v>495.43</v>
      </c>
      <c r="D26" s="45">
        <v>5833.35</v>
      </c>
      <c r="E26" s="45">
        <v>5833.35</v>
      </c>
      <c r="F26" s="45">
        <v>5833.35</v>
      </c>
      <c r="G26" s="45">
        <v>5833.35</v>
      </c>
      <c r="H26" s="45">
        <v>5337.92</v>
      </c>
      <c r="I26" s="45"/>
      <c r="J26" s="45"/>
      <c r="K26" s="45"/>
      <c r="L26" s="45">
        <f t="shared" si="0"/>
        <v>29166.75</v>
      </c>
    </row>
    <row r="27" spans="1:12" ht="21.6" customHeight="1">
      <c r="A27" s="35">
        <v>21</v>
      </c>
      <c r="B27" s="36" t="s">
        <v>12</v>
      </c>
      <c r="C27" s="45">
        <v>74.430000000000007</v>
      </c>
      <c r="D27" s="45">
        <v>1181.1600000000001</v>
      </c>
      <c r="E27" s="45">
        <v>1181.1600000000001</v>
      </c>
      <c r="F27" s="45">
        <v>1181.1600000000001</v>
      </c>
      <c r="G27" s="45">
        <v>1181.1600000000001</v>
      </c>
      <c r="H27" s="45">
        <v>1181.1600000000001</v>
      </c>
      <c r="I27" s="45">
        <v>1181.1600000000001</v>
      </c>
      <c r="J27" s="45">
        <v>1106.73</v>
      </c>
      <c r="K27" s="45"/>
      <c r="L27" s="45">
        <f t="shared" si="0"/>
        <v>8268.119999999999</v>
      </c>
    </row>
    <row r="28" spans="1:12" ht="21.6" customHeight="1">
      <c r="A28" s="35">
        <v>22</v>
      </c>
      <c r="B28" s="36">
        <v>120</v>
      </c>
      <c r="C28" s="45">
        <v>0.55000000000000004</v>
      </c>
      <c r="D28" s="45">
        <v>33.33</v>
      </c>
      <c r="E28" s="45">
        <v>33.33</v>
      </c>
      <c r="F28" s="45">
        <v>32.79</v>
      </c>
      <c r="G28" s="45"/>
      <c r="H28" s="45"/>
      <c r="I28" s="45"/>
      <c r="J28" s="45"/>
      <c r="K28" s="45"/>
      <c r="L28" s="45">
        <f t="shared" si="0"/>
        <v>100</v>
      </c>
    </row>
    <row r="29" spans="1:12" ht="21.6" customHeight="1">
      <c r="A29" s="35">
        <v>23</v>
      </c>
      <c r="B29" s="36" t="s">
        <v>13</v>
      </c>
      <c r="C29" s="45">
        <v>1105.27</v>
      </c>
      <c r="D29" s="45">
        <v>1695.06</v>
      </c>
      <c r="E29" s="45">
        <v>1695.06</v>
      </c>
      <c r="F29" s="45">
        <v>1695.06</v>
      </c>
      <c r="G29" s="45">
        <v>1695.06</v>
      </c>
      <c r="H29" s="45">
        <v>589.79</v>
      </c>
      <c r="I29" s="45"/>
      <c r="J29" s="45"/>
      <c r="K29" s="45"/>
      <c r="L29" s="45">
        <f t="shared" si="0"/>
        <v>8475.2999999999993</v>
      </c>
    </row>
    <row r="30" spans="1:12" ht="21.6" customHeight="1">
      <c r="A30" s="35">
        <v>24</v>
      </c>
      <c r="B30" s="36">
        <v>901</v>
      </c>
      <c r="C30" s="45">
        <v>12766.32</v>
      </c>
      <c r="D30" s="45">
        <v>19578.599999999999</v>
      </c>
      <c r="E30" s="45">
        <v>19578.599999999999</v>
      </c>
      <c r="F30" s="45">
        <v>6812.28</v>
      </c>
      <c r="G30" s="45"/>
      <c r="H30" s="45"/>
      <c r="I30" s="45"/>
      <c r="J30" s="45"/>
      <c r="K30" s="45"/>
      <c r="L30" s="45">
        <f t="shared" si="0"/>
        <v>58735.799999999996</v>
      </c>
    </row>
    <row r="31" spans="1:12" ht="21.6" customHeight="1">
      <c r="A31" s="35">
        <v>25</v>
      </c>
      <c r="B31" s="36" t="s">
        <v>14</v>
      </c>
      <c r="C31" s="45">
        <v>10581.62</v>
      </c>
      <c r="D31" s="45">
        <v>167925.68</v>
      </c>
      <c r="E31" s="45">
        <v>167925.68</v>
      </c>
      <c r="F31" s="45">
        <v>157344.06</v>
      </c>
      <c r="G31" s="45"/>
      <c r="H31" s="45"/>
      <c r="I31" s="45"/>
      <c r="J31" s="45"/>
      <c r="K31" s="45"/>
      <c r="L31" s="45">
        <f t="shared" si="0"/>
        <v>503777.04</v>
      </c>
    </row>
    <row r="32" spans="1:12" ht="21.6" customHeight="1">
      <c r="A32" s="35">
        <v>26</v>
      </c>
      <c r="B32" s="36">
        <v>616</v>
      </c>
      <c r="C32" s="45">
        <v>1999.15</v>
      </c>
      <c r="D32" s="45">
        <v>3065.92</v>
      </c>
      <c r="E32" s="45">
        <v>3065.92</v>
      </c>
      <c r="F32" s="45">
        <v>1066.77</v>
      </c>
      <c r="G32" s="45"/>
      <c r="H32" s="45"/>
      <c r="I32" s="45"/>
      <c r="J32" s="45"/>
      <c r="K32" s="45"/>
      <c r="L32" s="45">
        <f t="shared" si="0"/>
        <v>9197.76</v>
      </c>
    </row>
    <row r="33" spans="1:12" ht="21.6" customHeight="1">
      <c r="A33" s="35">
        <v>27</v>
      </c>
      <c r="B33" s="36" t="s">
        <v>15</v>
      </c>
      <c r="C33" s="45">
        <v>6.54</v>
      </c>
      <c r="D33" s="45">
        <v>2388.09</v>
      </c>
      <c r="E33" s="45">
        <v>2388.09</v>
      </c>
      <c r="F33" s="45">
        <v>2381.5500000000002</v>
      </c>
      <c r="G33" s="45"/>
      <c r="H33" s="45"/>
      <c r="I33" s="45"/>
      <c r="J33" s="45"/>
      <c r="K33" s="45"/>
      <c r="L33" s="45">
        <f t="shared" si="0"/>
        <v>7164.27</v>
      </c>
    </row>
    <row r="34" spans="1:12" ht="21.6" customHeight="1">
      <c r="A34" s="35">
        <v>28</v>
      </c>
      <c r="B34" s="37" t="s">
        <v>221</v>
      </c>
      <c r="C34" s="45">
        <v>14279.41</v>
      </c>
      <c r="D34" s="45">
        <v>28325.99</v>
      </c>
      <c r="E34" s="45">
        <v>28325.99</v>
      </c>
      <c r="F34" s="45">
        <v>28325.99</v>
      </c>
      <c r="G34" s="45">
        <v>28325.99</v>
      </c>
      <c r="H34" s="45">
        <v>28325.99</v>
      </c>
      <c r="I34" s="45">
        <v>28325.99</v>
      </c>
      <c r="J34" s="45">
        <v>14046.58</v>
      </c>
      <c r="K34" s="45"/>
      <c r="L34" s="45">
        <f t="shared" si="0"/>
        <v>198281.93</v>
      </c>
    </row>
    <row r="35" spans="1:12" ht="21.6" customHeight="1">
      <c r="A35" s="35">
        <v>29</v>
      </c>
      <c r="B35" s="37" t="s">
        <v>3</v>
      </c>
      <c r="C35" s="45">
        <v>31373.78</v>
      </c>
      <c r="D35" s="45">
        <v>53511.360000000001</v>
      </c>
      <c r="E35" s="45">
        <v>53511.360000000001</v>
      </c>
      <c r="F35" s="45">
        <v>53511.360000000001</v>
      </c>
      <c r="G35" s="45">
        <v>53511.360000000001</v>
      </c>
      <c r="H35" s="45">
        <v>53511.360000000001</v>
      </c>
      <c r="I35" s="45">
        <v>53511.360000000001</v>
      </c>
      <c r="J35" s="45">
        <v>22137.58</v>
      </c>
      <c r="K35" s="45"/>
      <c r="L35" s="45">
        <f t="shared" si="0"/>
        <v>374579.51999999996</v>
      </c>
    </row>
    <row r="36" spans="1:12" ht="21.6" customHeight="1">
      <c r="A36" s="35">
        <v>30</v>
      </c>
      <c r="B36" s="37" t="s">
        <v>222</v>
      </c>
      <c r="C36" s="45">
        <v>0</v>
      </c>
      <c r="D36" s="45">
        <v>274804.08</v>
      </c>
      <c r="E36" s="45">
        <v>349489.5</v>
      </c>
      <c r="F36" s="45">
        <v>349489.5</v>
      </c>
      <c r="G36" s="45">
        <v>349489.5</v>
      </c>
      <c r="H36" s="45">
        <v>349489.5</v>
      </c>
      <c r="I36" s="45">
        <v>349489.5</v>
      </c>
      <c r="J36" s="45">
        <v>349489.5</v>
      </c>
      <c r="K36" s="45">
        <v>74685.42</v>
      </c>
      <c r="L36" s="45">
        <f t="shared" si="0"/>
        <v>2446426.5</v>
      </c>
    </row>
    <row r="37" spans="1:12" ht="21.6" customHeight="1">
      <c r="A37" s="35">
        <v>31</v>
      </c>
      <c r="B37" s="37" t="s">
        <v>223</v>
      </c>
      <c r="C37" s="45">
        <v>0</v>
      </c>
      <c r="D37" s="45">
        <v>42788.08</v>
      </c>
      <c r="E37" s="45">
        <v>54416.89</v>
      </c>
      <c r="F37" s="45">
        <v>54416.89</v>
      </c>
      <c r="G37" s="45">
        <v>54416.89</v>
      </c>
      <c r="H37" s="45">
        <v>54416.89</v>
      </c>
      <c r="I37" s="45">
        <v>54416.89</v>
      </c>
      <c r="J37" s="45">
        <v>54416.89</v>
      </c>
      <c r="K37" s="46">
        <v>11628.81</v>
      </c>
      <c r="L37" s="46">
        <f t="shared" si="0"/>
        <v>380918.23000000004</v>
      </c>
    </row>
    <row r="38" spans="1:12" ht="21.6" customHeight="1">
      <c r="A38" s="35">
        <v>32</v>
      </c>
      <c r="B38" s="36" t="s">
        <v>16</v>
      </c>
      <c r="C38" s="45">
        <v>0</v>
      </c>
      <c r="D38" s="45">
        <v>4446.42</v>
      </c>
      <c r="E38" s="45">
        <v>5654.86</v>
      </c>
      <c r="F38" s="45">
        <v>5654.86</v>
      </c>
      <c r="G38" s="45">
        <v>5654.86</v>
      </c>
      <c r="H38" s="45">
        <v>5654.86</v>
      </c>
      <c r="I38" s="45">
        <v>5654.86</v>
      </c>
      <c r="J38" s="45">
        <v>5654.86</v>
      </c>
      <c r="K38" s="46">
        <v>1208.44</v>
      </c>
      <c r="L38" s="46">
        <f t="shared" si="0"/>
        <v>39584.020000000004</v>
      </c>
    </row>
    <row r="39" spans="1:12" ht="21.6" customHeight="1">
      <c r="A39" s="241" t="s">
        <v>214</v>
      </c>
      <c r="B39" s="242"/>
      <c r="C39" s="47">
        <f>SUM(C7:C38)</f>
        <v>519652.06377533718</v>
      </c>
      <c r="D39" s="47">
        <f>SUM(D7:D38)</f>
        <v>1074515.6917056919</v>
      </c>
      <c r="E39" s="47">
        <f>SUM(E7:E38)</f>
        <v>1159094.7717056919</v>
      </c>
      <c r="F39" s="47">
        <f>SUM(F7:F38)</f>
        <v>1114650.4817056921</v>
      </c>
      <c r="G39" s="47">
        <f t="shared" ref="G39:L39" si="1">SUM(G7:G38)</f>
        <v>1384244.7817056919</v>
      </c>
      <c r="H39" s="47">
        <f t="shared" si="1"/>
        <v>536245.88682961196</v>
      </c>
      <c r="I39" s="47">
        <f t="shared" si="1"/>
        <v>528420.61515811109</v>
      </c>
      <c r="J39" s="47">
        <f t="shared" si="1"/>
        <v>461298.61741417163</v>
      </c>
      <c r="K39" s="47">
        <f t="shared" si="1"/>
        <v>87522.67</v>
      </c>
      <c r="L39" s="47">
        <f t="shared" si="1"/>
        <v>6865645.5800000001</v>
      </c>
    </row>
  </sheetData>
  <mergeCells count="4">
    <mergeCell ref="A39:B39"/>
    <mergeCell ref="A5:B5"/>
    <mergeCell ref="A3:L3"/>
    <mergeCell ref="C5:K5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S122"/>
  <sheetViews>
    <sheetView view="pageBreakPreview" topLeftCell="A2" zoomScale="70" zoomScaleNormal="70" zoomScaleSheetLayoutView="70" workbookViewId="0">
      <selection activeCell="A3" sqref="A3:S4"/>
    </sheetView>
  </sheetViews>
  <sheetFormatPr defaultRowHeight="12.75" outlineLevelRow="1"/>
  <cols>
    <col min="1" max="1" width="64.85546875" style="51" customWidth="1"/>
    <col min="2" max="2" width="10.140625" style="51" customWidth="1"/>
    <col min="3" max="3" width="5.7109375" style="51" hidden="1" customWidth="1"/>
    <col min="4" max="4" width="15.7109375" style="51" customWidth="1"/>
    <col min="5" max="7" width="16.7109375" style="51" customWidth="1"/>
    <col min="8" max="18" width="15.5703125" style="51" customWidth="1"/>
    <col min="19" max="19" width="32.42578125" style="51" customWidth="1"/>
    <col min="20" max="260" width="9.140625" style="51"/>
    <col min="261" max="261" width="35.85546875" style="51" customWidth="1"/>
    <col min="262" max="262" width="10.85546875" style="51" customWidth="1"/>
    <col min="263" max="263" width="0" style="51" hidden="1" customWidth="1"/>
    <col min="264" max="264" width="13" style="51" customWidth="1"/>
    <col min="265" max="266" width="15.42578125" style="51" customWidth="1"/>
    <col min="267" max="267" width="10.7109375" style="51" customWidth="1"/>
    <col min="268" max="268" width="14.28515625" style="51" customWidth="1"/>
    <col min="269" max="270" width="0" style="51" hidden="1" customWidth="1"/>
    <col min="271" max="271" width="11" style="51" customWidth="1"/>
    <col min="272" max="272" width="14.28515625" style="51" customWidth="1"/>
    <col min="273" max="273" width="9.7109375" style="51" customWidth="1"/>
    <col min="274" max="274" width="9.85546875" style="51" customWidth="1"/>
    <col min="275" max="275" width="32.42578125" style="51" customWidth="1"/>
    <col min="276" max="516" width="9.140625" style="51"/>
    <col min="517" max="517" width="35.85546875" style="51" customWidth="1"/>
    <col min="518" max="518" width="10.85546875" style="51" customWidth="1"/>
    <col min="519" max="519" width="0" style="51" hidden="1" customWidth="1"/>
    <col min="520" max="520" width="13" style="51" customWidth="1"/>
    <col min="521" max="522" width="15.42578125" style="51" customWidth="1"/>
    <col min="523" max="523" width="10.7109375" style="51" customWidth="1"/>
    <col min="524" max="524" width="14.28515625" style="51" customWidth="1"/>
    <col min="525" max="526" width="0" style="51" hidden="1" customWidth="1"/>
    <col min="527" max="527" width="11" style="51" customWidth="1"/>
    <col min="528" max="528" width="14.28515625" style="51" customWidth="1"/>
    <col min="529" max="529" width="9.7109375" style="51" customWidth="1"/>
    <col min="530" max="530" width="9.85546875" style="51" customWidth="1"/>
    <col min="531" max="531" width="32.42578125" style="51" customWidth="1"/>
    <col min="532" max="772" width="9.140625" style="51"/>
    <col min="773" max="773" width="35.85546875" style="51" customWidth="1"/>
    <col min="774" max="774" width="10.85546875" style="51" customWidth="1"/>
    <col min="775" max="775" width="0" style="51" hidden="1" customWidth="1"/>
    <col min="776" max="776" width="13" style="51" customWidth="1"/>
    <col min="777" max="778" width="15.42578125" style="51" customWidth="1"/>
    <col min="779" max="779" width="10.7109375" style="51" customWidth="1"/>
    <col min="780" max="780" width="14.28515625" style="51" customWidth="1"/>
    <col min="781" max="782" width="0" style="51" hidden="1" customWidth="1"/>
    <col min="783" max="783" width="11" style="51" customWidth="1"/>
    <col min="784" max="784" width="14.28515625" style="51" customWidth="1"/>
    <col min="785" max="785" width="9.7109375" style="51" customWidth="1"/>
    <col min="786" max="786" width="9.85546875" style="51" customWidth="1"/>
    <col min="787" max="787" width="32.42578125" style="51" customWidth="1"/>
    <col min="788" max="1028" width="9.140625" style="51"/>
    <col min="1029" max="1029" width="35.85546875" style="51" customWidth="1"/>
    <col min="1030" max="1030" width="10.85546875" style="51" customWidth="1"/>
    <col min="1031" max="1031" width="0" style="51" hidden="1" customWidth="1"/>
    <col min="1032" max="1032" width="13" style="51" customWidth="1"/>
    <col min="1033" max="1034" width="15.42578125" style="51" customWidth="1"/>
    <col min="1035" max="1035" width="10.7109375" style="51" customWidth="1"/>
    <col min="1036" max="1036" width="14.28515625" style="51" customWidth="1"/>
    <col min="1037" max="1038" width="0" style="51" hidden="1" customWidth="1"/>
    <col min="1039" max="1039" width="11" style="51" customWidth="1"/>
    <col min="1040" max="1040" width="14.28515625" style="51" customWidth="1"/>
    <col min="1041" max="1041" width="9.7109375" style="51" customWidth="1"/>
    <col min="1042" max="1042" width="9.85546875" style="51" customWidth="1"/>
    <col min="1043" max="1043" width="32.42578125" style="51" customWidth="1"/>
    <col min="1044" max="1284" width="9.140625" style="51"/>
    <col min="1285" max="1285" width="35.85546875" style="51" customWidth="1"/>
    <col min="1286" max="1286" width="10.85546875" style="51" customWidth="1"/>
    <col min="1287" max="1287" width="0" style="51" hidden="1" customWidth="1"/>
    <col min="1288" max="1288" width="13" style="51" customWidth="1"/>
    <col min="1289" max="1290" width="15.42578125" style="51" customWidth="1"/>
    <col min="1291" max="1291" width="10.7109375" style="51" customWidth="1"/>
    <col min="1292" max="1292" width="14.28515625" style="51" customWidth="1"/>
    <col min="1293" max="1294" width="0" style="51" hidden="1" customWidth="1"/>
    <col min="1295" max="1295" width="11" style="51" customWidth="1"/>
    <col min="1296" max="1296" width="14.28515625" style="51" customWidth="1"/>
    <col min="1297" max="1297" width="9.7109375" style="51" customWidth="1"/>
    <col min="1298" max="1298" width="9.85546875" style="51" customWidth="1"/>
    <col min="1299" max="1299" width="32.42578125" style="51" customWidth="1"/>
    <col min="1300" max="1540" width="9.140625" style="51"/>
    <col min="1541" max="1541" width="35.85546875" style="51" customWidth="1"/>
    <col min="1542" max="1542" width="10.85546875" style="51" customWidth="1"/>
    <col min="1543" max="1543" width="0" style="51" hidden="1" customWidth="1"/>
    <col min="1544" max="1544" width="13" style="51" customWidth="1"/>
    <col min="1545" max="1546" width="15.42578125" style="51" customWidth="1"/>
    <col min="1547" max="1547" width="10.7109375" style="51" customWidth="1"/>
    <col min="1548" max="1548" width="14.28515625" style="51" customWidth="1"/>
    <col min="1549" max="1550" width="0" style="51" hidden="1" customWidth="1"/>
    <col min="1551" max="1551" width="11" style="51" customWidth="1"/>
    <col min="1552" max="1552" width="14.28515625" style="51" customWidth="1"/>
    <col min="1553" max="1553" width="9.7109375" style="51" customWidth="1"/>
    <col min="1554" max="1554" width="9.85546875" style="51" customWidth="1"/>
    <col min="1555" max="1555" width="32.42578125" style="51" customWidth="1"/>
    <col min="1556" max="1796" width="9.140625" style="51"/>
    <col min="1797" max="1797" width="35.85546875" style="51" customWidth="1"/>
    <col min="1798" max="1798" width="10.85546875" style="51" customWidth="1"/>
    <col min="1799" max="1799" width="0" style="51" hidden="1" customWidth="1"/>
    <col min="1800" max="1800" width="13" style="51" customWidth="1"/>
    <col min="1801" max="1802" width="15.42578125" style="51" customWidth="1"/>
    <col min="1803" max="1803" width="10.7109375" style="51" customWidth="1"/>
    <col min="1804" max="1804" width="14.28515625" style="51" customWidth="1"/>
    <col min="1805" max="1806" width="0" style="51" hidden="1" customWidth="1"/>
    <col min="1807" max="1807" width="11" style="51" customWidth="1"/>
    <col min="1808" max="1808" width="14.28515625" style="51" customWidth="1"/>
    <col min="1809" max="1809" width="9.7109375" style="51" customWidth="1"/>
    <col min="1810" max="1810" width="9.85546875" style="51" customWidth="1"/>
    <col min="1811" max="1811" width="32.42578125" style="51" customWidth="1"/>
    <col min="1812" max="2052" width="9.140625" style="51"/>
    <col min="2053" max="2053" width="35.85546875" style="51" customWidth="1"/>
    <col min="2054" max="2054" width="10.85546875" style="51" customWidth="1"/>
    <col min="2055" max="2055" width="0" style="51" hidden="1" customWidth="1"/>
    <col min="2056" max="2056" width="13" style="51" customWidth="1"/>
    <col min="2057" max="2058" width="15.42578125" style="51" customWidth="1"/>
    <col min="2059" max="2059" width="10.7109375" style="51" customWidth="1"/>
    <col min="2060" max="2060" width="14.28515625" style="51" customWidth="1"/>
    <col min="2061" max="2062" width="0" style="51" hidden="1" customWidth="1"/>
    <col min="2063" max="2063" width="11" style="51" customWidth="1"/>
    <col min="2064" max="2064" width="14.28515625" style="51" customWidth="1"/>
    <col min="2065" max="2065" width="9.7109375" style="51" customWidth="1"/>
    <col min="2066" max="2066" width="9.85546875" style="51" customWidth="1"/>
    <col min="2067" max="2067" width="32.42578125" style="51" customWidth="1"/>
    <col min="2068" max="2308" width="9.140625" style="51"/>
    <col min="2309" max="2309" width="35.85546875" style="51" customWidth="1"/>
    <col min="2310" max="2310" width="10.85546875" style="51" customWidth="1"/>
    <col min="2311" max="2311" width="0" style="51" hidden="1" customWidth="1"/>
    <col min="2312" max="2312" width="13" style="51" customWidth="1"/>
    <col min="2313" max="2314" width="15.42578125" style="51" customWidth="1"/>
    <col min="2315" max="2315" width="10.7109375" style="51" customWidth="1"/>
    <col min="2316" max="2316" width="14.28515625" style="51" customWidth="1"/>
    <col min="2317" max="2318" width="0" style="51" hidden="1" customWidth="1"/>
    <col min="2319" max="2319" width="11" style="51" customWidth="1"/>
    <col min="2320" max="2320" width="14.28515625" style="51" customWidth="1"/>
    <col min="2321" max="2321" width="9.7109375" style="51" customWidth="1"/>
    <col min="2322" max="2322" width="9.85546875" style="51" customWidth="1"/>
    <col min="2323" max="2323" width="32.42578125" style="51" customWidth="1"/>
    <col min="2324" max="2564" width="9.140625" style="51"/>
    <col min="2565" max="2565" width="35.85546875" style="51" customWidth="1"/>
    <col min="2566" max="2566" width="10.85546875" style="51" customWidth="1"/>
    <col min="2567" max="2567" width="0" style="51" hidden="1" customWidth="1"/>
    <col min="2568" max="2568" width="13" style="51" customWidth="1"/>
    <col min="2569" max="2570" width="15.42578125" style="51" customWidth="1"/>
    <col min="2571" max="2571" width="10.7109375" style="51" customWidth="1"/>
    <col min="2572" max="2572" width="14.28515625" style="51" customWidth="1"/>
    <col min="2573" max="2574" width="0" style="51" hidden="1" customWidth="1"/>
    <col min="2575" max="2575" width="11" style="51" customWidth="1"/>
    <col min="2576" max="2576" width="14.28515625" style="51" customWidth="1"/>
    <col min="2577" max="2577" width="9.7109375" style="51" customWidth="1"/>
    <col min="2578" max="2578" width="9.85546875" style="51" customWidth="1"/>
    <col min="2579" max="2579" width="32.42578125" style="51" customWidth="1"/>
    <col min="2580" max="2820" width="9.140625" style="51"/>
    <col min="2821" max="2821" width="35.85546875" style="51" customWidth="1"/>
    <col min="2822" max="2822" width="10.85546875" style="51" customWidth="1"/>
    <col min="2823" max="2823" width="0" style="51" hidden="1" customWidth="1"/>
    <col min="2824" max="2824" width="13" style="51" customWidth="1"/>
    <col min="2825" max="2826" width="15.42578125" style="51" customWidth="1"/>
    <col min="2827" max="2827" width="10.7109375" style="51" customWidth="1"/>
    <col min="2828" max="2828" width="14.28515625" style="51" customWidth="1"/>
    <col min="2829" max="2830" width="0" style="51" hidden="1" customWidth="1"/>
    <col min="2831" max="2831" width="11" style="51" customWidth="1"/>
    <col min="2832" max="2832" width="14.28515625" style="51" customWidth="1"/>
    <col min="2833" max="2833" width="9.7109375" style="51" customWidth="1"/>
    <col min="2834" max="2834" width="9.85546875" style="51" customWidth="1"/>
    <col min="2835" max="2835" width="32.42578125" style="51" customWidth="1"/>
    <col min="2836" max="3076" width="9.140625" style="51"/>
    <col min="3077" max="3077" width="35.85546875" style="51" customWidth="1"/>
    <col min="3078" max="3078" width="10.85546875" style="51" customWidth="1"/>
    <col min="3079" max="3079" width="0" style="51" hidden="1" customWidth="1"/>
    <col min="3080" max="3080" width="13" style="51" customWidth="1"/>
    <col min="3081" max="3082" width="15.42578125" style="51" customWidth="1"/>
    <col min="3083" max="3083" width="10.7109375" style="51" customWidth="1"/>
    <col min="3084" max="3084" width="14.28515625" style="51" customWidth="1"/>
    <col min="3085" max="3086" width="0" style="51" hidden="1" customWidth="1"/>
    <col min="3087" max="3087" width="11" style="51" customWidth="1"/>
    <col min="3088" max="3088" width="14.28515625" style="51" customWidth="1"/>
    <col min="3089" max="3089" width="9.7109375" style="51" customWidth="1"/>
    <col min="3090" max="3090" width="9.85546875" style="51" customWidth="1"/>
    <col min="3091" max="3091" width="32.42578125" style="51" customWidth="1"/>
    <col min="3092" max="3332" width="9.140625" style="51"/>
    <col min="3333" max="3333" width="35.85546875" style="51" customWidth="1"/>
    <col min="3334" max="3334" width="10.85546875" style="51" customWidth="1"/>
    <col min="3335" max="3335" width="0" style="51" hidden="1" customWidth="1"/>
    <col min="3336" max="3336" width="13" style="51" customWidth="1"/>
    <col min="3337" max="3338" width="15.42578125" style="51" customWidth="1"/>
    <col min="3339" max="3339" width="10.7109375" style="51" customWidth="1"/>
    <col min="3340" max="3340" width="14.28515625" style="51" customWidth="1"/>
    <col min="3341" max="3342" width="0" style="51" hidden="1" customWidth="1"/>
    <col min="3343" max="3343" width="11" style="51" customWidth="1"/>
    <col min="3344" max="3344" width="14.28515625" style="51" customWidth="1"/>
    <col min="3345" max="3345" width="9.7109375" style="51" customWidth="1"/>
    <col min="3346" max="3346" width="9.85546875" style="51" customWidth="1"/>
    <col min="3347" max="3347" width="32.42578125" style="51" customWidth="1"/>
    <col min="3348" max="3588" width="9.140625" style="51"/>
    <col min="3589" max="3589" width="35.85546875" style="51" customWidth="1"/>
    <col min="3590" max="3590" width="10.85546875" style="51" customWidth="1"/>
    <col min="3591" max="3591" width="0" style="51" hidden="1" customWidth="1"/>
    <col min="3592" max="3592" width="13" style="51" customWidth="1"/>
    <col min="3593" max="3594" width="15.42578125" style="51" customWidth="1"/>
    <col min="3595" max="3595" width="10.7109375" style="51" customWidth="1"/>
    <col min="3596" max="3596" width="14.28515625" style="51" customWidth="1"/>
    <col min="3597" max="3598" width="0" style="51" hidden="1" customWidth="1"/>
    <col min="3599" max="3599" width="11" style="51" customWidth="1"/>
    <col min="3600" max="3600" width="14.28515625" style="51" customWidth="1"/>
    <col min="3601" max="3601" width="9.7109375" style="51" customWidth="1"/>
    <col min="3602" max="3602" width="9.85546875" style="51" customWidth="1"/>
    <col min="3603" max="3603" width="32.42578125" style="51" customWidth="1"/>
    <col min="3604" max="3844" width="9.140625" style="51"/>
    <col min="3845" max="3845" width="35.85546875" style="51" customWidth="1"/>
    <col min="3846" max="3846" width="10.85546875" style="51" customWidth="1"/>
    <col min="3847" max="3847" width="0" style="51" hidden="1" customWidth="1"/>
    <col min="3848" max="3848" width="13" style="51" customWidth="1"/>
    <col min="3849" max="3850" width="15.42578125" style="51" customWidth="1"/>
    <col min="3851" max="3851" width="10.7109375" style="51" customWidth="1"/>
    <col min="3852" max="3852" width="14.28515625" style="51" customWidth="1"/>
    <col min="3853" max="3854" width="0" style="51" hidden="1" customWidth="1"/>
    <col min="3855" max="3855" width="11" style="51" customWidth="1"/>
    <col min="3856" max="3856" width="14.28515625" style="51" customWidth="1"/>
    <col min="3857" max="3857" width="9.7109375" style="51" customWidth="1"/>
    <col min="3858" max="3858" width="9.85546875" style="51" customWidth="1"/>
    <col min="3859" max="3859" width="32.42578125" style="51" customWidth="1"/>
    <col min="3860" max="4100" width="9.140625" style="51"/>
    <col min="4101" max="4101" width="35.85546875" style="51" customWidth="1"/>
    <col min="4102" max="4102" width="10.85546875" style="51" customWidth="1"/>
    <col min="4103" max="4103" width="0" style="51" hidden="1" customWidth="1"/>
    <col min="4104" max="4104" width="13" style="51" customWidth="1"/>
    <col min="4105" max="4106" width="15.42578125" style="51" customWidth="1"/>
    <col min="4107" max="4107" width="10.7109375" style="51" customWidth="1"/>
    <col min="4108" max="4108" width="14.28515625" style="51" customWidth="1"/>
    <col min="4109" max="4110" width="0" style="51" hidden="1" customWidth="1"/>
    <col min="4111" max="4111" width="11" style="51" customWidth="1"/>
    <col min="4112" max="4112" width="14.28515625" style="51" customWidth="1"/>
    <col min="4113" max="4113" width="9.7109375" style="51" customWidth="1"/>
    <col min="4114" max="4114" width="9.85546875" style="51" customWidth="1"/>
    <col min="4115" max="4115" width="32.42578125" style="51" customWidth="1"/>
    <col min="4116" max="4356" width="9.140625" style="51"/>
    <col min="4357" max="4357" width="35.85546875" style="51" customWidth="1"/>
    <col min="4358" max="4358" width="10.85546875" style="51" customWidth="1"/>
    <col min="4359" max="4359" width="0" style="51" hidden="1" customWidth="1"/>
    <col min="4360" max="4360" width="13" style="51" customWidth="1"/>
    <col min="4361" max="4362" width="15.42578125" style="51" customWidth="1"/>
    <col min="4363" max="4363" width="10.7109375" style="51" customWidth="1"/>
    <col min="4364" max="4364" width="14.28515625" style="51" customWidth="1"/>
    <col min="4365" max="4366" width="0" style="51" hidden="1" customWidth="1"/>
    <col min="4367" max="4367" width="11" style="51" customWidth="1"/>
    <col min="4368" max="4368" width="14.28515625" style="51" customWidth="1"/>
    <col min="4369" max="4369" width="9.7109375" style="51" customWidth="1"/>
    <col min="4370" max="4370" width="9.85546875" style="51" customWidth="1"/>
    <col min="4371" max="4371" width="32.42578125" style="51" customWidth="1"/>
    <col min="4372" max="4612" width="9.140625" style="51"/>
    <col min="4613" max="4613" width="35.85546875" style="51" customWidth="1"/>
    <col min="4614" max="4614" width="10.85546875" style="51" customWidth="1"/>
    <col min="4615" max="4615" width="0" style="51" hidden="1" customWidth="1"/>
    <col min="4616" max="4616" width="13" style="51" customWidth="1"/>
    <col min="4617" max="4618" width="15.42578125" style="51" customWidth="1"/>
    <col min="4619" max="4619" width="10.7109375" style="51" customWidth="1"/>
    <col min="4620" max="4620" width="14.28515625" style="51" customWidth="1"/>
    <col min="4621" max="4622" width="0" style="51" hidden="1" customWidth="1"/>
    <col min="4623" max="4623" width="11" style="51" customWidth="1"/>
    <col min="4624" max="4624" width="14.28515625" style="51" customWidth="1"/>
    <col min="4625" max="4625" width="9.7109375" style="51" customWidth="1"/>
    <col min="4626" max="4626" width="9.85546875" style="51" customWidth="1"/>
    <col min="4627" max="4627" width="32.42578125" style="51" customWidth="1"/>
    <col min="4628" max="4868" width="9.140625" style="51"/>
    <col min="4869" max="4869" width="35.85546875" style="51" customWidth="1"/>
    <col min="4870" max="4870" width="10.85546875" style="51" customWidth="1"/>
    <col min="4871" max="4871" width="0" style="51" hidden="1" customWidth="1"/>
    <col min="4872" max="4872" width="13" style="51" customWidth="1"/>
    <col min="4873" max="4874" width="15.42578125" style="51" customWidth="1"/>
    <col min="4875" max="4875" width="10.7109375" style="51" customWidth="1"/>
    <col min="4876" max="4876" width="14.28515625" style="51" customWidth="1"/>
    <col min="4877" max="4878" width="0" style="51" hidden="1" customWidth="1"/>
    <col min="4879" max="4879" width="11" style="51" customWidth="1"/>
    <col min="4880" max="4880" width="14.28515625" style="51" customWidth="1"/>
    <col min="4881" max="4881" width="9.7109375" style="51" customWidth="1"/>
    <col min="4882" max="4882" width="9.85546875" style="51" customWidth="1"/>
    <col min="4883" max="4883" width="32.42578125" style="51" customWidth="1"/>
    <col min="4884" max="5124" width="9.140625" style="51"/>
    <col min="5125" max="5125" width="35.85546875" style="51" customWidth="1"/>
    <col min="5126" max="5126" width="10.85546875" style="51" customWidth="1"/>
    <col min="5127" max="5127" width="0" style="51" hidden="1" customWidth="1"/>
    <col min="5128" max="5128" width="13" style="51" customWidth="1"/>
    <col min="5129" max="5130" width="15.42578125" style="51" customWidth="1"/>
    <col min="5131" max="5131" width="10.7109375" style="51" customWidth="1"/>
    <col min="5132" max="5132" width="14.28515625" style="51" customWidth="1"/>
    <col min="5133" max="5134" width="0" style="51" hidden="1" customWidth="1"/>
    <col min="5135" max="5135" width="11" style="51" customWidth="1"/>
    <col min="5136" max="5136" width="14.28515625" style="51" customWidth="1"/>
    <col min="5137" max="5137" width="9.7109375" style="51" customWidth="1"/>
    <col min="5138" max="5138" width="9.85546875" style="51" customWidth="1"/>
    <col min="5139" max="5139" width="32.42578125" style="51" customWidth="1"/>
    <col min="5140" max="5380" width="9.140625" style="51"/>
    <col min="5381" max="5381" width="35.85546875" style="51" customWidth="1"/>
    <col min="5382" max="5382" width="10.85546875" style="51" customWidth="1"/>
    <col min="5383" max="5383" width="0" style="51" hidden="1" customWidth="1"/>
    <col min="5384" max="5384" width="13" style="51" customWidth="1"/>
    <col min="5385" max="5386" width="15.42578125" style="51" customWidth="1"/>
    <col min="5387" max="5387" width="10.7109375" style="51" customWidth="1"/>
    <col min="5388" max="5388" width="14.28515625" style="51" customWidth="1"/>
    <col min="5389" max="5390" width="0" style="51" hidden="1" customWidth="1"/>
    <col min="5391" max="5391" width="11" style="51" customWidth="1"/>
    <col min="5392" max="5392" width="14.28515625" style="51" customWidth="1"/>
    <col min="5393" max="5393" width="9.7109375" style="51" customWidth="1"/>
    <col min="5394" max="5394" width="9.85546875" style="51" customWidth="1"/>
    <col min="5395" max="5395" width="32.42578125" style="51" customWidth="1"/>
    <col min="5396" max="5636" width="9.140625" style="51"/>
    <col min="5637" max="5637" width="35.85546875" style="51" customWidth="1"/>
    <col min="5638" max="5638" width="10.85546875" style="51" customWidth="1"/>
    <col min="5639" max="5639" width="0" style="51" hidden="1" customWidth="1"/>
    <col min="5640" max="5640" width="13" style="51" customWidth="1"/>
    <col min="5641" max="5642" width="15.42578125" style="51" customWidth="1"/>
    <col min="5643" max="5643" width="10.7109375" style="51" customWidth="1"/>
    <col min="5644" max="5644" width="14.28515625" style="51" customWidth="1"/>
    <col min="5645" max="5646" width="0" style="51" hidden="1" customWidth="1"/>
    <col min="5647" max="5647" width="11" style="51" customWidth="1"/>
    <col min="5648" max="5648" width="14.28515625" style="51" customWidth="1"/>
    <col min="5649" max="5649" width="9.7109375" style="51" customWidth="1"/>
    <col min="5650" max="5650" width="9.85546875" style="51" customWidth="1"/>
    <col min="5651" max="5651" width="32.42578125" style="51" customWidth="1"/>
    <col min="5652" max="5892" width="9.140625" style="51"/>
    <col min="5893" max="5893" width="35.85546875" style="51" customWidth="1"/>
    <col min="5894" max="5894" width="10.85546875" style="51" customWidth="1"/>
    <col min="5895" max="5895" width="0" style="51" hidden="1" customWidth="1"/>
    <col min="5896" max="5896" width="13" style="51" customWidth="1"/>
    <col min="5897" max="5898" width="15.42578125" style="51" customWidth="1"/>
    <col min="5899" max="5899" width="10.7109375" style="51" customWidth="1"/>
    <col min="5900" max="5900" width="14.28515625" style="51" customWidth="1"/>
    <col min="5901" max="5902" width="0" style="51" hidden="1" customWidth="1"/>
    <col min="5903" max="5903" width="11" style="51" customWidth="1"/>
    <col min="5904" max="5904" width="14.28515625" style="51" customWidth="1"/>
    <col min="5905" max="5905" width="9.7109375" style="51" customWidth="1"/>
    <col min="5906" max="5906" width="9.85546875" style="51" customWidth="1"/>
    <col min="5907" max="5907" width="32.42578125" style="51" customWidth="1"/>
    <col min="5908" max="6148" width="9.140625" style="51"/>
    <col min="6149" max="6149" width="35.85546875" style="51" customWidth="1"/>
    <col min="6150" max="6150" width="10.85546875" style="51" customWidth="1"/>
    <col min="6151" max="6151" width="0" style="51" hidden="1" customWidth="1"/>
    <col min="6152" max="6152" width="13" style="51" customWidth="1"/>
    <col min="6153" max="6154" width="15.42578125" style="51" customWidth="1"/>
    <col min="6155" max="6155" width="10.7109375" style="51" customWidth="1"/>
    <col min="6156" max="6156" width="14.28515625" style="51" customWidth="1"/>
    <col min="6157" max="6158" width="0" style="51" hidden="1" customWidth="1"/>
    <col min="6159" max="6159" width="11" style="51" customWidth="1"/>
    <col min="6160" max="6160" width="14.28515625" style="51" customWidth="1"/>
    <col min="6161" max="6161" width="9.7109375" style="51" customWidth="1"/>
    <col min="6162" max="6162" width="9.85546875" style="51" customWidth="1"/>
    <col min="6163" max="6163" width="32.42578125" style="51" customWidth="1"/>
    <col min="6164" max="6404" width="9.140625" style="51"/>
    <col min="6405" max="6405" width="35.85546875" style="51" customWidth="1"/>
    <col min="6406" max="6406" width="10.85546875" style="51" customWidth="1"/>
    <col min="6407" max="6407" width="0" style="51" hidden="1" customWidth="1"/>
    <col min="6408" max="6408" width="13" style="51" customWidth="1"/>
    <col min="6409" max="6410" width="15.42578125" style="51" customWidth="1"/>
    <col min="6411" max="6411" width="10.7109375" style="51" customWidth="1"/>
    <col min="6412" max="6412" width="14.28515625" style="51" customWidth="1"/>
    <col min="6413" max="6414" width="0" style="51" hidden="1" customWidth="1"/>
    <col min="6415" max="6415" width="11" style="51" customWidth="1"/>
    <col min="6416" max="6416" width="14.28515625" style="51" customWidth="1"/>
    <col min="6417" max="6417" width="9.7109375" style="51" customWidth="1"/>
    <col min="6418" max="6418" width="9.85546875" style="51" customWidth="1"/>
    <col min="6419" max="6419" width="32.42578125" style="51" customWidth="1"/>
    <col min="6420" max="6660" width="9.140625" style="51"/>
    <col min="6661" max="6661" width="35.85546875" style="51" customWidth="1"/>
    <col min="6662" max="6662" width="10.85546875" style="51" customWidth="1"/>
    <col min="6663" max="6663" width="0" style="51" hidden="1" customWidth="1"/>
    <col min="6664" max="6664" width="13" style="51" customWidth="1"/>
    <col min="6665" max="6666" width="15.42578125" style="51" customWidth="1"/>
    <col min="6667" max="6667" width="10.7109375" style="51" customWidth="1"/>
    <col min="6668" max="6668" width="14.28515625" style="51" customWidth="1"/>
    <col min="6669" max="6670" width="0" style="51" hidden="1" customWidth="1"/>
    <col min="6671" max="6671" width="11" style="51" customWidth="1"/>
    <col min="6672" max="6672" width="14.28515625" style="51" customWidth="1"/>
    <col min="6673" max="6673" width="9.7109375" style="51" customWidth="1"/>
    <col min="6674" max="6674" width="9.85546875" style="51" customWidth="1"/>
    <col min="6675" max="6675" width="32.42578125" style="51" customWidth="1"/>
    <col min="6676" max="6916" width="9.140625" style="51"/>
    <col min="6917" max="6917" width="35.85546875" style="51" customWidth="1"/>
    <col min="6918" max="6918" width="10.85546875" style="51" customWidth="1"/>
    <col min="6919" max="6919" width="0" style="51" hidden="1" customWidth="1"/>
    <col min="6920" max="6920" width="13" style="51" customWidth="1"/>
    <col min="6921" max="6922" width="15.42578125" style="51" customWidth="1"/>
    <col min="6923" max="6923" width="10.7109375" style="51" customWidth="1"/>
    <col min="6924" max="6924" width="14.28515625" style="51" customWidth="1"/>
    <col min="6925" max="6926" width="0" style="51" hidden="1" customWidth="1"/>
    <col min="6927" max="6927" width="11" style="51" customWidth="1"/>
    <col min="6928" max="6928" width="14.28515625" style="51" customWidth="1"/>
    <col min="6929" max="6929" width="9.7109375" style="51" customWidth="1"/>
    <col min="6930" max="6930" width="9.85546875" style="51" customWidth="1"/>
    <col min="6931" max="6931" width="32.42578125" style="51" customWidth="1"/>
    <col min="6932" max="7172" width="9.140625" style="51"/>
    <col min="7173" max="7173" width="35.85546875" style="51" customWidth="1"/>
    <col min="7174" max="7174" width="10.85546875" style="51" customWidth="1"/>
    <col min="7175" max="7175" width="0" style="51" hidden="1" customWidth="1"/>
    <col min="7176" max="7176" width="13" style="51" customWidth="1"/>
    <col min="7177" max="7178" width="15.42578125" style="51" customWidth="1"/>
    <col min="7179" max="7179" width="10.7109375" style="51" customWidth="1"/>
    <col min="7180" max="7180" width="14.28515625" style="51" customWidth="1"/>
    <col min="7181" max="7182" width="0" style="51" hidden="1" customWidth="1"/>
    <col min="7183" max="7183" width="11" style="51" customWidth="1"/>
    <col min="7184" max="7184" width="14.28515625" style="51" customWidth="1"/>
    <col min="7185" max="7185" width="9.7109375" style="51" customWidth="1"/>
    <col min="7186" max="7186" width="9.85546875" style="51" customWidth="1"/>
    <col min="7187" max="7187" width="32.42578125" style="51" customWidth="1"/>
    <col min="7188" max="7428" width="9.140625" style="51"/>
    <col min="7429" max="7429" width="35.85546875" style="51" customWidth="1"/>
    <col min="7430" max="7430" width="10.85546875" style="51" customWidth="1"/>
    <col min="7431" max="7431" width="0" style="51" hidden="1" customWidth="1"/>
    <col min="7432" max="7432" width="13" style="51" customWidth="1"/>
    <col min="7433" max="7434" width="15.42578125" style="51" customWidth="1"/>
    <col min="7435" max="7435" width="10.7109375" style="51" customWidth="1"/>
    <col min="7436" max="7436" width="14.28515625" style="51" customWidth="1"/>
    <col min="7437" max="7438" width="0" style="51" hidden="1" customWidth="1"/>
    <col min="7439" max="7439" width="11" style="51" customWidth="1"/>
    <col min="7440" max="7440" width="14.28515625" style="51" customWidth="1"/>
    <col min="7441" max="7441" width="9.7109375" style="51" customWidth="1"/>
    <col min="7442" max="7442" width="9.85546875" style="51" customWidth="1"/>
    <col min="7443" max="7443" width="32.42578125" style="51" customWidth="1"/>
    <col min="7444" max="7684" width="9.140625" style="51"/>
    <col min="7685" max="7685" width="35.85546875" style="51" customWidth="1"/>
    <col min="7686" max="7686" width="10.85546875" style="51" customWidth="1"/>
    <col min="7687" max="7687" width="0" style="51" hidden="1" customWidth="1"/>
    <col min="7688" max="7688" width="13" style="51" customWidth="1"/>
    <col min="7689" max="7690" width="15.42578125" style="51" customWidth="1"/>
    <col min="7691" max="7691" width="10.7109375" style="51" customWidth="1"/>
    <col min="7692" max="7692" width="14.28515625" style="51" customWidth="1"/>
    <col min="7693" max="7694" width="0" style="51" hidden="1" customWidth="1"/>
    <col min="7695" max="7695" width="11" style="51" customWidth="1"/>
    <col min="7696" max="7696" width="14.28515625" style="51" customWidth="1"/>
    <col min="7697" max="7697" width="9.7109375" style="51" customWidth="1"/>
    <col min="7698" max="7698" width="9.85546875" style="51" customWidth="1"/>
    <col min="7699" max="7699" width="32.42578125" style="51" customWidth="1"/>
    <col min="7700" max="7940" width="9.140625" style="51"/>
    <col min="7941" max="7941" width="35.85546875" style="51" customWidth="1"/>
    <col min="7942" max="7942" width="10.85546875" style="51" customWidth="1"/>
    <col min="7943" max="7943" width="0" style="51" hidden="1" customWidth="1"/>
    <col min="7944" max="7944" width="13" style="51" customWidth="1"/>
    <col min="7945" max="7946" width="15.42578125" style="51" customWidth="1"/>
    <col min="7947" max="7947" width="10.7109375" style="51" customWidth="1"/>
    <col min="7948" max="7948" width="14.28515625" style="51" customWidth="1"/>
    <col min="7949" max="7950" width="0" style="51" hidden="1" customWidth="1"/>
    <col min="7951" max="7951" width="11" style="51" customWidth="1"/>
    <col min="7952" max="7952" width="14.28515625" style="51" customWidth="1"/>
    <col min="7953" max="7953" width="9.7109375" style="51" customWidth="1"/>
    <col min="7954" max="7954" width="9.85546875" style="51" customWidth="1"/>
    <col min="7955" max="7955" width="32.42578125" style="51" customWidth="1"/>
    <col min="7956" max="8196" width="9.140625" style="51"/>
    <col min="8197" max="8197" width="35.85546875" style="51" customWidth="1"/>
    <col min="8198" max="8198" width="10.85546875" style="51" customWidth="1"/>
    <col min="8199" max="8199" width="0" style="51" hidden="1" customWidth="1"/>
    <col min="8200" max="8200" width="13" style="51" customWidth="1"/>
    <col min="8201" max="8202" width="15.42578125" style="51" customWidth="1"/>
    <col min="8203" max="8203" width="10.7109375" style="51" customWidth="1"/>
    <col min="8204" max="8204" width="14.28515625" style="51" customWidth="1"/>
    <col min="8205" max="8206" width="0" style="51" hidden="1" customWidth="1"/>
    <col min="8207" max="8207" width="11" style="51" customWidth="1"/>
    <col min="8208" max="8208" width="14.28515625" style="51" customWidth="1"/>
    <col min="8209" max="8209" width="9.7109375" style="51" customWidth="1"/>
    <col min="8210" max="8210" width="9.85546875" style="51" customWidth="1"/>
    <col min="8211" max="8211" width="32.42578125" style="51" customWidth="1"/>
    <col min="8212" max="8452" width="9.140625" style="51"/>
    <col min="8453" max="8453" width="35.85546875" style="51" customWidth="1"/>
    <col min="8454" max="8454" width="10.85546875" style="51" customWidth="1"/>
    <col min="8455" max="8455" width="0" style="51" hidden="1" customWidth="1"/>
    <col min="8456" max="8456" width="13" style="51" customWidth="1"/>
    <col min="8457" max="8458" width="15.42578125" style="51" customWidth="1"/>
    <col min="8459" max="8459" width="10.7109375" style="51" customWidth="1"/>
    <col min="8460" max="8460" width="14.28515625" style="51" customWidth="1"/>
    <col min="8461" max="8462" width="0" style="51" hidden="1" customWidth="1"/>
    <col min="8463" max="8463" width="11" style="51" customWidth="1"/>
    <col min="8464" max="8464" width="14.28515625" style="51" customWidth="1"/>
    <col min="8465" max="8465" width="9.7109375" style="51" customWidth="1"/>
    <col min="8466" max="8466" width="9.85546875" style="51" customWidth="1"/>
    <col min="8467" max="8467" width="32.42578125" style="51" customWidth="1"/>
    <col min="8468" max="8708" width="9.140625" style="51"/>
    <col min="8709" max="8709" width="35.85546875" style="51" customWidth="1"/>
    <col min="8710" max="8710" width="10.85546875" style="51" customWidth="1"/>
    <col min="8711" max="8711" width="0" style="51" hidden="1" customWidth="1"/>
    <col min="8712" max="8712" width="13" style="51" customWidth="1"/>
    <col min="8713" max="8714" width="15.42578125" style="51" customWidth="1"/>
    <col min="8715" max="8715" width="10.7109375" style="51" customWidth="1"/>
    <col min="8716" max="8716" width="14.28515625" style="51" customWidth="1"/>
    <col min="8717" max="8718" width="0" style="51" hidden="1" customWidth="1"/>
    <col min="8719" max="8719" width="11" style="51" customWidth="1"/>
    <col min="8720" max="8720" width="14.28515625" style="51" customWidth="1"/>
    <col min="8721" max="8721" width="9.7109375" style="51" customWidth="1"/>
    <col min="8722" max="8722" width="9.85546875" style="51" customWidth="1"/>
    <col min="8723" max="8723" width="32.42578125" style="51" customWidth="1"/>
    <col min="8724" max="8964" width="9.140625" style="51"/>
    <col min="8965" max="8965" width="35.85546875" style="51" customWidth="1"/>
    <col min="8966" max="8966" width="10.85546875" style="51" customWidth="1"/>
    <col min="8967" max="8967" width="0" style="51" hidden="1" customWidth="1"/>
    <col min="8968" max="8968" width="13" style="51" customWidth="1"/>
    <col min="8969" max="8970" width="15.42578125" style="51" customWidth="1"/>
    <col min="8971" max="8971" width="10.7109375" style="51" customWidth="1"/>
    <col min="8972" max="8972" width="14.28515625" style="51" customWidth="1"/>
    <col min="8973" max="8974" width="0" style="51" hidden="1" customWidth="1"/>
    <col min="8975" max="8975" width="11" style="51" customWidth="1"/>
    <col min="8976" max="8976" width="14.28515625" style="51" customWidth="1"/>
    <col min="8977" max="8977" width="9.7109375" style="51" customWidth="1"/>
    <col min="8978" max="8978" width="9.85546875" style="51" customWidth="1"/>
    <col min="8979" max="8979" width="32.42578125" style="51" customWidth="1"/>
    <col min="8980" max="9220" width="9.140625" style="51"/>
    <col min="9221" max="9221" width="35.85546875" style="51" customWidth="1"/>
    <col min="9222" max="9222" width="10.85546875" style="51" customWidth="1"/>
    <col min="9223" max="9223" width="0" style="51" hidden="1" customWidth="1"/>
    <col min="9224" max="9224" width="13" style="51" customWidth="1"/>
    <col min="9225" max="9226" width="15.42578125" style="51" customWidth="1"/>
    <col min="9227" max="9227" width="10.7109375" style="51" customWidth="1"/>
    <col min="9228" max="9228" width="14.28515625" style="51" customWidth="1"/>
    <col min="9229" max="9230" width="0" style="51" hidden="1" customWidth="1"/>
    <col min="9231" max="9231" width="11" style="51" customWidth="1"/>
    <col min="9232" max="9232" width="14.28515625" style="51" customWidth="1"/>
    <col min="9233" max="9233" width="9.7109375" style="51" customWidth="1"/>
    <col min="9234" max="9234" width="9.85546875" style="51" customWidth="1"/>
    <col min="9235" max="9235" width="32.42578125" style="51" customWidth="1"/>
    <col min="9236" max="9476" width="9.140625" style="51"/>
    <col min="9477" max="9477" width="35.85546875" style="51" customWidth="1"/>
    <col min="9478" max="9478" width="10.85546875" style="51" customWidth="1"/>
    <col min="9479" max="9479" width="0" style="51" hidden="1" customWidth="1"/>
    <col min="9480" max="9480" width="13" style="51" customWidth="1"/>
    <col min="9481" max="9482" width="15.42578125" style="51" customWidth="1"/>
    <col min="9483" max="9483" width="10.7109375" style="51" customWidth="1"/>
    <col min="9484" max="9484" width="14.28515625" style="51" customWidth="1"/>
    <col min="9485" max="9486" width="0" style="51" hidden="1" customWidth="1"/>
    <col min="9487" max="9487" width="11" style="51" customWidth="1"/>
    <col min="9488" max="9488" width="14.28515625" style="51" customWidth="1"/>
    <col min="9489" max="9489" width="9.7109375" style="51" customWidth="1"/>
    <col min="9490" max="9490" width="9.85546875" style="51" customWidth="1"/>
    <col min="9491" max="9491" width="32.42578125" style="51" customWidth="1"/>
    <col min="9492" max="9732" width="9.140625" style="51"/>
    <col min="9733" max="9733" width="35.85546875" style="51" customWidth="1"/>
    <col min="9734" max="9734" width="10.85546875" style="51" customWidth="1"/>
    <col min="9735" max="9735" width="0" style="51" hidden="1" customWidth="1"/>
    <col min="9736" max="9736" width="13" style="51" customWidth="1"/>
    <col min="9737" max="9738" width="15.42578125" style="51" customWidth="1"/>
    <col min="9739" max="9739" width="10.7109375" style="51" customWidth="1"/>
    <col min="9740" max="9740" width="14.28515625" style="51" customWidth="1"/>
    <col min="9741" max="9742" width="0" style="51" hidden="1" customWidth="1"/>
    <col min="9743" max="9743" width="11" style="51" customWidth="1"/>
    <col min="9744" max="9744" width="14.28515625" style="51" customWidth="1"/>
    <col min="9745" max="9745" width="9.7109375" style="51" customWidth="1"/>
    <col min="9746" max="9746" width="9.85546875" style="51" customWidth="1"/>
    <col min="9747" max="9747" width="32.42578125" style="51" customWidth="1"/>
    <col min="9748" max="9988" width="9.140625" style="51"/>
    <col min="9989" max="9989" width="35.85546875" style="51" customWidth="1"/>
    <col min="9990" max="9990" width="10.85546875" style="51" customWidth="1"/>
    <col min="9991" max="9991" width="0" style="51" hidden="1" customWidth="1"/>
    <col min="9992" max="9992" width="13" style="51" customWidth="1"/>
    <col min="9993" max="9994" width="15.42578125" style="51" customWidth="1"/>
    <col min="9995" max="9995" width="10.7109375" style="51" customWidth="1"/>
    <col min="9996" max="9996" width="14.28515625" style="51" customWidth="1"/>
    <col min="9997" max="9998" width="0" style="51" hidden="1" customWidth="1"/>
    <col min="9999" max="9999" width="11" style="51" customWidth="1"/>
    <col min="10000" max="10000" width="14.28515625" style="51" customWidth="1"/>
    <col min="10001" max="10001" width="9.7109375" style="51" customWidth="1"/>
    <col min="10002" max="10002" width="9.85546875" style="51" customWidth="1"/>
    <col min="10003" max="10003" width="32.42578125" style="51" customWidth="1"/>
    <col min="10004" max="10244" width="9.140625" style="51"/>
    <col min="10245" max="10245" width="35.85546875" style="51" customWidth="1"/>
    <col min="10246" max="10246" width="10.85546875" style="51" customWidth="1"/>
    <col min="10247" max="10247" width="0" style="51" hidden="1" customWidth="1"/>
    <col min="10248" max="10248" width="13" style="51" customWidth="1"/>
    <col min="10249" max="10250" width="15.42578125" style="51" customWidth="1"/>
    <col min="10251" max="10251" width="10.7109375" style="51" customWidth="1"/>
    <col min="10252" max="10252" width="14.28515625" style="51" customWidth="1"/>
    <col min="10253" max="10254" width="0" style="51" hidden="1" customWidth="1"/>
    <col min="10255" max="10255" width="11" style="51" customWidth="1"/>
    <col min="10256" max="10256" width="14.28515625" style="51" customWidth="1"/>
    <col min="10257" max="10257" width="9.7109375" style="51" customWidth="1"/>
    <col min="10258" max="10258" width="9.85546875" style="51" customWidth="1"/>
    <col min="10259" max="10259" width="32.42578125" style="51" customWidth="1"/>
    <col min="10260" max="10500" width="9.140625" style="51"/>
    <col min="10501" max="10501" width="35.85546875" style="51" customWidth="1"/>
    <col min="10502" max="10502" width="10.85546875" style="51" customWidth="1"/>
    <col min="10503" max="10503" width="0" style="51" hidden="1" customWidth="1"/>
    <col min="10504" max="10504" width="13" style="51" customWidth="1"/>
    <col min="10505" max="10506" width="15.42578125" style="51" customWidth="1"/>
    <col min="10507" max="10507" width="10.7109375" style="51" customWidth="1"/>
    <col min="10508" max="10508" width="14.28515625" style="51" customWidth="1"/>
    <col min="10509" max="10510" width="0" style="51" hidden="1" customWidth="1"/>
    <col min="10511" max="10511" width="11" style="51" customWidth="1"/>
    <col min="10512" max="10512" width="14.28515625" style="51" customWidth="1"/>
    <col min="10513" max="10513" width="9.7109375" style="51" customWidth="1"/>
    <col min="10514" max="10514" width="9.85546875" style="51" customWidth="1"/>
    <col min="10515" max="10515" width="32.42578125" style="51" customWidth="1"/>
    <col min="10516" max="10756" width="9.140625" style="51"/>
    <col min="10757" max="10757" width="35.85546875" style="51" customWidth="1"/>
    <col min="10758" max="10758" width="10.85546875" style="51" customWidth="1"/>
    <col min="10759" max="10759" width="0" style="51" hidden="1" customWidth="1"/>
    <col min="10760" max="10760" width="13" style="51" customWidth="1"/>
    <col min="10761" max="10762" width="15.42578125" style="51" customWidth="1"/>
    <col min="10763" max="10763" width="10.7109375" style="51" customWidth="1"/>
    <col min="10764" max="10764" width="14.28515625" style="51" customWidth="1"/>
    <col min="10765" max="10766" width="0" style="51" hidden="1" customWidth="1"/>
    <col min="10767" max="10767" width="11" style="51" customWidth="1"/>
    <col min="10768" max="10768" width="14.28515625" style="51" customWidth="1"/>
    <col min="10769" max="10769" width="9.7109375" style="51" customWidth="1"/>
    <col min="10770" max="10770" width="9.85546875" style="51" customWidth="1"/>
    <col min="10771" max="10771" width="32.42578125" style="51" customWidth="1"/>
    <col min="10772" max="11012" width="9.140625" style="51"/>
    <col min="11013" max="11013" width="35.85546875" style="51" customWidth="1"/>
    <col min="11014" max="11014" width="10.85546875" style="51" customWidth="1"/>
    <col min="11015" max="11015" width="0" style="51" hidden="1" customWidth="1"/>
    <col min="11016" max="11016" width="13" style="51" customWidth="1"/>
    <col min="11017" max="11018" width="15.42578125" style="51" customWidth="1"/>
    <col min="11019" max="11019" width="10.7109375" style="51" customWidth="1"/>
    <col min="11020" max="11020" width="14.28515625" style="51" customWidth="1"/>
    <col min="11021" max="11022" width="0" style="51" hidden="1" customWidth="1"/>
    <col min="11023" max="11023" width="11" style="51" customWidth="1"/>
    <col min="11024" max="11024" width="14.28515625" style="51" customWidth="1"/>
    <col min="11025" max="11025" width="9.7109375" style="51" customWidth="1"/>
    <col min="11026" max="11026" width="9.85546875" style="51" customWidth="1"/>
    <col min="11027" max="11027" width="32.42578125" style="51" customWidth="1"/>
    <col min="11028" max="11268" width="9.140625" style="51"/>
    <col min="11269" max="11269" width="35.85546875" style="51" customWidth="1"/>
    <col min="11270" max="11270" width="10.85546875" style="51" customWidth="1"/>
    <col min="11271" max="11271" width="0" style="51" hidden="1" customWidth="1"/>
    <col min="11272" max="11272" width="13" style="51" customWidth="1"/>
    <col min="11273" max="11274" width="15.42578125" style="51" customWidth="1"/>
    <col min="11275" max="11275" width="10.7109375" style="51" customWidth="1"/>
    <col min="11276" max="11276" width="14.28515625" style="51" customWidth="1"/>
    <col min="11277" max="11278" width="0" style="51" hidden="1" customWidth="1"/>
    <col min="11279" max="11279" width="11" style="51" customWidth="1"/>
    <col min="11280" max="11280" width="14.28515625" style="51" customWidth="1"/>
    <col min="11281" max="11281" width="9.7109375" style="51" customWidth="1"/>
    <col min="11282" max="11282" width="9.85546875" style="51" customWidth="1"/>
    <col min="11283" max="11283" width="32.42578125" style="51" customWidth="1"/>
    <col min="11284" max="11524" width="9.140625" style="51"/>
    <col min="11525" max="11525" width="35.85546875" style="51" customWidth="1"/>
    <col min="11526" max="11526" width="10.85546875" style="51" customWidth="1"/>
    <col min="11527" max="11527" width="0" style="51" hidden="1" customWidth="1"/>
    <col min="11528" max="11528" width="13" style="51" customWidth="1"/>
    <col min="11529" max="11530" width="15.42578125" style="51" customWidth="1"/>
    <col min="11531" max="11531" width="10.7109375" style="51" customWidth="1"/>
    <col min="11532" max="11532" width="14.28515625" style="51" customWidth="1"/>
    <col min="11533" max="11534" width="0" style="51" hidden="1" customWidth="1"/>
    <col min="11535" max="11535" width="11" style="51" customWidth="1"/>
    <col min="11536" max="11536" width="14.28515625" style="51" customWidth="1"/>
    <col min="11537" max="11537" width="9.7109375" style="51" customWidth="1"/>
    <col min="11538" max="11538" width="9.85546875" style="51" customWidth="1"/>
    <col min="11539" max="11539" width="32.42578125" style="51" customWidth="1"/>
    <col min="11540" max="11780" width="9.140625" style="51"/>
    <col min="11781" max="11781" width="35.85546875" style="51" customWidth="1"/>
    <col min="11782" max="11782" width="10.85546875" style="51" customWidth="1"/>
    <col min="11783" max="11783" width="0" style="51" hidden="1" customWidth="1"/>
    <col min="11784" max="11784" width="13" style="51" customWidth="1"/>
    <col min="11785" max="11786" width="15.42578125" style="51" customWidth="1"/>
    <col min="11787" max="11787" width="10.7109375" style="51" customWidth="1"/>
    <col min="11788" max="11788" width="14.28515625" style="51" customWidth="1"/>
    <col min="11789" max="11790" width="0" style="51" hidden="1" customWidth="1"/>
    <col min="11791" max="11791" width="11" style="51" customWidth="1"/>
    <col min="11792" max="11792" width="14.28515625" style="51" customWidth="1"/>
    <col min="11793" max="11793" width="9.7109375" style="51" customWidth="1"/>
    <col min="11794" max="11794" width="9.85546875" style="51" customWidth="1"/>
    <col min="11795" max="11795" width="32.42578125" style="51" customWidth="1"/>
    <col min="11796" max="12036" width="9.140625" style="51"/>
    <col min="12037" max="12037" width="35.85546875" style="51" customWidth="1"/>
    <col min="12038" max="12038" width="10.85546875" style="51" customWidth="1"/>
    <col min="12039" max="12039" width="0" style="51" hidden="1" customWidth="1"/>
    <col min="12040" max="12040" width="13" style="51" customWidth="1"/>
    <col min="12041" max="12042" width="15.42578125" style="51" customWidth="1"/>
    <col min="12043" max="12043" width="10.7109375" style="51" customWidth="1"/>
    <col min="12044" max="12044" width="14.28515625" style="51" customWidth="1"/>
    <col min="12045" max="12046" width="0" style="51" hidden="1" customWidth="1"/>
    <col min="12047" max="12047" width="11" style="51" customWidth="1"/>
    <col min="12048" max="12048" width="14.28515625" style="51" customWidth="1"/>
    <col min="12049" max="12049" width="9.7109375" style="51" customWidth="1"/>
    <col min="12050" max="12050" width="9.85546875" style="51" customWidth="1"/>
    <col min="12051" max="12051" width="32.42578125" style="51" customWidth="1"/>
    <col min="12052" max="12292" width="9.140625" style="51"/>
    <col min="12293" max="12293" width="35.85546875" style="51" customWidth="1"/>
    <col min="12294" max="12294" width="10.85546875" style="51" customWidth="1"/>
    <col min="12295" max="12295" width="0" style="51" hidden="1" customWidth="1"/>
    <col min="12296" max="12296" width="13" style="51" customWidth="1"/>
    <col min="12297" max="12298" width="15.42578125" style="51" customWidth="1"/>
    <col min="12299" max="12299" width="10.7109375" style="51" customWidth="1"/>
    <col min="12300" max="12300" width="14.28515625" style="51" customWidth="1"/>
    <col min="12301" max="12302" width="0" style="51" hidden="1" customWidth="1"/>
    <col min="12303" max="12303" width="11" style="51" customWidth="1"/>
    <col min="12304" max="12304" width="14.28515625" style="51" customWidth="1"/>
    <col min="12305" max="12305" width="9.7109375" style="51" customWidth="1"/>
    <col min="12306" max="12306" width="9.85546875" style="51" customWidth="1"/>
    <col min="12307" max="12307" width="32.42578125" style="51" customWidth="1"/>
    <col min="12308" max="12548" width="9.140625" style="51"/>
    <col min="12549" max="12549" width="35.85546875" style="51" customWidth="1"/>
    <col min="12550" max="12550" width="10.85546875" style="51" customWidth="1"/>
    <col min="12551" max="12551" width="0" style="51" hidden="1" customWidth="1"/>
    <col min="12552" max="12552" width="13" style="51" customWidth="1"/>
    <col min="12553" max="12554" width="15.42578125" style="51" customWidth="1"/>
    <col min="12555" max="12555" width="10.7109375" style="51" customWidth="1"/>
    <col min="12556" max="12556" width="14.28515625" style="51" customWidth="1"/>
    <col min="12557" max="12558" width="0" style="51" hidden="1" customWidth="1"/>
    <col min="12559" max="12559" width="11" style="51" customWidth="1"/>
    <col min="12560" max="12560" width="14.28515625" style="51" customWidth="1"/>
    <col min="12561" max="12561" width="9.7109375" style="51" customWidth="1"/>
    <col min="12562" max="12562" width="9.85546875" style="51" customWidth="1"/>
    <col min="12563" max="12563" width="32.42578125" style="51" customWidth="1"/>
    <col min="12564" max="12804" width="9.140625" style="51"/>
    <col min="12805" max="12805" width="35.85546875" style="51" customWidth="1"/>
    <col min="12806" max="12806" width="10.85546875" style="51" customWidth="1"/>
    <col min="12807" max="12807" width="0" style="51" hidden="1" customWidth="1"/>
    <col min="12808" max="12808" width="13" style="51" customWidth="1"/>
    <col min="12809" max="12810" width="15.42578125" style="51" customWidth="1"/>
    <col min="12811" max="12811" width="10.7109375" style="51" customWidth="1"/>
    <col min="12812" max="12812" width="14.28515625" style="51" customWidth="1"/>
    <col min="12813" max="12814" width="0" style="51" hidden="1" customWidth="1"/>
    <col min="12815" max="12815" width="11" style="51" customWidth="1"/>
    <col min="12816" max="12816" width="14.28515625" style="51" customWidth="1"/>
    <col min="12817" max="12817" width="9.7109375" style="51" customWidth="1"/>
    <col min="12818" max="12818" width="9.85546875" style="51" customWidth="1"/>
    <col min="12819" max="12819" width="32.42578125" style="51" customWidth="1"/>
    <col min="12820" max="13060" width="9.140625" style="51"/>
    <col min="13061" max="13061" width="35.85546875" style="51" customWidth="1"/>
    <col min="13062" max="13062" width="10.85546875" style="51" customWidth="1"/>
    <col min="13063" max="13063" width="0" style="51" hidden="1" customWidth="1"/>
    <col min="13064" max="13064" width="13" style="51" customWidth="1"/>
    <col min="13065" max="13066" width="15.42578125" style="51" customWidth="1"/>
    <col min="13067" max="13067" width="10.7109375" style="51" customWidth="1"/>
    <col min="13068" max="13068" width="14.28515625" style="51" customWidth="1"/>
    <col min="13069" max="13070" width="0" style="51" hidden="1" customWidth="1"/>
    <col min="13071" max="13071" width="11" style="51" customWidth="1"/>
    <col min="13072" max="13072" width="14.28515625" style="51" customWidth="1"/>
    <col min="13073" max="13073" width="9.7109375" style="51" customWidth="1"/>
    <col min="13074" max="13074" width="9.85546875" style="51" customWidth="1"/>
    <col min="13075" max="13075" width="32.42578125" style="51" customWidth="1"/>
    <col min="13076" max="13316" width="9.140625" style="51"/>
    <col min="13317" max="13317" width="35.85546875" style="51" customWidth="1"/>
    <col min="13318" max="13318" width="10.85546875" style="51" customWidth="1"/>
    <col min="13319" max="13319" width="0" style="51" hidden="1" customWidth="1"/>
    <col min="13320" max="13320" width="13" style="51" customWidth="1"/>
    <col min="13321" max="13322" width="15.42578125" style="51" customWidth="1"/>
    <col min="13323" max="13323" width="10.7109375" style="51" customWidth="1"/>
    <col min="13324" max="13324" width="14.28515625" style="51" customWidth="1"/>
    <col min="13325" max="13326" width="0" style="51" hidden="1" customWidth="1"/>
    <col min="13327" max="13327" width="11" style="51" customWidth="1"/>
    <col min="13328" max="13328" width="14.28515625" style="51" customWidth="1"/>
    <col min="13329" max="13329" width="9.7109375" style="51" customWidth="1"/>
    <col min="13330" max="13330" width="9.85546875" style="51" customWidth="1"/>
    <col min="13331" max="13331" width="32.42578125" style="51" customWidth="1"/>
    <col min="13332" max="13572" width="9.140625" style="51"/>
    <col min="13573" max="13573" width="35.85546875" style="51" customWidth="1"/>
    <col min="13574" max="13574" width="10.85546875" style="51" customWidth="1"/>
    <col min="13575" max="13575" width="0" style="51" hidden="1" customWidth="1"/>
    <col min="13576" max="13576" width="13" style="51" customWidth="1"/>
    <col min="13577" max="13578" width="15.42578125" style="51" customWidth="1"/>
    <col min="13579" max="13579" width="10.7109375" style="51" customWidth="1"/>
    <col min="13580" max="13580" width="14.28515625" style="51" customWidth="1"/>
    <col min="13581" max="13582" width="0" style="51" hidden="1" customWidth="1"/>
    <col min="13583" max="13583" width="11" style="51" customWidth="1"/>
    <col min="13584" max="13584" width="14.28515625" style="51" customWidth="1"/>
    <col min="13585" max="13585" width="9.7109375" style="51" customWidth="1"/>
    <col min="13586" max="13586" width="9.85546875" style="51" customWidth="1"/>
    <col min="13587" max="13587" width="32.42578125" style="51" customWidth="1"/>
    <col min="13588" max="13828" width="9.140625" style="51"/>
    <col min="13829" max="13829" width="35.85546875" style="51" customWidth="1"/>
    <col min="13830" max="13830" width="10.85546875" style="51" customWidth="1"/>
    <col min="13831" max="13831" width="0" style="51" hidden="1" customWidth="1"/>
    <col min="13832" max="13832" width="13" style="51" customWidth="1"/>
    <col min="13833" max="13834" width="15.42578125" style="51" customWidth="1"/>
    <col min="13835" max="13835" width="10.7109375" style="51" customWidth="1"/>
    <col min="13836" max="13836" width="14.28515625" style="51" customWidth="1"/>
    <col min="13837" max="13838" width="0" style="51" hidden="1" customWidth="1"/>
    <col min="13839" max="13839" width="11" style="51" customWidth="1"/>
    <col min="13840" max="13840" width="14.28515625" style="51" customWidth="1"/>
    <col min="13841" max="13841" width="9.7109375" style="51" customWidth="1"/>
    <col min="13842" max="13842" width="9.85546875" style="51" customWidth="1"/>
    <col min="13843" max="13843" width="32.42578125" style="51" customWidth="1"/>
    <col min="13844" max="14084" width="9.140625" style="51"/>
    <col min="14085" max="14085" width="35.85546875" style="51" customWidth="1"/>
    <col min="14086" max="14086" width="10.85546875" style="51" customWidth="1"/>
    <col min="14087" max="14087" width="0" style="51" hidden="1" customWidth="1"/>
    <col min="14088" max="14088" width="13" style="51" customWidth="1"/>
    <col min="14089" max="14090" width="15.42578125" style="51" customWidth="1"/>
    <col min="14091" max="14091" width="10.7109375" style="51" customWidth="1"/>
    <col min="14092" max="14092" width="14.28515625" style="51" customWidth="1"/>
    <col min="14093" max="14094" width="0" style="51" hidden="1" customWidth="1"/>
    <col min="14095" max="14095" width="11" style="51" customWidth="1"/>
    <col min="14096" max="14096" width="14.28515625" style="51" customWidth="1"/>
    <col min="14097" max="14097" width="9.7109375" style="51" customWidth="1"/>
    <col min="14098" max="14098" width="9.85546875" style="51" customWidth="1"/>
    <col min="14099" max="14099" width="32.42578125" style="51" customWidth="1"/>
    <col min="14100" max="14340" width="9.140625" style="51"/>
    <col min="14341" max="14341" width="35.85546875" style="51" customWidth="1"/>
    <col min="14342" max="14342" width="10.85546875" style="51" customWidth="1"/>
    <col min="14343" max="14343" width="0" style="51" hidden="1" customWidth="1"/>
    <col min="14344" max="14344" width="13" style="51" customWidth="1"/>
    <col min="14345" max="14346" width="15.42578125" style="51" customWidth="1"/>
    <col min="14347" max="14347" width="10.7109375" style="51" customWidth="1"/>
    <col min="14348" max="14348" width="14.28515625" style="51" customWidth="1"/>
    <col min="14349" max="14350" width="0" style="51" hidden="1" customWidth="1"/>
    <col min="14351" max="14351" width="11" style="51" customWidth="1"/>
    <col min="14352" max="14352" width="14.28515625" style="51" customWidth="1"/>
    <col min="14353" max="14353" width="9.7109375" style="51" customWidth="1"/>
    <col min="14354" max="14354" width="9.85546875" style="51" customWidth="1"/>
    <col min="14355" max="14355" width="32.42578125" style="51" customWidth="1"/>
    <col min="14356" max="14596" width="9.140625" style="51"/>
    <col min="14597" max="14597" width="35.85546875" style="51" customWidth="1"/>
    <col min="14598" max="14598" width="10.85546875" style="51" customWidth="1"/>
    <col min="14599" max="14599" width="0" style="51" hidden="1" customWidth="1"/>
    <col min="14600" max="14600" width="13" style="51" customWidth="1"/>
    <col min="14601" max="14602" width="15.42578125" style="51" customWidth="1"/>
    <col min="14603" max="14603" width="10.7109375" style="51" customWidth="1"/>
    <col min="14604" max="14604" width="14.28515625" style="51" customWidth="1"/>
    <col min="14605" max="14606" width="0" style="51" hidden="1" customWidth="1"/>
    <col min="14607" max="14607" width="11" style="51" customWidth="1"/>
    <col min="14608" max="14608" width="14.28515625" style="51" customWidth="1"/>
    <col min="14609" max="14609" width="9.7109375" style="51" customWidth="1"/>
    <col min="14610" max="14610" width="9.85546875" style="51" customWidth="1"/>
    <col min="14611" max="14611" width="32.42578125" style="51" customWidth="1"/>
    <col min="14612" max="14852" width="9.140625" style="51"/>
    <col min="14853" max="14853" width="35.85546875" style="51" customWidth="1"/>
    <col min="14854" max="14854" width="10.85546875" style="51" customWidth="1"/>
    <col min="14855" max="14855" width="0" style="51" hidden="1" customWidth="1"/>
    <col min="14856" max="14856" width="13" style="51" customWidth="1"/>
    <col min="14857" max="14858" width="15.42578125" style="51" customWidth="1"/>
    <col min="14859" max="14859" width="10.7109375" style="51" customWidth="1"/>
    <col min="14860" max="14860" width="14.28515625" style="51" customWidth="1"/>
    <col min="14861" max="14862" width="0" style="51" hidden="1" customWidth="1"/>
    <col min="14863" max="14863" width="11" style="51" customWidth="1"/>
    <col min="14864" max="14864" width="14.28515625" style="51" customWidth="1"/>
    <col min="14865" max="14865" width="9.7109375" style="51" customWidth="1"/>
    <col min="14866" max="14866" width="9.85546875" style="51" customWidth="1"/>
    <col min="14867" max="14867" width="32.42578125" style="51" customWidth="1"/>
    <col min="14868" max="15108" width="9.140625" style="51"/>
    <col min="15109" max="15109" width="35.85546875" style="51" customWidth="1"/>
    <col min="15110" max="15110" width="10.85546875" style="51" customWidth="1"/>
    <col min="15111" max="15111" width="0" style="51" hidden="1" customWidth="1"/>
    <col min="15112" max="15112" width="13" style="51" customWidth="1"/>
    <col min="15113" max="15114" width="15.42578125" style="51" customWidth="1"/>
    <col min="15115" max="15115" width="10.7109375" style="51" customWidth="1"/>
    <col min="15116" max="15116" width="14.28515625" style="51" customWidth="1"/>
    <col min="15117" max="15118" width="0" style="51" hidden="1" customWidth="1"/>
    <col min="15119" max="15119" width="11" style="51" customWidth="1"/>
    <col min="15120" max="15120" width="14.28515625" style="51" customWidth="1"/>
    <col min="15121" max="15121" width="9.7109375" style="51" customWidth="1"/>
    <col min="15122" max="15122" width="9.85546875" style="51" customWidth="1"/>
    <col min="15123" max="15123" width="32.42578125" style="51" customWidth="1"/>
    <col min="15124" max="15364" width="9.140625" style="51"/>
    <col min="15365" max="15365" width="35.85546875" style="51" customWidth="1"/>
    <col min="15366" max="15366" width="10.85546875" style="51" customWidth="1"/>
    <col min="15367" max="15367" width="0" style="51" hidden="1" customWidth="1"/>
    <col min="15368" max="15368" width="13" style="51" customWidth="1"/>
    <col min="15369" max="15370" width="15.42578125" style="51" customWidth="1"/>
    <col min="15371" max="15371" width="10.7109375" style="51" customWidth="1"/>
    <col min="15372" max="15372" width="14.28515625" style="51" customWidth="1"/>
    <col min="15373" max="15374" width="0" style="51" hidden="1" customWidth="1"/>
    <col min="15375" max="15375" width="11" style="51" customWidth="1"/>
    <col min="15376" max="15376" width="14.28515625" style="51" customWidth="1"/>
    <col min="15377" max="15377" width="9.7109375" style="51" customWidth="1"/>
    <col min="15378" max="15378" width="9.85546875" style="51" customWidth="1"/>
    <col min="15379" max="15379" width="32.42578125" style="51" customWidth="1"/>
    <col min="15380" max="15620" width="9.140625" style="51"/>
    <col min="15621" max="15621" width="35.85546875" style="51" customWidth="1"/>
    <col min="15622" max="15622" width="10.85546875" style="51" customWidth="1"/>
    <col min="15623" max="15623" width="0" style="51" hidden="1" customWidth="1"/>
    <col min="15624" max="15624" width="13" style="51" customWidth="1"/>
    <col min="15625" max="15626" width="15.42578125" style="51" customWidth="1"/>
    <col min="15627" max="15627" width="10.7109375" style="51" customWidth="1"/>
    <col min="15628" max="15628" width="14.28515625" style="51" customWidth="1"/>
    <col min="15629" max="15630" width="0" style="51" hidden="1" customWidth="1"/>
    <col min="15631" max="15631" width="11" style="51" customWidth="1"/>
    <col min="15632" max="15632" width="14.28515625" style="51" customWidth="1"/>
    <col min="15633" max="15633" width="9.7109375" style="51" customWidth="1"/>
    <col min="15634" max="15634" width="9.85546875" style="51" customWidth="1"/>
    <col min="15635" max="15635" width="32.42578125" style="51" customWidth="1"/>
    <col min="15636" max="15876" width="9.140625" style="51"/>
    <col min="15877" max="15877" width="35.85546875" style="51" customWidth="1"/>
    <col min="15878" max="15878" width="10.85546875" style="51" customWidth="1"/>
    <col min="15879" max="15879" width="0" style="51" hidden="1" customWidth="1"/>
    <col min="15880" max="15880" width="13" style="51" customWidth="1"/>
    <col min="15881" max="15882" width="15.42578125" style="51" customWidth="1"/>
    <col min="15883" max="15883" width="10.7109375" style="51" customWidth="1"/>
    <col min="15884" max="15884" width="14.28515625" style="51" customWidth="1"/>
    <col min="15885" max="15886" width="0" style="51" hidden="1" customWidth="1"/>
    <col min="15887" max="15887" width="11" style="51" customWidth="1"/>
    <col min="15888" max="15888" width="14.28515625" style="51" customWidth="1"/>
    <col min="15889" max="15889" width="9.7109375" style="51" customWidth="1"/>
    <col min="15890" max="15890" width="9.85546875" style="51" customWidth="1"/>
    <col min="15891" max="15891" width="32.42578125" style="51" customWidth="1"/>
    <col min="15892" max="16132" width="9.140625" style="51"/>
    <col min="16133" max="16133" width="35.85546875" style="51" customWidth="1"/>
    <col min="16134" max="16134" width="10.85546875" style="51" customWidth="1"/>
    <col min="16135" max="16135" width="0" style="51" hidden="1" customWidth="1"/>
    <col min="16136" max="16136" width="13" style="51" customWidth="1"/>
    <col min="16137" max="16138" width="15.42578125" style="51" customWidth="1"/>
    <col min="16139" max="16139" width="10.7109375" style="51" customWidth="1"/>
    <col min="16140" max="16140" width="14.28515625" style="51" customWidth="1"/>
    <col min="16141" max="16142" width="0" style="51" hidden="1" customWidth="1"/>
    <col min="16143" max="16143" width="11" style="51" customWidth="1"/>
    <col min="16144" max="16144" width="14.28515625" style="51" customWidth="1"/>
    <col min="16145" max="16145" width="9.7109375" style="51" customWidth="1"/>
    <col min="16146" max="16146" width="9.85546875" style="51" customWidth="1"/>
    <col min="16147" max="16147" width="32.42578125" style="51" customWidth="1"/>
    <col min="16148" max="16384" width="9.140625" style="51"/>
  </cols>
  <sheetData>
    <row r="1" spans="1:19" ht="15" customHeight="1">
      <c r="S1" s="228" t="s">
        <v>235</v>
      </c>
    </row>
    <row r="2" spans="1:19">
      <c r="S2" s="228"/>
    </row>
    <row r="3" spans="1:19" ht="12.75" customHeight="1">
      <c r="A3" s="229" t="s">
        <v>236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</row>
    <row r="4" spans="1:19" ht="31.5" customHeight="1">
      <c r="A4" s="229"/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</row>
    <row r="5" spans="1:19" ht="12" customHeight="1" thickBot="1">
      <c r="A5" s="52"/>
      <c r="B5" s="52"/>
      <c r="C5" s="53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</row>
    <row r="6" spans="1:19" ht="26.25" customHeight="1" thickBot="1">
      <c r="A6" s="230"/>
      <c r="B6" s="233" t="s">
        <v>30</v>
      </c>
      <c r="C6" s="54"/>
      <c r="D6" s="236" t="s">
        <v>31</v>
      </c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8" t="s">
        <v>32</v>
      </c>
    </row>
    <row r="7" spans="1:19" ht="12" customHeight="1" thickBot="1">
      <c r="A7" s="231"/>
      <c r="B7" s="234"/>
      <c r="C7" s="55"/>
      <c r="D7" s="224" t="s">
        <v>33</v>
      </c>
      <c r="E7" s="224" t="s">
        <v>34</v>
      </c>
      <c r="F7" s="226" t="s">
        <v>35</v>
      </c>
      <c r="G7" s="226" t="s">
        <v>36</v>
      </c>
      <c r="H7" s="224" t="s">
        <v>37</v>
      </c>
      <c r="I7" s="224" t="s">
        <v>38</v>
      </c>
      <c r="J7" s="224" t="s">
        <v>39</v>
      </c>
      <c r="K7" s="224" t="s">
        <v>40</v>
      </c>
      <c r="L7" s="226" t="s">
        <v>41</v>
      </c>
      <c r="M7" s="224" t="s">
        <v>42</v>
      </c>
      <c r="N7" s="224" t="s">
        <v>43</v>
      </c>
      <c r="O7" s="224" t="s">
        <v>44</v>
      </c>
      <c r="P7" s="226" t="s">
        <v>45</v>
      </c>
      <c r="Q7" s="226" t="s">
        <v>46</v>
      </c>
      <c r="R7" s="226" t="s">
        <v>47</v>
      </c>
      <c r="S7" s="239"/>
    </row>
    <row r="8" spans="1:19" ht="64.5" customHeight="1" thickBot="1">
      <c r="A8" s="232"/>
      <c r="B8" s="235"/>
      <c r="C8" s="55"/>
      <c r="D8" s="225"/>
      <c r="E8" s="225"/>
      <c r="F8" s="227"/>
      <c r="G8" s="227"/>
      <c r="H8" s="225"/>
      <c r="I8" s="225"/>
      <c r="J8" s="225"/>
      <c r="K8" s="225"/>
      <c r="L8" s="227"/>
      <c r="M8" s="225"/>
      <c r="N8" s="225"/>
      <c r="O8" s="225"/>
      <c r="P8" s="227"/>
      <c r="Q8" s="227"/>
      <c r="R8" s="227"/>
      <c r="S8" s="240"/>
    </row>
    <row r="9" spans="1:19" ht="12.75" customHeight="1">
      <c r="A9" s="56" t="s">
        <v>48</v>
      </c>
      <c r="B9" s="57" t="s">
        <v>49</v>
      </c>
      <c r="C9" s="58"/>
      <c r="D9" s="1">
        <v>3285</v>
      </c>
      <c r="E9" s="2">
        <v>3285</v>
      </c>
      <c r="F9" s="2">
        <v>3600</v>
      </c>
      <c r="G9" s="2">
        <v>269</v>
      </c>
      <c r="H9" s="2">
        <v>365</v>
      </c>
      <c r="I9" s="2">
        <v>730</v>
      </c>
      <c r="J9" s="2">
        <v>416</v>
      </c>
      <c r="K9" s="2">
        <v>730</v>
      </c>
      <c r="L9" s="2">
        <v>44</v>
      </c>
      <c r="M9" s="2">
        <v>365</v>
      </c>
      <c r="N9" s="2">
        <v>247</v>
      </c>
      <c r="O9" s="2">
        <v>365</v>
      </c>
      <c r="P9" s="2">
        <v>730</v>
      </c>
      <c r="Q9" s="2">
        <v>208</v>
      </c>
      <c r="R9" s="2">
        <v>1460</v>
      </c>
      <c r="S9" s="222" t="s">
        <v>50</v>
      </c>
    </row>
    <row r="10" spans="1:19" ht="12.75" customHeight="1">
      <c r="A10" s="59" t="s">
        <v>51</v>
      </c>
      <c r="B10" s="60" t="s">
        <v>52</v>
      </c>
      <c r="C10" s="61"/>
      <c r="D10" s="1">
        <v>25.8</v>
      </c>
      <c r="E10" s="2">
        <v>25.8</v>
      </c>
      <c r="F10" s="2">
        <v>65.2</v>
      </c>
      <c r="G10" s="2">
        <v>15.2</v>
      </c>
      <c r="H10" s="2">
        <v>343.2</v>
      </c>
      <c r="I10" s="2">
        <v>425.4</v>
      </c>
      <c r="J10" s="2">
        <v>1071.2</v>
      </c>
      <c r="K10" s="2">
        <v>772.4</v>
      </c>
      <c r="L10" s="2">
        <v>268</v>
      </c>
      <c r="M10" s="2">
        <v>850</v>
      </c>
      <c r="N10" s="2">
        <v>614</v>
      </c>
      <c r="O10" s="2">
        <v>1354</v>
      </c>
      <c r="P10" s="2">
        <v>298</v>
      </c>
      <c r="Q10" s="2">
        <v>336</v>
      </c>
      <c r="R10" s="2">
        <v>168.8</v>
      </c>
      <c r="S10" s="211"/>
    </row>
    <row r="11" spans="1:19" ht="12.75" customHeight="1" thickBot="1">
      <c r="A11" s="62" t="s">
        <v>53</v>
      </c>
      <c r="B11" s="63" t="s">
        <v>54</v>
      </c>
      <c r="C11" s="64"/>
      <c r="D11" s="3">
        <v>3285</v>
      </c>
      <c r="E11" s="4">
        <v>3285</v>
      </c>
      <c r="F11" s="4">
        <v>7200</v>
      </c>
      <c r="G11" s="4">
        <v>269</v>
      </c>
      <c r="H11" s="4">
        <v>4380</v>
      </c>
      <c r="I11" s="4">
        <v>3650</v>
      </c>
      <c r="J11" s="4">
        <v>7488</v>
      </c>
      <c r="K11" s="4">
        <v>10220</v>
      </c>
      <c r="L11" s="4">
        <v>198</v>
      </c>
      <c r="M11" s="4">
        <v>2555</v>
      </c>
      <c r="N11" s="4">
        <v>1976</v>
      </c>
      <c r="O11" s="4">
        <v>8760</v>
      </c>
      <c r="P11" s="4">
        <v>4380</v>
      </c>
      <c r="Q11" s="4">
        <v>1872</v>
      </c>
      <c r="R11" s="4">
        <v>5840</v>
      </c>
      <c r="S11" s="223"/>
    </row>
    <row r="12" spans="1:19" ht="24.75" customHeight="1">
      <c r="A12" s="62" t="s">
        <v>55</v>
      </c>
      <c r="B12" s="63" t="s">
        <v>54</v>
      </c>
      <c r="C12" s="58"/>
      <c r="D12" s="5">
        <f>D11/D9</f>
        <v>1</v>
      </c>
      <c r="E12" s="5">
        <f>E11/E9</f>
        <v>1</v>
      </c>
      <c r="F12" s="5">
        <f t="shared" ref="F12:R12" si="0">F11/F9</f>
        <v>2</v>
      </c>
      <c r="G12" s="5">
        <f t="shared" si="0"/>
        <v>1</v>
      </c>
      <c r="H12" s="5">
        <f t="shared" si="0"/>
        <v>12</v>
      </c>
      <c r="I12" s="5">
        <f t="shared" si="0"/>
        <v>5</v>
      </c>
      <c r="J12" s="5">
        <f t="shared" si="0"/>
        <v>18</v>
      </c>
      <c r="K12" s="5">
        <f t="shared" si="0"/>
        <v>14</v>
      </c>
      <c r="L12" s="5">
        <f t="shared" si="0"/>
        <v>4.5</v>
      </c>
      <c r="M12" s="5">
        <f t="shared" si="0"/>
        <v>7</v>
      </c>
      <c r="N12" s="5">
        <f t="shared" si="0"/>
        <v>8</v>
      </c>
      <c r="O12" s="5">
        <f t="shared" si="0"/>
        <v>24</v>
      </c>
      <c r="P12" s="5">
        <f t="shared" si="0"/>
        <v>6</v>
      </c>
      <c r="Q12" s="5">
        <f t="shared" si="0"/>
        <v>9</v>
      </c>
      <c r="R12" s="5">
        <f t="shared" si="0"/>
        <v>4</v>
      </c>
      <c r="S12" s="25" t="s">
        <v>56</v>
      </c>
    </row>
    <row r="13" spans="1:19" ht="37.5" customHeight="1">
      <c r="A13" s="65" t="s">
        <v>57</v>
      </c>
      <c r="B13" s="63" t="s">
        <v>58</v>
      </c>
      <c r="C13" s="66"/>
      <c r="D13" s="6">
        <v>50</v>
      </c>
      <c r="E13" s="6">
        <v>50</v>
      </c>
      <c r="F13" s="6">
        <v>50</v>
      </c>
      <c r="G13" s="6">
        <v>50</v>
      </c>
      <c r="H13" s="6">
        <v>50</v>
      </c>
      <c r="I13" s="6">
        <v>50</v>
      </c>
      <c r="J13" s="6">
        <v>50</v>
      </c>
      <c r="K13" s="6">
        <v>50</v>
      </c>
      <c r="L13" s="6">
        <v>50</v>
      </c>
      <c r="M13" s="6">
        <v>50</v>
      </c>
      <c r="N13" s="6">
        <v>50</v>
      </c>
      <c r="O13" s="6">
        <v>50</v>
      </c>
      <c r="P13" s="6">
        <v>50</v>
      </c>
      <c r="Q13" s="6">
        <v>50</v>
      </c>
      <c r="R13" s="6">
        <v>50</v>
      </c>
      <c r="S13" s="25" t="s">
        <v>59</v>
      </c>
    </row>
    <row r="14" spans="1:19" ht="12.75" customHeight="1">
      <c r="A14" s="67" t="s">
        <v>60</v>
      </c>
      <c r="B14" s="68" t="s">
        <v>52</v>
      </c>
      <c r="C14" s="69"/>
      <c r="D14" s="7">
        <f>D17/0.95</f>
        <v>89213.68421052632</v>
      </c>
      <c r="E14" s="7">
        <f t="shared" ref="E14:R14" si="1">E17/0.95</f>
        <v>89213.68421052632</v>
      </c>
      <c r="F14" s="7">
        <f t="shared" si="1"/>
        <v>247073.68421052632</v>
      </c>
      <c r="G14" s="7">
        <f t="shared" si="1"/>
        <v>4304</v>
      </c>
      <c r="H14" s="7">
        <f t="shared" si="1"/>
        <v>131861.05263157896</v>
      </c>
      <c r="I14" s="7">
        <f t="shared" si="1"/>
        <v>326886.31578947371</v>
      </c>
      <c r="J14" s="7">
        <f t="shared" si="1"/>
        <v>469072.8421052632</v>
      </c>
      <c r="K14" s="7">
        <f t="shared" si="1"/>
        <v>593528.42105263157</v>
      </c>
      <c r="L14" s="7">
        <f t="shared" si="1"/>
        <v>12412.631578947368</v>
      </c>
      <c r="M14" s="7">
        <f t="shared" si="1"/>
        <v>326578.94736842107</v>
      </c>
      <c r="N14" s="7">
        <f t="shared" si="1"/>
        <v>159640</v>
      </c>
      <c r="O14" s="7">
        <f t="shared" si="1"/>
        <v>520221.05263157899</v>
      </c>
      <c r="P14" s="7">
        <f t="shared" si="1"/>
        <v>228989.47368421053</v>
      </c>
      <c r="Q14" s="7">
        <f t="shared" si="1"/>
        <v>73566.315789473694</v>
      </c>
      <c r="R14" s="7">
        <f t="shared" si="1"/>
        <v>259418.9473684211</v>
      </c>
      <c r="S14" s="209"/>
    </row>
    <row r="15" spans="1:19" ht="12.75" customHeight="1">
      <c r="A15" s="67" t="s">
        <v>61</v>
      </c>
      <c r="B15" s="68" t="s">
        <v>52</v>
      </c>
      <c r="C15" s="69"/>
      <c r="D15" s="7">
        <f>D14/2</f>
        <v>44606.84210526316</v>
      </c>
      <c r="E15" s="7">
        <f t="shared" ref="E15:R15" si="2">E14/2</f>
        <v>44606.84210526316</v>
      </c>
      <c r="F15" s="7">
        <f t="shared" si="2"/>
        <v>123536.84210526316</v>
      </c>
      <c r="G15" s="7">
        <f t="shared" si="2"/>
        <v>2152</v>
      </c>
      <c r="H15" s="7">
        <f t="shared" si="2"/>
        <v>65930.526315789481</v>
      </c>
      <c r="I15" s="7">
        <f t="shared" si="2"/>
        <v>163443.15789473685</v>
      </c>
      <c r="J15" s="7">
        <f t="shared" si="2"/>
        <v>234536.4210526316</v>
      </c>
      <c r="K15" s="7">
        <f t="shared" si="2"/>
        <v>296764.21052631579</v>
      </c>
      <c r="L15" s="7">
        <f t="shared" si="2"/>
        <v>6206.3157894736842</v>
      </c>
      <c r="M15" s="7">
        <f t="shared" si="2"/>
        <v>163289.47368421053</v>
      </c>
      <c r="N15" s="7">
        <f t="shared" si="2"/>
        <v>79820</v>
      </c>
      <c r="O15" s="7">
        <f t="shared" si="2"/>
        <v>260110.5263157895</v>
      </c>
      <c r="P15" s="7">
        <f t="shared" si="2"/>
        <v>114494.73684210527</v>
      </c>
      <c r="Q15" s="7">
        <f t="shared" si="2"/>
        <v>36783.157894736847</v>
      </c>
      <c r="R15" s="7">
        <f t="shared" si="2"/>
        <v>129709.47368421055</v>
      </c>
      <c r="S15" s="210"/>
    </row>
    <row r="16" spans="1:19" ht="12.75" customHeight="1">
      <c r="A16" s="67" t="s">
        <v>62</v>
      </c>
      <c r="B16" s="68" t="s">
        <v>52</v>
      </c>
      <c r="C16" s="69"/>
      <c r="D16" s="7">
        <f>D14/2</f>
        <v>44606.84210526316</v>
      </c>
      <c r="E16" s="7">
        <f t="shared" ref="E16:R16" si="3">E14/2</f>
        <v>44606.84210526316</v>
      </c>
      <c r="F16" s="7">
        <f t="shared" si="3"/>
        <v>123536.84210526316</v>
      </c>
      <c r="G16" s="7">
        <f t="shared" si="3"/>
        <v>2152</v>
      </c>
      <c r="H16" s="7">
        <f t="shared" si="3"/>
        <v>65930.526315789481</v>
      </c>
      <c r="I16" s="7">
        <f t="shared" si="3"/>
        <v>163443.15789473685</v>
      </c>
      <c r="J16" s="7">
        <f t="shared" si="3"/>
        <v>234536.4210526316</v>
      </c>
      <c r="K16" s="7">
        <f t="shared" si="3"/>
        <v>296764.21052631579</v>
      </c>
      <c r="L16" s="7">
        <f t="shared" si="3"/>
        <v>6206.3157894736842</v>
      </c>
      <c r="M16" s="7">
        <f t="shared" si="3"/>
        <v>163289.47368421053</v>
      </c>
      <c r="N16" s="7">
        <f t="shared" si="3"/>
        <v>79820</v>
      </c>
      <c r="O16" s="7">
        <f t="shared" si="3"/>
        <v>260110.5263157895</v>
      </c>
      <c r="P16" s="7">
        <f t="shared" si="3"/>
        <v>114494.73684210527</v>
      </c>
      <c r="Q16" s="7">
        <f t="shared" si="3"/>
        <v>36783.157894736847</v>
      </c>
      <c r="R16" s="7">
        <f t="shared" si="3"/>
        <v>129709.47368421055</v>
      </c>
      <c r="S16" s="211"/>
    </row>
    <row r="17" spans="1:19">
      <c r="A17" s="70" t="s">
        <v>63</v>
      </c>
      <c r="B17" s="68" t="s">
        <v>52</v>
      </c>
      <c r="C17" s="69"/>
      <c r="D17" s="7">
        <f>D9*D10</f>
        <v>84753</v>
      </c>
      <c r="E17" s="7">
        <f t="shared" ref="E17:R17" si="4">E9*E10</f>
        <v>84753</v>
      </c>
      <c r="F17" s="7">
        <f t="shared" si="4"/>
        <v>234720</v>
      </c>
      <c r="G17" s="7">
        <f t="shared" si="4"/>
        <v>4088.7999999999997</v>
      </c>
      <c r="H17" s="7">
        <f t="shared" si="4"/>
        <v>125268</v>
      </c>
      <c r="I17" s="7">
        <f t="shared" si="4"/>
        <v>310542</v>
      </c>
      <c r="J17" s="7">
        <f t="shared" si="4"/>
        <v>445619.20000000001</v>
      </c>
      <c r="K17" s="7">
        <f t="shared" si="4"/>
        <v>563852</v>
      </c>
      <c r="L17" s="7">
        <v>11792</v>
      </c>
      <c r="M17" s="7">
        <f t="shared" si="4"/>
        <v>310250</v>
      </c>
      <c r="N17" s="7">
        <f t="shared" si="4"/>
        <v>151658</v>
      </c>
      <c r="O17" s="7">
        <f t="shared" si="4"/>
        <v>494210</v>
      </c>
      <c r="P17" s="7">
        <f t="shared" si="4"/>
        <v>217540</v>
      </c>
      <c r="Q17" s="7">
        <f t="shared" si="4"/>
        <v>69888</v>
      </c>
      <c r="R17" s="7">
        <f t="shared" si="4"/>
        <v>246448.00000000003</v>
      </c>
      <c r="S17" s="25"/>
    </row>
    <row r="18" spans="1:19">
      <c r="A18" s="71" t="s">
        <v>64</v>
      </c>
      <c r="B18" s="72" t="s">
        <v>65</v>
      </c>
      <c r="C18" s="73"/>
      <c r="D18" s="8">
        <f t="shared" ref="D18:R18" si="5">(D14-D17)/D14*100</f>
        <v>5.0000000000000053</v>
      </c>
      <c r="E18" s="8">
        <f t="shared" si="5"/>
        <v>5.0000000000000053</v>
      </c>
      <c r="F18" s="8">
        <f t="shared" si="5"/>
        <v>5.0000000000000018</v>
      </c>
      <c r="G18" s="8">
        <f t="shared" si="5"/>
        <v>5.0000000000000062</v>
      </c>
      <c r="H18" s="8">
        <f t="shared" si="5"/>
        <v>5.0000000000000098</v>
      </c>
      <c r="I18" s="8">
        <f t="shared" si="5"/>
        <v>5.0000000000000071</v>
      </c>
      <c r="J18" s="8">
        <f t="shared" si="5"/>
        <v>5.0000000000000062</v>
      </c>
      <c r="K18" s="8">
        <f t="shared" si="5"/>
        <v>4.9999999999999991</v>
      </c>
      <c r="L18" s="8">
        <f t="shared" si="5"/>
        <v>5</v>
      </c>
      <c r="M18" s="8">
        <f t="shared" si="5"/>
        <v>5.0000000000000044</v>
      </c>
      <c r="N18" s="8">
        <f t="shared" si="5"/>
        <v>5</v>
      </c>
      <c r="O18" s="8">
        <f t="shared" si="5"/>
        <v>5.000000000000008</v>
      </c>
      <c r="P18" s="8">
        <f t="shared" si="5"/>
        <v>5.0000000000000027</v>
      </c>
      <c r="Q18" s="8">
        <f t="shared" si="5"/>
        <v>5.0000000000000124</v>
      </c>
      <c r="R18" s="8">
        <f t="shared" si="5"/>
        <v>5.0000000000000053</v>
      </c>
      <c r="S18" s="28"/>
    </row>
    <row r="19" spans="1:19" ht="33.75">
      <c r="A19" s="71" t="s">
        <v>66</v>
      </c>
      <c r="B19" s="72" t="s">
        <v>67</v>
      </c>
      <c r="C19" s="74" t="e">
        <f>#REF!/#REF!*100</f>
        <v>#REF!</v>
      </c>
      <c r="D19" s="22">
        <f>D17*D20/1000</f>
        <v>2542.59</v>
      </c>
      <c r="E19" s="22">
        <f t="shared" ref="E19:R19" si="6">E17*E20/1000</f>
        <v>2288.3310000000001</v>
      </c>
      <c r="F19" s="22">
        <f t="shared" si="6"/>
        <v>6102.72</v>
      </c>
      <c r="G19" s="22">
        <f t="shared" si="6"/>
        <v>114.4864</v>
      </c>
      <c r="H19" s="22">
        <f t="shared" si="6"/>
        <v>3256.9679999999998</v>
      </c>
      <c r="I19" s="22">
        <f t="shared" si="6"/>
        <v>5900.2979999999998</v>
      </c>
      <c r="J19" s="22">
        <f t="shared" si="6"/>
        <v>11697.504000000001</v>
      </c>
      <c r="K19" s="22">
        <f t="shared" si="6"/>
        <v>13645.2184</v>
      </c>
      <c r="L19" s="22">
        <f t="shared" si="6"/>
        <v>306.59199999999998</v>
      </c>
      <c r="M19" s="22">
        <f t="shared" si="6"/>
        <v>6515.25</v>
      </c>
      <c r="N19" s="22">
        <f t="shared" si="6"/>
        <v>3184.8180000000002</v>
      </c>
      <c r="O19" s="22">
        <f t="shared" si="6"/>
        <v>11613.934999999999</v>
      </c>
      <c r="P19" s="22">
        <f t="shared" si="6"/>
        <v>5208.9952999999996</v>
      </c>
      <c r="Q19" s="22">
        <f t="shared" si="6"/>
        <v>1817.088</v>
      </c>
      <c r="R19" s="22">
        <f t="shared" si="6"/>
        <v>6407.648000000001</v>
      </c>
      <c r="S19" s="25" t="s">
        <v>68</v>
      </c>
    </row>
    <row r="20" spans="1:19" ht="34.5" thickBot="1">
      <c r="A20" s="75" t="s">
        <v>69</v>
      </c>
      <c r="B20" s="72" t="s">
        <v>70</v>
      </c>
      <c r="C20" s="76"/>
      <c r="D20" s="5">
        <f>D13*D21</f>
        <v>30</v>
      </c>
      <c r="E20" s="5">
        <f t="shared" ref="E20:R20" si="7">E13*E21</f>
        <v>27</v>
      </c>
      <c r="F20" s="5">
        <f t="shared" si="7"/>
        <v>26</v>
      </c>
      <c r="G20" s="5">
        <f t="shared" si="7"/>
        <v>28.000000000000004</v>
      </c>
      <c r="H20" s="5">
        <f t="shared" si="7"/>
        <v>26</v>
      </c>
      <c r="I20" s="5">
        <f t="shared" si="7"/>
        <v>19</v>
      </c>
      <c r="J20" s="5">
        <f t="shared" si="7"/>
        <v>26.25</v>
      </c>
      <c r="K20" s="5">
        <f t="shared" si="7"/>
        <v>24.2</v>
      </c>
      <c r="L20" s="5">
        <f t="shared" si="7"/>
        <v>26</v>
      </c>
      <c r="M20" s="5">
        <f t="shared" si="7"/>
        <v>21</v>
      </c>
      <c r="N20" s="5">
        <f t="shared" si="7"/>
        <v>21</v>
      </c>
      <c r="O20" s="5">
        <f t="shared" si="7"/>
        <v>23.5</v>
      </c>
      <c r="P20" s="5">
        <f t="shared" si="7"/>
        <v>23.945</v>
      </c>
      <c r="Q20" s="5">
        <f t="shared" si="7"/>
        <v>26</v>
      </c>
      <c r="R20" s="5">
        <f t="shared" si="7"/>
        <v>26</v>
      </c>
      <c r="S20" s="25" t="s">
        <v>71</v>
      </c>
    </row>
    <row r="21" spans="1:19" ht="23.25" thickBot="1">
      <c r="A21" s="77" t="s">
        <v>72</v>
      </c>
      <c r="B21" s="78" t="s">
        <v>73</v>
      </c>
      <c r="C21" s="79"/>
      <c r="D21" s="80">
        <v>0.6</v>
      </c>
      <c r="E21" s="81">
        <v>0.54</v>
      </c>
      <c r="F21" s="81">
        <v>0.52</v>
      </c>
      <c r="G21" s="81">
        <v>0.56000000000000005</v>
      </c>
      <c r="H21" s="81">
        <v>0.52</v>
      </c>
      <c r="I21" s="81">
        <v>0.38</v>
      </c>
      <c r="J21" s="81">
        <v>0.52500000000000002</v>
      </c>
      <c r="K21" s="81">
        <v>0.48399999999999999</v>
      </c>
      <c r="L21" s="81">
        <v>0.52</v>
      </c>
      <c r="M21" s="81">
        <v>0.42</v>
      </c>
      <c r="N21" s="81">
        <v>0.42</v>
      </c>
      <c r="O21" s="81">
        <v>0.47</v>
      </c>
      <c r="P21" s="81">
        <v>0.47889999999999999</v>
      </c>
      <c r="Q21" s="81">
        <v>0.52</v>
      </c>
      <c r="R21" s="81">
        <v>0.52</v>
      </c>
      <c r="S21" s="82" t="s">
        <v>74</v>
      </c>
    </row>
    <row r="22" spans="1:19" ht="15" thickBot="1">
      <c r="A22" s="83" t="s">
        <v>75</v>
      </c>
      <c r="B22" s="84" t="s">
        <v>76</v>
      </c>
      <c r="C22" s="85"/>
      <c r="D22" s="86">
        <f>D42</f>
        <v>22.00983049585324</v>
      </c>
      <c r="E22" s="86">
        <f t="shared" ref="E22:R22" si="8">E42</f>
        <v>22.00983049585324</v>
      </c>
      <c r="F22" s="86">
        <f t="shared" si="8"/>
        <v>17.418822907761154</v>
      </c>
      <c r="G22" s="86">
        <v>0.6</v>
      </c>
      <c r="H22" s="86">
        <f t="shared" si="8"/>
        <v>19.855021915839636</v>
      </c>
      <c r="I22" s="86">
        <v>0.4</v>
      </c>
      <c r="J22" s="86">
        <f t="shared" si="8"/>
        <v>9.541976551787009</v>
      </c>
      <c r="K22" s="86">
        <f t="shared" si="8"/>
        <v>10.292530780815884</v>
      </c>
      <c r="L22" s="86">
        <f t="shared" si="8"/>
        <v>5.367163746742718</v>
      </c>
      <c r="M22" s="86">
        <f t="shared" si="8"/>
        <v>4.6764416324130531</v>
      </c>
      <c r="N22" s="86">
        <f t="shared" si="8"/>
        <v>7.3987443230360075</v>
      </c>
      <c r="O22" s="86">
        <f t="shared" si="8"/>
        <v>10.065352321294185</v>
      </c>
      <c r="P22" s="86">
        <f>P42</f>
        <v>11.433294499188193</v>
      </c>
      <c r="Q22" s="86">
        <f t="shared" si="8"/>
        <v>15.210365003384291</v>
      </c>
      <c r="R22" s="86">
        <f t="shared" si="8"/>
        <v>13.456247080403163</v>
      </c>
      <c r="S22" s="87"/>
    </row>
    <row r="23" spans="1:19" ht="15.75" customHeight="1">
      <c r="A23" s="88" t="s">
        <v>77</v>
      </c>
      <c r="B23" s="89" t="s">
        <v>78</v>
      </c>
      <c r="C23" s="90"/>
      <c r="D23" s="5">
        <v>44073.7</v>
      </c>
      <c r="E23" s="5">
        <v>44073.7</v>
      </c>
      <c r="F23" s="5">
        <v>44073.7</v>
      </c>
      <c r="G23" s="5">
        <v>44073.7</v>
      </c>
      <c r="H23" s="5">
        <v>44073.7</v>
      </c>
      <c r="I23" s="5">
        <v>44073.7</v>
      </c>
      <c r="J23" s="5">
        <v>44073.7</v>
      </c>
      <c r="K23" s="5">
        <v>44073.7</v>
      </c>
      <c r="L23" s="5">
        <v>44073.7</v>
      </c>
      <c r="M23" s="5">
        <v>44073.7</v>
      </c>
      <c r="N23" s="5">
        <v>44073.7</v>
      </c>
      <c r="O23" s="5">
        <v>44073.7</v>
      </c>
      <c r="P23" s="5">
        <v>44073.7</v>
      </c>
      <c r="Q23" s="5">
        <v>44073.7</v>
      </c>
      <c r="R23" s="5">
        <v>44073.7</v>
      </c>
      <c r="S23" s="25" t="s">
        <v>227</v>
      </c>
    </row>
    <row r="24" spans="1:19" ht="15.75">
      <c r="A24" s="91" t="s">
        <v>79</v>
      </c>
      <c r="B24" s="92" t="s">
        <v>80</v>
      </c>
      <c r="C24" s="93"/>
      <c r="D24" s="94">
        <v>1</v>
      </c>
      <c r="E24" s="94">
        <v>1</v>
      </c>
      <c r="F24" s="94">
        <v>1</v>
      </c>
      <c r="G24" s="94">
        <v>1</v>
      </c>
      <c r="H24" s="94">
        <v>1</v>
      </c>
      <c r="I24" s="94">
        <v>1</v>
      </c>
      <c r="J24" s="94">
        <v>1</v>
      </c>
      <c r="K24" s="94">
        <v>1</v>
      </c>
      <c r="L24" s="94">
        <v>1</v>
      </c>
      <c r="M24" s="94">
        <v>1</v>
      </c>
      <c r="N24" s="94">
        <v>1</v>
      </c>
      <c r="O24" s="94">
        <v>1</v>
      </c>
      <c r="P24" s="94">
        <v>1</v>
      </c>
      <c r="Q24" s="94">
        <v>1</v>
      </c>
      <c r="R24" s="94">
        <v>1</v>
      </c>
      <c r="S24" s="209"/>
    </row>
    <row r="25" spans="1:19" ht="15.75">
      <c r="A25" s="95" t="s">
        <v>81</v>
      </c>
      <c r="B25" s="92" t="s">
        <v>80</v>
      </c>
      <c r="C25" s="93"/>
      <c r="D25" s="94">
        <v>0.8</v>
      </c>
      <c r="E25" s="94">
        <v>0.8</v>
      </c>
      <c r="F25" s="94">
        <v>0.8</v>
      </c>
      <c r="G25" s="94">
        <v>0.8</v>
      </c>
      <c r="H25" s="94">
        <v>0.8</v>
      </c>
      <c r="I25" s="94">
        <v>0.8</v>
      </c>
      <c r="J25" s="94">
        <v>0.8</v>
      </c>
      <c r="K25" s="94">
        <v>0.8</v>
      </c>
      <c r="L25" s="94"/>
      <c r="M25" s="94">
        <v>0.8</v>
      </c>
      <c r="N25" s="94">
        <v>0.8</v>
      </c>
      <c r="O25" s="94">
        <v>0.8</v>
      </c>
      <c r="P25" s="94">
        <v>0.8</v>
      </c>
      <c r="Q25" s="94">
        <v>0.8</v>
      </c>
      <c r="R25" s="94">
        <v>0.8</v>
      </c>
      <c r="S25" s="211"/>
    </row>
    <row r="26" spans="1:19" ht="15.75">
      <c r="A26" s="95" t="s">
        <v>82</v>
      </c>
      <c r="B26" s="68" t="s">
        <v>78</v>
      </c>
      <c r="C26" s="96"/>
      <c r="D26" s="97">
        <f>D23*D24</f>
        <v>44073.7</v>
      </c>
      <c r="E26" s="97">
        <f t="shared" ref="E26:R26" si="9">E23*E24</f>
        <v>44073.7</v>
      </c>
      <c r="F26" s="97">
        <f t="shared" si="9"/>
        <v>44073.7</v>
      </c>
      <c r="G26" s="97">
        <f t="shared" si="9"/>
        <v>44073.7</v>
      </c>
      <c r="H26" s="97">
        <f t="shared" si="9"/>
        <v>44073.7</v>
      </c>
      <c r="I26" s="97">
        <f t="shared" si="9"/>
        <v>44073.7</v>
      </c>
      <c r="J26" s="97">
        <f t="shared" si="9"/>
        <v>44073.7</v>
      </c>
      <c r="K26" s="97">
        <f t="shared" si="9"/>
        <v>44073.7</v>
      </c>
      <c r="L26" s="97">
        <f t="shared" si="9"/>
        <v>44073.7</v>
      </c>
      <c r="M26" s="97">
        <f t="shared" si="9"/>
        <v>44073.7</v>
      </c>
      <c r="N26" s="97">
        <f t="shared" si="9"/>
        <v>44073.7</v>
      </c>
      <c r="O26" s="97">
        <f t="shared" si="9"/>
        <v>44073.7</v>
      </c>
      <c r="P26" s="97">
        <f t="shared" si="9"/>
        <v>44073.7</v>
      </c>
      <c r="Q26" s="97">
        <f t="shared" si="9"/>
        <v>44073.7</v>
      </c>
      <c r="R26" s="97">
        <f t="shared" si="9"/>
        <v>44073.7</v>
      </c>
      <c r="S26" s="209" t="s">
        <v>83</v>
      </c>
    </row>
    <row r="27" spans="1:19" ht="15.75">
      <c r="A27" s="95" t="s">
        <v>84</v>
      </c>
      <c r="B27" s="68" t="s">
        <v>78</v>
      </c>
      <c r="C27" s="96"/>
      <c r="D27" s="97">
        <f>D23*D25</f>
        <v>35258.959999999999</v>
      </c>
      <c r="E27" s="97">
        <f t="shared" ref="E27:R27" si="10">E23*E25</f>
        <v>35258.959999999999</v>
      </c>
      <c r="F27" s="97">
        <f t="shared" si="10"/>
        <v>35258.959999999999</v>
      </c>
      <c r="G27" s="97">
        <f t="shared" si="10"/>
        <v>35258.959999999999</v>
      </c>
      <c r="H27" s="97">
        <f t="shared" si="10"/>
        <v>35258.959999999999</v>
      </c>
      <c r="I27" s="97">
        <f t="shared" si="10"/>
        <v>35258.959999999999</v>
      </c>
      <c r="J27" s="97">
        <f t="shared" si="10"/>
        <v>35258.959999999999</v>
      </c>
      <c r="K27" s="97">
        <f t="shared" si="10"/>
        <v>35258.959999999999</v>
      </c>
      <c r="L27" s="97">
        <f t="shared" si="10"/>
        <v>0</v>
      </c>
      <c r="M27" s="97">
        <f t="shared" si="10"/>
        <v>35258.959999999999</v>
      </c>
      <c r="N27" s="97">
        <f t="shared" si="10"/>
        <v>35258.959999999999</v>
      </c>
      <c r="O27" s="97">
        <f t="shared" si="10"/>
        <v>35258.959999999999</v>
      </c>
      <c r="P27" s="97">
        <f t="shared" si="10"/>
        <v>35258.959999999999</v>
      </c>
      <c r="Q27" s="97">
        <f t="shared" si="10"/>
        <v>35258.959999999999</v>
      </c>
      <c r="R27" s="97">
        <f t="shared" si="10"/>
        <v>35258.959999999999</v>
      </c>
      <c r="S27" s="210"/>
    </row>
    <row r="28" spans="1:19" ht="15.75">
      <c r="A28" s="95" t="s">
        <v>85</v>
      </c>
      <c r="B28" s="68" t="s">
        <v>78</v>
      </c>
      <c r="C28" s="96"/>
      <c r="D28" s="97">
        <f>D26*12</f>
        <v>528884.39999999991</v>
      </c>
      <c r="E28" s="97">
        <f t="shared" ref="E28:R29" si="11">E26*12</f>
        <v>528884.39999999991</v>
      </c>
      <c r="F28" s="97">
        <f t="shared" si="11"/>
        <v>528884.39999999991</v>
      </c>
      <c r="G28" s="97">
        <f t="shared" si="11"/>
        <v>528884.39999999991</v>
      </c>
      <c r="H28" s="97">
        <f t="shared" si="11"/>
        <v>528884.39999999991</v>
      </c>
      <c r="I28" s="97">
        <f t="shared" si="11"/>
        <v>528884.39999999991</v>
      </c>
      <c r="J28" s="97">
        <f t="shared" si="11"/>
        <v>528884.39999999991</v>
      </c>
      <c r="K28" s="97">
        <f t="shared" si="11"/>
        <v>528884.39999999991</v>
      </c>
      <c r="L28" s="97">
        <f t="shared" si="11"/>
        <v>528884.39999999991</v>
      </c>
      <c r="M28" s="97">
        <f t="shared" si="11"/>
        <v>528884.39999999991</v>
      </c>
      <c r="N28" s="97">
        <f t="shared" si="11"/>
        <v>528884.39999999991</v>
      </c>
      <c r="O28" s="97">
        <f t="shared" si="11"/>
        <v>528884.39999999991</v>
      </c>
      <c r="P28" s="97">
        <f t="shared" si="11"/>
        <v>528884.39999999991</v>
      </c>
      <c r="Q28" s="97">
        <f t="shared" si="11"/>
        <v>528884.39999999991</v>
      </c>
      <c r="R28" s="97">
        <f t="shared" si="11"/>
        <v>528884.39999999991</v>
      </c>
      <c r="S28" s="210"/>
    </row>
    <row r="29" spans="1:19" ht="15.75">
      <c r="A29" s="95" t="s">
        <v>86</v>
      </c>
      <c r="B29" s="68" t="s">
        <v>78</v>
      </c>
      <c r="C29" s="96"/>
      <c r="D29" s="97">
        <f>D27*12</f>
        <v>423107.52</v>
      </c>
      <c r="E29" s="97">
        <f t="shared" si="11"/>
        <v>423107.52</v>
      </c>
      <c r="F29" s="97">
        <f t="shared" si="11"/>
        <v>423107.52</v>
      </c>
      <c r="G29" s="97">
        <f t="shared" si="11"/>
        <v>423107.52</v>
      </c>
      <c r="H29" s="97">
        <f t="shared" si="11"/>
        <v>423107.52</v>
      </c>
      <c r="I29" s="97">
        <f t="shared" si="11"/>
        <v>423107.52</v>
      </c>
      <c r="J29" s="97">
        <f t="shared" si="11"/>
        <v>423107.52</v>
      </c>
      <c r="K29" s="97">
        <f t="shared" si="11"/>
        <v>423107.52</v>
      </c>
      <c r="L29" s="97">
        <f t="shared" si="11"/>
        <v>0</v>
      </c>
      <c r="M29" s="97">
        <f t="shared" si="11"/>
        <v>423107.52</v>
      </c>
      <c r="N29" s="97">
        <f t="shared" si="11"/>
        <v>423107.52</v>
      </c>
      <c r="O29" s="97">
        <f t="shared" si="11"/>
        <v>423107.52</v>
      </c>
      <c r="P29" s="97">
        <f t="shared" si="11"/>
        <v>423107.52</v>
      </c>
      <c r="Q29" s="97">
        <f t="shared" si="11"/>
        <v>423107.52</v>
      </c>
      <c r="R29" s="97">
        <f t="shared" si="11"/>
        <v>423107.52</v>
      </c>
      <c r="S29" s="210"/>
    </row>
    <row r="30" spans="1:19" ht="15.75" customHeight="1">
      <c r="A30" s="98" t="s">
        <v>87</v>
      </c>
      <c r="B30" s="72" t="s">
        <v>88</v>
      </c>
      <c r="C30" s="74"/>
      <c r="D30" s="10">
        <v>56</v>
      </c>
      <c r="E30" s="10">
        <v>56</v>
      </c>
      <c r="F30" s="10">
        <v>56</v>
      </c>
      <c r="G30" s="10">
        <v>56</v>
      </c>
      <c r="H30" s="10">
        <v>56</v>
      </c>
      <c r="I30" s="10">
        <v>56</v>
      </c>
      <c r="J30" s="10">
        <v>56</v>
      </c>
      <c r="K30" s="10">
        <v>56</v>
      </c>
      <c r="L30" s="10">
        <v>56</v>
      </c>
      <c r="M30" s="10">
        <v>56</v>
      </c>
      <c r="N30" s="10">
        <v>56</v>
      </c>
      <c r="O30" s="10">
        <v>56</v>
      </c>
      <c r="P30" s="10">
        <v>56</v>
      </c>
      <c r="Q30" s="10">
        <v>56</v>
      </c>
      <c r="R30" s="10">
        <v>56</v>
      </c>
      <c r="S30" s="210"/>
    </row>
    <row r="31" spans="1:19" ht="15" customHeight="1">
      <c r="A31" s="98" t="s">
        <v>87</v>
      </c>
      <c r="B31" s="72" t="s">
        <v>88</v>
      </c>
      <c r="C31" s="74"/>
      <c r="D31" s="10">
        <v>44</v>
      </c>
      <c r="E31" s="10">
        <v>44</v>
      </c>
      <c r="F31" s="10">
        <v>44</v>
      </c>
      <c r="G31" s="10">
        <v>44</v>
      </c>
      <c r="H31" s="10">
        <v>44</v>
      </c>
      <c r="I31" s="10">
        <v>44</v>
      </c>
      <c r="J31" s="10">
        <v>44</v>
      </c>
      <c r="K31" s="10">
        <v>44</v>
      </c>
      <c r="L31" s="10">
        <v>44</v>
      </c>
      <c r="M31" s="10">
        <v>44</v>
      </c>
      <c r="N31" s="10">
        <v>44</v>
      </c>
      <c r="O31" s="10">
        <v>44</v>
      </c>
      <c r="P31" s="10">
        <v>44</v>
      </c>
      <c r="Q31" s="10">
        <v>44</v>
      </c>
      <c r="R31" s="10">
        <v>44</v>
      </c>
      <c r="S31" s="210"/>
    </row>
    <row r="32" spans="1:19" ht="15.75">
      <c r="A32" s="99" t="s">
        <v>89</v>
      </c>
      <c r="B32" s="68" t="s">
        <v>78</v>
      </c>
      <c r="C32" s="100"/>
      <c r="D32" s="97">
        <f>D28/(29.4*12)*D30</f>
        <v>83949.904761904749</v>
      </c>
      <c r="E32" s="97">
        <f t="shared" ref="E32:R33" si="12">E28/(29.4*12)*E30</f>
        <v>83949.904761904749</v>
      </c>
      <c r="F32" s="97">
        <f t="shared" si="12"/>
        <v>83949.904761904749</v>
      </c>
      <c r="G32" s="97">
        <f t="shared" si="12"/>
        <v>83949.904761904749</v>
      </c>
      <c r="H32" s="97">
        <f t="shared" si="12"/>
        <v>83949.904761904749</v>
      </c>
      <c r="I32" s="97">
        <f t="shared" si="12"/>
        <v>83949.904761904749</v>
      </c>
      <c r="J32" s="97">
        <f t="shared" si="12"/>
        <v>83949.904761904749</v>
      </c>
      <c r="K32" s="97">
        <f t="shared" si="12"/>
        <v>83949.904761904749</v>
      </c>
      <c r="L32" s="97">
        <f t="shared" si="12"/>
        <v>83949.904761904749</v>
      </c>
      <c r="M32" s="97">
        <f t="shared" si="12"/>
        <v>83949.904761904749</v>
      </c>
      <c r="N32" s="97">
        <f t="shared" si="12"/>
        <v>83949.904761904749</v>
      </c>
      <c r="O32" s="97">
        <f t="shared" si="12"/>
        <v>83949.904761904749</v>
      </c>
      <c r="P32" s="97">
        <f t="shared" si="12"/>
        <v>83949.904761904749</v>
      </c>
      <c r="Q32" s="97">
        <f t="shared" si="12"/>
        <v>83949.904761904749</v>
      </c>
      <c r="R32" s="97">
        <f t="shared" si="12"/>
        <v>83949.904761904749</v>
      </c>
      <c r="S32" s="210"/>
    </row>
    <row r="33" spans="1:19" ht="15.75">
      <c r="A33" s="99" t="s">
        <v>90</v>
      </c>
      <c r="B33" s="68" t="s">
        <v>78</v>
      </c>
      <c r="C33" s="100"/>
      <c r="D33" s="97">
        <f>D29/(29.4*12)*D31</f>
        <v>52768.511564625856</v>
      </c>
      <c r="E33" s="97">
        <f t="shared" si="12"/>
        <v>52768.511564625856</v>
      </c>
      <c r="F33" s="97">
        <f t="shared" si="12"/>
        <v>52768.511564625856</v>
      </c>
      <c r="G33" s="97">
        <f t="shared" si="12"/>
        <v>52768.511564625856</v>
      </c>
      <c r="H33" s="97">
        <f t="shared" si="12"/>
        <v>52768.511564625856</v>
      </c>
      <c r="I33" s="97">
        <f t="shared" si="12"/>
        <v>52768.511564625856</v>
      </c>
      <c r="J33" s="97">
        <f t="shared" si="12"/>
        <v>52768.511564625856</v>
      </c>
      <c r="K33" s="97">
        <f t="shared" si="12"/>
        <v>52768.511564625856</v>
      </c>
      <c r="L33" s="97">
        <f t="shared" si="12"/>
        <v>0</v>
      </c>
      <c r="M33" s="97">
        <f t="shared" si="12"/>
        <v>52768.511564625856</v>
      </c>
      <c r="N33" s="97">
        <f t="shared" si="12"/>
        <v>52768.511564625856</v>
      </c>
      <c r="O33" s="97">
        <f t="shared" si="12"/>
        <v>52768.511564625856</v>
      </c>
      <c r="P33" s="97">
        <f t="shared" si="12"/>
        <v>52768.511564625856</v>
      </c>
      <c r="Q33" s="97">
        <f t="shared" si="12"/>
        <v>52768.511564625856</v>
      </c>
      <c r="R33" s="97">
        <f t="shared" si="12"/>
        <v>52768.511564625856</v>
      </c>
      <c r="S33" s="211"/>
    </row>
    <row r="34" spans="1:19" ht="33.75">
      <c r="A34" s="98" t="s">
        <v>91</v>
      </c>
      <c r="B34" s="72" t="s">
        <v>78</v>
      </c>
      <c r="C34" s="74"/>
      <c r="D34" s="15">
        <v>1970</v>
      </c>
      <c r="E34" s="15">
        <v>1970</v>
      </c>
      <c r="F34" s="15">
        <v>1970</v>
      </c>
      <c r="G34" s="15">
        <v>1970</v>
      </c>
      <c r="H34" s="15">
        <v>1970</v>
      </c>
      <c r="I34" s="15">
        <v>1970</v>
      </c>
      <c r="J34" s="15">
        <v>1970</v>
      </c>
      <c r="K34" s="15">
        <v>1970</v>
      </c>
      <c r="L34" s="15">
        <v>1970</v>
      </c>
      <c r="M34" s="15">
        <v>1970</v>
      </c>
      <c r="N34" s="15">
        <v>1970</v>
      </c>
      <c r="O34" s="15">
        <v>1970</v>
      </c>
      <c r="P34" s="15">
        <v>1970</v>
      </c>
      <c r="Q34" s="15">
        <v>1970</v>
      </c>
      <c r="R34" s="15">
        <v>1970</v>
      </c>
      <c r="S34" s="25" t="s">
        <v>92</v>
      </c>
    </row>
    <row r="35" spans="1:19" ht="52.5" customHeight="1">
      <c r="A35" s="98" t="s">
        <v>93</v>
      </c>
      <c r="B35" s="72" t="s">
        <v>78</v>
      </c>
      <c r="C35" s="74"/>
      <c r="D35" s="15">
        <v>1970</v>
      </c>
      <c r="E35" s="15">
        <v>1970</v>
      </c>
      <c r="F35" s="15">
        <v>1970</v>
      </c>
      <c r="G35" s="15">
        <v>1970</v>
      </c>
      <c r="H35" s="15">
        <v>1970</v>
      </c>
      <c r="I35" s="15">
        <v>1970</v>
      </c>
      <c r="J35" s="15">
        <v>1970</v>
      </c>
      <c r="K35" s="15">
        <v>1970</v>
      </c>
      <c r="L35" s="15">
        <v>1970</v>
      </c>
      <c r="M35" s="15">
        <v>1970</v>
      </c>
      <c r="N35" s="15">
        <v>1970</v>
      </c>
      <c r="O35" s="15">
        <v>1970</v>
      </c>
      <c r="P35" s="15">
        <v>1970</v>
      </c>
      <c r="Q35" s="15">
        <v>1970</v>
      </c>
      <c r="R35" s="15">
        <v>1970</v>
      </c>
      <c r="S35" s="25" t="s">
        <v>94</v>
      </c>
    </row>
    <row r="36" spans="1:19" ht="30.75" customHeight="1">
      <c r="A36" s="91" t="s">
        <v>95</v>
      </c>
      <c r="B36" s="72" t="s">
        <v>96</v>
      </c>
      <c r="C36" s="101"/>
      <c r="D36" s="18">
        <f>D34/12</f>
        <v>164.16666666666666</v>
      </c>
      <c r="E36" s="18">
        <f t="shared" ref="E36:R37" si="13">E34/12</f>
        <v>164.16666666666666</v>
      </c>
      <c r="F36" s="18">
        <f t="shared" si="13"/>
        <v>164.16666666666666</v>
      </c>
      <c r="G36" s="18">
        <f t="shared" si="13"/>
        <v>164.16666666666666</v>
      </c>
      <c r="H36" s="18">
        <f t="shared" si="13"/>
        <v>164.16666666666666</v>
      </c>
      <c r="I36" s="18">
        <f t="shared" si="13"/>
        <v>164.16666666666666</v>
      </c>
      <c r="J36" s="18">
        <f t="shared" si="13"/>
        <v>164.16666666666666</v>
      </c>
      <c r="K36" s="18">
        <f t="shared" si="13"/>
        <v>164.16666666666666</v>
      </c>
      <c r="L36" s="18">
        <f t="shared" si="13"/>
        <v>164.16666666666666</v>
      </c>
      <c r="M36" s="18">
        <f t="shared" si="13"/>
        <v>164.16666666666666</v>
      </c>
      <c r="N36" s="18">
        <f t="shared" si="13"/>
        <v>164.16666666666666</v>
      </c>
      <c r="O36" s="18">
        <f t="shared" si="13"/>
        <v>164.16666666666666</v>
      </c>
      <c r="P36" s="18">
        <f t="shared" si="13"/>
        <v>164.16666666666666</v>
      </c>
      <c r="Q36" s="18">
        <f t="shared" si="13"/>
        <v>164.16666666666666</v>
      </c>
      <c r="R36" s="18">
        <f t="shared" si="13"/>
        <v>164.16666666666666</v>
      </c>
      <c r="S36" s="25" t="s">
        <v>97</v>
      </c>
    </row>
    <row r="37" spans="1:19" ht="33.75">
      <c r="A37" s="102" t="s">
        <v>98</v>
      </c>
      <c r="B37" s="72" t="s">
        <v>96</v>
      </c>
      <c r="C37" s="100"/>
      <c r="D37" s="18">
        <f>D35/12</f>
        <v>164.16666666666666</v>
      </c>
      <c r="E37" s="18">
        <f t="shared" si="13"/>
        <v>164.16666666666666</v>
      </c>
      <c r="F37" s="18">
        <f t="shared" si="13"/>
        <v>164.16666666666666</v>
      </c>
      <c r="G37" s="18">
        <f t="shared" si="13"/>
        <v>164.16666666666666</v>
      </c>
      <c r="H37" s="18">
        <f t="shared" si="13"/>
        <v>164.16666666666666</v>
      </c>
      <c r="I37" s="18">
        <f t="shared" si="13"/>
        <v>164.16666666666666</v>
      </c>
      <c r="J37" s="18">
        <f t="shared" si="13"/>
        <v>164.16666666666666</v>
      </c>
      <c r="K37" s="18">
        <f t="shared" si="13"/>
        <v>164.16666666666666</v>
      </c>
      <c r="L37" s="18">
        <f t="shared" si="13"/>
        <v>164.16666666666666</v>
      </c>
      <c r="M37" s="18">
        <f t="shared" si="13"/>
        <v>164.16666666666666</v>
      </c>
      <c r="N37" s="18">
        <f t="shared" si="13"/>
        <v>164.16666666666666</v>
      </c>
      <c r="O37" s="18">
        <f t="shared" si="13"/>
        <v>164.16666666666666</v>
      </c>
      <c r="P37" s="18">
        <f t="shared" si="13"/>
        <v>164.16666666666666</v>
      </c>
      <c r="Q37" s="18">
        <f t="shared" si="13"/>
        <v>164.16666666666666</v>
      </c>
      <c r="R37" s="18">
        <f t="shared" si="13"/>
        <v>164.16666666666666</v>
      </c>
      <c r="S37" s="25" t="s">
        <v>97</v>
      </c>
    </row>
    <row r="38" spans="1:19" ht="15.75" customHeight="1">
      <c r="A38" s="98" t="s">
        <v>99</v>
      </c>
      <c r="B38" s="68" t="s">
        <v>100</v>
      </c>
      <c r="C38" s="100"/>
      <c r="D38" s="18">
        <f>D26/D36+D32/D34</f>
        <v>311.08340343243896</v>
      </c>
      <c r="E38" s="18">
        <f t="shared" ref="E38:R38" si="14">E26/E36+E32/E34</f>
        <v>311.08340343243896</v>
      </c>
      <c r="F38" s="18">
        <f t="shared" si="14"/>
        <v>311.08340343243896</v>
      </c>
      <c r="G38" s="18">
        <f t="shared" si="14"/>
        <v>311.08340343243896</v>
      </c>
      <c r="H38" s="18">
        <f t="shared" si="14"/>
        <v>311.08340343243896</v>
      </c>
      <c r="I38" s="18">
        <f t="shared" si="14"/>
        <v>311.08340343243896</v>
      </c>
      <c r="J38" s="18">
        <f t="shared" si="14"/>
        <v>311.08340343243896</v>
      </c>
      <c r="K38" s="18">
        <f t="shared" si="14"/>
        <v>311.08340343243896</v>
      </c>
      <c r="L38" s="18">
        <f t="shared" si="14"/>
        <v>311.08340343243896</v>
      </c>
      <c r="M38" s="18">
        <f t="shared" si="14"/>
        <v>311.08340343243896</v>
      </c>
      <c r="N38" s="18">
        <f t="shared" si="14"/>
        <v>311.08340343243896</v>
      </c>
      <c r="O38" s="18">
        <f t="shared" si="14"/>
        <v>311.08340343243896</v>
      </c>
      <c r="P38" s="18">
        <f t="shared" si="14"/>
        <v>311.08340343243896</v>
      </c>
      <c r="Q38" s="18">
        <f t="shared" si="14"/>
        <v>311.08340343243896</v>
      </c>
      <c r="R38" s="18">
        <f t="shared" si="14"/>
        <v>311.08340343243896</v>
      </c>
      <c r="S38" s="25"/>
    </row>
    <row r="39" spans="1:19" ht="15.75" hidden="1">
      <c r="A39" s="98" t="s">
        <v>99</v>
      </c>
      <c r="B39" s="68"/>
      <c r="C39" s="100"/>
      <c r="D39" s="94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4"/>
    </row>
    <row r="40" spans="1:19" ht="15.75">
      <c r="A40" s="98" t="s">
        <v>101</v>
      </c>
      <c r="B40" s="68" t="s">
        <v>102</v>
      </c>
      <c r="C40" s="100"/>
      <c r="D40" s="94">
        <f>D27/D37+D33/D35</f>
        <v>241.56143734244966</v>
      </c>
      <c r="E40" s="94">
        <f t="shared" ref="E40:R40" si="15">E27/E37+E33/E35</f>
        <v>241.56143734244966</v>
      </c>
      <c r="F40" s="94">
        <f t="shared" si="15"/>
        <v>241.56143734244966</v>
      </c>
      <c r="G40" s="94">
        <f t="shared" si="15"/>
        <v>241.56143734244966</v>
      </c>
      <c r="H40" s="94">
        <f t="shared" si="15"/>
        <v>241.56143734244966</v>
      </c>
      <c r="I40" s="94">
        <f t="shared" si="15"/>
        <v>241.56143734244966</v>
      </c>
      <c r="J40" s="94">
        <f t="shared" si="15"/>
        <v>241.56143734244966</v>
      </c>
      <c r="K40" s="94">
        <f t="shared" si="15"/>
        <v>241.56143734244966</v>
      </c>
      <c r="L40" s="94">
        <f t="shared" si="15"/>
        <v>0</v>
      </c>
      <c r="M40" s="94">
        <f t="shared" si="15"/>
        <v>241.56143734244966</v>
      </c>
      <c r="N40" s="94">
        <f t="shared" si="15"/>
        <v>241.56143734244966</v>
      </c>
      <c r="O40" s="94">
        <f t="shared" si="15"/>
        <v>241.56143734244966</v>
      </c>
      <c r="P40" s="94">
        <f t="shared" si="15"/>
        <v>241.56143734244966</v>
      </c>
      <c r="Q40" s="94">
        <f t="shared" si="15"/>
        <v>241.56143734244966</v>
      </c>
      <c r="R40" s="94">
        <f t="shared" si="15"/>
        <v>241.56143734244966</v>
      </c>
      <c r="S40" s="105"/>
    </row>
    <row r="41" spans="1:19" ht="23.25" thickBot="1">
      <c r="A41" s="98" t="s">
        <v>103</v>
      </c>
      <c r="B41" s="72" t="s">
        <v>104</v>
      </c>
      <c r="C41" s="106"/>
      <c r="D41" s="19">
        <v>1.04</v>
      </c>
      <c r="E41" s="19">
        <v>1.04</v>
      </c>
      <c r="F41" s="19">
        <v>1.04</v>
      </c>
      <c r="G41" s="19">
        <v>1.04</v>
      </c>
      <c r="H41" s="19">
        <v>1.04</v>
      </c>
      <c r="I41" s="19">
        <v>1.04</v>
      </c>
      <c r="J41" s="19">
        <v>1.04</v>
      </c>
      <c r="K41" s="19">
        <v>1.04</v>
      </c>
      <c r="L41" s="19">
        <v>1.04</v>
      </c>
      <c r="M41" s="19">
        <v>1.04</v>
      </c>
      <c r="N41" s="19">
        <v>1.04</v>
      </c>
      <c r="O41" s="19">
        <v>1.04</v>
      </c>
      <c r="P41" s="19">
        <v>1.04</v>
      </c>
      <c r="Q41" s="19">
        <v>1.04</v>
      </c>
      <c r="R41" s="19">
        <v>1.04</v>
      </c>
      <c r="S41" s="107" t="s">
        <v>105</v>
      </c>
    </row>
    <row r="42" spans="1:19" ht="13.5" thickBot="1">
      <c r="A42" s="99" t="s">
        <v>106</v>
      </c>
      <c r="B42" s="108" t="s">
        <v>76</v>
      </c>
      <c r="C42" s="109"/>
      <c r="D42" s="94">
        <f>(D38+D40)*D11*D41/D14*1.04</f>
        <v>22.00983049585324</v>
      </c>
      <c r="E42" s="94">
        <f t="shared" ref="E42:R42" si="16">(E38+E40)*E11*E41/E14*1.04</f>
        <v>22.00983049585324</v>
      </c>
      <c r="F42" s="94">
        <f t="shared" si="16"/>
        <v>17.418822907761154</v>
      </c>
      <c r="G42" s="94">
        <f t="shared" si="16"/>
        <v>37.358791236382466</v>
      </c>
      <c r="H42" s="94">
        <f t="shared" si="16"/>
        <v>19.855021915839636</v>
      </c>
      <c r="I42" s="94">
        <f t="shared" si="16"/>
        <v>6.6743491630584577</v>
      </c>
      <c r="J42" s="94">
        <f t="shared" si="16"/>
        <v>9.541976551787009</v>
      </c>
      <c r="K42" s="94">
        <f t="shared" si="16"/>
        <v>10.292530780815884</v>
      </c>
      <c r="L42" s="94">
        <f t="shared" si="16"/>
        <v>5.367163746742718</v>
      </c>
      <c r="M42" s="94">
        <f t="shared" si="16"/>
        <v>4.6764416324130531</v>
      </c>
      <c r="N42" s="94">
        <f t="shared" si="16"/>
        <v>7.3987443230360075</v>
      </c>
      <c r="O42" s="94">
        <f t="shared" si="16"/>
        <v>10.065352321294185</v>
      </c>
      <c r="P42" s="94">
        <f t="shared" si="16"/>
        <v>11.433294499188193</v>
      </c>
      <c r="Q42" s="94">
        <f t="shared" si="16"/>
        <v>15.210365003384291</v>
      </c>
      <c r="R42" s="94">
        <f t="shared" si="16"/>
        <v>13.456247080403163</v>
      </c>
      <c r="S42" s="104"/>
    </row>
    <row r="43" spans="1:19" ht="15.75" customHeight="1" thickBot="1">
      <c r="A43" s="110" t="s">
        <v>107</v>
      </c>
      <c r="B43" s="111" t="s">
        <v>108</v>
      </c>
      <c r="C43" s="112"/>
      <c r="D43" s="9">
        <f>D22*D46/100</f>
        <v>6.7790277927227978</v>
      </c>
      <c r="E43" s="9">
        <f t="shared" ref="E43:R43" si="17">E22*E46/100</f>
        <v>6.7790277927227978</v>
      </c>
      <c r="F43" s="9">
        <f t="shared" si="17"/>
        <v>5.3649974555904354</v>
      </c>
      <c r="G43" s="9">
        <f t="shared" si="17"/>
        <v>0.18479999999999999</v>
      </c>
      <c r="H43" s="9">
        <f t="shared" si="17"/>
        <v>6.1153467500786078</v>
      </c>
      <c r="I43" s="9">
        <f t="shared" si="17"/>
        <v>0.1232</v>
      </c>
      <c r="J43" s="9">
        <f t="shared" si="17"/>
        <v>2.938928777950399</v>
      </c>
      <c r="K43" s="9">
        <f t="shared" si="17"/>
        <v>3.1700994804912925</v>
      </c>
      <c r="L43" s="9">
        <f t="shared" si="17"/>
        <v>1.6530864339967573</v>
      </c>
      <c r="M43" s="9">
        <f t="shared" si="17"/>
        <v>1.4403440227832203</v>
      </c>
      <c r="N43" s="9">
        <f t="shared" si="17"/>
        <v>2.2788132514950901</v>
      </c>
      <c r="O43" s="9">
        <f t="shared" si="17"/>
        <v>3.1001285149586089</v>
      </c>
      <c r="P43" s="9">
        <f t="shared" si="17"/>
        <v>3.5214547057499637</v>
      </c>
      <c r="Q43" s="9">
        <f t="shared" si="17"/>
        <v>4.6847924210423617</v>
      </c>
      <c r="R43" s="9">
        <f t="shared" si="17"/>
        <v>4.1445241007641744</v>
      </c>
      <c r="S43" s="113"/>
    </row>
    <row r="44" spans="1:19" ht="23.25" thickBot="1">
      <c r="A44" s="114" t="s">
        <v>109</v>
      </c>
      <c r="B44" s="72" t="s">
        <v>65</v>
      </c>
      <c r="C44" s="109"/>
      <c r="D44" s="15">
        <v>30</v>
      </c>
      <c r="E44" s="15">
        <v>30</v>
      </c>
      <c r="F44" s="15">
        <v>30</v>
      </c>
      <c r="G44" s="15">
        <v>30</v>
      </c>
      <c r="H44" s="15">
        <v>30</v>
      </c>
      <c r="I44" s="15">
        <v>30</v>
      </c>
      <c r="J44" s="15">
        <v>30</v>
      </c>
      <c r="K44" s="15">
        <v>30</v>
      </c>
      <c r="L44" s="15">
        <v>30</v>
      </c>
      <c r="M44" s="15">
        <v>30</v>
      </c>
      <c r="N44" s="15">
        <v>30</v>
      </c>
      <c r="O44" s="15">
        <v>30</v>
      </c>
      <c r="P44" s="15">
        <v>30</v>
      </c>
      <c r="Q44" s="15">
        <v>30</v>
      </c>
      <c r="R44" s="15">
        <v>30</v>
      </c>
      <c r="S44" s="115" t="s">
        <v>110</v>
      </c>
    </row>
    <row r="45" spans="1:19" ht="33.75">
      <c r="A45" s="116" t="s">
        <v>111</v>
      </c>
      <c r="B45" s="117" t="s">
        <v>65</v>
      </c>
      <c r="C45" s="112"/>
      <c r="D45" s="15">
        <v>0.8</v>
      </c>
      <c r="E45" s="15">
        <v>0.8</v>
      </c>
      <c r="F45" s="15">
        <v>0.8</v>
      </c>
      <c r="G45" s="15">
        <v>0.8</v>
      </c>
      <c r="H45" s="15">
        <v>0.8</v>
      </c>
      <c r="I45" s="15">
        <v>0.8</v>
      </c>
      <c r="J45" s="15">
        <v>0.8</v>
      </c>
      <c r="K45" s="15">
        <v>0.8</v>
      </c>
      <c r="L45" s="15">
        <v>0.8</v>
      </c>
      <c r="M45" s="15">
        <v>0.8</v>
      </c>
      <c r="N45" s="15">
        <v>0.8</v>
      </c>
      <c r="O45" s="15">
        <v>0.8</v>
      </c>
      <c r="P45" s="15">
        <v>0.8</v>
      </c>
      <c r="Q45" s="15">
        <v>0.8</v>
      </c>
      <c r="R45" s="15">
        <v>0.8</v>
      </c>
      <c r="S45" s="115" t="s">
        <v>112</v>
      </c>
    </row>
    <row r="46" spans="1:19">
      <c r="A46" s="118" t="s">
        <v>113</v>
      </c>
      <c r="B46" s="119" t="s">
        <v>65</v>
      </c>
      <c r="C46" s="120"/>
      <c r="D46" s="15">
        <f>D44+D45</f>
        <v>30.8</v>
      </c>
      <c r="E46" s="15">
        <f t="shared" ref="E46:R46" si="18">E44+E45</f>
        <v>30.8</v>
      </c>
      <c r="F46" s="15">
        <f t="shared" si="18"/>
        <v>30.8</v>
      </c>
      <c r="G46" s="15">
        <f t="shared" si="18"/>
        <v>30.8</v>
      </c>
      <c r="H46" s="15">
        <f t="shared" si="18"/>
        <v>30.8</v>
      </c>
      <c r="I46" s="15">
        <f t="shared" si="18"/>
        <v>30.8</v>
      </c>
      <c r="J46" s="15">
        <f t="shared" si="18"/>
        <v>30.8</v>
      </c>
      <c r="K46" s="15">
        <f t="shared" si="18"/>
        <v>30.8</v>
      </c>
      <c r="L46" s="15">
        <f t="shared" si="18"/>
        <v>30.8</v>
      </c>
      <c r="M46" s="15">
        <f t="shared" si="18"/>
        <v>30.8</v>
      </c>
      <c r="N46" s="15">
        <f t="shared" si="18"/>
        <v>30.8</v>
      </c>
      <c r="O46" s="15">
        <f t="shared" si="18"/>
        <v>30.8</v>
      </c>
      <c r="P46" s="15">
        <f t="shared" si="18"/>
        <v>30.8</v>
      </c>
      <c r="Q46" s="15">
        <f t="shared" si="18"/>
        <v>30.8</v>
      </c>
      <c r="R46" s="15">
        <f t="shared" si="18"/>
        <v>30.8</v>
      </c>
      <c r="S46" s="121" t="s">
        <v>114</v>
      </c>
    </row>
    <row r="47" spans="1:19" ht="14.25" outlineLevel="1">
      <c r="A47" s="122" t="s">
        <v>115</v>
      </c>
      <c r="B47" s="123" t="s">
        <v>116</v>
      </c>
      <c r="C47" s="124"/>
      <c r="D47" s="9">
        <f>(D48*D15+D49*D16)/(D14)*D50/100</f>
        <v>11.558399999999999</v>
      </c>
      <c r="E47" s="9">
        <f t="shared" ref="E47:R47" si="19">(E48*E15+E49*E16)/(E14)*E50/100</f>
        <v>11.558399999999999</v>
      </c>
      <c r="F47" s="9">
        <f t="shared" si="19"/>
        <v>11.558399999999999</v>
      </c>
      <c r="G47" s="9">
        <f t="shared" si="19"/>
        <v>11.558399999999999</v>
      </c>
      <c r="H47" s="9">
        <f t="shared" si="19"/>
        <v>11.558399999999999</v>
      </c>
      <c r="I47" s="9">
        <f t="shared" si="19"/>
        <v>11.558399999999999</v>
      </c>
      <c r="J47" s="9">
        <f t="shared" si="19"/>
        <v>11.558399999999999</v>
      </c>
      <c r="K47" s="9">
        <f t="shared" si="19"/>
        <v>11.558399999999999</v>
      </c>
      <c r="L47" s="9">
        <f t="shared" si="19"/>
        <v>12.29585</v>
      </c>
      <c r="M47" s="9">
        <f t="shared" si="19"/>
        <v>11.558400000000001</v>
      </c>
      <c r="N47" s="9">
        <f t="shared" si="19"/>
        <v>11.558399999999999</v>
      </c>
      <c r="O47" s="9">
        <f t="shared" si="19"/>
        <v>11.558399999999999</v>
      </c>
      <c r="P47" s="9">
        <f t="shared" si="19"/>
        <v>11.558399999999999</v>
      </c>
      <c r="Q47" s="9">
        <f t="shared" si="19"/>
        <v>11.558399999999999</v>
      </c>
      <c r="R47" s="9">
        <f t="shared" si="19"/>
        <v>11.558399999999999</v>
      </c>
      <c r="S47" s="121"/>
    </row>
    <row r="48" spans="1:19" ht="22.5" outlineLevel="1">
      <c r="A48" s="118" t="s">
        <v>117</v>
      </c>
      <c r="B48" s="119" t="s">
        <v>118</v>
      </c>
      <c r="C48" s="120"/>
      <c r="D48" s="15">
        <v>25.6</v>
      </c>
      <c r="E48" s="15">
        <v>25.6</v>
      </c>
      <c r="F48" s="15">
        <v>25.6</v>
      </c>
      <c r="G48" s="15">
        <v>25.6</v>
      </c>
      <c r="H48" s="15">
        <v>25.6</v>
      </c>
      <c r="I48" s="15">
        <v>25.6</v>
      </c>
      <c r="J48" s="15">
        <v>25.6</v>
      </c>
      <c r="K48" s="15">
        <v>25.6</v>
      </c>
      <c r="L48" s="15">
        <v>26.6</v>
      </c>
      <c r="M48" s="15">
        <v>25.6</v>
      </c>
      <c r="N48" s="15">
        <v>25.6</v>
      </c>
      <c r="O48" s="15">
        <v>25.6</v>
      </c>
      <c r="P48" s="15">
        <v>25.6</v>
      </c>
      <c r="Q48" s="15">
        <v>25.6</v>
      </c>
      <c r="R48" s="15">
        <v>25.6</v>
      </c>
      <c r="S48" s="25" t="s">
        <v>119</v>
      </c>
    </row>
    <row r="49" spans="1:19" ht="22.5" outlineLevel="1">
      <c r="A49" s="125" t="s">
        <v>120</v>
      </c>
      <c r="B49" s="119" t="s">
        <v>118</v>
      </c>
      <c r="C49" s="120"/>
      <c r="D49" s="11">
        <f>D48*1.15</f>
        <v>29.439999999999998</v>
      </c>
      <c r="E49" s="11">
        <f t="shared" ref="E49:R49" si="20">E48*1.15</f>
        <v>29.439999999999998</v>
      </c>
      <c r="F49" s="11">
        <f t="shared" si="20"/>
        <v>29.439999999999998</v>
      </c>
      <c r="G49" s="11">
        <f t="shared" si="20"/>
        <v>29.439999999999998</v>
      </c>
      <c r="H49" s="11">
        <f t="shared" si="20"/>
        <v>29.439999999999998</v>
      </c>
      <c r="I49" s="11">
        <f t="shared" si="20"/>
        <v>29.439999999999998</v>
      </c>
      <c r="J49" s="11">
        <f t="shared" si="20"/>
        <v>29.439999999999998</v>
      </c>
      <c r="K49" s="11">
        <f t="shared" si="20"/>
        <v>29.439999999999998</v>
      </c>
      <c r="L49" s="11">
        <f t="shared" si="20"/>
        <v>30.59</v>
      </c>
      <c r="M49" s="11">
        <f t="shared" si="20"/>
        <v>29.439999999999998</v>
      </c>
      <c r="N49" s="11">
        <f t="shared" si="20"/>
        <v>29.439999999999998</v>
      </c>
      <c r="O49" s="11">
        <f t="shared" si="20"/>
        <v>29.439999999999998</v>
      </c>
      <c r="P49" s="11">
        <f t="shared" si="20"/>
        <v>29.439999999999998</v>
      </c>
      <c r="Q49" s="11">
        <f t="shared" si="20"/>
        <v>29.439999999999998</v>
      </c>
      <c r="R49" s="11">
        <f t="shared" si="20"/>
        <v>29.439999999999998</v>
      </c>
      <c r="S49" s="25" t="s">
        <v>228</v>
      </c>
    </row>
    <row r="50" spans="1:19" ht="15.75" outlineLevel="1">
      <c r="A50" s="118" t="s">
        <v>121</v>
      </c>
      <c r="B50" s="119" t="s">
        <v>78</v>
      </c>
      <c r="C50" s="120"/>
      <c r="D50" s="18">
        <v>42</v>
      </c>
      <c r="E50" s="18">
        <v>42</v>
      </c>
      <c r="F50" s="18">
        <v>42</v>
      </c>
      <c r="G50" s="18">
        <v>42</v>
      </c>
      <c r="H50" s="18">
        <v>42</v>
      </c>
      <c r="I50" s="18">
        <v>42</v>
      </c>
      <c r="J50" s="18">
        <v>42</v>
      </c>
      <c r="K50" s="18">
        <v>42</v>
      </c>
      <c r="L50" s="18">
        <v>43</v>
      </c>
      <c r="M50" s="18">
        <v>42</v>
      </c>
      <c r="N50" s="18">
        <v>42</v>
      </c>
      <c r="O50" s="18">
        <v>42</v>
      </c>
      <c r="P50" s="18">
        <v>42</v>
      </c>
      <c r="Q50" s="18">
        <v>42</v>
      </c>
      <c r="R50" s="18">
        <v>42</v>
      </c>
      <c r="S50" s="121" t="s">
        <v>122</v>
      </c>
    </row>
    <row r="51" spans="1:19" ht="33.75" outlineLevel="1">
      <c r="A51" s="126" t="s">
        <v>123</v>
      </c>
      <c r="B51" s="127" t="s">
        <v>76</v>
      </c>
      <c r="C51" s="124"/>
      <c r="D51" s="9">
        <f>D47*0.075</f>
        <v>0.86687999999999987</v>
      </c>
      <c r="E51" s="9">
        <f t="shared" ref="E51:R51" si="21">E47*0.075</f>
        <v>0.86687999999999987</v>
      </c>
      <c r="F51" s="9">
        <f t="shared" si="21"/>
        <v>0.86687999999999987</v>
      </c>
      <c r="G51" s="9">
        <f t="shared" si="21"/>
        <v>0.86687999999999987</v>
      </c>
      <c r="H51" s="9">
        <f t="shared" si="21"/>
        <v>0.86687999999999987</v>
      </c>
      <c r="I51" s="9">
        <f t="shared" si="21"/>
        <v>0.86687999999999987</v>
      </c>
      <c r="J51" s="9">
        <f t="shared" si="21"/>
        <v>0.86687999999999987</v>
      </c>
      <c r="K51" s="9">
        <f t="shared" si="21"/>
        <v>0.86687999999999987</v>
      </c>
      <c r="L51" s="9">
        <f t="shared" si="21"/>
        <v>0.92218874999999989</v>
      </c>
      <c r="M51" s="9">
        <f t="shared" si="21"/>
        <v>0.86687999999999998</v>
      </c>
      <c r="N51" s="9">
        <f t="shared" si="21"/>
        <v>0.86687999999999987</v>
      </c>
      <c r="O51" s="9">
        <f t="shared" si="21"/>
        <v>0.86687999999999987</v>
      </c>
      <c r="P51" s="9">
        <f t="shared" si="21"/>
        <v>0.86687999999999987</v>
      </c>
      <c r="Q51" s="9">
        <f t="shared" si="21"/>
        <v>0.86687999999999987</v>
      </c>
      <c r="R51" s="9">
        <f t="shared" si="21"/>
        <v>0.86687999999999987</v>
      </c>
      <c r="S51" s="25" t="s">
        <v>124</v>
      </c>
    </row>
    <row r="52" spans="1:19" ht="14.25" outlineLevel="1">
      <c r="A52" s="122" t="s">
        <v>125</v>
      </c>
      <c r="B52" s="123" t="s">
        <v>76</v>
      </c>
      <c r="C52" s="124"/>
      <c r="D52" s="9">
        <f>(D53*D54)/(D65*D66*D67)*D68</f>
        <v>0.62339999999999995</v>
      </c>
      <c r="E52" s="9">
        <f t="shared" ref="E52:R52" si="22">(E53*E54)/(E65*E66*E67)*E68</f>
        <v>0.62339999999999995</v>
      </c>
      <c r="F52" s="9">
        <f t="shared" si="22"/>
        <v>0.62339999999999995</v>
      </c>
      <c r="G52" s="9">
        <f t="shared" si="22"/>
        <v>0.62339999999999995</v>
      </c>
      <c r="H52" s="9">
        <f t="shared" si="22"/>
        <v>0.62339999999999995</v>
      </c>
      <c r="I52" s="9">
        <f t="shared" si="22"/>
        <v>0.62339999999999995</v>
      </c>
      <c r="J52" s="9">
        <f t="shared" si="22"/>
        <v>0.62339999999999995</v>
      </c>
      <c r="K52" s="9">
        <f t="shared" si="22"/>
        <v>0.62339999999999995</v>
      </c>
      <c r="L52" s="9">
        <f t="shared" si="22"/>
        <v>0.62339999999999995</v>
      </c>
      <c r="M52" s="9">
        <f t="shared" si="22"/>
        <v>0.62339999999999995</v>
      </c>
      <c r="N52" s="9">
        <f t="shared" si="22"/>
        <v>0.62339999999999995</v>
      </c>
      <c r="O52" s="9">
        <f t="shared" si="22"/>
        <v>0.62339999999999995</v>
      </c>
      <c r="P52" s="9">
        <f t="shared" si="22"/>
        <v>0.62339999999999995</v>
      </c>
      <c r="Q52" s="9">
        <f t="shared" si="22"/>
        <v>0.62339999999999995</v>
      </c>
      <c r="R52" s="9">
        <f t="shared" si="22"/>
        <v>0.62339999999999995</v>
      </c>
      <c r="S52" s="121"/>
    </row>
    <row r="53" spans="1:19" ht="15.75">
      <c r="A53" s="118" t="s">
        <v>126</v>
      </c>
      <c r="B53" s="119" t="s">
        <v>127</v>
      </c>
      <c r="C53" s="120"/>
      <c r="D53" s="10">
        <v>6</v>
      </c>
      <c r="E53" s="10">
        <v>6</v>
      </c>
      <c r="F53" s="10">
        <v>6</v>
      </c>
      <c r="G53" s="10">
        <v>6</v>
      </c>
      <c r="H53" s="10">
        <v>6</v>
      </c>
      <c r="I53" s="10">
        <v>6</v>
      </c>
      <c r="J53" s="10">
        <v>6</v>
      </c>
      <c r="K53" s="10">
        <v>6</v>
      </c>
      <c r="L53" s="10">
        <v>6</v>
      </c>
      <c r="M53" s="10">
        <v>6</v>
      </c>
      <c r="N53" s="10">
        <v>6</v>
      </c>
      <c r="O53" s="10">
        <v>6</v>
      </c>
      <c r="P53" s="10">
        <v>6</v>
      </c>
      <c r="Q53" s="10">
        <v>6</v>
      </c>
      <c r="R53" s="10">
        <v>6</v>
      </c>
      <c r="S53" s="121"/>
    </row>
    <row r="54" spans="1:19" s="131" customFormat="1" ht="26.25" customHeight="1">
      <c r="A54" s="128" t="s">
        <v>128</v>
      </c>
      <c r="B54" s="129" t="s">
        <v>78</v>
      </c>
      <c r="C54" s="130"/>
      <c r="D54" s="11">
        <v>7000</v>
      </c>
      <c r="E54" s="11">
        <v>7000</v>
      </c>
      <c r="F54" s="11">
        <v>7000</v>
      </c>
      <c r="G54" s="11">
        <v>7000</v>
      </c>
      <c r="H54" s="11">
        <v>7000</v>
      </c>
      <c r="I54" s="11">
        <v>7000</v>
      </c>
      <c r="J54" s="11">
        <v>7000</v>
      </c>
      <c r="K54" s="11">
        <v>7000</v>
      </c>
      <c r="L54" s="11">
        <v>7000</v>
      </c>
      <c r="M54" s="11">
        <v>7000</v>
      </c>
      <c r="N54" s="11">
        <v>7000</v>
      </c>
      <c r="O54" s="11">
        <v>7000</v>
      </c>
      <c r="P54" s="11">
        <v>7000</v>
      </c>
      <c r="Q54" s="11">
        <v>7000</v>
      </c>
      <c r="R54" s="11">
        <v>7000</v>
      </c>
      <c r="S54" s="121" t="s">
        <v>129</v>
      </c>
    </row>
    <row r="55" spans="1:19" ht="12.75" hidden="1" customHeight="1">
      <c r="A55" s="212" t="s">
        <v>130</v>
      </c>
      <c r="B55" s="213"/>
      <c r="C55" s="213"/>
      <c r="D55" s="216" t="s">
        <v>131</v>
      </c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1"/>
    </row>
    <row r="56" spans="1:19" ht="13.5" hidden="1" customHeight="1" thickBot="1">
      <c r="A56" s="214"/>
      <c r="B56" s="215"/>
      <c r="C56" s="215"/>
      <c r="D56" s="217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21"/>
    </row>
    <row r="57" spans="1:19" hidden="1">
      <c r="A57" s="132" t="s">
        <v>132</v>
      </c>
      <c r="B57" s="133"/>
      <c r="C57" s="134"/>
      <c r="D57" s="11">
        <f>'[2]Зарплата '!C59</f>
        <v>36</v>
      </c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21"/>
    </row>
    <row r="58" spans="1:19" hidden="1">
      <c r="A58" s="135" t="s">
        <v>133</v>
      </c>
      <c r="B58" s="136"/>
      <c r="C58" s="137"/>
      <c r="D58" s="15">
        <f>'[2]Зарплата '!D59</f>
        <v>27600</v>
      </c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21"/>
    </row>
    <row r="59" spans="1:19" hidden="1">
      <c r="A59" s="135" t="s">
        <v>134</v>
      </c>
      <c r="B59" s="136"/>
      <c r="C59" s="137"/>
      <c r="D59" s="10">
        <f>'[2]Зарплата '!C60</f>
        <v>39</v>
      </c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21"/>
    </row>
    <row r="60" spans="1:19" hidden="1">
      <c r="A60" s="135" t="s">
        <v>135</v>
      </c>
      <c r="B60" s="136"/>
      <c r="C60" s="137"/>
      <c r="D60" s="15">
        <f>'[2]Зарплата '!D60</f>
        <v>16500</v>
      </c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21"/>
    </row>
    <row r="61" spans="1:19" ht="12.75" hidden="1" customHeight="1">
      <c r="A61" s="138"/>
      <c r="B61" s="139"/>
      <c r="C61" s="140"/>
      <c r="D61" s="11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21"/>
    </row>
    <row r="62" spans="1:19" hidden="1">
      <c r="A62" s="138"/>
      <c r="B62" s="139"/>
      <c r="C62" s="140"/>
      <c r="D62" s="11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21"/>
    </row>
    <row r="63" spans="1:19" hidden="1">
      <c r="A63" s="138"/>
      <c r="B63" s="139"/>
      <c r="C63" s="140"/>
      <c r="D63" s="11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21"/>
    </row>
    <row r="64" spans="1:19" hidden="1">
      <c r="A64" s="138"/>
      <c r="B64" s="139"/>
      <c r="C64" s="140"/>
      <c r="D64" s="11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21"/>
    </row>
    <row r="65" spans="1:19">
      <c r="A65" s="141" t="s">
        <v>136</v>
      </c>
      <c r="B65" s="142" t="s">
        <v>52</v>
      </c>
      <c r="C65" s="140"/>
      <c r="D65" s="10">
        <v>70000</v>
      </c>
      <c r="E65" s="10">
        <v>70000</v>
      </c>
      <c r="F65" s="10">
        <v>70000</v>
      </c>
      <c r="G65" s="10">
        <v>70000</v>
      </c>
      <c r="H65" s="10">
        <v>70000</v>
      </c>
      <c r="I65" s="10">
        <v>70000</v>
      </c>
      <c r="J65" s="10">
        <v>70000</v>
      </c>
      <c r="K65" s="10">
        <v>70000</v>
      </c>
      <c r="L65" s="10">
        <v>70000</v>
      </c>
      <c r="M65" s="10">
        <v>70000</v>
      </c>
      <c r="N65" s="10">
        <v>70000</v>
      </c>
      <c r="O65" s="10">
        <v>70000</v>
      </c>
      <c r="P65" s="10">
        <v>70000</v>
      </c>
      <c r="Q65" s="10">
        <v>70000</v>
      </c>
      <c r="R65" s="10">
        <v>70000</v>
      </c>
      <c r="S65" s="209" t="s">
        <v>137</v>
      </c>
    </row>
    <row r="66" spans="1:19" ht="28.5">
      <c r="A66" s="143" t="s">
        <v>138</v>
      </c>
      <c r="B66" s="144" t="s">
        <v>80</v>
      </c>
      <c r="C66" s="140"/>
      <c r="D66" s="18">
        <v>1</v>
      </c>
      <c r="E66" s="18">
        <v>1</v>
      </c>
      <c r="F66" s="18">
        <v>1</v>
      </c>
      <c r="G66" s="18">
        <v>1</v>
      </c>
      <c r="H66" s="18">
        <v>1</v>
      </c>
      <c r="I66" s="18">
        <v>1</v>
      </c>
      <c r="J66" s="18">
        <v>1</v>
      </c>
      <c r="K66" s="18">
        <v>1</v>
      </c>
      <c r="L66" s="18">
        <v>1</v>
      </c>
      <c r="M66" s="18">
        <v>1</v>
      </c>
      <c r="N66" s="18">
        <v>1</v>
      </c>
      <c r="O66" s="18">
        <v>1</v>
      </c>
      <c r="P66" s="18">
        <v>1</v>
      </c>
      <c r="Q66" s="18">
        <v>1</v>
      </c>
      <c r="R66" s="18">
        <v>1</v>
      </c>
      <c r="S66" s="210"/>
    </row>
    <row r="67" spans="1:19" ht="28.5">
      <c r="A67" s="143" t="s">
        <v>139</v>
      </c>
      <c r="B67" s="144" t="s">
        <v>80</v>
      </c>
      <c r="C67" s="140"/>
      <c r="D67" s="18">
        <v>1</v>
      </c>
      <c r="E67" s="18">
        <v>1</v>
      </c>
      <c r="F67" s="18">
        <v>1</v>
      </c>
      <c r="G67" s="18">
        <v>1</v>
      </c>
      <c r="H67" s="18">
        <v>1</v>
      </c>
      <c r="I67" s="18">
        <v>1</v>
      </c>
      <c r="J67" s="18">
        <v>1</v>
      </c>
      <c r="K67" s="18">
        <v>1</v>
      </c>
      <c r="L67" s="18">
        <v>1</v>
      </c>
      <c r="M67" s="18">
        <v>1</v>
      </c>
      <c r="N67" s="18">
        <v>1</v>
      </c>
      <c r="O67" s="18">
        <v>1</v>
      </c>
      <c r="P67" s="18">
        <v>1</v>
      </c>
      <c r="Q67" s="18">
        <v>1</v>
      </c>
      <c r="R67" s="18">
        <v>1</v>
      </c>
      <c r="S67" s="211"/>
    </row>
    <row r="68" spans="1:19" ht="22.5">
      <c r="A68" s="75" t="s">
        <v>140</v>
      </c>
      <c r="B68" s="144" t="s">
        <v>80</v>
      </c>
      <c r="C68" s="145"/>
      <c r="D68" s="19">
        <v>1.0389999999999999</v>
      </c>
      <c r="E68" s="19">
        <v>1.0389999999999999</v>
      </c>
      <c r="F68" s="19">
        <v>1.0389999999999999</v>
      </c>
      <c r="G68" s="19">
        <v>1.0389999999999999</v>
      </c>
      <c r="H68" s="19">
        <v>1.0389999999999999</v>
      </c>
      <c r="I68" s="19">
        <v>1.0389999999999999</v>
      </c>
      <c r="J68" s="19">
        <v>1.0389999999999999</v>
      </c>
      <c r="K68" s="19">
        <v>1.0389999999999999</v>
      </c>
      <c r="L68" s="19">
        <v>1.0389999999999999</v>
      </c>
      <c r="M68" s="19">
        <v>1.0389999999999999</v>
      </c>
      <c r="N68" s="19">
        <v>1.0389999999999999</v>
      </c>
      <c r="O68" s="19">
        <v>1.0389999999999999</v>
      </c>
      <c r="P68" s="19">
        <v>1.0389999999999999</v>
      </c>
      <c r="Q68" s="19">
        <v>1.0389999999999999</v>
      </c>
      <c r="R68" s="19">
        <v>1.0389999999999999</v>
      </c>
      <c r="S68" s="25" t="s">
        <v>141</v>
      </c>
    </row>
    <row r="69" spans="1:19" ht="14.25">
      <c r="A69" s="122" t="s">
        <v>142</v>
      </c>
      <c r="B69" s="146" t="s">
        <v>76</v>
      </c>
      <c r="C69" s="147"/>
      <c r="D69" s="20">
        <f>D75/D14</f>
        <v>13.450851297299209</v>
      </c>
      <c r="E69" s="20">
        <f t="shared" ref="E69:R69" si="23">E75/E14</f>
        <v>4.483617099099737</v>
      </c>
      <c r="F69" s="20">
        <f t="shared" si="23"/>
        <v>0.97137014314928427</v>
      </c>
      <c r="G69" s="20">
        <f t="shared" si="23"/>
        <v>92.936802973977692</v>
      </c>
      <c r="H69" s="20">
        <f t="shared" si="23"/>
        <v>6.0669923683622304</v>
      </c>
      <c r="I69" s="20">
        <f t="shared" si="23"/>
        <v>4.8946680320214329</v>
      </c>
      <c r="J69" s="20">
        <f t="shared" si="23"/>
        <v>15.349428390877232</v>
      </c>
      <c r="K69" s="20">
        <f t="shared" si="23"/>
        <v>2.0218071408809406</v>
      </c>
      <c r="L69" s="20">
        <f t="shared" si="23"/>
        <v>26.854364540931705</v>
      </c>
      <c r="M69" s="20">
        <f t="shared" si="23"/>
        <v>3.6744560838033844</v>
      </c>
      <c r="N69" s="20">
        <f t="shared" si="23"/>
        <v>0.25056376847907791</v>
      </c>
      <c r="O69" s="20">
        <f t="shared" si="23"/>
        <v>1.537807814491815</v>
      </c>
      <c r="P69" s="20">
        <f t="shared" si="23"/>
        <v>1.7468051852532867</v>
      </c>
      <c r="Q69" s="20">
        <f t="shared" si="23"/>
        <v>10.874542124542122</v>
      </c>
      <c r="R69" s="20">
        <f t="shared" si="23"/>
        <v>3.083814841264688</v>
      </c>
      <c r="S69" s="209" t="s">
        <v>143</v>
      </c>
    </row>
    <row r="70" spans="1:19" ht="28.5">
      <c r="A70" s="143" t="s">
        <v>144</v>
      </c>
      <c r="B70" s="144" t="s">
        <v>145</v>
      </c>
      <c r="C70" s="145"/>
      <c r="D70" s="11">
        <v>5</v>
      </c>
      <c r="E70" s="11">
        <v>5</v>
      </c>
      <c r="F70" s="11">
        <v>5</v>
      </c>
      <c r="G70" s="11">
        <v>5</v>
      </c>
      <c r="H70" s="11">
        <v>5</v>
      </c>
      <c r="I70" s="11">
        <v>5</v>
      </c>
      <c r="J70" s="11">
        <v>5</v>
      </c>
      <c r="K70" s="11">
        <v>5</v>
      </c>
      <c r="L70" s="11">
        <v>6</v>
      </c>
      <c r="M70" s="11">
        <v>5</v>
      </c>
      <c r="N70" s="11">
        <v>5</v>
      </c>
      <c r="O70" s="11">
        <v>5</v>
      </c>
      <c r="P70" s="11">
        <v>5</v>
      </c>
      <c r="Q70" s="11">
        <v>5</v>
      </c>
      <c r="R70" s="11">
        <v>5</v>
      </c>
      <c r="S70" s="210"/>
    </row>
    <row r="71" spans="1:19" ht="15.75">
      <c r="A71" s="67" t="s">
        <v>146</v>
      </c>
      <c r="B71" s="142" t="s">
        <v>65</v>
      </c>
      <c r="C71" s="148"/>
      <c r="D71" s="15">
        <f>100/D70</f>
        <v>20</v>
      </c>
      <c r="E71" s="15">
        <f t="shared" ref="E71:R71" si="24">100/E70</f>
        <v>20</v>
      </c>
      <c r="F71" s="15">
        <f t="shared" si="24"/>
        <v>20</v>
      </c>
      <c r="G71" s="15">
        <f t="shared" si="24"/>
        <v>20</v>
      </c>
      <c r="H71" s="15">
        <f t="shared" si="24"/>
        <v>20</v>
      </c>
      <c r="I71" s="15">
        <f t="shared" si="24"/>
        <v>20</v>
      </c>
      <c r="J71" s="15">
        <f t="shared" si="24"/>
        <v>20</v>
      </c>
      <c r="K71" s="15">
        <f t="shared" si="24"/>
        <v>20</v>
      </c>
      <c r="L71" s="15">
        <f t="shared" si="24"/>
        <v>16.666666666666668</v>
      </c>
      <c r="M71" s="15">
        <f t="shared" si="24"/>
        <v>20</v>
      </c>
      <c r="N71" s="15">
        <f t="shared" si="24"/>
        <v>20</v>
      </c>
      <c r="O71" s="15">
        <f t="shared" si="24"/>
        <v>20</v>
      </c>
      <c r="P71" s="15">
        <f t="shared" si="24"/>
        <v>20</v>
      </c>
      <c r="Q71" s="15">
        <f t="shared" si="24"/>
        <v>20</v>
      </c>
      <c r="R71" s="15">
        <f t="shared" si="24"/>
        <v>20</v>
      </c>
      <c r="S71" s="210"/>
    </row>
    <row r="72" spans="1:19">
      <c r="A72" s="67" t="s">
        <v>147</v>
      </c>
      <c r="B72" s="144" t="s">
        <v>148</v>
      </c>
      <c r="C72" s="145"/>
      <c r="D72" s="11">
        <v>2</v>
      </c>
      <c r="E72" s="11">
        <v>1</v>
      </c>
      <c r="F72" s="11">
        <v>6</v>
      </c>
      <c r="G72" s="11">
        <v>1</v>
      </c>
      <c r="H72" s="11">
        <v>2</v>
      </c>
      <c r="I72" s="11">
        <v>4</v>
      </c>
      <c r="J72" s="11">
        <v>4</v>
      </c>
      <c r="K72" s="11">
        <v>3</v>
      </c>
      <c r="L72" s="11">
        <v>1</v>
      </c>
      <c r="M72" s="11">
        <v>3</v>
      </c>
      <c r="N72" s="11">
        <v>1</v>
      </c>
      <c r="O72" s="11">
        <v>2</v>
      </c>
      <c r="P72" s="11">
        <v>1</v>
      </c>
      <c r="Q72" s="11">
        <v>2</v>
      </c>
      <c r="R72" s="11">
        <v>2</v>
      </c>
      <c r="S72" s="210"/>
    </row>
    <row r="73" spans="1:19" ht="28.5">
      <c r="A73" s="149" t="s">
        <v>149</v>
      </c>
      <c r="B73" s="144" t="s">
        <v>78</v>
      </c>
      <c r="C73" s="145"/>
      <c r="D73" s="11">
        <v>3000000</v>
      </c>
      <c r="E73" s="11">
        <v>2000000</v>
      </c>
      <c r="F73" s="11">
        <v>200000</v>
      </c>
      <c r="G73" s="11">
        <v>2000000</v>
      </c>
      <c r="H73" s="11">
        <v>2000000</v>
      </c>
      <c r="I73" s="11">
        <v>2000000</v>
      </c>
      <c r="J73" s="11">
        <v>9000000</v>
      </c>
      <c r="K73" s="11">
        <v>2000000</v>
      </c>
      <c r="L73" s="11">
        <v>2000000</v>
      </c>
      <c r="M73" s="11">
        <v>2000000</v>
      </c>
      <c r="N73" s="11">
        <v>200000</v>
      </c>
      <c r="O73" s="11">
        <v>2000000</v>
      </c>
      <c r="P73" s="11">
        <v>2000000</v>
      </c>
      <c r="Q73" s="11">
        <v>2000000</v>
      </c>
      <c r="R73" s="11">
        <v>2000000</v>
      </c>
      <c r="S73" s="210"/>
    </row>
    <row r="74" spans="1:19" ht="15.75">
      <c r="A74" s="67" t="s">
        <v>150</v>
      </c>
      <c r="B74" s="144" t="s">
        <v>78</v>
      </c>
      <c r="C74" s="145"/>
      <c r="D74" s="10">
        <f>D73/D70</f>
        <v>600000</v>
      </c>
      <c r="E74" s="10">
        <f t="shared" ref="E74:R74" si="25">E73/E70</f>
        <v>400000</v>
      </c>
      <c r="F74" s="10">
        <f t="shared" si="25"/>
        <v>40000</v>
      </c>
      <c r="G74" s="10">
        <f t="shared" si="25"/>
        <v>400000</v>
      </c>
      <c r="H74" s="10">
        <f t="shared" si="25"/>
        <v>400000</v>
      </c>
      <c r="I74" s="10">
        <f t="shared" si="25"/>
        <v>400000</v>
      </c>
      <c r="J74" s="10">
        <f t="shared" si="25"/>
        <v>1800000</v>
      </c>
      <c r="K74" s="10">
        <f t="shared" si="25"/>
        <v>400000</v>
      </c>
      <c r="L74" s="10">
        <f t="shared" si="25"/>
        <v>333333.33333333331</v>
      </c>
      <c r="M74" s="10">
        <f t="shared" si="25"/>
        <v>400000</v>
      </c>
      <c r="N74" s="10">
        <f t="shared" si="25"/>
        <v>40000</v>
      </c>
      <c r="O74" s="10">
        <f t="shared" si="25"/>
        <v>400000</v>
      </c>
      <c r="P74" s="10">
        <f t="shared" si="25"/>
        <v>400000</v>
      </c>
      <c r="Q74" s="10">
        <f t="shared" si="25"/>
        <v>400000</v>
      </c>
      <c r="R74" s="10">
        <f t="shared" si="25"/>
        <v>400000</v>
      </c>
      <c r="S74" s="210"/>
    </row>
    <row r="75" spans="1:19" ht="15.75">
      <c r="A75" s="67" t="s">
        <v>151</v>
      </c>
      <c r="B75" s="144" t="s">
        <v>78</v>
      </c>
      <c r="C75" s="145"/>
      <c r="D75" s="15">
        <f>D74*D72</f>
        <v>1200000</v>
      </c>
      <c r="E75" s="15">
        <f t="shared" ref="E75:R75" si="26">E74*E72</f>
        <v>400000</v>
      </c>
      <c r="F75" s="15">
        <f t="shared" si="26"/>
        <v>240000</v>
      </c>
      <c r="G75" s="15">
        <f t="shared" si="26"/>
        <v>400000</v>
      </c>
      <c r="H75" s="15">
        <f t="shared" si="26"/>
        <v>800000</v>
      </c>
      <c r="I75" s="15">
        <f t="shared" si="26"/>
        <v>1600000</v>
      </c>
      <c r="J75" s="15">
        <f t="shared" si="26"/>
        <v>7200000</v>
      </c>
      <c r="K75" s="15">
        <f t="shared" si="26"/>
        <v>1200000</v>
      </c>
      <c r="L75" s="15">
        <f t="shared" si="26"/>
        <v>333333.33333333331</v>
      </c>
      <c r="M75" s="15">
        <f t="shared" si="26"/>
        <v>1200000</v>
      </c>
      <c r="N75" s="15">
        <f t="shared" si="26"/>
        <v>40000</v>
      </c>
      <c r="O75" s="15">
        <f t="shared" si="26"/>
        <v>800000</v>
      </c>
      <c r="P75" s="15">
        <f t="shared" si="26"/>
        <v>400000</v>
      </c>
      <c r="Q75" s="15">
        <f t="shared" si="26"/>
        <v>800000</v>
      </c>
      <c r="R75" s="15">
        <f t="shared" si="26"/>
        <v>800000</v>
      </c>
      <c r="S75" s="210"/>
    </row>
    <row r="76" spans="1:19" ht="14.25">
      <c r="A76" s="122" t="s">
        <v>152</v>
      </c>
      <c r="B76" s="150" t="s">
        <v>76</v>
      </c>
      <c r="C76" s="151"/>
      <c r="D76" s="9">
        <f>D77+D96+D100</f>
        <v>8.8221406214120659</v>
      </c>
      <c r="E76" s="9">
        <f t="shared" ref="E76:R76" si="27">E77+E96+E100</f>
        <v>8.8221406214120659</v>
      </c>
      <c r="F76" s="9">
        <f t="shared" si="27"/>
        <v>8.8221406214120659</v>
      </c>
      <c r="G76" s="9">
        <f t="shared" si="27"/>
        <v>8.8221406214120659</v>
      </c>
      <c r="H76" s="9">
        <f t="shared" si="27"/>
        <v>8.8221406214120659</v>
      </c>
      <c r="I76" s="9">
        <f t="shared" si="27"/>
        <v>8.8221406214120659</v>
      </c>
      <c r="J76" s="9">
        <f t="shared" si="27"/>
        <v>8.8221406214120659</v>
      </c>
      <c r="K76" s="9">
        <f t="shared" si="27"/>
        <v>8.8221406214120659</v>
      </c>
      <c r="L76" s="9">
        <f t="shared" si="27"/>
        <v>10.730265221007567</v>
      </c>
      <c r="M76" s="9">
        <f t="shared" si="27"/>
        <v>8.8221406214120659</v>
      </c>
      <c r="N76" s="9">
        <f t="shared" si="27"/>
        <v>8.8221406214120659</v>
      </c>
      <c r="O76" s="9">
        <f t="shared" si="27"/>
        <v>8.8221406214120659</v>
      </c>
      <c r="P76" s="9">
        <f t="shared" si="27"/>
        <v>8.8221406214120659</v>
      </c>
      <c r="Q76" s="9">
        <f t="shared" si="27"/>
        <v>8.8221406214120659</v>
      </c>
      <c r="R76" s="9">
        <f t="shared" si="27"/>
        <v>8.8221406214120659</v>
      </c>
      <c r="S76" s="211"/>
    </row>
    <row r="77" spans="1:19" ht="14.25">
      <c r="A77" s="152" t="s">
        <v>153</v>
      </c>
      <c r="B77" s="150" t="s">
        <v>76</v>
      </c>
      <c r="C77" s="151"/>
      <c r="D77" s="9">
        <f>D87*((D88/(D90*D91))+D89*D92*D93*D94)/1000*D95</f>
        <v>3.9730152004438968</v>
      </c>
      <c r="E77" s="9">
        <f t="shared" ref="E77:R77" si="28">E87*((E88/(E90*E91))+E89*E92*E93*E94)/1000*E95</f>
        <v>3.9730152004438968</v>
      </c>
      <c r="F77" s="9">
        <f t="shared" si="28"/>
        <v>3.9730152004438968</v>
      </c>
      <c r="G77" s="9">
        <f t="shared" si="28"/>
        <v>3.9730152004438968</v>
      </c>
      <c r="H77" s="9">
        <f t="shared" si="28"/>
        <v>3.9730152004438968</v>
      </c>
      <c r="I77" s="9">
        <f t="shared" si="28"/>
        <v>3.9730152004438968</v>
      </c>
      <c r="J77" s="9">
        <f t="shared" si="28"/>
        <v>3.9730152004438968</v>
      </c>
      <c r="K77" s="9">
        <f t="shared" si="28"/>
        <v>3.9730152004438968</v>
      </c>
      <c r="L77" s="9">
        <f t="shared" si="28"/>
        <v>3.9730152004438968</v>
      </c>
      <c r="M77" s="9">
        <f t="shared" si="28"/>
        <v>3.9730152004438968</v>
      </c>
      <c r="N77" s="9">
        <f t="shared" si="28"/>
        <v>3.9730152004438968</v>
      </c>
      <c r="O77" s="9">
        <f t="shared" si="28"/>
        <v>3.9730152004438968</v>
      </c>
      <c r="P77" s="9">
        <f t="shared" si="28"/>
        <v>3.9730152004438968</v>
      </c>
      <c r="Q77" s="9">
        <f t="shared" si="28"/>
        <v>3.9730152004438968</v>
      </c>
      <c r="R77" s="9">
        <f t="shared" si="28"/>
        <v>3.9730152004438968</v>
      </c>
      <c r="S77" s="153"/>
    </row>
    <row r="78" spans="1:19" ht="25.5">
      <c r="A78" s="154" t="s">
        <v>154</v>
      </c>
      <c r="B78" s="155" t="s">
        <v>78</v>
      </c>
      <c r="C78" s="145"/>
      <c r="D78" s="15">
        <f>D23</f>
        <v>44073.7</v>
      </c>
      <c r="E78" s="15">
        <f t="shared" ref="E78:R78" si="29">E23</f>
        <v>44073.7</v>
      </c>
      <c r="F78" s="15">
        <f t="shared" si="29"/>
        <v>44073.7</v>
      </c>
      <c r="G78" s="15">
        <f t="shared" si="29"/>
        <v>44073.7</v>
      </c>
      <c r="H78" s="15">
        <f t="shared" si="29"/>
        <v>44073.7</v>
      </c>
      <c r="I78" s="15">
        <f t="shared" si="29"/>
        <v>44073.7</v>
      </c>
      <c r="J78" s="15">
        <f t="shared" si="29"/>
        <v>44073.7</v>
      </c>
      <c r="K78" s="15">
        <f t="shared" si="29"/>
        <v>44073.7</v>
      </c>
      <c r="L78" s="15">
        <f t="shared" si="29"/>
        <v>44073.7</v>
      </c>
      <c r="M78" s="15">
        <f t="shared" si="29"/>
        <v>44073.7</v>
      </c>
      <c r="N78" s="15">
        <f t="shared" si="29"/>
        <v>44073.7</v>
      </c>
      <c r="O78" s="15">
        <f t="shared" si="29"/>
        <v>44073.7</v>
      </c>
      <c r="P78" s="15">
        <f t="shared" si="29"/>
        <v>44073.7</v>
      </c>
      <c r="Q78" s="15">
        <f t="shared" si="29"/>
        <v>44073.7</v>
      </c>
      <c r="R78" s="15">
        <f t="shared" si="29"/>
        <v>44073.7</v>
      </c>
      <c r="S78" s="218"/>
    </row>
    <row r="79" spans="1:19" ht="15.75">
      <c r="A79" s="154" t="s">
        <v>79</v>
      </c>
      <c r="B79" s="156" t="s">
        <v>80</v>
      </c>
      <c r="C79" s="145"/>
      <c r="D79" s="11">
        <v>0.9</v>
      </c>
      <c r="E79" s="11">
        <v>0.9</v>
      </c>
      <c r="F79" s="11">
        <v>0.9</v>
      </c>
      <c r="G79" s="11">
        <v>0.9</v>
      </c>
      <c r="H79" s="11">
        <v>0.9</v>
      </c>
      <c r="I79" s="11">
        <v>0.9</v>
      </c>
      <c r="J79" s="11">
        <v>0.9</v>
      </c>
      <c r="K79" s="11">
        <v>0.9</v>
      </c>
      <c r="L79" s="11">
        <v>0.9</v>
      </c>
      <c r="M79" s="11">
        <v>0.9</v>
      </c>
      <c r="N79" s="11">
        <v>0.9</v>
      </c>
      <c r="O79" s="11">
        <v>0.9</v>
      </c>
      <c r="P79" s="11">
        <v>0.9</v>
      </c>
      <c r="Q79" s="11">
        <v>0.9</v>
      </c>
      <c r="R79" s="11">
        <v>0.9</v>
      </c>
      <c r="S79" s="219"/>
    </row>
    <row r="80" spans="1:19" ht="15.75">
      <c r="A80" s="157" t="s">
        <v>155</v>
      </c>
      <c r="B80" s="119" t="s">
        <v>78</v>
      </c>
      <c r="C80" s="145"/>
      <c r="D80" s="15">
        <f>D78*D79</f>
        <v>39666.33</v>
      </c>
      <c r="E80" s="15">
        <f t="shared" ref="E80:R80" si="30">E78*E79</f>
        <v>39666.33</v>
      </c>
      <c r="F80" s="15">
        <f t="shared" si="30"/>
        <v>39666.33</v>
      </c>
      <c r="G80" s="15">
        <f t="shared" si="30"/>
        <v>39666.33</v>
      </c>
      <c r="H80" s="15">
        <f t="shared" si="30"/>
        <v>39666.33</v>
      </c>
      <c r="I80" s="15">
        <f t="shared" si="30"/>
        <v>39666.33</v>
      </c>
      <c r="J80" s="15">
        <f t="shared" si="30"/>
        <v>39666.33</v>
      </c>
      <c r="K80" s="15">
        <f>K78*K79</f>
        <v>39666.33</v>
      </c>
      <c r="L80" s="15">
        <f t="shared" si="30"/>
        <v>39666.33</v>
      </c>
      <c r="M80" s="15">
        <f t="shared" si="30"/>
        <v>39666.33</v>
      </c>
      <c r="N80" s="15">
        <f t="shared" si="30"/>
        <v>39666.33</v>
      </c>
      <c r="O80" s="15">
        <f t="shared" si="30"/>
        <v>39666.33</v>
      </c>
      <c r="P80" s="15">
        <f t="shared" si="30"/>
        <v>39666.33</v>
      </c>
      <c r="Q80" s="15">
        <f t="shared" si="30"/>
        <v>39666.33</v>
      </c>
      <c r="R80" s="15">
        <f t="shared" si="30"/>
        <v>39666.33</v>
      </c>
      <c r="S80" s="219"/>
    </row>
    <row r="81" spans="1:19" ht="15.75">
      <c r="A81" s="157" t="s">
        <v>156</v>
      </c>
      <c r="B81" s="119" t="s">
        <v>78</v>
      </c>
      <c r="C81" s="145"/>
      <c r="D81" s="15">
        <f>D80*12</f>
        <v>475995.96</v>
      </c>
      <c r="E81" s="15">
        <f t="shared" ref="E81:R81" si="31">E80*12</f>
        <v>475995.96</v>
      </c>
      <c r="F81" s="15">
        <f t="shared" si="31"/>
        <v>475995.96</v>
      </c>
      <c r="G81" s="15">
        <f t="shared" si="31"/>
        <v>475995.96</v>
      </c>
      <c r="H81" s="15">
        <f t="shared" si="31"/>
        <v>475995.96</v>
      </c>
      <c r="I81" s="15">
        <f t="shared" si="31"/>
        <v>475995.96</v>
      </c>
      <c r="J81" s="15">
        <f t="shared" si="31"/>
        <v>475995.96</v>
      </c>
      <c r="K81" s="15">
        <f t="shared" si="31"/>
        <v>475995.96</v>
      </c>
      <c r="L81" s="15">
        <f t="shared" si="31"/>
        <v>475995.96</v>
      </c>
      <c r="M81" s="15">
        <f t="shared" si="31"/>
        <v>475995.96</v>
      </c>
      <c r="N81" s="15">
        <f t="shared" si="31"/>
        <v>475995.96</v>
      </c>
      <c r="O81" s="15">
        <f t="shared" si="31"/>
        <v>475995.96</v>
      </c>
      <c r="P81" s="15">
        <f t="shared" si="31"/>
        <v>475995.96</v>
      </c>
      <c r="Q81" s="15">
        <f t="shared" si="31"/>
        <v>475995.96</v>
      </c>
      <c r="R81" s="15">
        <f t="shared" si="31"/>
        <v>475995.96</v>
      </c>
      <c r="S81" s="219"/>
    </row>
    <row r="82" spans="1:19">
      <c r="A82" s="125" t="s">
        <v>157</v>
      </c>
      <c r="B82" s="155" t="s">
        <v>88</v>
      </c>
      <c r="C82" s="145"/>
      <c r="D82" s="21">
        <v>44</v>
      </c>
      <c r="E82" s="21">
        <v>44</v>
      </c>
      <c r="F82" s="21">
        <v>44</v>
      </c>
      <c r="G82" s="21">
        <v>44</v>
      </c>
      <c r="H82" s="21">
        <v>44</v>
      </c>
      <c r="I82" s="21">
        <v>44</v>
      </c>
      <c r="J82" s="21">
        <v>44</v>
      </c>
      <c r="K82" s="21">
        <v>44</v>
      </c>
      <c r="L82" s="21">
        <v>44</v>
      </c>
      <c r="M82" s="21">
        <v>44</v>
      </c>
      <c r="N82" s="21">
        <v>44</v>
      </c>
      <c r="O82" s="21">
        <v>44</v>
      </c>
      <c r="P82" s="21">
        <v>44</v>
      </c>
      <c r="Q82" s="21">
        <v>44</v>
      </c>
      <c r="R82" s="21">
        <v>44</v>
      </c>
      <c r="S82" s="219"/>
    </row>
    <row r="83" spans="1:19" ht="15.75">
      <c r="A83" s="118" t="s">
        <v>158</v>
      </c>
      <c r="B83" s="119" t="s">
        <v>78</v>
      </c>
      <c r="C83" s="140"/>
      <c r="D83" s="7">
        <f>D81/(29.4*12)*D82</f>
        <v>59364.575510204093</v>
      </c>
      <c r="E83" s="7">
        <f t="shared" ref="E83:R83" si="32">E81/(29.4*12)*E82</f>
        <v>59364.575510204093</v>
      </c>
      <c r="F83" s="7">
        <f t="shared" si="32"/>
        <v>59364.575510204093</v>
      </c>
      <c r="G83" s="7">
        <f t="shared" si="32"/>
        <v>59364.575510204093</v>
      </c>
      <c r="H83" s="7">
        <f t="shared" si="32"/>
        <v>59364.575510204093</v>
      </c>
      <c r="I83" s="7">
        <f t="shared" si="32"/>
        <v>59364.575510204093</v>
      </c>
      <c r="J83" s="7">
        <f t="shared" si="32"/>
        <v>59364.575510204093</v>
      </c>
      <c r="K83" s="7">
        <f t="shared" si="32"/>
        <v>59364.575510204093</v>
      </c>
      <c r="L83" s="7">
        <f t="shared" si="32"/>
        <v>59364.575510204093</v>
      </c>
      <c r="M83" s="7">
        <f t="shared" si="32"/>
        <v>59364.575510204093</v>
      </c>
      <c r="N83" s="7">
        <f t="shared" si="32"/>
        <v>59364.575510204093</v>
      </c>
      <c r="O83" s="7">
        <f t="shared" si="32"/>
        <v>59364.575510204093</v>
      </c>
      <c r="P83" s="7">
        <f t="shared" si="32"/>
        <v>59364.575510204093</v>
      </c>
      <c r="Q83" s="7">
        <f t="shared" si="32"/>
        <v>59364.575510204093</v>
      </c>
      <c r="R83" s="7">
        <f t="shared" si="32"/>
        <v>59364.575510204093</v>
      </c>
      <c r="S83" s="220"/>
    </row>
    <row r="84" spans="1:19" ht="33.75">
      <c r="A84" s="65" t="s">
        <v>159</v>
      </c>
      <c r="B84" s="155" t="s">
        <v>78</v>
      </c>
      <c r="C84" s="158"/>
      <c r="D84" s="22">
        <f t="shared" ref="D84:R84" si="33">D34</f>
        <v>1970</v>
      </c>
      <c r="E84" s="22">
        <f t="shared" si="33"/>
        <v>1970</v>
      </c>
      <c r="F84" s="22">
        <f t="shared" si="33"/>
        <v>1970</v>
      </c>
      <c r="G84" s="22">
        <f t="shared" si="33"/>
        <v>1970</v>
      </c>
      <c r="H84" s="22">
        <f t="shared" si="33"/>
        <v>1970</v>
      </c>
      <c r="I84" s="22">
        <f t="shared" si="33"/>
        <v>1970</v>
      </c>
      <c r="J84" s="22">
        <f t="shared" si="33"/>
        <v>1970</v>
      </c>
      <c r="K84" s="22">
        <f t="shared" si="33"/>
        <v>1970</v>
      </c>
      <c r="L84" s="22">
        <f t="shared" si="33"/>
        <v>1970</v>
      </c>
      <c r="M84" s="22">
        <f t="shared" si="33"/>
        <v>1970</v>
      </c>
      <c r="N84" s="22">
        <f t="shared" si="33"/>
        <v>1970</v>
      </c>
      <c r="O84" s="22">
        <f t="shared" si="33"/>
        <v>1970</v>
      </c>
      <c r="P84" s="22">
        <f t="shared" si="33"/>
        <v>1970</v>
      </c>
      <c r="Q84" s="22">
        <f t="shared" si="33"/>
        <v>1970</v>
      </c>
      <c r="R84" s="22">
        <f t="shared" si="33"/>
        <v>1970</v>
      </c>
      <c r="S84" s="25" t="s">
        <v>160</v>
      </c>
    </row>
    <row r="85" spans="1:19" ht="28.5">
      <c r="A85" s="154" t="s">
        <v>161</v>
      </c>
      <c r="B85" s="155" t="s">
        <v>96</v>
      </c>
      <c r="C85" s="140"/>
      <c r="D85" s="5">
        <f>D84/12</f>
        <v>164.16666666666666</v>
      </c>
      <c r="E85" s="5">
        <f t="shared" ref="E85:R85" si="34">E84/12</f>
        <v>164.16666666666666</v>
      </c>
      <c r="F85" s="5">
        <f t="shared" si="34"/>
        <v>164.16666666666666</v>
      </c>
      <c r="G85" s="5">
        <f t="shared" si="34"/>
        <v>164.16666666666666</v>
      </c>
      <c r="H85" s="5">
        <f t="shared" si="34"/>
        <v>164.16666666666666</v>
      </c>
      <c r="I85" s="5">
        <f t="shared" si="34"/>
        <v>164.16666666666666</v>
      </c>
      <c r="J85" s="5">
        <f t="shared" si="34"/>
        <v>164.16666666666666</v>
      </c>
      <c r="K85" s="5">
        <f t="shared" si="34"/>
        <v>164.16666666666666</v>
      </c>
      <c r="L85" s="5">
        <f t="shared" si="34"/>
        <v>164.16666666666666</v>
      </c>
      <c r="M85" s="5">
        <f t="shared" si="34"/>
        <v>164.16666666666666</v>
      </c>
      <c r="N85" s="5">
        <f t="shared" si="34"/>
        <v>164.16666666666666</v>
      </c>
      <c r="O85" s="5">
        <f t="shared" si="34"/>
        <v>164.16666666666666</v>
      </c>
      <c r="P85" s="5">
        <f t="shared" si="34"/>
        <v>164.16666666666666</v>
      </c>
      <c r="Q85" s="5">
        <f t="shared" si="34"/>
        <v>164.16666666666666</v>
      </c>
      <c r="R85" s="5">
        <f t="shared" si="34"/>
        <v>164.16666666666666</v>
      </c>
      <c r="S85" s="67"/>
    </row>
    <row r="86" spans="1:19" ht="22.5">
      <c r="A86" s="125" t="s">
        <v>103</v>
      </c>
      <c r="B86" s="155" t="s">
        <v>80</v>
      </c>
      <c r="C86" s="140"/>
      <c r="D86" s="23">
        <f>D41</f>
        <v>1.04</v>
      </c>
      <c r="E86" s="23">
        <f t="shared" ref="E86:R86" si="35">E41</f>
        <v>1.04</v>
      </c>
      <c r="F86" s="23">
        <f t="shared" si="35"/>
        <v>1.04</v>
      </c>
      <c r="G86" s="23">
        <f t="shared" si="35"/>
        <v>1.04</v>
      </c>
      <c r="H86" s="23">
        <f t="shared" si="35"/>
        <v>1.04</v>
      </c>
      <c r="I86" s="23">
        <f t="shared" si="35"/>
        <v>1.04</v>
      </c>
      <c r="J86" s="23">
        <f t="shared" si="35"/>
        <v>1.04</v>
      </c>
      <c r="K86" s="23">
        <f t="shared" si="35"/>
        <v>1.04</v>
      </c>
      <c r="L86" s="23">
        <f t="shared" si="35"/>
        <v>1.04</v>
      </c>
      <c r="M86" s="23">
        <f t="shared" si="35"/>
        <v>1.04</v>
      </c>
      <c r="N86" s="23">
        <f t="shared" si="35"/>
        <v>1.04</v>
      </c>
      <c r="O86" s="23">
        <f t="shared" si="35"/>
        <v>1.04</v>
      </c>
      <c r="P86" s="23">
        <f t="shared" si="35"/>
        <v>1.04</v>
      </c>
      <c r="Q86" s="23">
        <f t="shared" si="35"/>
        <v>1.04</v>
      </c>
      <c r="R86" s="23">
        <f t="shared" si="35"/>
        <v>1.04</v>
      </c>
      <c r="S86" s="25" t="s">
        <v>141</v>
      </c>
    </row>
    <row r="87" spans="1:19" ht="15.75">
      <c r="A87" s="125" t="s">
        <v>162</v>
      </c>
      <c r="B87" s="155" t="s">
        <v>100</v>
      </c>
      <c r="C87" s="140"/>
      <c r="D87" s="24">
        <f>D80/D85+D83/D84</f>
        <v>271.75661701025592</v>
      </c>
      <c r="E87" s="24">
        <f t="shared" ref="E87:R87" si="36">E80/E85+E83/E84</f>
        <v>271.75661701025592</v>
      </c>
      <c r="F87" s="24">
        <f t="shared" si="36"/>
        <v>271.75661701025592</v>
      </c>
      <c r="G87" s="24">
        <f t="shared" si="36"/>
        <v>271.75661701025592</v>
      </c>
      <c r="H87" s="24">
        <f t="shared" si="36"/>
        <v>271.75661701025592</v>
      </c>
      <c r="I87" s="24">
        <f t="shared" si="36"/>
        <v>271.75661701025592</v>
      </c>
      <c r="J87" s="24">
        <f t="shared" si="36"/>
        <v>271.75661701025592</v>
      </c>
      <c r="K87" s="24">
        <f t="shared" si="36"/>
        <v>271.75661701025592</v>
      </c>
      <c r="L87" s="24">
        <f t="shared" si="36"/>
        <v>271.75661701025592</v>
      </c>
      <c r="M87" s="24">
        <f t="shared" si="36"/>
        <v>271.75661701025592</v>
      </c>
      <c r="N87" s="24">
        <f t="shared" si="36"/>
        <v>271.75661701025592</v>
      </c>
      <c r="O87" s="24">
        <f t="shared" si="36"/>
        <v>271.75661701025592</v>
      </c>
      <c r="P87" s="24">
        <f t="shared" si="36"/>
        <v>271.75661701025592</v>
      </c>
      <c r="Q87" s="24">
        <f t="shared" si="36"/>
        <v>271.75661701025592</v>
      </c>
      <c r="R87" s="24">
        <f t="shared" si="36"/>
        <v>271.75661701025592</v>
      </c>
      <c r="S87" s="209" t="s">
        <v>163</v>
      </c>
    </row>
    <row r="88" spans="1:19" ht="28.5">
      <c r="A88" s="154" t="s">
        <v>164</v>
      </c>
      <c r="B88" s="144" t="s">
        <v>165</v>
      </c>
      <c r="C88" s="145"/>
      <c r="D88" s="21">
        <v>5.7</v>
      </c>
      <c r="E88" s="21">
        <v>5.7</v>
      </c>
      <c r="F88" s="21">
        <v>5.7</v>
      </c>
      <c r="G88" s="21">
        <v>5.7</v>
      </c>
      <c r="H88" s="21">
        <v>5.7</v>
      </c>
      <c r="I88" s="21">
        <v>5.7</v>
      </c>
      <c r="J88" s="21">
        <v>5.7</v>
      </c>
      <c r="K88" s="21">
        <v>5.7</v>
      </c>
      <c r="L88" s="21">
        <v>5.7</v>
      </c>
      <c r="M88" s="21">
        <v>5.7</v>
      </c>
      <c r="N88" s="21">
        <v>5.7</v>
      </c>
      <c r="O88" s="21">
        <v>5.7</v>
      </c>
      <c r="P88" s="21">
        <v>5.7</v>
      </c>
      <c r="Q88" s="21">
        <v>5.7</v>
      </c>
      <c r="R88" s="21">
        <v>5.7</v>
      </c>
      <c r="S88" s="210"/>
    </row>
    <row r="89" spans="1:19" ht="25.5">
      <c r="A89" s="154" t="s">
        <v>166</v>
      </c>
      <c r="B89" s="159" t="s">
        <v>165</v>
      </c>
      <c r="C89" s="145"/>
      <c r="D89" s="21">
        <v>5.3</v>
      </c>
      <c r="E89" s="21">
        <v>5.3</v>
      </c>
      <c r="F89" s="21">
        <v>5.3</v>
      </c>
      <c r="G89" s="21">
        <v>5.3</v>
      </c>
      <c r="H89" s="21">
        <v>5.3</v>
      </c>
      <c r="I89" s="21">
        <v>5.3</v>
      </c>
      <c r="J89" s="21">
        <v>5.3</v>
      </c>
      <c r="K89" s="21">
        <v>5.3</v>
      </c>
      <c r="L89" s="21">
        <v>5.3</v>
      </c>
      <c r="M89" s="21">
        <v>5.3</v>
      </c>
      <c r="N89" s="21">
        <v>5.3</v>
      </c>
      <c r="O89" s="21">
        <v>5.3</v>
      </c>
      <c r="P89" s="21">
        <v>5.3</v>
      </c>
      <c r="Q89" s="21">
        <v>5.3</v>
      </c>
      <c r="R89" s="21">
        <v>5.3</v>
      </c>
      <c r="S89" s="210"/>
    </row>
    <row r="90" spans="1:19" ht="28.5">
      <c r="A90" s="154" t="s">
        <v>167</v>
      </c>
      <c r="B90" s="144" t="s">
        <v>80</v>
      </c>
      <c r="C90" s="145"/>
      <c r="D90" s="21">
        <v>0.9</v>
      </c>
      <c r="E90" s="21">
        <v>0.9</v>
      </c>
      <c r="F90" s="21">
        <v>0.9</v>
      </c>
      <c r="G90" s="21">
        <v>0.9</v>
      </c>
      <c r="H90" s="21">
        <v>0.9</v>
      </c>
      <c r="I90" s="21">
        <v>0.9</v>
      </c>
      <c r="J90" s="21">
        <v>0.9</v>
      </c>
      <c r="K90" s="21">
        <v>0.9</v>
      </c>
      <c r="L90" s="21">
        <v>0.9</v>
      </c>
      <c r="M90" s="21">
        <v>0.9</v>
      </c>
      <c r="N90" s="21">
        <v>0.9</v>
      </c>
      <c r="O90" s="21">
        <v>0.9</v>
      </c>
      <c r="P90" s="21">
        <v>0.9</v>
      </c>
      <c r="Q90" s="21">
        <v>0.9</v>
      </c>
      <c r="R90" s="21">
        <v>0.9</v>
      </c>
      <c r="S90" s="210"/>
    </row>
    <row r="91" spans="1:19" ht="28.5">
      <c r="A91" s="154" t="s">
        <v>168</v>
      </c>
      <c r="B91" s="144" t="s">
        <v>80</v>
      </c>
      <c r="C91" s="145"/>
      <c r="D91" s="21">
        <f>D90</f>
        <v>0.9</v>
      </c>
      <c r="E91" s="21">
        <f t="shared" ref="E91:R91" si="37">E90</f>
        <v>0.9</v>
      </c>
      <c r="F91" s="21">
        <f t="shared" si="37"/>
        <v>0.9</v>
      </c>
      <c r="G91" s="21">
        <f t="shared" si="37"/>
        <v>0.9</v>
      </c>
      <c r="H91" s="21">
        <f t="shared" si="37"/>
        <v>0.9</v>
      </c>
      <c r="I91" s="21">
        <f t="shared" si="37"/>
        <v>0.9</v>
      </c>
      <c r="J91" s="21">
        <f t="shared" si="37"/>
        <v>0.9</v>
      </c>
      <c r="K91" s="21">
        <f t="shared" si="37"/>
        <v>0.9</v>
      </c>
      <c r="L91" s="21">
        <f t="shared" si="37"/>
        <v>0.9</v>
      </c>
      <c r="M91" s="21">
        <f t="shared" si="37"/>
        <v>0.9</v>
      </c>
      <c r="N91" s="21">
        <f t="shared" si="37"/>
        <v>0.9</v>
      </c>
      <c r="O91" s="21">
        <f t="shared" si="37"/>
        <v>0.9</v>
      </c>
      <c r="P91" s="21">
        <f t="shared" si="37"/>
        <v>0.9</v>
      </c>
      <c r="Q91" s="21">
        <f t="shared" si="37"/>
        <v>0.9</v>
      </c>
      <c r="R91" s="21">
        <f t="shared" si="37"/>
        <v>0.9</v>
      </c>
      <c r="S91" s="210"/>
    </row>
    <row r="92" spans="1:19" ht="28.5">
      <c r="A92" s="149" t="s">
        <v>169</v>
      </c>
      <c r="B92" s="144" t="s">
        <v>80</v>
      </c>
      <c r="C92" s="145"/>
      <c r="D92" s="21">
        <v>1.1000000000000001</v>
      </c>
      <c r="E92" s="21">
        <v>1.1000000000000001</v>
      </c>
      <c r="F92" s="21">
        <v>1.1000000000000001</v>
      </c>
      <c r="G92" s="21">
        <v>1.1000000000000001</v>
      </c>
      <c r="H92" s="21">
        <v>1.1000000000000001</v>
      </c>
      <c r="I92" s="21">
        <v>1.1000000000000001</v>
      </c>
      <c r="J92" s="21">
        <v>1.1000000000000001</v>
      </c>
      <c r="K92" s="21">
        <v>1.1000000000000001</v>
      </c>
      <c r="L92" s="21">
        <v>1.1000000000000001</v>
      </c>
      <c r="M92" s="21">
        <v>1.1000000000000001</v>
      </c>
      <c r="N92" s="21">
        <v>1.1000000000000001</v>
      </c>
      <c r="O92" s="21">
        <v>1.1000000000000001</v>
      </c>
      <c r="P92" s="21">
        <v>1.1000000000000001</v>
      </c>
      <c r="Q92" s="21">
        <v>1.1000000000000001</v>
      </c>
      <c r="R92" s="21">
        <v>1.1000000000000001</v>
      </c>
      <c r="S92" s="211"/>
    </row>
    <row r="93" spans="1:19" ht="28.5">
      <c r="A93" s="160" t="s">
        <v>170</v>
      </c>
      <c r="B93" s="144" t="s">
        <v>80</v>
      </c>
      <c r="C93" s="145"/>
      <c r="D93" s="22">
        <v>1.2</v>
      </c>
      <c r="E93" s="22">
        <v>1.2</v>
      </c>
      <c r="F93" s="22">
        <v>1.2</v>
      </c>
      <c r="G93" s="22">
        <v>1.2</v>
      </c>
      <c r="H93" s="22">
        <v>1.2</v>
      </c>
      <c r="I93" s="22">
        <v>1.2</v>
      </c>
      <c r="J93" s="22">
        <v>1.2</v>
      </c>
      <c r="K93" s="22">
        <v>1.2</v>
      </c>
      <c r="L93" s="22">
        <v>1.2</v>
      </c>
      <c r="M93" s="22">
        <v>1.2</v>
      </c>
      <c r="N93" s="22">
        <v>1.2</v>
      </c>
      <c r="O93" s="22">
        <v>1.2</v>
      </c>
      <c r="P93" s="22">
        <v>1.2</v>
      </c>
      <c r="Q93" s="22">
        <v>1.2</v>
      </c>
      <c r="R93" s="22">
        <v>1.2</v>
      </c>
      <c r="S93" s="25"/>
    </row>
    <row r="94" spans="1:19" ht="28.5">
      <c r="A94" s="149" t="s">
        <v>171</v>
      </c>
      <c r="B94" s="144" t="s">
        <v>80</v>
      </c>
      <c r="C94" s="145"/>
      <c r="D94" s="21">
        <v>0.5</v>
      </c>
      <c r="E94" s="21">
        <v>0.5</v>
      </c>
      <c r="F94" s="21">
        <v>0.5</v>
      </c>
      <c r="G94" s="21">
        <v>0.5</v>
      </c>
      <c r="H94" s="21">
        <v>0.5</v>
      </c>
      <c r="I94" s="21">
        <v>0.5</v>
      </c>
      <c r="J94" s="21">
        <v>0.5</v>
      </c>
      <c r="K94" s="21">
        <v>0.5</v>
      </c>
      <c r="L94" s="21">
        <v>0.5</v>
      </c>
      <c r="M94" s="21">
        <v>0.5</v>
      </c>
      <c r="N94" s="21">
        <v>0.5</v>
      </c>
      <c r="O94" s="21">
        <v>0.5</v>
      </c>
      <c r="P94" s="21">
        <v>0.5</v>
      </c>
      <c r="Q94" s="21">
        <v>0.5</v>
      </c>
      <c r="R94" s="21">
        <v>0.5</v>
      </c>
      <c r="S94" s="25"/>
    </row>
    <row r="95" spans="1:19" ht="33.75">
      <c r="A95" s="65" t="s">
        <v>172</v>
      </c>
      <c r="B95" s="144" t="s">
        <v>80</v>
      </c>
      <c r="C95" s="145"/>
      <c r="D95" s="5">
        <f>1.059*1.13*1.065*1.047*1.04</f>
        <v>1.3877269815239999</v>
      </c>
      <c r="E95" s="5">
        <f t="shared" ref="E95:R95" si="38">1.059*1.13*1.065*1.047*1.04</f>
        <v>1.3877269815239999</v>
      </c>
      <c r="F95" s="5">
        <f t="shared" si="38"/>
        <v>1.3877269815239999</v>
      </c>
      <c r="G95" s="5">
        <f t="shared" si="38"/>
        <v>1.3877269815239999</v>
      </c>
      <c r="H95" s="5">
        <f t="shared" si="38"/>
        <v>1.3877269815239999</v>
      </c>
      <c r="I95" s="5">
        <f t="shared" si="38"/>
        <v>1.3877269815239999</v>
      </c>
      <c r="J95" s="5">
        <f t="shared" si="38"/>
        <v>1.3877269815239999</v>
      </c>
      <c r="K95" s="5">
        <f t="shared" si="38"/>
        <v>1.3877269815239999</v>
      </c>
      <c r="L95" s="5">
        <f t="shared" si="38"/>
        <v>1.3877269815239999</v>
      </c>
      <c r="M95" s="5">
        <f t="shared" si="38"/>
        <v>1.3877269815239999</v>
      </c>
      <c r="N95" s="5">
        <f t="shared" si="38"/>
        <v>1.3877269815239999</v>
      </c>
      <c r="O95" s="5">
        <f t="shared" si="38"/>
        <v>1.3877269815239999</v>
      </c>
      <c r="P95" s="5">
        <f t="shared" si="38"/>
        <v>1.3877269815239999</v>
      </c>
      <c r="Q95" s="5">
        <f t="shared" si="38"/>
        <v>1.3877269815239999</v>
      </c>
      <c r="R95" s="5">
        <f t="shared" si="38"/>
        <v>1.3877269815239999</v>
      </c>
      <c r="S95" s="25" t="s">
        <v>173</v>
      </c>
    </row>
    <row r="96" spans="1:19" ht="15" thickBot="1">
      <c r="A96" s="152" t="s">
        <v>174</v>
      </c>
      <c r="B96" s="150" t="s">
        <v>76</v>
      </c>
      <c r="C96" s="151"/>
      <c r="D96" s="9">
        <f>D77*D99/100</f>
        <v>1.2236886817367203</v>
      </c>
      <c r="E96" s="9">
        <f t="shared" ref="E96:R96" si="39">E77*E99/100</f>
        <v>1.2236886817367203</v>
      </c>
      <c r="F96" s="9">
        <f t="shared" si="39"/>
        <v>1.2236886817367203</v>
      </c>
      <c r="G96" s="9">
        <f t="shared" si="39"/>
        <v>1.2236886817367203</v>
      </c>
      <c r="H96" s="9">
        <f t="shared" si="39"/>
        <v>1.2236886817367203</v>
      </c>
      <c r="I96" s="9">
        <f t="shared" si="39"/>
        <v>1.2236886817367203</v>
      </c>
      <c r="J96" s="9">
        <f t="shared" si="39"/>
        <v>1.2236886817367203</v>
      </c>
      <c r="K96" s="9">
        <f t="shared" si="39"/>
        <v>1.2236886817367203</v>
      </c>
      <c r="L96" s="9">
        <f t="shared" si="39"/>
        <v>1.2236886817367203</v>
      </c>
      <c r="M96" s="9">
        <f t="shared" si="39"/>
        <v>1.2236886817367203</v>
      </c>
      <c r="N96" s="9">
        <f t="shared" si="39"/>
        <v>1.2236886817367203</v>
      </c>
      <c r="O96" s="9">
        <f t="shared" si="39"/>
        <v>1.2236886817367203</v>
      </c>
      <c r="P96" s="9">
        <f t="shared" si="39"/>
        <v>1.2236886817367203</v>
      </c>
      <c r="Q96" s="9">
        <f t="shared" si="39"/>
        <v>1.2236886817367203</v>
      </c>
      <c r="R96" s="9">
        <f t="shared" si="39"/>
        <v>1.2236886817367203</v>
      </c>
      <c r="S96" s="26"/>
    </row>
    <row r="97" spans="1:19" ht="34.5" thickBot="1">
      <c r="A97" s="161" t="s">
        <v>109</v>
      </c>
      <c r="B97" s="162" t="s">
        <v>65</v>
      </c>
      <c r="C97" s="109"/>
      <c r="D97" s="15">
        <v>30</v>
      </c>
      <c r="E97" s="15">
        <v>30</v>
      </c>
      <c r="F97" s="15">
        <v>30</v>
      </c>
      <c r="G97" s="15">
        <v>30</v>
      </c>
      <c r="H97" s="15">
        <v>30</v>
      </c>
      <c r="I97" s="15">
        <v>30</v>
      </c>
      <c r="J97" s="15">
        <v>30</v>
      </c>
      <c r="K97" s="15">
        <v>30</v>
      </c>
      <c r="L97" s="15">
        <v>30</v>
      </c>
      <c r="M97" s="15">
        <v>30</v>
      </c>
      <c r="N97" s="15">
        <v>30</v>
      </c>
      <c r="O97" s="15">
        <v>30</v>
      </c>
      <c r="P97" s="15">
        <v>30</v>
      </c>
      <c r="Q97" s="15">
        <v>30</v>
      </c>
      <c r="R97" s="15">
        <v>30</v>
      </c>
      <c r="S97" s="115" t="s">
        <v>175</v>
      </c>
    </row>
    <row r="98" spans="1:19" ht="33.75">
      <c r="A98" s="163" t="s">
        <v>111</v>
      </c>
      <c r="B98" s="164" t="s">
        <v>65</v>
      </c>
      <c r="C98" s="112"/>
      <c r="D98" s="15">
        <v>0.8</v>
      </c>
      <c r="E98" s="15">
        <v>0.8</v>
      </c>
      <c r="F98" s="15">
        <v>0.8</v>
      </c>
      <c r="G98" s="15">
        <v>0.8</v>
      </c>
      <c r="H98" s="15">
        <v>0.8</v>
      </c>
      <c r="I98" s="15">
        <v>0.8</v>
      </c>
      <c r="J98" s="15">
        <v>0.8</v>
      </c>
      <c r="K98" s="15">
        <v>0.8</v>
      </c>
      <c r="L98" s="15">
        <v>0.8</v>
      </c>
      <c r="M98" s="15">
        <v>0.8</v>
      </c>
      <c r="N98" s="15">
        <v>0.8</v>
      </c>
      <c r="O98" s="15">
        <v>0.8</v>
      </c>
      <c r="P98" s="15">
        <v>0.8</v>
      </c>
      <c r="Q98" s="15">
        <v>0.8</v>
      </c>
      <c r="R98" s="15">
        <v>0.8</v>
      </c>
      <c r="S98" s="115" t="s">
        <v>112</v>
      </c>
    </row>
    <row r="99" spans="1:19">
      <c r="A99" s="118" t="s">
        <v>113</v>
      </c>
      <c r="B99" s="119" t="s">
        <v>65</v>
      </c>
      <c r="C99" s="120"/>
      <c r="D99" s="15">
        <f>D97+D98</f>
        <v>30.8</v>
      </c>
      <c r="E99" s="15">
        <f t="shared" ref="E99:R99" si="40">E97+E98</f>
        <v>30.8</v>
      </c>
      <c r="F99" s="15">
        <f t="shared" si="40"/>
        <v>30.8</v>
      </c>
      <c r="G99" s="15">
        <f t="shared" si="40"/>
        <v>30.8</v>
      </c>
      <c r="H99" s="15">
        <f t="shared" si="40"/>
        <v>30.8</v>
      </c>
      <c r="I99" s="15">
        <f t="shared" si="40"/>
        <v>30.8</v>
      </c>
      <c r="J99" s="15">
        <f t="shared" si="40"/>
        <v>30.8</v>
      </c>
      <c r="K99" s="15">
        <f t="shared" si="40"/>
        <v>30.8</v>
      </c>
      <c r="L99" s="15">
        <f t="shared" si="40"/>
        <v>30.8</v>
      </c>
      <c r="M99" s="15">
        <f t="shared" si="40"/>
        <v>30.8</v>
      </c>
      <c r="N99" s="15">
        <f t="shared" si="40"/>
        <v>30.8</v>
      </c>
      <c r="O99" s="15">
        <f t="shared" si="40"/>
        <v>30.8</v>
      </c>
      <c r="P99" s="15">
        <f t="shared" si="40"/>
        <v>30.8</v>
      </c>
      <c r="Q99" s="15">
        <f t="shared" si="40"/>
        <v>30.8</v>
      </c>
      <c r="R99" s="15">
        <f t="shared" si="40"/>
        <v>30.8</v>
      </c>
      <c r="S99" s="121" t="s">
        <v>114</v>
      </c>
    </row>
    <row r="100" spans="1:19" ht="14.25">
      <c r="A100" s="152" t="s">
        <v>176</v>
      </c>
      <c r="B100" s="150" t="s">
        <v>76</v>
      </c>
      <c r="C100" s="151"/>
      <c r="D100" s="9">
        <f>D101*D102*D103*D104*D105</f>
        <v>3.6254367392314495</v>
      </c>
      <c r="E100" s="9">
        <f t="shared" ref="E100:R100" si="41">E101*E102*E103*E104*E105</f>
        <v>3.6254367392314495</v>
      </c>
      <c r="F100" s="9">
        <f t="shared" si="41"/>
        <v>3.6254367392314495</v>
      </c>
      <c r="G100" s="9">
        <f t="shared" si="41"/>
        <v>3.6254367392314495</v>
      </c>
      <c r="H100" s="9">
        <f t="shared" si="41"/>
        <v>3.6254367392314495</v>
      </c>
      <c r="I100" s="9">
        <f t="shared" si="41"/>
        <v>3.6254367392314495</v>
      </c>
      <c r="J100" s="9">
        <f t="shared" si="41"/>
        <v>3.6254367392314495</v>
      </c>
      <c r="K100" s="9">
        <f t="shared" si="41"/>
        <v>3.6254367392314495</v>
      </c>
      <c r="L100" s="9">
        <f t="shared" si="41"/>
        <v>5.5335613388269502</v>
      </c>
      <c r="M100" s="9">
        <f t="shared" si="41"/>
        <v>3.6254367392314495</v>
      </c>
      <c r="N100" s="9">
        <f t="shared" si="41"/>
        <v>3.6254367392314495</v>
      </c>
      <c r="O100" s="9">
        <f t="shared" si="41"/>
        <v>3.6254367392314495</v>
      </c>
      <c r="P100" s="9">
        <f t="shared" si="41"/>
        <v>3.6254367392314495</v>
      </c>
      <c r="Q100" s="9">
        <f t="shared" si="41"/>
        <v>3.6254367392314495</v>
      </c>
      <c r="R100" s="9">
        <f t="shared" si="41"/>
        <v>3.6254367392314495</v>
      </c>
      <c r="S100" s="67"/>
    </row>
    <row r="101" spans="1:19" ht="33.75">
      <c r="A101" s="165" t="s">
        <v>177</v>
      </c>
      <c r="B101" s="144" t="s">
        <v>76</v>
      </c>
      <c r="C101" s="145"/>
      <c r="D101" s="21">
        <v>1.9</v>
      </c>
      <c r="E101" s="21">
        <v>1.9</v>
      </c>
      <c r="F101" s="21">
        <v>1.9</v>
      </c>
      <c r="G101" s="21">
        <v>1.9</v>
      </c>
      <c r="H101" s="21">
        <v>1.9</v>
      </c>
      <c r="I101" s="21">
        <v>1.9</v>
      </c>
      <c r="J101" s="21">
        <v>1.9</v>
      </c>
      <c r="K101" s="21">
        <v>1.9</v>
      </c>
      <c r="L101" s="21">
        <v>2.9</v>
      </c>
      <c r="M101" s="21">
        <v>1.9</v>
      </c>
      <c r="N101" s="21">
        <v>1.9</v>
      </c>
      <c r="O101" s="21">
        <v>1.9</v>
      </c>
      <c r="P101" s="21">
        <v>1.9</v>
      </c>
      <c r="Q101" s="21">
        <v>1.9</v>
      </c>
      <c r="R101" s="21">
        <v>1.9</v>
      </c>
      <c r="S101" s="107" t="s">
        <v>178</v>
      </c>
    </row>
    <row r="102" spans="1:19" ht="33.75">
      <c r="A102" s="65" t="s">
        <v>179</v>
      </c>
      <c r="B102" s="144" t="s">
        <v>80</v>
      </c>
      <c r="C102" s="145"/>
      <c r="D102" s="5">
        <f>D95</f>
        <v>1.3877269815239999</v>
      </c>
      <c r="E102" s="5">
        <f t="shared" ref="E102:R102" si="42">E95</f>
        <v>1.3877269815239999</v>
      </c>
      <c r="F102" s="5">
        <f t="shared" si="42"/>
        <v>1.3877269815239999</v>
      </c>
      <c r="G102" s="5">
        <f t="shared" si="42"/>
        <v>1.3877269815239999</v>
      </c>
      <c r="H102" s="5">
        <f t="shared" si="42"/>
        <v>1.3877269815239999</v>
      </c>
      <c r="I102" s="5">
        <f t="shared" si="42"/>
        <v>1.3877269815239999</v>
      </c>
      <c r="J102" s="5">
        <f t="shared" si="42"/>
        <v>1.3877269815239999</v>
      </c>
      <c r="K102" s="5">
        <f t="shared" si="42"/>
        <v>1.3877269815239999</v>
      </c>
      <c r="L102" s="5">
        <f t="shared" si="42"/>
        <v>1.3877269815239999</v>
      </c>
      <c r="M102" s="5">
        <f t="shared" si="42"/>
        <v>1.3877269815239999</v>
      </c>
      <c r="N102" s="5">
        <f t="shared" si="42"/>
        <v>1.3877269815239999</v>
      </c>
      <c r="O102" s="5">
        <f t="shared" si="42"/>
        <v>1.3877269815239999</v>
      </c>
      <c r="P102" s="5">
        <f t="shared" si="42"/>
        <v>1.3877269815239999</v>
      </c>
      <c r="Q102" s="5">
        <f t="shared" si="42"/>
        <v>1.3877269815239999</v>
      </c>
      <c r="R102" s="5">
        <f t="shared" si="42"/>
        <v>1.3877269815239999</v>
      </c>
      <c r="S102" s="27" t="s">
        <v>180</v>
      </c>
    </row>
    <row r="103" spans="1:19" ht="54" customHeight="1">
      <c r="A103" s="62" t="s">
        <v>181</v>
      </c>
      <c r="B103" s="144" t="s">
        <v>80</v>
      </c>
      <c r="C103" s="145"/>
      <c r="D103" s="5">
        <v>1.1000000000000001</v>
      </c>
      <c r="E103" s="5">
        <v>1.1000000000000001</v>
      </c>
      <c r="F103" s="5">
        <v>1.1000000000000001</v>
      </c>
      <c r="G103" s="5">
        <v>1.1000000000000001</v>
      </c>
      <c r="H103" s="5">
        <v>1.1000000000000001</v>
      </c>
      <c r="I103" s="5">
        <v>1.1000000000000001</v>
      </c>
      <c r="J103" s="5">
        <v>1.1000000000000001</v>
      </c>
      <c r="K103" s="5">
        <v>1.1000000000000001</v>
      </c>
      <c r="L103" s="5">
        <v>1.1000000000000001</v>
      </c>
      <c r="M103" s="5">
        <v>1.1000000000000001</v>
      </c>
      <c r="N103" s="5">
        <v>1.1000000000000001</v>
      </c>
      <c r="O103" s="5">
        <v>1.1000000000000001</v>
      </c>
      <c r="P103" s="5">
        <v>1.1000000000000001</v>
      </c>
      <c r="Q103" s="5">
        <v>1.1000000000000001</v>
      </c>
      <c r="R103" s="5">
        <v>1.1000000000000001</v>
      </c>
      <c r="S103" s="209" t="s">
        <v>182</v>
      </c>
    </row>
    <row r="104" spans="1:19" ht="43.15" customHeight="1">
      <c r="A104" s="62" t="s">
        <v>183</v>
      </c>
      <c r="B104" s="144" t="s">
        <v>80</v>
      </c>
      <c r="C104" s="145"/>
      <c r="D104" s="21">
        <v>1.25</v>
      </c>
      <c r="E104" s="21">
        <v>1.25</v>
      </c>
      <c r="F104" s="21">
        <v>1.25</v>
      </c>
      <c r="G104" s="21">
        <v>1.25</v>
      </c>
      <c r="H104" s="21">
        <v>1.25</v>
      </c>
      <c r="I104" s="21">
        <v>1.25</v>
      </c>
      <c r="J104" s="21">
        <v>1.25</v>
      </c>
      <c r="K104" s="21">
        <v>1.25</v>
      </c>
      <c r="L104" s="21">
        <v>1.25</v>
      </c>
      <c r="M104" s="21">
        <v>1.25</v>
      </c>
      <c r="N104" s="21">
        <v>1.25</v>
      </c>
      <c r="O104" s="21">
        <v>1.25</v>
      </c>
      <c r="P104" s="21">
        <v>1.25</v>
      </c>
      <c r="Q104" s="21">
        <v>1.25</v>
      </c>
      <c r="R104" s="21">
        <v>1.25</v>
      </c>
      <c r="S104" s="211"/>
    </row>
    <row r="105" spans="1:19" ht="29.25" customHeight="1">
      <c r="A105" s="62" t="s">
        <v>184</v>
      </c>
      <c r="B105" s="144" t="s">
        <v>80</v>
      </c>
      <c r="C105" s="145"/>
      <c r="D105" s="5">
        <v>1</v>
      </c>
      <c r="E105" s="5">
        <v>1</v>
      </c>
      <c r="F105" s="5">
        <v>1</v>
      </c>
      <c r="G105" s="5">
        <v>1</v>
      </c>
      <c r="H105" s="5">
        <v>1</v>
      </c>
      <c r="I105" s="5">
        <v>1</v>
      </c>
      <c r="J105" s="5">
        <v>1</v>
      </c>
      <c r="K105" s="5">
        <v>1</v>
      </c>
      <c r="L105" s="5">
        <v>1</v>
      </c>
      <c r="M105" s="5">
        <v>1</v>
      </c>
      <c r="N105" s="5">
        <v>1</v>
      </c>
      <c r="O105" s="5">
        <v>1</v>
      </c>
      <c r="P105" s="5">
        <v>1</v>
      </c>
      <c r="Q105" s="5">
        <v>1</v>
      </c>
      <c r="R105" s="5">
        <v>1</v>
      </c>
      <c r="S105" s="121" t="s">
        <v>185</v>
      </c>
    </row>
    <row r="106" spans="1:19" ht="15.75" customHeight="1">
      <c r="A106" s="166" t="s">
        <v>186</v>
      </c>
      <c r="B106" s="150" t="s">
        <v>76</v>
      </c>
      <c r="C106" s="151"/>
      <c r="D106" s="9">
        <f>D107*D108</f>
        <v>14.216033403917843</v>
      </c>
      <c r="E106" s="9">
        <f t="shared" ref="E106:R106" si="43">E107*E108</f>
        <v>14.216033403917843</v>
      </c>
      <c r="F106" s="9">
        <f t="shared" si="43"/>
        <v>14.216033403917843</v>
      </c>
      <c r="G106" s="9">
        <f t="shared" si="43"/>
        <v>14.216033403917843</v>
      </c>
      <c r="H106" s="9">
        <f t="shared" si="43"/>
        <v>14.216033403917843</v>
      </c>
      <c r="I106" s="9">
        <f t="shared" si="43"/>
        <v>14.216033403917843</v>
      </c>
      <c r="J106" s="9">
        <f t="shared" si="43"/>
        <v>14.216033403917843</v>
      </c>
      <c r="K106" s="9">
        <f t="shared" si="43"/>
        <v>14.216033403917843</v>
      </c>
      <c r="L106" s="9">
        <f t="shared" si="43"/>
        <v>40.543311552162479</v>
      </c>
      <c r="M106" s="9">
        <f t="shared" si="43"/>
        <v>14.216033403917843</v>
      </c>
      <c r="N106" s="9">
        <f t="shared" si="43"/>
        <v>14.216033403917843</v>
      </c>
      <c r="O106" s="9">
        <f t="shared" si="43"/>
        <v>14.216033403917843</v>
      </c>
      <c r="P106" s="9">
        <f t="shared" si="43"/>
        <v>14.216033403917843</v>
      </c>
      <c r="Q106" s="9">
        <f t="shared" si="43"/>
        <v>14.216033403917843</v>
      </c>
      <c r="R106" s="9">
        <f t="shared" si="43"/>
        <v>14.216033403917843</v>
      </c>
      <c r="S106" s="75"/>
    </row>
    <row r="107" spans="1:19" ht="15.75">
      <c r="A107" s="165" t="s">
        <v>187</v>
      </c>
      <c r="B107" s="144" t="s">
        <v>76</v>
      </c>
      <c r="C107" s="145"/>
      <c r="D107" s="5">
        <f>D47+D51+D52+D76</f>
        <v>21.870820621412065</v>
      </c>
      <c r="E107" s="5">
        <f t="shared" ref="E107:R107" si="44">E47+E51+E52+E76</f>
        <v>21.870820621412065</v>
      </c>
      <c r="F107" s="5">
        <f t="shared" si="44"/>
        <v>21.870820621412065</v>
      </c>
      <c r="G107" s="5">
        <f t="shared" si="44"/>
        <v>21.870820621412065</v>
      </c>
      <c r="H107" s="5">
        <f t="shared" si="44"/>
        <v>21.870820621412065</v>
      </c>
      <c r="I107" s="5">
        <f t="shared" si="44"/>
        <v>21.870820621412065</v>
      </c>
      <c r="J107" s="5">
        <f t="shared" si="44"/>
        <v>21.870820621412065</v>
      </c>
      <c r="K107" s="5">
        <f t="shared" si="44"/>
        <v>21.870820621412065</v>
      </c>
      <c r="L107" s="5">
        <f t="shared" si="44"/>
        <v>24.571703971007565</v>
      </c>
      <c r="M107" s="5">
        <f t="shared" si="44"/>
        <v>21.870820621412065</v>
      </c>
      <c r="N107" s="5">
        <f t="shared" si="44"/>
        <v>21.870820621412065</v>
      </c>
      <c r="O107" s="5">
        <f t="shared" si="44"/>
        <v>21.870820621412065</v>
      </c>
      <c r="P107" s="5">
        <f t="shared" si="44"/>
        <v>21.870820621412065</v>
      </c>
      <c r="Q107" s="5">
        <f t="shared" si="44"/>
        <v>21.870820621412065</v>
      </c>
      <c r="R107" s="5">
        <f t="shared" si="44"/>
        <v>21.870820621412065</v>
      </c>
      <c r="S107" s="121" t="s">
        <v>188</v>
      </c>
    </row>
    <row r="108" spans="1:19" ht="28.5">
      <c r="A108" s="62" t="s">
        <v>189</v>
      </c>
      <c r="B108" s="144" t="s">
        <v>80</v>
      </c>
      <c r="C108" s="145"/>
      <c r="D108" s="21">
        <v>0.65</v>
      </c>
      <c r="E108" s="21">
        <v>0.65</v>
      </c>
      <c r="F108" s="21">
        <v>0.65</v>
      </c>
      <c r="G108" s="21">
        <v>0.65</v>
      </c>
      <c r="H108" s="21">
        <v>0.65</v>
      </c>
      <c r="I108" s="21">
        <v>0.65</v>
      </c>
      <c r="J108" s="21">
        <v>0.65</v>
      </c>
      <c r="K108" s="21">
        <v>0.65</v>
      </c>
      <c r="L108" s="21">
        <v>1.65</v>
      </c>
      <c r="M108" s="21">
        <v>0.65</v>
      </c>
      <c r="N108" s="21">
        <v>0.65</v>
      </c>
      <c r="O108" s="21">
        <v>0.65</v>
      </c>
      <c r="P108" s="21">
        <v>0.65</v>
      </c>
      <c r="Q108" s="21">
        <v>0.65</v>
      </c>
      <c r="R108" s="21">
        <v>0.65</v>
      </c>
      <c r="S108" s="25" t="s">
        <v>182</v>
      </c>
    </row>
    <row r="109" spans="1:19" ht="15" customHeight="1">
      <c r="A109" s="166" t="s">
        <v>190</v>
      </c>
      <c r="B109" s="150" t="s">
        <v>191</v>
      </c>
      <c r="C109" s="151"/>
      <c r="D109" s="9">
        <f>D22+D43+D47+D51+D69+D76+D106+D52</f>
        <v>78.32656361120516</v>
      </c>
      <c r="E109" s="9">
        <f t="shared" ref="E109:R109" si="45">E22+E43+E47+E51+E69+E76+E106+E52</f>
        <v>69.359329413005696</v>
      </c>
      <c r="F109" s="9">
        <f t="shared" si="45"/>
        <v>59.84204453183078</v>
      </c>
      <c r="G109" s="9">
        <f t="shared" si="45"/>
        <v>129.80845699930759</v>
      </c>
      <c r="H109" s="9">
        <f>H22+H43+H47+H51+H69+H76+H106+H52</f>
        <v>68.124215059610393</v>
      </c>
      <c r="I109" s="9">
        <f t="shared" si="45"/>
        <v>41.504722057351337</v>
      </c>
      <c r="J109" s="9">
        <f t="shared" si="45"/>
        <v>63.917187745944538</v>
      </c>
      <c r="K109" s="9">
        <f t="shared" si="45"/>
        <v>51.57129142751802</v>
      </c>
      <c r="L109" s="9">
        <f t="shared" si="45"/>
        <v>98.989630244841237</v>
      </c>
      <c r="M109" s="9">
        <f t="shared" si="45"/>
        <v>45.878095764329558</v>
      </c>
      <c r="N109" s="9">
        <f t="shared" si="45"/>
        <v>46.014975368340075</v>
      </c>
      <c r="O109" s="9">
        <f t="shared" si="45"/>
        <v>50.79014267607451</v>
      </c>
      <c r="P109" s="9">
        <f t="shared" si="45"/>
        <v>52.788408415521346</v>
      </c>
      <c r="Q109" s="9">
        <f t="shared" si="45"/>
        <v>66.856553574298687</v>
      </c>
      <c r="R109" s="9">
        <f t="shared" si="45"/>
        <v>56.771440047761928</v>
      </c>
      <c r="S109" s="121" t="s">
        <v>192</v>
      </c>
    </row>
    <row r="110" spans="1:19" ht="57.75" customHeight="1">
      <c r="A110" s="167" t="s">
        <v>193</v>
      </c>
      <c r="B110" s="168" t="s">
        <v>194</v>
      </c>
      <c r="C110" s="169"/>
      <c r="D110" s="9">
        <f>D109/D13/D21</f>
        <v>2.6108854537068389</v>
      </c>
      <c r="E110" s="9">
        <f t="shared" ref="E110:R110" si="46">E109/E13/E21</f>
        <v>2.5688640523335442</v>
      </c>
      <c r="F110" s="9">
        <f t="shared" si="46"/>
        <v>2.3016170973781072</v>
      </c>
      <c r="G110" s="9">
        <f t="shared" si="46"/>
        <v>4.6360163214038419</v>
      </c>
      <c r="H110" s="9">
        <f t="shared" si="46"/>
        <v>2.6201621176773227</v>
      </c>
      <c r="I110" s="9">
        <f t="shared" si="46"/>
        <v>2.1844590556500707</v>
      </c>
      <c r="J110" s="9">
        <f t="shared" si="46"/>
        <v>2.4349404855597916</v>
      </c>
      <c r="K110" s="9">
        <f t="shared" si="46"/>
        <v>2.1310451003106619</v>
      </c>
      <c r="L110" s="9">
        <f t="shared" si="46"/>
        <v>3.8072934709554325</v>
      </c>
      <c r="M110" s="9">
        <f t="shared" si="46"/>
        <v>2.1846712268728363</v>
      </c>
      <c r="N110" s="9">
        <f t="shared" si="46"/>
        <v>2.1911893032542893</v>
      </c>
      <c r="O110" s="9">
        <f t="shared" si="46"/>
        <v>2.1612826670670007</v>
      </c>
      <c r="P110" s="9">
        <f t="shared" si="46"/>
        <v>2.2045691549601734</v>
      </c>
      <c r="Q110" s="9">
        <f t="shared" si="46"/>
        <v>2.5714059067037955</v>
      </c>
      <c r="R110" s="9">
        <f t="shared" si="46"/>
        <v>2.1835169249139201</v>
      </c>
      <c r="S110" s="25" t="s">
        <v>195</v>
      </c>
    </row>
    <row r="111" spans="1:19" ht="51">
      <c r="A111" s="170" t="s">
        <v>196</v>
      </c>
      <c r="B111" s="171" t="s">
        <v>194</v>
      </c>
      <c r="C111" s="140"/>
      <c r="D111" s="5">
        <v>2.5</v>
      </c>
      <c r="E111" s="5">
        <v>2.5</v>
      </c>
      <c r="F111" s="5">
        <v>2.5</v>
      </c>
      <c r="G111" s="5">
        <v>2.5</v>
      </c>
      <c r="H111" s="5">
        <v>2.5</v>
      </c>
      <c r="I111" s="5">
        <v>2.5</v>
      </c>
      <c r="J111" s="5">
        <v>2.5</v>
      </c>
      <c r="K111" s="5">
        <v>2.5</v>
      </c>
      <c r="L111" s="5">
        <v>3.5</v>
      </c>
      <c r="M111" s="5">
        <v>2.5</v>
      </c>
      <c r="N111" s="5">
        <v>2.5</v>
      </c>
      <c r="O111" s="5">
        <v>2.5</v>
      </c>
      <c r="P111" s="5">
        <v>2.5</v>
      </c>
      <c r="Q111" s="5">
        <v>2.5</v>
      </c>
      <c r="R111" s="5">
        <v>2.5</v>
      </c>
      <c r="S111" s="121" t="s">
        <v>197</v>
      </c>
    </row>
    <row r="112" spans="1:19" ht="22.5">
      <c r="A112" s="170" t="s">
        <v>198</v>
      </c>
      <c r="B112" s="171" t="s">
        <v>199</v>
      </c>
      <c r="C112" s="140"/>
      <c r="D112" s="5">
        <f>D109*D17/1000</f>
        <v>6638.4112457404708</v>
      </c>
      <c r="E112" s="5">
        <f t="shared" ref="E112:R112" si="47">E109*E17/1000</f>
        <v>5878.4112457404717</v>
      </c>
      <c r="F112" s="5">
        <f t="shared" si="47"/>
        <v>14046.124692511321</v>
      </c>
      <c r="G112" s="5">
        <f t="shared" si="47"/>
        <v>530.76081897876884</v>
      </c>
      <c r="H112" s="5">
        <f t="shared" si="47"/>
        <v>8533.7841720872748</v>
      </c>
      <c r="I112" s="5">
        <f t="shared" si="47"/>
        <v>12888.959397133998</v>
      </c>
      <c r="J112" s="5">
        <f t="shared" si="47"/>
        <v>28482.726069597611</v>
      </c>
      <c r="K112" s="5">
        <f t="shared" si="47"/>
        <v>29078.575813988889</v>
      </c>
      <c r="L112" s="5">
        <f t="shared" si="47"/>
        <v>1167.2857198471679</v>
      </c>
      <c r="M112" s="5">
        <f t="shared" si="47"/>
        <v>14233.679210883245</v>
      </c>
      <c r="N112" s="5">
        <f t="shared" si="47"/>
        <v>6978.5391344117188</v>
      </c>
      <c r="O112" s="5">
        <f t="shared" si="47"/>
        <v>25100.996411942782</v>
      </c>
      <c r="P112" s="5">
        <f t="shared" si="47"/>
        <v>11483.590366712515</v>
      </c>
      <c r="Q112" s="5">
        <f t="shared" si="47"/>
        <v>4672.4708162005873</v>
      </c>
      <c r="R112" s="5">
        <f t="shared" si="47"/>
        <v>13991.207856890833</v>
      </c>
      <c r="S112" s="25" t="s">
        <v>200</v>
      </c>
    </row>
    <row r="113" spans="1:19">
      <c r="A113" s="170" t="s">
        <v>201</v>
      </c>
      <c r="B113" s="171" t="s">
        <v>199</v>
      </c>
      <c r="C113" s="140"/>
      <c r="D113" s="172">
        <v>1</v>
      </c>
      <c r="E113" s="172">
        <v>1</v>
      </c>
      <c r="F113" s="172">
        <v>9</v>
      </c>
      <c r="G113" s="172">
        <v>1</v>
      </c>
      <c r="H113" s="172">
        <v>1</v>
      </c>
      <c r="I113" s="172">
        <v>15</v>
      </c>
      <c r="J113" s="172">
        <v>3</v>
      </c>
      <c r="K113" s="172">
        <v>18.01708</v>
      </c>
      <c r="L113" s="172">
        <v>9.3000000000000007</v>
      </c>
      <c r="M113" s="172">
        <v>15</v>
      </c>
      <c r="N113" s="172">
        <v>16</v>
      </c>
      <c r="O113" s="172">
        <v>16</v>
      </c>
      <c r="P113" s="172">
        <v>16</v>
      </c>
      <c r="Q113" s="172">
        <v>2</v>
      </c>
      <c r="R113" s="172">
        <v>16</v>
      </c>
      <c r="S113" s="25"/>
    </row>
    <row r="114" spans="1:19">
      <c r="A114" s="170" t="s">
        <v>202</v>
      </c>
      <c r="B114" s="171" t="s">
        <v>199</v>
      </c>
      <c r="C114" s="140"/>
      <c r="D114" s="5">
        <f>D112*D113/100+D112</f>
        <v>6704.7953581978754</v>
      </c>
      <c r="E114" s="5">
        <f t="shared" ref="E114:R114" si="48">E112*E113/100+E112</f>
        <v>5937.195358197876</v>
      </c>
      <c r="F114" s="5">
        <f t="shared" si="48"/>
        <v>15310.275914837341</v>
      </c>
      <c r="G114" s="5">
        <f t="shared" si="48"/>
        <v>536.06842716855658</v>
      </c>
      <c r="H114" s="5">
        <f t="shared" si="48"/>
        <v>8619.122013808148</v>
      </c>
      <c r="I114" s="5">
        <f t="shared" si="48"/>
        <v>14822.303306704098</v>
      </c>
      <c r="J114" s="5">
        <f t="shared" si="48"/>
        <v>29337.20785168554</v>
      </c>
      <c r="K114" s="5">
        <f t="shared" si="48"/>
        <v>34317.686081255917</v>
      </c>
      <c r="L114" s="5">
        <f t="shared" si="48"/>
        <v>1275.8432917929545</v>
      </c>
      <c r="M114" s="5">
        <f t="shared" si="48"/>
        <v>16368.731092515733</v>
      </c>
      <c r="N114" s="5">
        <f t="shared" si="48"/>
        <v>8095.1053959175933</v>
      </c>
      <c r="O114" s="5">
        <f t="shared" si="48"/>
        <v>29117.155837853628</v>
      </c>
      <c r="P114" s="5">
        <f t="shared" si="48"/>
        <v>13320.964825386518</v>
      </c>
      <c r="Q114" s="5">
        <f t="shared" si="48"/>
        <v>4765.9202325245988</v>
      </c>
      <c r="R114" s="5">
        <f t="shared" si="48"/>
        <v>16229.801113993366</v>
      </c>
      <c r="S114" s="25"/>
    </row>
    <row r="115" spans="1:19">
      <c r="A115" s="170" t="s">
        <v>203</v>
      </c>
      <c r="B115" s="171" t="s">
        <v>191</v>
      </c>
      <c r="C115" s="140"/>
      <c r="D115" s="5">
        <f>D114*1000/D17</f>
        <v>79.109829247317208</v>
      </c>
      <c r="E115" s="5">
        <f t="shared" ref="E115:R115" si="49">E114*1000/E17</f>
        <v>70.05292270713575</v>
      </c>
      <c r="F115" s="5">
        <f t="shared" si="49"/>
        <v>65.227828539695551</v>
      </c>
      <c r="G115" s="5">
        <f t="shared" si="49"/>
        <v>131.10654156930067</v>
      </c>
      <c r="H115" s="5">
        <f t="shared" si="49"/>
        <v>68.805457210206498</v>
      </c>
      <c r="I115" s="5">
        <f t="shared" si="49"/>
        <v>47.730430365954035</v>
      </c>
      <c r="J115" s="5">
        <f t="shared" si="49"/>
        <v>65.834703378322871</v>
      </c>
      <c r="K115" s="5">
        <f t="shared" si="49"/>
        <v>60.862932261047085</v>
      </c>
      <c r="L115" s="5">
        <f t="shared" si="49"/>
        <v>108.19566585761147</v>
      </c>
      <c r="M115" s="5">
        <f t="shared" si="49"/>
        <v>52.759810128978998</v>
      </c>
      <c r="N115" s="5">
        <f t="shared" si="49"/>
        <v>53.377371427274483</v>
      </c>
      <c r="O115" s="5">
        <f t="shared" si="49"/>
        <v>58.916565504246435</v>
      </c>
      <c r="P115" s="5">
        <f t="shared" si="49"/>
        <v>61.234553762004772</v>
      </c>
      <c r="Q115" s="5">
        <f t="shared" si="49"/>
        <v>68.193684645784671</v>
      </c>
      <c r="R115" s="5">
        <f t="shared" si="49"/>
        <v>65.854870455403827</v>
      </c>
      <c r="S115" s="25"/>
    </row>
    <row r="116" spans="1:19" ht="22.5">
      <c r="A116" s="173" t="s">
        <v>204</v>
      </c>
      <c r="B116" s="174" t="s">
        <v>199</v>
      </c>
      <c r="C116" s="140"/>
      <c r="D116" s="5">
        <f>D111*D19</f>
        <v>6356.4750000000004</v>
      </c>
      <c r="E116" s="5">
        <f>E111*E19</f>
        <v>5720.8275000000003</v>
      </c>
      <c r="F116" s="5">
        <f t="shared" ref="F116:R116" si="50">F111*F19</f>
        <v>15256.800000000001</v>
      </c>
      <c r="G116" s="5">
        <f t="shared" si="50"/>
        <v>286.21600000000001</v>
      </c>
      <c r="H116" s="5">
        <f t="shared" si="50"/>
        <v>8142.42</v>
      </c>
      <c r="I116" s="5">
        <f t="shared" si="50"/>
        <v>14750.744999999999</v>
      </c>
      <c r="J116" s="5">
        <f t="shared" si="50"/>
        <v>29243.760000000002</v>
      </c>
      <c r="K116" s="5">
        <f t="shared" si="50"/>
        <v>34113.046000000002</v>
      </c>
      <c r="L116" s="5">
        <f t="shared" si="50"/>
        <v>1073.0719999999999</v>
      </c>
      <c r="M116" s="5">
        <f t="shared" si="50"/>
        <v>16288.125</v>
      </c>
      <c r="N116" s="5">
        <f t="shared" si="50"/>
        <v>7962.0450000000001</v>
      </c>
      <c r="O116" s="5">
        <f t="shared" si="50"/>
        <v>29034.837499999998</v>
      </c>
      <c r="P116" s="5">
        <f t="shared" si="50"/>
        <v>13022.488249999999</v>
      </c>
      <c r="Q116" s="5">
        <f t="shared" si="50"/>
        <v>4542.72</v>
      </c>
      <c r="R116" s="5">
        <f t="shared" si="50"/>
        <v>16019.120000000003</v>
      </c>
      <c r="S116" s="107" t="s">
        <v>205</v>
      </c>
    </row>
    <row r="117" spans="1:19" ht="15.75" thickBot="1">
      <c r="A117" s="175" t="s">
        <v>206</v>
      </c>
      <c r="B117" s="176" t="s">
        <v>199</v>
      </c>
      <c r="C117" s="177"/>
      <c r="D117" s="178">
        <f>D116-D114</f>
        <v>-348.32035819787507</v>
      </c>
      <c r="E117" s="178">
        <f>E116-E114</f>
        <v>-216.36785819787565</v>
      </c>
      <c r="F117" s="178">
        <f t="shared" ref="F117:R117" si="51">F116-F114</f>
        <v>-53.475914837339587</v>
      </c>
      <c r="G117" s="178">
        <f t="shared" si="51"/>
        <v>-249.85242716855657</v>
      </c>
      <c r="H117" s="178">
        <f t="shared" si="51"/>
        <v>-476.70201380814797</v>
      </c>
      <c r="I117" s="178">
        <f t="shared" si="51"/>
        <v>-71.558306704098868</v>
      </c>
      <c r="J117" s="178">
        <f t="shared" si="51"/>
        <v>-93.447851685537898</v>
      </c>
      <c r="K117" s="178">
        <f t="shared" si="51"/>
        <v>-204.64008125591499</v>
      </c>
      <c r="L117" s="178">
        <f t="shared" si="51"/>
        <v>-202.77129179295457</v>
      </c>
      <c r="M117" s="178">
        <f t="shared" si="51"/>
        <v>-80.606092515732598</v>
      </c>
      <c r="N117" s="178">
        <f t="shared" si="51"/>
        <v>-133.06039591759327</v>
      </c>
      <c r="O117" s="178">
        <f>O116-O114</f>
        <v>-82.31833785363051</v>
      </c>
      <c r="P117" s="178">
        <f t="shared" si="51"/>
        <v>-298.47657538651947</v>
      </c>
      <c r="Q117" s="178">
        <f t="shared" si="51"/>
        <v>-223.2002325245985</v>
      </c>
      <c r="R117" s="178">
        <f t="shared" si="51"/>
        <v>-210.6811139933634</v>
      </c>
      <c r="S117" s="179" t="s">
        <v>207</v>
      </c>
    </row>
    <row r="118" spans="1:19">
      <c r="A118" s="180" t="s">
        <v>208</v>
      </c>
      <c r="B118" s="181" t="s">
        <v>199</v>
      </c>
      <c r="C118" s="182"/>
      <c r="D118" s="183">
        <f>D117*-1</f>
        <v>348.32035819787507</v>
      </c>
      <c r="E118" s="183">
        <f t="shared" ref="E118:R118" si="52">E117*-1</f>
        <v>216.36785819787565</v>
      </c>
      <c r="F118" s="183">
        <f t="shared" si="52"/>
        <v>53.475914837339587</v>
      </c>
      <c r="G118" s="183">
        <f t="shared" si="52"/>
        <v>249.85242716855657</v>
      </c>
      <c r="H118" s="183">
        <f t="shared" si="52"/>
        <v>476.70201380814797</v>
      </c>
      <c r="I118" s="183">
        <f t="shared" si="52"/>
        <v>71.558306704098868</v>
      </c>
      <c r="J118" s="183">
        <f t="shared" si="52"/>
        <v>93.447851685537898</v>
      </c>
      <c r="K118" s="183">
        <f t="shared" si="52"/>
        <v>204.64008125591499</v>
      </c>
      <c r="L118" s="183">
        <f t="shared" si="52"/>
        <v>202.77129179295457</v>
      </c>
      <c r="M118" s="183">
        <f t="shared" si="52"/>
        <v>80.606092515732598</v>
      </c>
      <c r="N118" s="183">
        <f t="shared" si="52"/>
        <v>133.06039591759327</v>
      </c>
      <c r="O118" s="183">
        <f t="shared" si="52"/>
        <v>82.31833785363051</v>
      </c>
      <c r="P118" s="183">
        <f t="shared" si="52"/>
        <v>298.47657538651947</v>
      </c>
      <c r="Q118" s="183">
        <f t="shared" si="52"/>
        <v>223.2002325245985</v>
      </c>
      <c r="R118" s="183">
        <f t="shared" si="52"/>
        <v>210.6811139933634</v>
      </c>
      <c r="S118" s="184"/>
    </row>
    <row r="119" spans="1:19" ht="13.5" thickBot="1">
      <c r="A119" s="185" t="s">
        <v>209</v>
      </c>
      <c r="B119" s="186" t="s">
        <v>199</v>
      </c>
      <c r="C119" s="187"/>
      <c r="D119" s="221">
        <f>D118+E118+F118+G118+H118+I118+J118+K118+L118+M118+N118+O118+P118+Q118+R118</f>
        <v>2945.478851839739</v>
      </c>
      <c r="E119" s="221"/>
      <c r="F119" s="221"/>
      <c r="G119" s="221"/>
      <c r="H119" s="221"/>
      <c r="I119" s="221"/>
      <c r="J119" s="221"/>
      <c r="K119" s="221"/>
      <c r="L119" s="221"/>
      <c r="M119" s="221"/>
      <c r="N119" s="221"/>
      <c r="O119" s="221"/>
      <c r="P119" s="221"/>
      <c r="Q119" s="221"/>
      <c r="R119" s="221"/>
      <c r="S119" s="188"/>
    </row>
    <row r="120" spans="1:19" ht="13.5" customHeight="1" thickBot="1"/>
    <row r="121" spans="1:19" ht="13.5" customHeight="1" thickBot="1">
      <c r="A121" s="205" t="s">
        <v>210</v>
      </c>
      <c r="B121" s="207" t="s">
        <v>29</v>
      </c>
      <c r="C121" s="189"/>
      <c r="D121" s="190" t="s">
        <v>211</v>
      </c>
      <c r="E121" s="190" t="s">
        <v>212</v>
      </c>
      <c r="F121" s="191" t="s">
        <v>213</v>
      </c>
    </row>
    <row r="122" spans="1:19" ht="51" customHeight="1" thickBot="1">
      <c r="A122" s="206"/>
      <c r="B122" s="208"/>
      <c r="C122" s="192"/>
      <c r="D122" s="193">
        <f>D119</f>
        <v>2945.478851839739</v>
      </c>
      <c r="E122" s="193">
        <f>'Общая потребностьпо автобусам'!D10</f>
        <v>220.80522829430811</v>
      </c>
      <c r="F122" s="193">
        <f>'Общая потребностьпо автобусам'!E10</f>
        <v>265.24951829430802</v>
      </c>
    </row>
  </sheetData>
  <mergeCells count="35">
    <mergeCell ref="S1:S2"/>
    <mergeCell ref="A3:S4"/>
    <mergeCell ref="A6:A8"/>
    <mergeCell ref="B6:B8"/>
    <mergeCell ref="D6:R6"/>
    <mergeCell ref="S6:S8"/>
    <mergeCell ref="D7:D8"/>
    <mergeCell ref="E7:E8"/>
    <mergeCell ref="F7:F8"/>
    <mergeCell ref="G7:G8"/>
    <mergeCell ref="S9:S11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A121:A122"/>
    <mergeCell ref="B121:B122"/>
    <mergeCell ref="S14:S16"/>
    <mergeCell ref="S24:S25"/>
    <mergeCell ref="S26:S33"/>
    <mergeCell ref="A55:C56"/>
    <mergeCell ref="D55:D56"/>
    <mergeCell ref="S65:S67"/>
    <mergeCell ref="S69:S76"/>
    <mergeCell ref="S78:S83"/>
    <mergeCell ref="S87:S92"/>
    <mergeCell ref="S103:S104"/>
    <mergeCell ref="D119:R11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8" fitToHeight="0" orientation="landscape" r:id="rId1"/>
  <headerFooter alignWithMargins="0">
    <oddFooter>&amp;C&amp;P</oddFooter>
  </headerFooter>
  <rowBreaks count="1" manualBreakCount="1">
    <brk id="75" max="18" man="1"/>
  </rowBreaks>
  <colBreaks count="1" manualBreakCount="1">
    <brk id="19" min="2" max="11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Общая потребностьпо автобусам</vt:lpstr>
      <vt:lpstr>Табл 1</vt:lpstr>
      <vt:lpstr>Табл 2</vt:lpstr>
      <vt:lpstr>'Табл 2'!Заголовки_для_печати</vt:lpstr>
      <vt:lpstr>'Табл 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2018-10-11T17:42:48Z</dcterms:modified>
</cp:coreProperties>
</file>