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23250" windowHeight="12525"/>
  </bookViews>
  <sheets>
    <sheet name="2019" sheetId="13" r:id="rId1"/>
    <sheet name="2020" sheetId="14" r:id="rId2"/>
    <sheet name="2021" sheetId="15" r:id="rId3"/>
  </sheets>
  <definedNames>
    <definedName name="_xlnm.Print_Titles" localSheetId="0">'2019'!$A:$B,'2019'!$5:$6</definedName>
    <definedName name="_xlnm.Print_Titles" localSheetId="1">'2020'!$A:$B,'2020'!$8:$9</definedName>
    <definedName name="_xlnm.Print_Titles" localSheetId="2">'2021'!$A:$B,'2021'!$8:$9</definedName>
    <definedName name="_xlnm.Print_Area" localSheetId="0">'2019'!$A$1:$U$38</definedName>
  </definedNames>
  <calcPr calcId="125725"/>
</workbook>
</file>

<file path=xl/calcChain.xml><?xml version="1.0" encoding="utf-8"?>
<calcChain xmlns="http://schemas.openxmlformats.org/spreadsheetml/2006/main">
  <c r="N30" i="15"/>
  <c r="M30"/>
  <c r="L30"/>
  <c r="S31"/>
  <c r="S32"/>
  <c r="S33"/>
  <c r="S34"/>
  <c r="S35"/>
  <c r="S30"/>
  <c r="S31" i="14"/>
  <c r="S32"/>
  <c r="S33"/>
  <c r="S34"/>
  <c r="S35"/>
  <c r="S30"/>
  <c r="S28" i="13"/>
  <c r="S29"/>
  <c r="S30"/>
  <c r="S31"/>
  <c r="S32"/>
  <c r="S27"/>
  <c r="T27" s="1"/>
  <c r="Q34"/>
  <c r="O28"/>
  <c r="O29"/>
  <c r="O30"/>
  <c r="O31"/>
  <c r="O32"/>
  <c r="N28"/>
  <c r="N29"/>
  <c r="N30"/>
  <c r="N31"/>
  <c r="N32"/>
  <c r="O27"/>
  <c r="N27"/>
  <c r="M27"/>
  <c r="N23"/>
  <c r="N24"/>
  <c r="N22"/>
  <c r="N14"/>
  <c r="N15"/>
  <c r="N16"/>
  <c r="N17"/>
  <c r="N18"/>
  <c r="N19"/>
  <c r="N13"/>
  <c r="N8"/>
  <c r="N9"/>
  <c r="N10"/>
  <c r="N7"/>
  <c r="M28"/>
  <c r="M29"/>
  <c r="M30"/>
  <c r="M31"/>
  <c r="M32"/>
  <c r="L8"/>
  <c r="L9"/>
  <c r="L10"/>
  <c r="L11"/>
  <c r="L13"/>
  <c r="L16"/>
  <c r="L17"/>
  <c r="L18"/>
  <c r="L19"/>
  <c r="L20"/>
  <c r="L24"/>
  <c r="L25"/>
  <c r="L27"/>
  <c r="L28"/>
  <c r="L29"/>
  <c r="L30"/>
  <c r="L31"/>
  <c r="L32"/>
  <c r="L7"/>
  <c r="P31" l="1"/>
  <c r="P29"/>
  <c r="P27"/>
  <c r="M33"/>
  <c r="N33"/>
  <c r="P32"/>
  <c r="P30"/>
  <c r="P28"/>
  <c r="L12"/>
  <c r="L33"/>
  <c r="O33"/>
  <c r="S36" i="15" l="1"/>
  <c r="F36"/>
  <c r="E36"/>
  <c r="D36"/>
  <c r="C36"/>
  <c r="X35"/>
  <c r="W35"/>
  <c r="G35"/>
  <c r="X34"/>
  <c r="W34"/>
  <c r="G34"/>
  <c r="X33"/>
  <c r="W33"/>
  <c r="G33"/>
  <c r="X32"/>
  <c r="W32"/>
  <c r="G32"/>
  <c r="X31"/>
  <c r="W31"/>
  <c r="G31"/>
  <c r="X30"/>
  <c r="W30"/>
  <c r="G30"/>
  <c r="M30" i="14"/>
  <c r="S36"/>
  <c r="F36"/>
  <c r="E36"/>
  <c r="D36"/>
  <c r="C36"/>
  <c r="X35"/>
  <c r="W35"/>
  <c r="N35"/>
  <c r="M35"/>
  <c r="L35"/>
  <c r="G35"/>
  <c r="X34"/>
  <c r="W34"/>
  <c r="T34"/>
  <c r="N34"/>
  <c r="M34"/>
  <c r="L34"/>
  <c r="G34"/>
  <c r="X33"/>
  <c r="W33"/>
  <c r="M33"/>
  <c r="L33"/>
  <c r="G33"/>
  <c r="X32"/>
  <c r="W32"/>
  <c r="N32"/>
  <c r="M32"/>
  <c r="L32"/>
  <c r="G32"/>
  <c r="X31"/>
  <c r="W31"/>
  <c r="T31"/>
  <c r="M31"/>
  <c r="L31"/>
  <c r="G31"/>
  <c r="X30"/>
  <c r="W30"/>
  <c r="T30"/>
  <c r="L30"/>
  <c r="G30"/>
  <c r="G36" i="15" l="1"/>
  <c r="W36" i="14"/>
  <c r="G36"/>
  <c r="N31"/>
  <c r="T32"/>
  <c r="T33"/>
  <c r="X36"/>
  <c r="N33"/>
  <c r="O34"/>
  <c r="P34" s="1"/>
  <c r="O30"/>
  <c r="O31"/>
  <c r="O32"/>
  <c r="P32" s="1"/>
  <c r="O33"/>
  <c r="T35"/>
  <c r="O35"/>
  <c r="P35"/>
  <c r="M35" i="15"/>
  <c r="M33"/>
  <c r="M31"/>
  <c r="X36"/>
  <c r="W36"/>
  <c r="M34"/>
  <c r="N34"/>
  <c r="L34"/>
  <c r="M32"/>
  <c r="N32"/>
  <c r="L32"/>
  <c r="N30" i="14"/>
  <c r="P30" s="1"/>
  <c r="L31" i="15"/>
  <c r="O32"/>
  <c r="T32"/>
  <c r="L33"/>
  <c r="O34"/>
  <c r="T34"/>
  <c r="L35"/>
  <c r="N36" i="14"/>
  <c r="M36"/>
  <c r="L36"/>
  <c r="T36" l="1"/>
  <c r="Q36" i="15" s="1"/>
  <c r="P33" i="14"/>
  <c r="P31"/>
  <c r="P36" s="1"/>
  <c r="O36"/>
  <c r="P32" i="15"/>
  <c r="P34"/>
  <c r="M36"/>
  <c r="T33"/>
  <c r="O33"/>
  <c r="N33"/>
  <c r="T35"/>
  <c r="O35"/>
  <c r="N35"/>
  <c r="T31"/>
  <c r="O31"/>
  <c r="N31"/>
  <c r="P31" l="1"/>
  <c r="P33"/>
  <c r="T30"/>
  <c r="O30"/>
  <c r="O36" s="1"/>
  <c r="L36"/>
  <c r="N36"/>
  <c r="T36"/>
  <c r="P35"/>
  <c r="S33" i="13"/>
  <c r="F33"/>
  <c r="E33"/>
  <c r="D33"/>
  <c r="C33"/>
  <c r="X32"/>
  <c r="W32"/>
  <c r="T32"/>
  <c r="G32"/>
  <c r="X31"/>
  <c r="W31"/>
  <c r="T31"/>
  <c r="G31"/>
  <c r="X30"/>
  <c r="W30"/>
  <c r="T30"/>
  <c r="G30"/>
  <c r="X29"/>
  <c r="W29"/>
  <c r="T29"/>
  <c r="G29"/>
  <c r="X28"/>
  <c r="W28"/>
  <c r="T28"/>
  <c r="G28"/>
  <c r="X27"/>
  <c r="X33" s="1"/>
  <c r="W27"/>
  <c r="W33" s="1"/>
  <c r="T33"/>
  <c r="Q36" i="14" s="1"/>
  <c r="R36" s="1"/>
  <c r="U36" s="1"/>
  <c r="G27" i="13"/>
  <c r="G33" s="1"/>
  <c r="P30" i="15" l="1"/>
  <c r="P36" s="1"/>
  <c r="R36" s="1"/>
  <c r="P33" i="13" l="1"/>
  <c r="U36" i="15"/>
  <c r="R33" i="13"/>
  <c r="U33" s="1"/>
  <c r="S29" i="15"/>
  <c r="T28"/>
  <c r="L28"/>
  <c r="F28"/>
  <c r="O28" s="1"/>
  <c r="E28"/>
  <c r="E29" s="1"/>
  <c r="D28"/>
  <c r="M28" s="1"/>
  <c r="T27"/>
  <c r="O27"/>
  <c r="N27"/>
  <c r="L27"/>
  <c r="D27"/>
  <c r="M27" s="1"/>
  <c r="T26"/>
  <c r="O26"/>
  <c r="N26"/>
  <c r="C26"/>
  <c r="D26" s="1"/>
  <c r="M26" s="1"/>
  <c r="T25"/>
  <c r="N25"/>
  <c r="F25"/>
  <c r="C25"/>
  <c r="L25" s="1"/>
  <c r="S24"/>
  <c r="T23"/>
  <c r="L23"/>
  <c r="F23"/>
  <c r="O23" s="1"/>
  <c r="E23"/>
  <c r="D23"/>
  <c r="M23" s="1"/>
  <c r="T22"/>
  <c r="N22"/>
  <c r="L22"/>
  <c r="F22"/>
  <c r="O22" s="1"/>
  <c r="D22"/>
  <c r="M22" s="1"/>
  <c r="T21"/>
  <c r="N21"/>
  <c r="L21"/>
  <c r="F21"/>
  <c r="O21" s="1"/>
  <c r="D21"/>
  <c r="M21" s="1"/>
  <c r="T20"/>
  <c r="N20"/>
  <c r="L20"/>
  <c r="F20"/>
  <c r="O20" s="1"/>
  <c r="D20"/>
  <c r="T19"/>
  <c r="N19"/>
  <c r="L19"/>
  <c r="F19"/>
  <c r="D19"/>
  <c r="M19" s="1"/>
  <c r="T18"/>
  <c r="N18"/>
  <c r="F18"/>
  <c r="O18" s="1"/>
  <c r="D18"/>
  <c r="M18" s="1"/>
  <c r="C18"/>
  <c r="L18" s="1"/>
  <c r="T17"/>
  <c r="N17"/>
  <c r="F17"/>
  <c r="O17" s="1"/>
  <c r="C17"/>
  <c r="C24" s="1"/>
  <c r="T16"/>
  <c r="N16"/>
  <c r="L16"/>
  <c r="F16"/>
  <c r="O16" s="1"/>
  <c r="D16"/>
  <c r="S15"/>
  <c r="C15"/>
  <c r="T14"/>
  <c r="L14"/>
  <c r="F14"/>
  <c r="O14" s="1"/>
  <c r="E14"/>
  <c r="E15" s="1"/>
  <c r="D14"/>
  <c r="M14" s="1"/>
  <c r="T13"/>
  <c r="N13"/>
  <c r="L13"/>
  <c r="F13"/>
  <c r="O13" s="1"/>
  <c r="D13"/>
  <c r="M13" s="1"/>
  <c r="T12"/>
  <c r="N12"/>
  <c r="L12"/>
  <c r="F12"/>
  <c r="O12" s="1"/>
  <c r="D12"/>
  <c r="M12" s="1"/>
  <c r="T11"/>
  <c r="N11"/>
  <c r="L11"/>
  <c r="F11"/>
  <c r="O11" s="1"/>
  <c r="D11"/>
  <c r="M11" s="1"/>
  <c r="T10"/>
  <c r="O10"/>
  <c r="N10"/>
  <c r="L10"/>
  <c r="F10"/>
  <c r="D10"/>
  <c r="M10" s="1"/>
  <c r="S29" i="14"/>
  <c r="T28"/>
  <c r="L28"/>
  <c r="F28"/>
  <c r="O28" s="1"/>
  <c r="E28"/>
  <c r="E29" s="1"/>
  <c r="D28"/>
  <c r="M28" s="1"/>
  <c r="T27"/>
  <c r="O27"/>
  <c r="N27"/>
  <c r="L27"/>
  <c r="D27"/>
  <c r="M27" s="1"/>
  <c r="T26"/>
  <c r="O26"/>
  <c r="N26"/>
  <c r="C26"/>
  <c r="D26" s="1"/>
  <c r="M26" s="1"/>
  <c r="T25"/>
  <c r="N25"/>
  <c r="F25"/>
  <c r="F29" s="1"/>
  <c r="C25"/>
  <c r="L25" s="1"/>
  <c r="S24"/>
  <c r="T23"/>
  <c r="L23"/>
  <c r="F23"/>
  <c r="O23" s="1"/>
  <c r="E23"/>
  <c r="E24" s="1"/>
  <c r="D23"/>
  <c r="M23" s="1"/>
  <c r="T22"/>
  <c r="N22"/>
  <c r="L22"/>
  <c r="F22"/>
  <c r="O22" s="1"/>
  <c r="D22"/>
  <c r="M22" s="1"/>
  <c r="T21"/>
  <c r="N21"/>
  <c r="L21"/>
  <c r="F21"/>
  <c r="O21" s="1"/>
  <c r="D21"/>
  <c r="M21" s="1"/>
  <c r="T20"/>
  <c r="N20"/>
  <c r="L20"/>
  <c r="F20"/>
  <c r="O20" s="1"/>
  <c r="D20"/>
  <c r="M20" s="1"/>
  <c r="T19"/>
  <c r="N19"/>
  <c r="L19"/>
  <c r="F19"/>
  <c r="D19"/>
  <c r="M19" s="1"/>
  <c r="T18"/>
  <c r="N18"/>
  <c r="F18"/>
  <c r="O18" s="1"/>
  <c r="C18"/>
  <c r="L18" s="1"/>
  <c r="T17"/>
  <c r="N17"/>
  <c r="F17"/>
  <c r="O17" s="1"/>
  <c r="C17"/>
  <c r="C24" s="1"/>
  <c r="T16"/>
  <c r="N16"/>
  <c r="L16"/>
  <c r="F16"/>
  <c r="O16" s="1"/>
  <c r="D16"/>
  <c r="S15"/>
  <c r="C15"/>
  <c r="T14"/>
  <c r="L14"/>
  <c r="F14"/>
  <c r="O14" s="1"/>
  <c r="E14"/>
  <c r="E15" s="1"/>
  <c r="D14"/>
  <c r="M14" s="1"/>
  <c r="T13"/>
  <c r="N13"/>
  <c r="L13"/>
  <c r="F13"/>
  <c r="O13" s="1"/>
  <c r="D13"/>
  <c r="M13" s="1"/>
  <c r="T12"/>
  <c r="N12"/>
  <c r="L12"/>
  <c r="F12"/>
  <c r="O12" s="1"/>
  <c r="D12"/>
  <c r="M12" s="1"/>
  <c r="T11"/>
  <c r="N11"/>
  <c r="L11"/>
  <c r="F11"/>
  <c r="O11" s="1"/>
  <c r="D11"/>
  <c r="M11" s="1"/>
  <c r="T10"/>
  <c r="N10"/>
  <c r="L10"/>
  <c r="F10"/>
  <c r="O10" s="1"/>
  <c r="D10"/>
  <c r="D25" i="13"/>
  <c r="M25" s="1"/>
  <c r="C22"/>
  <c r="L22" s="1"/>
  <c r="D22"/>
  <c r="M22" s="1"/>
  <c r="D24"/>
  <c r="M24" s="1"/>
  <c r="C23"/>
  <c r="L23" s="1"/>
  <c r="E37" i="14" l="1"/>
  <c r="D17"/>
  <c r="M17" s="1"/>
  <c r="D23" i="13"/>
  <c r="M23" s="1"/>
  <c r="M26" s="1"/>
  <c r="G10" i="14"/>
  <c r="N14"/>
  <c r="P14" s="1"/>
  <c r="G23" i="15"/>
  <c r="F29"/>
  <c r="S37"/>
  <c r="L26" i="13"/>
  <c r="T24" i="14"/>
  <c r="Q24" i="15" s="1"/>
  <c r="L15"/>
  <c r="T29"/>
  <c r="D18" i="14"/>
  <c r="M18" s="1"/>
  <c r="P18" s="1"/>
  <c r="S37"/>
  <c r="F24"/>
  <c r="F15"/>
  <c r="T15"/>
  <c r="Q15" i="15" s="1"/>
  <c r="D24" i="14"/>
  <c r="G22"/>
  <c r="D25"/>
  <c r="M25" s="1"/>
  <c r="T29"/>
  <c r="Q29" i="15" s="1"/>
  <c r="N28" i="14"/>
  <c r="N29" s="1"/>
  <c r="C29"/>
  <c r="C37" s="1"/>
  <c r="P22"/>
  <c r="O25"/>
  <c r="O29" s="1"/>
  <c r="G26"/>
  <c r="L26"/>
  <c r="P26" s="1"/>
  <c r="F15" i="15"/>
  <c r="N14"/>
  <c r="N15" s="1"/>
  <c r="T24"/>
  <c r="D17"/>
  <c r="G17" s="1"/>
  <c r="G20"/>
  <c r="D25"/>
  <c r="M25" s="1"/>
  <c r="M29" s="1"/>
  <c r="N28"/>
  <c r="N29" s="1"/>
  <c r="L15" i="14"/>
  <c r="O15"/>
  <c r="T15" i="15"/>
  <c r="P18"/>
  <c r="O25"/>
  <c r="O29" s="1"/>
  <c r="G26"/>
  <c r="L26"/>
  <c r="P26" s="1"/>
  <c r="F24"/>
  <c r="C29"/>
  <c r="C37" s="1"/>
  <c r="P12"/>
  <c r="P13"/>
  <c r="P22"/>
  <c r="M15"/>
  <c r="O15"/>
  <c r="P11"/>
  <c r="P21"/>
  <c r="P27"/>
  <c r="G10"/>
  <c r="G12"/>
  <c r="G16"/>
  <c r="G18"/>
  <c r="M20"/>
  <c r="P20" s="1"/>
  <c r="P10"/>
  <c r="G11"/>
  <c r="G13"/>
  <c r="G14"/>
  <c r="D15"/>
  <c r="L17"/>
  <c r="G19"/>
  <c r="O19"/>
  <c r="P19" s="1"/>
  <c r="G21"/>
  <c r="N23"/>
  <c r="P23" s="1"/>
  <c r="E24"/>
  <c r="E37" s="1"/>
  <c r="G27"/>
  <c r="G28"/>
  <c r="M16"/>
  <c r="G22"/>
  <c r="P11" i="14"/>
  <c r="P20"/>
  <c r="P21"/>
  <c r="L29"/>
  <c r="P12"/>
  <c r="P13"/>
  <c r="P27"/>
  <c r="M10"/>
  <c r="M15" s="1"/>
  <c r="G12"/>
  <c r="G16"/>
  <c r="M16"/>
  <c r="G17"/>
  <c r="G20"/>
  <c r="G23"/>
  <c r="G11"/>
  <c r="G13"/>
  <c r="G14"/>
  <c r="D15"/>
  <c r="L17"/>
  <c r="G19"/>
  <c r="O19"/>
  <c r="O24" s="1"/>
  <c r="G21"/>
  <c r="N23"/>
  <c r="N24" s="1"/>
  <c r="G27"/>
  <c r="G28"/>
  <c r="D20" i="13"/>
  <c r="M20" s="1"/>
  <c r="D19"/>
  <c r="M19" s="1"/>
  <c r="D18"/>
  <c r="M18" s="1"/>
  <c r="D17"/>
  <c r="M17" s="1"/>
  <c r="D16"/>
  <c r="D13"/>
  <c r="M13" s="1"/>
  <c r="D10"/>
  <c r="M10" s="1"/>
  <c r="Q37" i="15" l="1"/>
  <c r="P28" i="14"/>
  <c r="N15"/>
  <c r="N37" s="1"/>
  <c r="G18"/>
  <c r="G24" s="1"/>
  <c r="D29" i="15"/>
  <c r="M17"/>
  <c r="M24" s="1"/>
  <c r="M37" s="1"/>
  <c r="D24"/>
  <c r="D37" s="1"/>
  <c r="F37"/>
  <c r="M24" i="14"/>
  <c r="M16" i="13"/>
  <c r="F37" i="14"/>
  <c r="O37"/>
  <c r="T37" i="15"/>
  <c r="T37" i="14"/>
  <c r="P25"/>
  <c r="P29" s="1"/>
  <c r="G25"/>
  <c r="G29" s="1"/>
  <c r="D29"/>
  <c r="D37" s="1"/>
  <c r="P10"/>
  <c r="P15" s="1"/>
  <c r="G15"/>
  <c r="M29"/>
  <c r="M37" s="1"/>
  <c r="G25" i="15"/>
  <c r="L29"/>
  <c r="P28"/>
  <c r="P14"/>
  <c r="P15" s="1"/>
  <c r="P23" i="14"/>
  <c r="O24" i="15"/>
  <c r="O37" s="1"/>
  <c r="G29"/>
  <c r="P25"/>
  <c r="N24"/>
  <c r="N37" s="1"/>
  <c r="G24"/>
  <c r="G15"/>
  <c r="L24"/>
  <c r="P16"/>
  <c r="P16" i="14"/>
  <c r="L24"/>
  <c r="L37" s="1"/>
  <c r="P17"/>
  <c r="P19"/>
  <c r="P17" i="15" l="1"/>
  <c r="P24" s="1"/>
  <c r="R24" s="1"/>
  <c r="U24" s="1"/>
  <c r="G37"/>
  <c r="G37" i="14"/>
  <c r="L37" i="15"/>
  <c r="P29"/>
  <c r="R29" s="1"/>
  <c r="U29" s="1"/>
  <c r="R15"/>
  <c r="P24" i="14"/>
  <c r="P37" s="1"/>
  <c r="P37" i="15" l="1"/>
  <c r="U15"/>
  <c r="R37"/>
  <c r="U37" s="1"/>
  <c r="D11" i="13"/>
  <c r="M11" s="1"/>
  <c r="D9"/>
  <c r="M9" s="1"/>
  <c r="D8"/>
  <c r="M8" s="1"/>
  <c r="D7"/>
  <c r="M7" s="1"/>
  <c r="M12" l="1"/>
  <c r="F11"/>
  <c r="F25" l="1"/>
  <c r="F22"/>
  <c r="G22" s="1"/>
  <c r="F20"/>
  <c r="F19"/>
  <c r="F18"/>
  <c r="F17"/>
  <c r="F16"/>
  <c r="G16" s="1"/>
  <c r="F15"/>
  <c r="F14"/>
  <c r="F13"/>
  <c r="F10"/>
  <c r="F9"/>
  <c r="F8"/>
  <c r="F7"/>
  <c r="E25" l="1"/>
  <c r="N25" s="1"/>
  <c r="N26" s="1"/>
  <c r="E26" l="1"/>
  <c r="E20"/>
  <c r="E11"/>
  <c r="N11" s="1"/>
  <c r="N12" s="1"/>
  <c r="N20" l="1"/>
  <c r="N21" s="1"/>
  <c r="G20"/>
  <c r="N34"/>
  <c r="O23"/>
  <c r="O24"/>
  <c r="O25"/>
  <c r="O22"/>
  <c r="O14"/>
  <c r="O15"/>
  <c r="O16"/>
  <c r="O17"/>
  <c r="O18"/>
  <c r="O19"/>
  <c r="O20"/>
  <c r="O13"/>
  <c r="O8"/>
  <c r="O9"/>
  <c r="O10"/>
  <c r="O11"/>
  <c r="O7"/>
  <c r="O21" l="1"/>
  <c r="O26"/>
  <c r="O12"/>
  <c r="P23"/>
  <c r="P24"/>
  <c r="P20"/>
  <c r="P18"/>
  <c r="P16"/>
  <c r="P10"/>
  <c r="P8"/>
  <c r="P11"/>
  <c r="P25"/>
  <c r="P22"/>
  <c r="P19"/>
  <c r="P17"/>
  <c r="P13"/>
  <c r="P9"/>
  <c r="P7"/>
  <c r="O34" l="1"/>
  <c r="P26"/>
  <c r="P12"/>
  <c r="S26"/>
  <c r="S21"/>
  <c r="S12"/>
  <c r="T8"/>
  <c r="T9"/>
  <c r="T10"/>
  <c r="T11"/>
  <c r="E21"/>
  <c r="F21"/>
  <c r="D12"/>
  <c r="E12"/>
  <c r="F12"/>
  <c r="C12"/>
  <c r="E34" l="1"/>
  <c r="S34"/>
  <c r="T25"/>
  <c r="T24"/>
  <c r="T23"/>
  <c r="T22"/>
  <c r="T26" l="1"/>
  <c r="C15"/>
  <c r="C14"/>
  <c r="C21" l="1"/>
  <c r="L14"/>
  <c r="D14"/>
  <c r="Q29" i="14"/>
  <c r="R29" s="1"/>
  <c r="U29" s="1"/>
  <c r="L15" i="13"/>
  <c r="D15"/>
  <c r="M15" s="1"/>
  <c r="T13"/>
  <c r="M14" l="1"/>
  <c r="M21" s="1"/>
  <c r="M34" s="1"/>
  <c r="D21"/>
  <c r="P15"/>
  <c r="L21"/>
  <c r="L34" s="1"/>
  <c r="P14"/>
  <c r="D26"/>
  <c r="F26"/>
  <c r="F34" s="1"/>
  <c r="C26"/>
  <c r="C34" s="1"/>
  <c r="G25"/>
  <c r="G24"/>
  <c r="G23"/>
  <c r="P21" l="1"/>
  <c r="P34" s="1"/>
  <c r="D34"/>
  <c r="G26"/>
  <c r="G14" l="1"/>
  <c r="G13"/>
  <c r="G15"/>
  <c r="G17"/>
  <c r="G18"/>
  <c r="G19"/>
  <c r="T19"/>
  <c r="T18"/>
  <c r="T17"/>
  <c r="T16"/>
  <c r="T20"/>
  <c r="T15"/>
  <c r="T14"/>
  <c r="G10"/>
  <c r="G8"/>
  <c r="T7"/>
  <c r="T12" l="1"/>
  <c r="T21"/>
  <c r="Q24" i="14" s="1"/>
  <c r="R24" s="1"/>
  <c r="U24" s="1"/>
  <c r="G21" i="13"/>
  <c r="G9"/>
  <c r="G11"/>
  <c r="G7"/>
  <c r="T34" l="1"/>
  <c r="Q15" i="14"/>
  <c r="R15" s="1"/>
  <c r="R37" s="1"/>
  <c r="G12" i="13"/>
  <c r="G34" s="1"/>
  <c r="Q37" i="14" l="1"/>
  <c r="U15"/>
  <c r="U37"/>
  <c r="R26" i="13"/>
  <c r="U26" l="1"/>
  <c r="R12"/>
  <c r="R21"/>
  <c r="U21" s="1"/>
  <c r="R34" l="1"/>
  <c r="U34" s="1"/>
  <c r="U12"/>
</calcChain>
</file>

<file path=xl/comments1.xml><?xml version="1.0" encoding="utf-8"?>
<comments xmlns="http://schemas.openxmlformats.org/spreadsheetml/2006/main">
  <authors>
    <author>Антонцева Анна Васильевна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Обеспечение электрической энергией, газом и паром; кондиционирование воздуха (35)
</t>
        </r>
      </text>
    </comment>
  </commentList>
</comments>
</file>

<file path=xl/comments2.xml><?xml version="1.0" encoding="utf-8"?>
<comments xmlns="http://schemas.openxmlformats.org/spreadsheetml/2006/main">
  <authors>
    <author>Антонцева Анна Васильевна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Обеспечение электрической энергией, газом и паром; кондиционирование воздуха (35)
</t>
        </r>
      </text>
    </comment>
  </commentList>
</comments>
</file>

<file path=xl/sharedStrings.xml><?xml version="1.0" encoding="utf-8"?>
<sst xmlns="http://schemas.openxmlformats.org/spreadsheetml/2006/main" count="233" uniqueCount="71">
  <si>
    <t>1 квартал</t>
  </si>
  <si>
    <t>2 квартал</t>
  </si>
  <si>
    <t>3 квартал</t>
  </si>
  <si>
    <t>4 квартал</t>
  </si>
  <si>
    <t>1 полугодие</t>
  </si>
  <si>
    <t>2 полугодие</t>
  </si>
  <si>
    <t>Итого</t>
  </si>
  <si>
    <t>Всего</t>
  </si>
  <si>
    <t>прочие потребители</t>
  </si>
  <si>
    <t>Предприятие</t>
  </si>
  <si>
    <t>Группы потребителей</t>
  </si>
  <si>
    <t>Экономически обоснованный тариф на эл. энергию (без НДС),
 руб./кВт*ч</t>
  </si>
  <si>
    <t>Потребность, руб.</t>
  </si>
  <si>
    <t>ООО "Беломорэнерго"</t>
  </si>
  <si>
    <t xml:space="preserve"> - </t>
  </si>
  <si>
    <t>потребители, приравненные к населению (гаражи, хоз. постройки, прочие)/одноставочный тариф)</t>
  </si>
  <si>
    <t>ООО "Поморские электросети"</t>
  </si>
  <si>
    <t>Объем отпуска электрической энергии потребителям, к ВТ*ч</t>
  </si>
  <si>
    <t>АО "Архангельская областная энергетическая компания"</t>
  </si>
  <si>
    <t xml:space="preserve">1 полугодие </t>
  </si>
  <si>
    <t>Потребность в средствах субсидии за январь - декабрь 2018 года с учетом дебиторской, кредиторской задолженности, руб.</t>
  </si>
  <si>
    <t>одноставочный тариф на электрическую энергию</t>
  </si>
  <si>
    <t>одноставочный тариф на электрическую энергию по двум зонам суток (день)</t>
  </si>
  <si>
    <t>одноставочный тариф на электрическую энергию по двум зонам суток (ночь)</t>
  </si>
  <si>
    <t>потребители, приравненные к категории "население" (гаражи, хоз.постройки)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</si>
  <si>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</si>
  <si>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 по двум зонам суток (день)</t>
  </si>
  <si>
    <t>потребители приравненные к категории "население" (религиозные) одноставочный тариф на электрическую энергию по двум зонам суток (ночь)</t>
  </si>
  <si>
    <t>покупатели на розничных рынках Архангельской области (прочие потребители)</t>
  </si>
  <si>
    <t>всего</t>
  </si>
  <si>
    <t>Потребность в средствах субсидии, руб.</t>
  </si>
  <si>
    <t>Отпускной тариф для населения, потребителей приравленнных к категории "население", иных прочих потребителей (без НДС),
 руб./кВт*ч</t>
  </si>
  <si>
    <t>декабрь 2019</t>
  </si>
  <si>
    <t xml:space="preserve">Дебиторская (-), кредиторская (+) задолженность
 на 01.01.2020 г. </t>
  </si>
  <si>
    <t xml:space="preserve">Дебиторская (-), кредиторская (+) задолженность
 на 01.01.2019 г. </t>
  </si>
  <si>
    <t xml:space="preserve">Дебиторская (-), кредиторская (+) задолженность
 на 01.01.2021 г. </t>
  </si>
  <si>
    <t>декабрь 2020</t>
  </si>
  <si>
    <t>Потребность в средствах субсидии за январь - декабрь 2020 года с учетом дебиторской, кредиторской задолженности, руб.</t>
  </si>
  <si>
    <t>Потребность в средствах субсидии за январь - декабрь 2019 года с учетом дебиторской, кредиторской задолженности, руб.</t>
  </si>
  <si>
    <t>декабрь 2021</t>
  </si>
  <si>
    <t>Потребность в средствах субсидии
 (без учета декабря 2019),
 руб.,</t>
  </si>
  <si>
    <t>Объем отпуска электрической энергии потребителям
кВТ*ч</t>
  </si>
  <si>
    <t>Объем отпуска электрической энергии потребителям,
 кВТ*ч</t>
  </si>
  <si>
    <t xml:space="preserve">Объем отпуска,
 кВт*ч </t>
  </si>
  <si>
    <t>Потребность в средствах субсидии
 (без учета декабря 2021),
 руб.,</t>
  </si>
  <si>
    <t>Потребность в средствах субсидии
 (без учета декабря 2020),
 руб.,</t>
  </si>
  <si>
    <t>ПАО "МРСК Северо-Запада" (г. Коряжма)</t>
  </si>
  <si>
    <t>ИПЦ</t>
  </si>
  <si>
    <t>дефлятор</t>
  </si>
  <si>
    <t xml:space="preserve">1 квартал 
</t>
  </si>
  <si>
    <t xml:space="preserve">2 квартал 
</t>
  </si>
  <si>
    <t xml:space="preserve">3 квартал 
</t>
  </si>
  <si>
    <t xml:space="preserve">4 квартал 
</t>
  </si>
  <si>
    <t>ПАО "МРСК Северо-Запада" 
(г. Коряжма)</t>
  </si>
  <si>
    <t xml:space="preserve">Объем отпуска , 
кВт*ч </t>
  </si>
  <si>
    <t xml:space="preserve">1 квартал </t>
  </si>
  <si>
    <t xml:space="preserve">2 квартал </t>
  </si>
  <si>
    <t xml:space="preserve">3 квартал </t>
  </si>
  <si>
    <t xml:space="preserve">4 квартал </t>
  </si>
  <si>
    <t>ПАО "МРСК Северо-Запада"
 (г. Коряжма)</t>
  </si>
  <si>
    <r>
      <t>одноставочный тариф на электрическую энергию (</t>
    </r>
    <r>
      <rPr>
        <u/>
        <sz val="12"/>
        <rFont val="Tahoma"/>
        <family val="2"/>
        <charset val="204"/>
      </rPr>
      <t>городское население с газовыми плитами</t>
    </r>
    <r>
      <rPr>
        <sz val="12"/>
        <rFont val="Tahoma"/>
        <family val="2"/>
        <charset val="204"/>
      </rPr>
      <t>)</t>
    </r>
  </si>
  <si>
    <r>
      <t>одноставочный тариф на электрическую энергию по двум зонам суток (день) (</t>
    </r>
    <r>
      <rPr>
        <u/>
        <sz val="12"/>
        <rFont val="Tahoma"/>
        <family val="2"/>
        <charset val="204"/>
      </rPr>
      <t>городское население с газовыми плитами</t>
    </r>
    <r>
      <rPr>
        <sz val="12"/>
        <rFont val="Tahoma"/>
        <family val="2"/>
        <charset val="204"/>
      </rPr>
      <t>)</t>
    </r>
  </si>
  <si>
    <r>
      <t>одноставочный тариф на электрическую энергию по двум зонам суток (ночь) (</t>
    </r>
    <r>
      <rPr>
        <u/>
        <sz val="12"/>
        <rFont val="Tahoma"/>
        <family val="2"/>
        <charset val="204"/>
      </rPr>
      <t>городское население с газовыми плитами</t>
    </r>
    <r>
      <rPr>
        <sz val="12"/>
        <rFont val="Tahoma"/>
        <family val="2"/>
        <charset val="204"/>
      </rPr>
      <t>)</t>
    </r>
  </si>
  <si>
    <r>
      <t>одноставочный тариф на электрическую энергию (</t>
    </r>
    <r>
      <rPr>
        <u/>
        <sz val="12"/>
        <rFont val="Tahoma"/>
        <family val="2"/>
        <charset val="204"/>
      </rPr>
      <t>городское население с электроплитами</t>
    </r>
    <r>
      <rPr>
        <sz val="12"/>
        <rFont val="Tahoma"/>
        <family val="2"/>
        <charset val="204"/>
      </rPr>
      <t>)</t>
    </r>
  </si>
  <si>
    <r>
      <t>одноставочный тариф на электрическую энергию по двум зонам суток (день) (</t>
    </r>
    <r>
      <rPr>
        <u/>
        <sz val="12"/>
        <rFont val="Tahoma"/>
        <family val="2"/>
        <charset val="204"/>
      </rPr>
      <t>городское население с электроплитами</t>
    </r>
    <r>
      <rPr>
        <sz val="12"/>
        <rFont val="Tahoma"/>
        <family val="2"/>
        <charset val="204"/>
      </rPr>
      <t>)</t>
    </r>
  </si>
  <si>
    <r>
      <t xml:space="preserve">одноставочный тариф на электрическую энергию по двум зонам суток (ночь) </t>
    </r>
    <r>
      <rPr>
        <u/>
        <sz val="12"/>
        <rFont val="Tahoma"/>
        <family val="2"/>
        <charset val="204"/>
      </rPr>
      <t>(городское население с электроплитами)</t>
    </r>
  </si>
  <si>
    <t>к пояснительной записке</t>
  </si>
  <si>
    <t>Приложение № 13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</si>
  <si>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  в 2019 году 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</si>
  <si>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 в 2020 году 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</si>
  <si>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 на электрическую энергию, поставляемую покупателям на розничных рынках Архангельской области в 2021 году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</si>
</sst>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%"/>
    <numFmt numFmtId="166" formatCode="#,##0.000_ ;\-#,##0.000\ "/>
    <numFmt numFmtId="167" formatCode="#,##0.00_ ;\-#,##0.00\ 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8"/>
      <name val="Tahoma"/>
      <family val="2"/>
      <charset val="204"/>
    </font>
    <font>
      <b/>
      <sz val="10.5"/>
      <name val="Tahoma"/>
      <family val="2"/>
      <charset val="204"/>
    </font>
    <font>
      <sz val="10.5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sz val="10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sz val="10.5"/>
      <color rgb="FFFF000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6"/>
      <name val="Tahoma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2"/>
      <color rgb="FFFF0000"/>
      <name val="Tahoma"/>
      <family val="2"/>
      <charset val="204"/>
    </font>
    <font>
      <u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102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165" fontId="4" fillId="0" borderId="0" xfId="2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11" fillId="0" borderId="0" xfId="0" applyFont="1" applyFill="1"/>
    <xf numFmtId="0" fontId="10" fillId="0" borderId="0" xfId="0" applyFont="1" applyFill="1"/>
    <xf numFmtId="49" fontId="5" fillId="0" borderId="0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167" fontId="14" fillId="0" borderId="0" xfId="0" applyNumberFormat="1" applyFont="1" applyFill="1" applyBorder="1" applyAlignment="1">
      <alignment horizontal="center" vertical="center" wrapText="1" shrinkToFit="1"/>
    </xf>
    <xf numFmtId="167" fontId="14" fillId="0" borderId="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166" fontId="3" fillId="0" borderId="0" xfId="0" applyNumberFormat="1" applyFont="1" applyFill="1" applyAlignment="1">
      <alignment horizontal="center" vertical="center" wrapText="1" shrinkToFit="1"/>
    </xf>
    <xf numFmtId="0" fontId="12" fillId="3" borderId="0" xfId="0" applyFont="1" applyFill="1"/>
    <xf numFmtId="165" fontId="13" fillId="3" borderId="0" xfId="2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10" fontId="13" fillId="2" borderId="0" xfId="2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 shrinkToFit="1"/>
    </xf>
    <xf numFmtId="0" fontId="16" fillId="0" borderId="0" xfId="0" applyFont="1" applyFill="1"/>
    <xf numFmtId="0" fontId="7" fillId="0" borderId="0" xfId="0" applyFont="1" applyFill="1"/>
    <xf numFmtId="0" fontId="18" fillId="0" borderId="0" xfId="0" applyFont="1" applyFill="1"/>
    <xf numFmtId="49" fontId="8" fillId="0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164" fontId="8" fillId="0" borderId="2" xfId="1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167" fontId="8" fillId="0" borderId="1" xfId="0" applyNumberFormat="1" applyFont="1" applyFill="1" applyBorder="1" applyAlignment="1">
      <alignment horizontal="center" vertical="center" wrapText="1" shrinkToFit="1"/>
    </xf>
    <xf numFmtId="4" fontId="8" fillId="0" borderId="1" xfId="1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4" fontId="8" fillId="0" borderId="2" xfId="1" applyNumberFormat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left" vertical="center" wrapText="1" shrinkToFit="1"/>
    </xf>
    <xf numFmtId="167" fontId="9" fillId="0" borderId="2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 wrapText="1" shrinkToFit="1"/>
    </xf>
    <xf numFmtId="0" fontId="8" fillId="0" borderId="0" xfId="0" applyFont="1" applyFill="1"/>
    <xf numFmtId="166" fontId="8" fillId="0" borderId="2" xfId="0" applyNumberFormat="1" applyFont="1" applyFill="1" applyBorder="1" applyAlignment="1">
      <alignment horizontal="center" vertical="center" wrapText="1"/>
    </xf>
    <xf numFmtId="167" fontId="19" fillId="0" borderId="2" xfId="0" applyNumberFormat="1" applyFont="1" applyFill="1" applyBorder="1" applyAlignment="1">
      <alignment horizontal="center" vertical="center" wrapText="1" shrinkToFit="1"/>
    </xf>
    <xf numFmtId="167" fontId="19" fillId="0" borderId="2" xfId="0" applyNumberFormat="1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167" fontId="8" fillId="0" borderId="10" xfId="0" applyNumberFormat="1" applyFont="1" applyFill="1" applyBorder="1" applyAlignment="1">
      <alignment horizontal="center" vertical="center" wrapText="1" shrinkToFit="1"/>
    </xf>
    <xf numFmtId="0" fontId="17" fillId="0" borderId="0" xfId="3" applyFont="1" applyFill="1" applyAlignment="1">
      <alignment vertical="center" wrapText="1"/>
    </xf>
    <xf numFmtId="0" fontId="9" fillId="0" borderId="2" xfId="0" applyFont="1" applyFill="1" applyBorder="1" applyAlignment="1">
      <alignment horizontal="left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1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 shrinkToFit="1"/>
    </xf>
    <xf numFmtId="4" fontId="11" fillId="0" borderId="2" xfId="1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 shrinkToFit="1"/>
    </xf>
    <xf numFmtId="0" fontId="9" fillId="0" borderId="5" xfId="0" applyFont="1" applyFill="1" applyBorder="1" applyAlignment="1">
      <alignment vertical="center" wrapText="1" shrinkToFi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164" fontId="11" fillId="0" borderId="2" xfId="1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17" fillId="0" borderId="0" xfId="3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9" fillId="0" borderId="2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7" xfId="4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4" xfId="5" applyFont="1" applyFill="1" applyBorder="1" applyAlignment="1">
      <alignment horizontal="center" vertical="center" wrapText="1"/>
    </xf>
    <xf numFmtId="0" fontId="9" fillId="0" borderId="5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0 2" xfId="6"/>
    <cellStyle name="Обычный 10 2 4 2" xfId="7"/>
    <cellStyle name="Обычный 2" xfId="4"/>
    <cellStyle name="Обычный 2 2" xfId="5"/>
    <cellStyle name="Обычный 7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CCFFCC"/>
      <color rgb="FFCCFFFF"/>
      <color rgb="FFFFFFCC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GQ63"/>
  <sheetViews>
    <sheetView tabSelected="1" view="pageBreakPreview" zoomScale="61" zoomScaleNormal="80" zoomScaleSheetLayoutView="61" workbookViewId="0">
      <selection activeCell="A3" sqref="A3"/>
    </sheetView>
  </sheetViews>
  <sheetFormatPr defaultColWidth="9.140625" defaultRowHeight="15" outlineLevelRow="1" outlineLevelCol="1"/>
  <cols>
    <col min="1" max="1" width="38.7109375" style="1" customWidth="1"/>
    <col min="2" max="2" width="51.85546875" style="1" customWidth="1"/>
    <col min="3" max="3" width="20.85546875" style="1" customWidth="1"/>
    <col min="4" max="4" width="19.42578125" style="1" customWidth="1"/>
    <col min="5" max="6" width="20.140625" style="1" customWidth="1"/>
    <col min="7" max="7" width="23.5703125" style="1" customWidth="1"/>
    <col min="8" max="8" width="27.5703125" style="1" customWidth="1"/>
    <col min="9" max="9" width="28.7109375" style="1" customWidth="1"/>
    <col min="10" max="10" width="27.85546875" style="1" customWidth="1"/>
    <col min="11" max="11" width="28.85546875" style="1" customWidth="1"/>
    <col min="12" max="16" width="21.5703125" style="1" customWidth="1"/>
    <col min="17" max="18" width="24.28515625" style="1" customWidth="1"/>
    <col min="19" max="21" width="21.7109375" style="1" customWidth="1"/>
    <col min="22" max="22" width="9.140625" style="1"/>
    <col min="23" max="24" width="9.140625" style="1" hidden="1" customWidth="1" outlineLevel="1"/>
    <col min="25" max="25" width="9.140625" style="1" collapsed="1"/>
    <col min="26" max="16384" width="9.140625" style="1"/>
  </cols>
  <sheetData>
    <row r="1" spans="1:21">
      <c r="K1" s="78" t="s">
        <v>67</v>
      </c>
    </row>
    <row r="2" spans="1:21">
      <c r="K2" s="78" t="s">
        <v>66</v>
      </c>
    </row>
    <row r="3" spans="1:21" ht="80.25" customHeight="1">
      <c r="A3" s="79"/>
      <c r="B3" s="79"/>
      <c r="C3" s="91" t="s">
        <v>68</v>
      </c>
      <c r="D3" s="91"/>
      <c r="E3" s="91"/>
      <c r="F3" s="91"/>
      <c r="G3" s="91"/>
      <c r="H3" s="91"/>
      <c r="I3" s="91"/>
      <c r="J3" s="91"/>
      <c r="K3" s="79"/>
      <c r="L3" s="79"/>
      <c r="M3" s="79"/>
      <c r="N3" s="53"/>
      <c r="O3" s="53"/>
      <c r="P3" s="53"/>
      <c r="Q3" s="53"/>
      <c r="R3" s="53"/>
      <c r="S3" s="53"/>
      <c r="T3" s="53"/>
      <c r="U3" s="53"/>
    </row>
    <row r="4" spans="1:21" ht="9" customHeight="1">
      <c r="A4" s="3"/>
      <c r="B4" s="4"/>
      <c r="C4" s="3"/>
      <c r="D4" s="3"/>
      <c r="E4" s="3"/>
      <c r="F4" s="3"/>
      <c r="G4" s="3"/>
      <c r="H4" s="2"/>
      <c r="I4" s="5"/>
      <c r="J4" s="3"/>
      <c r="K4" s="5"/>
      <c r="L4" s="3"/>
      <c r="M4" s="3"/>
      <c r="N4" s="3"/>
      <c r="O4" s="3"/>
      <c r="P4" s="3"/>
      <c r="Q4" s="3"/>
      <c r="R4" s="3"/>
      <c r="S4" s="2"/>
      <c r="T4" s="2"/>
      <c r="U4" s="2"/>
    </row>
    <row r="5" spans="1:21" ht="78.75" customHeight="1">
      <c r="A5" s="83" t="s">
        <v>9</v>
      </c>
      <c r="B5" s="84" t="s">
        <v>10</v>
      </c>
      <c r="C5" s="86" t="s">
        <v>41</v>
      </c>
      <c r="D5" s="87"/>
      <c r="E5" s="87"/>
      <c r="F5" s="87"/>
      <c r="G5" s="88"/>
      <c r="H5" s="89" t="s">
        <v>11</v>
      </c>
      <c r="I5" s="90"/>
      <c r="J5" s="89" t="s">
        <v>31</v>
      </c>
      <c r="K5" s="90"/>
      <c r="L5" s="98" t="s">
        <v>30</v>
      </c>
      <c r="M5" s="99"/>
      <c r="N5" s="99"/>
      <c r="O5" s="99"/>
      <c r="P5" s="100"/>
      <c r="Q5" s="92" t="s">
        <v>34</v>
      </c>
      <c r="R5" s="92" t="s">
        <v>38</v>
      </c>
      <c r="S5" s="93" t="s">
        <v>32</v>
      </c>
      <c r="T5" s="94"/>
      <c r="U5" s="83" t="s">
        <v>40</v>
      </c>
    </row>
    <row r="6" spans="1:21" ht="35.25" customHeight="1">
      <c r="A6" s="83"/>
      <c r="B6" s="85"/>
      <c r="C6" s="77" t="s">
        <v>49</v>
      </c>
      <c r="D6" s="77" t="s">
        <v>50</v>
      </c>
      <c r="E6" s="77" t="s">
        <v>51</v>
      </c>
      <c r="F6" s="77" t="s">
        <v>52</v>
      </c>
      <c r="G6" s="74" t="s">
        <v>29</v>
      </c>
      <c r="H6" s="75" t="s">
        <v>4</v>
      </c>
      <c r="I6" s="75" t="s">
        <v>5</v>
      </c>
      <c r="J6" s="75" t="s">
        <v>19</v>
      </c>
      <c r="K6" s="75" t="s">
        <v>5</v>
      </c>
      <c r="L6" s="74" t="s">
        <v>0</v>
      </c>
      <c r="M6" s="74" t="s">
        <v>1</v>
      </c>
      <c r="N6" s="74" t="s">
        <v>2</v>
      </c>
      <c r="O6" s="74" t="s">
        <v>3</v>
      </c>
      <c r="P6" s="74" t="s">
        <v>29</v>
      </c>
      <c r="Q6" s="92"/>
      <c r="R6" s="92"/>
      <c r="S6" s="76" t="s">
        <v>54</v>
      </c>
      <c r="T6" s="76" t="s">
        <v>12</v>
      </c>
      <c r="U6" s="83"/>
    </row>
    <row r="7" spans="1:21" ht="30" outlineLevel="1">
      <c r="A7" s="80" t="s">
        <v>13</v>
      </c>
      <c r="B7" s="54" t="s">
        <v>21</v>
      </c>
      <c r="C7" s="55">
        <v>35759</v>
      </c>
      <c r="D7" s="55">
        <f>68603-C7</f>
        <v>32844</v>
      </c>
      <c r="E7" s="55">
        <v>36278</v>
      </c>
      <c r="F7" s="55">
        <f>75159-E7</f>
        <v>38881</v>
      </c>
      <c r="G7" s="55">
        <f>SUM(C7:F7)</f>
        <v>143762</v>
      </c>
      <c r="H7" s="45">
        <v>42.74</v>
      </c>
      <c r="I7" s="45">
        <v>42.74</v>
      </c>
      <c r="J7" s="45">
        <v>2.83</v>
      </c>
      <c r="K7" s="45">
        <v>2.94</v>
      </c>
      <c r="L7" s="45">
        <f>(H7-J7)*C7</f>
        <v>1427141.6900000002</v>
      </c>
      <c r="M7" s="45">
        <f>(H7-J7)*D7</f>
        <v>1310804.04</v>
      </c>
      <c r="N7" s="45">
        <f>E7*(I7-K7)</f>
        <v>1443864.4000000001</v>
      </c>
      <c r="O7" s="45">
        <f>(I7-K7)*F7</f>
        <v>1547463.8000000003</v>
      </c>
      <c r="P7" s="45">
        <f>SUM(L7:O7)</f>
        <v>5729273.9300000016</v>
      </c>
      <c r="Q7" s="45" t="s">
        <v>14</v>
      </c>
      <c r="R7" s="45"/>
      <c r="S7" s="56">
        <v>15084</v>
      </c>
      <c r="T7" s="45">
        <f>(I7-K7)*S7</f>
        <v>600343.20000000007</v>
      </c>
      <c r="U7" s="57"/>
    </row>
    <row r="8" spans="1:21" ht="30" outlineLevel="1">
      <c r="A8" s="81"/>
      <c r="B8" s="54" t="s">
        <v>22</v>
      </c>
      <c r="C8" s="55">
        <v>31395</v>
      </c>
      <c r="D8" s="55">
        <f>62064-C8</f>
        <v>30669</v>
      </c>
      <c r="E8" s="55">
        <v>30466</v>
      </c>
      <c r="F8" s="55">
        <f>65392-E8</f>
        <v>34926</v>
      </c>
      <c r="G8" s="55">
        <f>SUM(C8:F8)</f>
        <v>127456</v>
      </c>
      <c r="H8" s="45">
        <v>42.74</v>
      </c>
      <c r="I8" s="45">
        <v>42.74</v>
      </c>
      <c r="J8" s="45">
        <v>3.25</v>
      </c>
      <c r="K8" s="45">
        <v>3.38</v>
      </c>
      <c r="L8" s="45">
        <f t="shared" ref="L8:L32" si="0">(H8-J8)*C8</f>
        <v>1239788.55</v>
      </c>
      <c r="M8" s="45">
        <f t="shared" ref="M8:M32" si="1">(H8-J8)*D8</f>
        <v>1211118.81</v>
      </c>
      <c r="N8" s="45">
        <f t="shared" ref="N8:N11" si="2">E8*(I8-K8)</f>
        <v>1199141.76</v>
      </c>
      <c r="O8" s="45">
        <f t="shared" ref="O8:O11" si="3">(I8-K8)*F8</f>
        <v>1374687.3599999999</v>
      </c>
      <c r="P8" s="45">
        <f t="shared" ref="P8:P11" si="4">SUM(L8:O8)</f>
        <v>5024736.4800000004</v>
      </c>
      <c r="Q8" s="45" t="s">
        <v>14</v>
      </c>
      <c r="R8" s="45"/>
      <c r="S8" s="56">
        <v>13346</v>
      </c>
      <c r="T8" s="45">
        <f t="shared" ref="T8:T11" si="5">(I8-K8)*S8</f>
        <v>525298.55999999994</v>
      </c>
      <c r="U8" s="57"/>
    </row>
    <row r="9" spans="1:21" ht="30" outlineLevel="1">
      <c r="A9" s="81"/>
      <c r="B9" s="58" t="s">
        <v>23</v>
      </c>
      <c r="C9" s="55">
        <v>9870</v>
      </c>
      <c r="D9" s="55">
        <f>19362-C9</f>
        <v>9492</v>
      </c>
      <c r="E9" s="55">
        <v>9108</v>
      </c>
      <c r="F9" s="55">
        <f>19237-E9</f>
        <v>10129</v>
      </c>
      <c r="G9" s="55">
        <f>SUM(C9:F9)</f>
        <v>38599</v>
      </c>
      <c r="H9" s="45">
        <v>42.74</v>
      </c>
      <c r="I9" s="45">
        <v>42.74</v>
      </c>
      <c r="J9" s="45">
        <v>0.88</v>
      </c>
      <c r="K9" s="45">
        <v>0.95</v>
      </c>
      <c r="L9" s="45">
        <f t="shared" si="0"/>
        <v>413158.2</v>
      </c>
      <c r="M9" s="45">
        <f t="shared" si="1"/>
        <v>397335.12</v>
      </c>
      <c r="N9" s="45">
        <f t="shared" si="2"/>
        <v>380623.32</v>
      </c>
      <c r="O9" s="45">
        <f t="shared" si="3"/>
        <v>423290.91</v>
      </c>
      <c r="P9" s="45">
        <f t="shared" si="4"/>
        <v>1614407.55</v>
      </c>
      <c r="Q9" s="45" t="s">
        <v>14</v>
      </c>
      <c r="R9" s="45"/>
      <c r="S9" s="56">
        <v>4105</v>
      </c>
      <c r="T9" s="45">
        <f t="shared" si="5"/>
        <v>171547.94999999998</v>
      </c>
      <c r="U9" s="57"/>
    </row>
    <row r="10" spans="1:21" ht="45" outlineLevel="1">
      <c r="A10" s="81"/>
      <c r="B10" s="59" t="s">
        <v>15</v>
      </c>
      <c r="C10" s="55">
        <v>62</v>
      </c>
      <c r="D10" s="55">
        <f>312-C10</f>
        <v>250</v>
      </c>
      <c r="E10" s="55">
        <v>50</v>
      </c>
      <c r="F10" s="55">
        <f>256-E10</f>
        <v>206</v>
      </c>
      <c r="G10" s="55">
        <f>SUM(C10:F10)</f>
        <v>568</v>
      </c>
      <c r="H10" s="45">
        <v>42.74</v>
      </c>
      <c r="I10" s="45">
        <v>42.74</v>
      </c>
      <c r="J10" s="45">
        <v>4.04</v>
      </c>
      <c r="K10" s="45">
        <v>4.2</v>
      </c>
      <c r="L10" s="45">
        <f t="shared" si="0"/>
        <v>2399.4</v>
      </c>
      <c r="M10" s="45">
        <f t="shared" si="1"/>
        <v>9675</v>
      </c>
      <c r="N10" s="45">
        <f t="shared" si="2"/>
        <v>1927</v>
      </c>
      <c r="O10" s="45">
        <f t="shared" si="3"/>
        <v>7939.24</v>
      </c>
      <c r="P10" s="45">
        <f t="shared" si="4"/>
        <v>21940.639999999999</v>
      </c>
      <c r="Q10" s="45"/>
      <c r="R10" s="45"/>
      <c r="S10" s="56">
        <v>122</v>
      </c>
      <c r="T10" s="45">
        <f t="shared" si="5"/>
        <v>4701.88</v>
      </c>
      <c r="U10" s="57"/>
    </row>
    <row r="11" spans="1:21" outlineLevel="1">
      <c r="A11" s="81"/>
      <c r="B11" s="59" t="s">
        <v>8</v>
      </c>
      <c r="C11" s="55">
        <v>83986</v>
      </c>
      <c r="D11" s="55">
        <f>137221-C11</f>
        <v>53235</v>
      </c>
      <c r="E11" s="55">
        <f>212947-175286</f>
        <v>37661</v>
      </c>
      <c r="F11" s="55">
        <f>288731-212947</f>
        <v>75784</v>
      </c>
      <c r="G11" s="55">
        <f>SUM(C11:F11)</f>
        <v>250666</v>
      </c>
      <c r="H11" s="45">
        <v>42.74</v>
      </c>
      <c r="I11" s="45">
        <v>42.74</v>
      </c>
      <c r="J11" s="45">
        <v>7.95</v>
      </c>
      <c r="K11" s="45">
        <v>7.95</v>
      </c>
      <c r="L11" s="45">
        <f t="shared" si="0"/>
        <v>2921872.94</v>
      </c>
      <c r="M11" s="45">
        <f t="shared" si="1"/>
        <v>1852045.65</v>
      </c>
      <c r="N11" s="45">
        <f t="shared" si="2"/>
        <v>1310226.19</v>
      </c>
      <c r="O11" s="45">
        <f t="shared" si="3"/>
        <v>2636525.36</v>
      </c>
      <c r="P11" s="45">
        <f t="shared" si="4"/>
        <v>8720670.1399999987</v>
      </c>
      <c r="Q11" s="45" t="s">
        <v>14</v>
      </c>
      <c r="R11" s="45"/>
      <c r="S11" s="56">
        <v>29644</v>
      </c>
      <c r="T11" s="45">
        <f t="shared" si="5"/>
        <v>1031314.76</v>
      </c>
      <c r="U11" s="57"/>
    </row>
    <row r="12" spans="1:21" s="26" customFormat="1" ht="15.75" outlineLevel="1">
      <c r="A12" s="82"/>
      <c r="B12" s="35" t="s">
        <v>6</v>
      </c>
      <c r="C12" s="36">
        <f>SUM(C7:C11)</f>
        <v>161072</v>
      </c>
      <c r="D12" s="36">
        <f t="shared" ref="D12:G12" si="6">SUM(D7:D11)</f>
        <v>126490</v>
      </c>
      <c r="E12" s="36">
        <f t="shared" si="6"/>
        <v>113563</v>
      </c>
      <c r="F12" s="36">
        <f t="shared" si="6"/>
        <v>159926</v>
      </c>
      <c r="G12" s="36">
        <f t="shared" si="6"/>
        <v>561051</v>
      </c>
      <c r="H12" s="36"/>
      <c r="I12" s="36"/>
      <c r="J12" s="36"/>
      <c r="K12" s="36"/>
      <c r="L12" s="36">
        <f>SUM(L7:L11)</f>
        <v>6004360.7800000003</v>
      </c>
      <c r="M12" s="36">
        <f t="shared" ref="M12:P12" si="7">SUM(M7:M11)</f>
        <v>4780978.62</v>
      </c>
      <c r="N12" s="36">
        <f t="shared" si="7"/>
        <v>4335782.67</v>
      </c>
      <c r="O12" s="36">
        <f t="shared" si="7"/>
        <v>5989906.6699999999</v>
      </c>
      <c r="P12" s="36">
        <f t="shared" si="7"/>
        <v>21111028.740000002</v>
      </c>
      <c r="Q12" s="37">
        <v>1942542.11</v>
      </c>
      <c r="R12" s="37">
        <f>P12+Q12</f>
        <v>23053570.850000001</v>
      </c>
      <c r="S12" s="37">
        <f>SUM(S7:S11)</f>
        <v>62301</v>
      </c>
      <c r="T12" s="37">
        <f>SUM(T7:T11)</f>
        <v>2333206.3499999996</v>
      </c>
      <c r="U12" s="37">
        <f>R12-T12</f>
        <v>20720364.5</v>
      </c>
    </row>
    <row r="13" spans="1:21" ht="30">
      <c r="A13" s="96" t="s">
        <v>18</v>
      </c>
      <c r="B13" s="54" t="s">
        <v>21</v>
      </c>
      <c r="C13" s="60">
        <v>2918456</v>
      </c>
      <c r="D13" s="55">
        <f>5627547-C13</f>
        <v>2709091</v>
      </c>
      <c r="E13" s="55">
        <v>3116212</v>
      </c>
      <c r="F13" s="55">
        <f>5948380-E13</f>
        <v>2832168</v>
      </c>
      <c r="G13" s="55">
        <f>SUM(C13:F13)</f>
        <v>11575927</v>
      </c>
      <c r="H13" s="45">
        <v>28.24</v>
      </c>
      <c r="I13" s="45">
        <v>28.24</v>
      </c>
      <c r="J13" s="45">
        <v>2.83</v>
      </c>
      <c r="K13" s="45">
        <v>2.94</v>
      </c>
      <c r="L13" s="45">
        <f t="shared" si="0"/>
        <v>74157966.959999993</v>
      </c>
      <c r="M13" s="45">
        <f t="shared" si="1"/>
        <v>68838002.309999987</v>
      </c>
      <c r="N13" s="45">
        <f>E13*(I13-K13)</f>
        <v>78840163.599999994</v>
      </c>
      <c r="O13" s="45">
        <f>F13*(I13-K13)</f>
        <v>71653850.399999991</v>
      </c>
      <c r="P13" s="45">
        <f>SUM(L13:O13)</f>
        <v>293489983.26999998</v>
      </c>
      <c r="Q13" s="45" t="s">
        <v>14</v>
      </c>
      <c r="R13" s="45"/>
      <c r="S13" s="56">
        <v>953415</v>
      </c>
      <c r="T13" s="45">
        <f>(I13-K13)*S13</f>
        <v>24121399.499999996</v>
      </c>
      <c r="U13" s="45"/>
    </row>
    <row r="14" spans="1:21" ht="30">
      <c r="A14" s="97"/>
      <c r="B14" s="54" t="s">
        <v>22</v>
      </c>
      <c r="C14" s="61">
        <f>1719066</f>
        <v>1719066</v>
      </c>
      <c r="D14" s="62">
        <f>3007606-C14</f>
        <v>1288540</v>
      </c>
      <c r="E14" s="62">
        <v>1137710</v>
      </c>
      <c r="F14" s="62">
        <f>2478033-E14</f>
        <v>1340323</v>
      </c>
      <c r="G14" s="55">
        <f>SUM(C14:F14)</f>
        <v>5485639</v>
      </c>
      <c r="H14" s="45">
        <v>28.24</v>
      </c>
      <c r="I14" s="45">
        <v>28.24</v>
      </c>
      <c r="J14" s="45">
        <v>3.25</v>
      </c>
      <c r="K14" s="45">
        <v>3.38</v>
      </c>
      <c r="L14" s="45">
        <f t="shared" si="0"/>
        <v>42959459.339999996</v>
      </c>
      <c r="M14" s="45">
        <f t="shared" si="1"/>
        <v>32200614.599999998</v>
      </c>
      <c r="N14" s="45">
        <f t="shared" ref="N14:N20" si="8">E14*(I14-K14)</f>
        <v>28283470.599999998</v>
      </c>
      <c r="O14" s="45">
        <f t="shared" ref="O14:O20" si="9">F14*(I14-K14)</f>
        <v>33320429.779999997</v>
      </c>
      <c r="P14" s="45">
        <f t="shared" ref="P14:P20" si="10">SUM(L14:O14)</f>
        <v>136763974.31999999</v>
      </c>
      <c r="Q14" s="45" t="s">
        <v>14</v>
      </c>
      <c r="R14" s="45"/>
      <c r="S14" s="56">
        <v>450906</v>
      </c>
      <c r="T14" s="45">
        <f t="shared" ref="T14:T19" si="11">(I14-K14)*S14</f>
        <v>11209523.16</v>
      </c>
      <c r="U14" s="45"/>
    </row>
    <row r="15" spans="1:21" ht="30">
      <c r="A15" s="97"/>
      <c r="B15" s="65" t="s">
        <v>23</v>
      </c>
      <c r="C15" s="61">
        <f>827497</f>
        <v>827497</v>
      </c>
      <c r="D15" s="62">
        <f>1430838-C15</f>
        <v>603341</v>
      </c>
      <c r="E15" s="62">
        <v>430446</v>
      </c>
      <c r="F15" s="62">
        <f>1031068-E15</f>
        <v>600622</v>
      </c>
      <c r="G15" s="55">
        <f t="shared" ref="G15:G19" si="12">SUM(C15:F15)</f>
        <v>2461906</v>
      </c>
      <c r="H15" s="45">
        <v>28.24</v>
      </c>
      <c r="I15" s="45">
        <v>28.24</v>
      </c>
      <c r="J15" s="45">
        <v>0.88</v>
      </c>
      <c r="K15" s="45">
        <v>0.95</v>
      </c>
      <c r="L15" s="45">
        <f t="shared" si="0"/>
        <v>22640317.919999998</v>
      </c>
      <c r="M15" s="45">
        <f t="shared" si="1"/>
        <v>16507409.76</v>
      </c>
      <c r="N15" s="45">
        <f t="shared" si="8"/>
        <v>11746871.34</v>
      </c>
      <c r="O15" s="45">
        <f t="shared" si="9"/>
        <v>16390974.379999999</v>
      </c>
      <c r="P15" s="45">
        <f t="shared" si="10"/>
        <v>67285573.399999991</v>
      </c>
      <c r="Q15" s="45" t="s">
        <v>14</v>
      </c>
      <c r="R15" s="45"/>
      <c r="S15" s="56">
        <v>207129</v>
      </c>
      <c r="T15" s="45">
        <f t="shared" si="11"/>
        <v>5652550.4100000001</v>
      </c>
      <c r="U15" s="45"/>
    </row>
    <row r="16" spans="1:21" ht="60">
      <c r="A16" s="97"/>
      <c r="B16" s="65" t="s">
        <v>24</v>
      </c>
      <c r="C16" s="61">
        <v>8749</v>
      </c>
      <c r="D16" s="62">
        <f>13996-C16</f>
        <v>5247</v>
      </c>
      <c r="E16" s="62">
        <v>5354</v>
      </c>
      <c r="F16" s="62">
        <f>11857-E16</f>
        <v>6503</v>
      </c>
      <c r="G16" s="55">
        <f t="shared" si="12"/>
        <v>25853</v>
      </c>
      <c r="H16" s="45">
        <v>28.24</v>
      </c>
      <c r="I16" s="45">
        <v>28.24</v>
      </c>
      <c r="J16" s="45">
        <v>4.04</v>
      </c>
      <c r="K16" s="45">
        <v>4.2</v>
      </c>
      <c r="L16" s="45">
        <f t="shared" si="0"/>
        <v>211725.8</v>
      </c>
      <c r="M16" s="45">
        <f t="shared" si="1"/>
        <v>126977.4</v>
      </c>
      <c r="N16" s="45">
        <f t="shared" si="8"/>
        <v>128710.15999999999</v>
      </c>
      <c r="O16" s="45">
        <f t="shared" si="9"/>
        <v>156332.12</v>
      </c>
      <c r="P16" s="45">
        <f t="shared" si="10"/>
        <v>623745.48</v>
      </c>
      <c r="Q16" s="45" t="s">
        <v>14</v>
      </c>
      <c r="R16" s="45"/>
      <c r="S16" s="56">
        <v>2856</v>
      </c>
      <c r="T16" s="45">
        <f t="shared" si="11"/>
        <v>68658.239999999991</v>
      </c>
      <c r="U16" s="45"/>
    </row>
    <row r="17" spans="1:199" ht="45">
      <c r="A17" s="97"/>
      <c r="B17" s="65" t="s">
        <v>25</v>
      </c>
      <c r="C17" s="61">
        <v>131684</v>
      </c>
      <c r="D17" s="62">
        <f>240117-C17</f>
        <v>108433</v>
      </c>
      <c r="E17" s="62">
        <v>120589</v>
      </c>
      <c r="F17" s="62">
        <f>203645-E17</f>
        <v>83056</v>
      </c>
      <c r="G17" s="55">
        <f t="shared" si="12"/>
        <v>443762</v>
      </c>
      <c r="H17" s="45">
        <v>28.24</v>
      </c>
      <c r="I17" s="45">
        <v>28.24</v>
      </c>
      <c r="J17" s="45">
        <v>3.03</v>
      </c>
      <c r="K17" s="45">
        <v>3.15</v>
      </c>
      <c r="L17" s="45">
        <f t="shared" si="0"/>
        <v>3319753.6399999997</v>
      </c>
      <c r="M17" s="45">
        <f t="shared" si="1"/>
        <v>2733595.9299999997</v>
      </c>
      <c r="N17" s="45">
        <f t="shared" si="8"/>
        <v>3025578.01</v>
      </c>
      <c r="O17" s="45">
        <f t="shared" si="9"/>
        <v>2083875.04</v>
      </c>
      <c r="P17" s="45">
        <f t="shared" si="10"/>
        <v>11162802.619999997</v>
      </c>
      <c r="Q17" s="45"/>
      <c r="R17" s="45"/>
      <c r="S17" s="56">
        <v>25556</v>
      </c>
      <c r="T17" s="45">
        <f t="shared" si="11"/>
        <v>641200.04</v>
      </c>
      <c r="U17" s="45"/>
    </row>
    <row r="18" spans="1:199" ht="60">
      <c r="A18" s="97"/>
      <c r="B18" s="65" t="s">
        <v>26</v>
      </c>
      <c r="C18" s="61">
        <v>216773</v>
      </c>
      <c r="D18" s="62">
        <f>377550-C18</f>
        <v>160777</v>
      </c>
      <c r="E18" s="62">
        <v>151820</v>
      </c>
      <c r="F18" s="62">
        <f>303712-E18</f>
        <v>151892</v>
      </c>
      <c r="G18" s="55">
        <f t="shared" si="12"/>
        <v>681262</v>
      </c>
      <c r="H18" s="45">
        <v>28.24</v>
      </c>
      <c r="I18" s="45">
        <v>28.24</v>
      </c>
      <c r="J18" s="45">
        <v>3.49</v>
      </c>
      <c r="K18" s="45">
        <v>3.63</v>
      </c>
      <c r="L18" s="45">
        <f t="shared" si="0"/>
        <v>5365131.75</v>
      </c>
      <c r="M18" s="45">
        <f t="shared" si="1"/>
        <v>3979230.75</v>
      </c>
      <c r="N18" s="45">
        <f t="shared" si="8"/>
        <v>3736290.1999999997</v>
      </c>
      <c r="O18" s="45">
        <f t="shared" si="9"/>
        <v>3738062.12</v>
      </c>
      <c r="P18" s="45">
        <f t="shared" si="10"/>
        <v>16818714.82</v>
      </c>
      <c r="Q18" s="45"/>
      <c r="R18" s="45"/>
      <c r="S18" s="56">
        <v>49931</v>
      </c>
      <c r="T18" s="45">
        <f t="shared" si="11"/>
        <v>1228801.9099999999</v>
      </c>
      <c r="U18" s="45"/>
    </row>
    <row r="19" spans="1:199" ht="60">
      <c r="A19" s="97"/>
      <c r="B19" s="65" t="s">
        <v>27</v>
      </c>
      <c r="C19" s="61">
        <v>92216</v>
      </c>
      <c r="D19" s="62">
        <f>160714-C19</f>
        <v>68498</v>
      </c>
      <c r="E19" s="62">
        <v>50287</v>
      </c>
      <c r="F19" s="62">
        <f>111809-E19</f>
        <v>61522</v>
      </c>
      <c r="G19" s="55">
        <f t="shared" si="12"/>
        <v>272523</v>
      </c>
      <c r="H19" s="45">
        <v>28.24</v>
      </c>
      <c r="I19" s="45">
        <v>28.24</v>
      </c>
      <c r="J19" s="45">
        <v>0.95</v>
      </c>
      <c r="K19" s="45">
        <v>1.02</v>
      </c>
      <c r="L19" s="45">
        <f t="shared" si="0"/>
        <v>2516574.64</v>
      </c>
      <c r="M19" s="45">
        <f t="shared" si="1"/>
        <v>1869310.42</v>
      </c>
      <c r="N19" s="45">
        <f t="shared" si="8"/>
        <v>1368812.14</v>
      </c>
      <c r="O19" s="45">
        <f t="shared" si="9"/>
        <v>1674628.8399999999</v>
      </c>
      <c r="P19" s="45">
        <f t="shared" si="10"/>
        <v>7429326.04</v>
      </c>
      <c r="Q19" s="45"/>
      <c r="R19" s="45"/>
      <c r="S19" s="56">
        <v>20174</v>
      </c>
      <c r="T19" s="45">
        <f t="shared" si="11"/>
        <v>549136.28</v>
      </c>
      <c r="U19" s="45"/>
    </row>
    <row r="20" spans="1:199" ht="30">
      <c r="A20" s="97"/>
      <c r="B20" s="65" t="s">
        <v>28</v>
      </c>
      <c r="C20" s="61">
        <v>3198813</v>
      </c>
      <c r="D20" s="62">
        <f>5386790-C20</f>
        <v>2187977</v>
      </c>
      <c r="E20" s="62">
        <f>7697000-5709363</f>
        <v>1987637</v>
      </c>
      <c r="F20" s="62">
        <f>10321166-7697000</f>
        <v>2624166</v>
      </c>
      <c r="G20" s="55">
        <f>SUM(C20:F20)</f>
        <v>9998593</v>
      </c>
      <c r="H20" s="45">
        <v>28.24</v>
      </c>
      <c r="I20" s="45">
        <v>28.24</v>
      </c>
      <c r="J20" s="63">
        <v>7.95</v>
      </c>
      <c r="K20" s="63">
        <v>7.95</v>
      </c>
      <c r="L20" s="45">
        <f t="shared" si="0"/>
        <v>64903915.769999996</v>
      </c>
      <c r="M20" s="45">
        <f t="shared" si="1"/>
        <v>44394053.329999998</v>
      </c>
      <c r="N20" s="45">
        <f t="shared" si="8"/>
        <v>40329154.729999997</v>
      </c>
      <c r="O20" s="45">
        <f t="shared" si="9"/>
        <v>53244328.140000001</v>
      </c>
      <c r="P20" s="45">
        <f t="shared" si="10"/>
        <v>202871451.96999997</v>
      </c>
      <c r="Q20" s="45" t="s">
        <v>14</v>
      </c>
      <c r="R20" s="45"/>
      <c r="S20" s="56">
        <v>905577</v>
      </c>
      <c r="T20" s="45">
        <f>(I20-K20)*S20</f>
        <v>18374157.329999998</v>
      </c>
      <c r="U20" s="45"/>
    </row>
    <row r="21" spans="1:199" s="26" customFormat="1" ht="15.75">
      <c r="A21" s="25"/>
      <c r="B21" s="38" t="s">
        <v>6</v>
      </c>
      <c r="C21" s="39">
        <f>SUM(C13:C20)</f>
        <v>9113254</v>
      </c>
      <c r="D21" s="39">
        <f t="shared" ref="D21:F21" si="13">SUM(D13:D20)</f>
        <v>7131904</v>
      </c>
      <c r="E21" s="39">
        <f t="shared" si="13"/>
        <v>7000055</v>
      </c>
      <c r="F21" s="39">
        <f t="shared" si="13"/>
        <v>7700252</v>
      </c>
      <c r="G21" s="39">
        <f>SUM(G13:G20)</f>
        <v>30945465</v>
      </c>
      <c r="H21" s="39"/>
      <c r="I21" s="39"/>
      <c r="J21" s="39"/>
      <c r="K21" s="39"/>
      <c r="L21" s="39">
        <f t="shared" ref="L21" si="14">SUM(L13:L20)</f>
        <v>216074845.81999993</v>
      </c>
      <c r="M21" s="39">
        <f t="shared" ref="M21" si="15">SUM(M13:M20)</f>
        <v>170649194.5</v>
      </c>
      <c r="N21" s="39">
        <f t="shared" ref="N21" si="16">SUM(N13:N20)</f>
        <v>167459050.78</v>
      </c>
      <c r="O21" s="39">
        <f t="shared" ref="O21" si="17">SUM(O13:O20)</f>
        <v>182262480.81999999</v>
      </c>
      <c r="P21" s="39">
        <f t="shared" ref="P21" si="18">SUM(P13:P20)</f>
        <v>736445571.91999996</v>
      </c>
      <c r="Q21" s="40">
        <v>62035345.529999994</v>
      </c>
      <c r="R21" s="40">
        <f>P21+Q21</f>
        <v>798480917.44999993</v>
      </c>
      <c r="S21" s="41">
        <f>SUM(S13:S20)</f>
        <v>2615544</v>
      </c>
      <c r="T21" s="41">
        <f>SUM(T13:T20)</f>
        <v>61845426.86999999</v>
      </c>
      <c r="U21" s="34">
        <f>R21-T21</f>
        <v>736635490.57999992</v>
      </c>
    </row>
    <row r="22" spans="1:199" ht="30" outlineLevel="1">
      <c r="A22" s="95" t="s">
        <v>16</v>
      </c>
      <c r="B22" s="54" t="s">
        <v>21</v>
      </c>
      <c r="C22" s="55">
        <f>42434+17314</f>
        <v>59748</v>
      </c>
      <c r="D22" s="55">
        <f>109203-C22</f>
        <v>49455</v>
      </c>
      <c r="E22" s="55">
        <v>44982</v>
      </c>
      <c r="F22" s="55">
        <f>95192-E22</f>
        <v>50210</v>
      </c>
      <c r="G22" s="55">
        <f>SUM(C22:F22)</f>
        <v>204395</v>
      </c>
      <c r="H22" s="45">
        <v>66.63</v>
      </c>
      <c r="I22" s="45">
        <v>66.63</v>
      </c>
      <c r="J22" s="45">
        <v>2.83</v>
      </c>
      <c r="K22" s="45">
        <v>2.94</v>
      </c>
      <c r="L22" s="45">
        <f t="shared" si="0"/>
        <v>3811922.4</v>
      </c>
      <c r="M22" s="45">
        <f t="shared" si="1"/>
        <v>3155229</v>
      </c>
      <c r="N22" s="45">
        <f>(I22-K22)*E22</f>
        <v>2864903.58</v>
      </c>
      <c r="O22" s="45">
        <f>(I22-K22)*F22</f>
        <v>3197874.9</v>
      </c>
      <c r="P22" s="45">
        <f>SUM(L22:O22)</f>
        <v>13029929.880000001</v>
      </c>
      <c r="Q22" s="45"/>
      <c r="R22" s="45"/>
      <c r="S22" s="56">
        <v>15571</v>
      </c>
      <c r="T22" s="45">
        <f>(I22-K22)*S22</f>
        <v>991716.99</v>
      </c>
      <c r="U22" s="45"/>
    </row>
    <row r="23" spans="1:199" ht="30" outlineLevel="1">
      <c r="A23" s="95"/>
      <c r="B23" s="54" t="s">
        <v>22</v>
      </c>
      <c r="C23" s="55">
        <f>25115-17314</f>
        <v>7801</v>
      </c>
      <c r="D23" s="55">
        <f>11382-C23</f>
        <v>3581</v>
      </c>
      <c r="E23" s="55">
        <v>3994</v>
      </c>
      <c r="F23" s="55">
        <v>4899</v>
      </c>
      <c r="G23" s="55">
        <f>SUM(C23:F23)</f>
        <v>20275</v>
      </c>
      <c r="H23" s="45">
        <v>66.63</v>
      </c>
      <c r="I23" s="45">
        <v>66.63</v>
      </c>
      <c r="J23" s="45">
        <v>3.25</v>
      </c>
      <c r="K23" s="45">
        <v>3.38</v>
      </c>
      <c r="L23" s="45">
        <f t="shared" si="0"/>
        <v>494427.37999999995</v>
      </c>
      <c r="M23" s="45">
        <f t="shared" si="1"/>
        <v>226963.77999999997</v>
      </c>
      <c r="N23" s="45">
        <f t="shared" ref="N23:N25" si="19">(I23-K23)*E23</f>
        <v>252620.49999999997</v>
      </c>
      <c r="O23" s="45">
        <f t="shared" ref="O23:O25" si="20">(I23-K23)*F23</f>
        <v>309861.74999999994</v>
      </c>
      <c r="P23" s="45">
        <f t="shared" ref="P23:P25" si="21">SUM(L23:O23)</f>
        <v>1283873.4099999999</v>
      </c>
      <c r="Q23" s="45" t="s">
        <v>14</v>
      </c>
      <c r="R23" s="45"/>
      <c r="S23" s="56">
        <v>1467</v>
      </c>
      <c r="T23" s="45">
        <f>(I23-K23)*S23</f>
        <v>92787.749999999985</v>
      </c>
      <c r="U23" s="45"/>
    </row>
    <row r="24" spans="1:199" ht="30" outlineLevel="1">
      <c r="A24" s="95"/>
      <c r="B24" s="58" t="s">
        <v>23</v>
      </c>
      <c r="C24" s="55">
        <v>3445</v>
      </c>
      <c r="D24" s="55">
        <f>4823-C24</f>
        <v>1378</v>
      </c>
      <c r="E24" s="55">
        <v>1547</v>
      </c>
      <c r="F24" s="55">
        <v>1897</v>
      </c>
      <c r="G24" s="55">
        <f>SUM(C24:F24)</f>
        <v>8267</v>
      </c>
      <c r="H24" s="45">
        <v>66.63</v>
      </c>
      <c r="I24" s="45">
        <v>66.63</v>
      </c>
      <c r="J24" s="45">
        <v>0.88</v>
      </c>
      <c r="K24" s="45">
        <v>0.95</v>
      </c>
      <c r="L24" s="45">
        <f t="shared" si="0"/>
        <v>226508.75</v>
      </c>
      <c r="M24" s="45">
        <f t="shared" si="1"/>
        <v>90603.5</v>
      </c>
      <c r="N24" s="45">
        <f t="shared" si="19"/>
        <v>101606.95999999999</v>
      </c>
      <c r="O24" s="45">
        <f t="shared" si="20"/>
        <v>124594.95999999999</v>
      </c>
      <c r="P24" s="45">
        <f t="shared" si="21"/>
        <v>543314.16999999993</v>
      </c>
      <c r="Q24" s="45"/>
      <c r="R24" s="45"/>
      <c r="S24" s="56">
        <v>577</v>
      </c>
      <c r="T24" s="45">
        <f>(I24-K24)*S24</f>
        <v>37897.359999999993</v>
      </c>
      <c r="U24" s="45"/>
    </row>
    <row r="25" spans="1:199" outlineLevel="1">
      <c r="A25" s="95"/>
      <c r="B25" s="54" t="s">
        <v>8</v>
      </c>
      <c r="C25" s="55">
        <v>58326</v>
      </c>
      <c r="D25" s="55">
        <f>89413-C25</f>
        <v>31087</v>
      </c>
      <c r="E25" s="55">
        <f>116315-90045</f>
        <v>26270</v>
      </c>
      <c r="F25" s="55">
        <f>159460-116315</f>
        <v>43145</v>
      </c>
      <c r="G25" s="55">
        <f>SUM(C25:F25)</f>
        <v>158828</v>
      </c>
      <c r="H25" s="45">
        <v>66.63</v>
      </c>
      <c r="I25" s="45">
        <v>66.63</v>
      </c>
      <c r="J25" s="45">
        <v>7.95</v>
      </c>
      <c r="K25" s="45">
        <v>7.95</v>
      </c>
      <c r="L25" s="45">
        <f t="shared" si="0"/>
        <v>3422569.6799999997</v>
      </c>
      <c r="M25" s="45">
        <f t="shared" si="1"/>
        <v>1824185.1599999997</v>
      </c>
      <c r="N25" s="45">
        <f t="shared" si="19"/>
        <v>1541523.5999999999</v>
      </c>
      <c r="O25" s="45">
        <f t="shared" si="20"/>
        <v>2531748.5999999996</v>
      </c>
      <c r="P25" s="45">
        <f t="shared" si="21"/>
        <v>9320027.0399999991</v>
      </c>
      <c r="Q25" s="45" t="s">
        <v>14</v>
      </c>
      <c r="R25" s="45"/>
      <c r="S25" s="56">
        <v>12774</v>
      </c>
      <c r="T25" s="45">
        <f>(I25-K25)*S25</f>
        <v>749578.32</v>
      </c>
      <c r="U25" s="45"/>
    </row>
    <row r="26" spans="1:199" s="26" customFormat="1" ht="15.75" outlineLevel="1">
      <c r="A26" s="95"/>
      <c r="B26" s="42" t="s">
        <v>6</v>
      </c>
      <c r="C26" s="36">
        <f>SUM(C22:C25)</f>
        <v>129320</v>
      </c>
      <c r="D26" s="36">
        <f t="shared" ref="D26:P26" si="22">SUM(D22:D25)</f>
        <v>85501</v>
      </c>
      <c r="E26" s="36">
        <f>SUM(E22:E25)</f>
        <v>76793</v>
      </c>
      <c r="F26" s="36">
        <f t="shared" si="22"/>
        <v>100151</v>
      </c>
      <c r="G26" s="36">
        <f t="shared" si="22"/>
        <v>391765</v>
      </c>
      <c r="H26" s="36"/>
      <c r="I26" s="36"/>
      <c r="J26" s="36"/>
      <c r="K26" s="36"/>
      <c r="L26" s="36">
        <f t="shared" si="22"/>
        <v>7955428.21</v>
      </c>
      <c r="M26" s="36">
        <f t="shared" si="22"/>
        <v>5296981.4399999995</v>
      </c>
      <c r="N26" s="36">
        <f t="shared" si="22"/>
        <v>4760654.6399999997</v>
      </c>
      <c r="O26" s="36">
        <f t="shared" si="22"/>
        <v>6164080.209999999</v>
      </c>
      <c r="P26" s="36">
        <f t="shared" si="22"/>
        <v>24177144.5</v>
      </c>
      <c r="Q26" s="34">
        <v>1865415.4099999997</v>
      </c>
      <c r="R26" s="34">
        <f>P26+Q26</f>
        <v>26042559.91</v>
      </c>
      <c r="S26" s="43">
        <f>SUM(S22:S25)</f>
        <v>30389</v>
      </c>
      <c r="T26" s="43">
        <f>SUM(T22:T25)</f>
        <v>1871980.42</v>
      </c>
      <c r="U26" s="34">
        <f>R26-T26</f>
        <v>24170579.490000002</v>
      </c>
    </row>
    <row r="27" spans="1:199" s="2" customFormat="1" ht="45">
      <c r="A27" s="80" t="s">
        <v>53</v>
      </c>
      <c r="B27" s="54" t="s">
        <v>60</v>
      </c>
      <c r="C27" s="55">
        <v>5802582</v>
      </c>
      <c r="D27" s="55">
        <v>5802582</v>
      </c>
      <c r="E27" s="55">
        <v>6259765.5</v>
      </c>
      <c r="F27" s="55">
        <v>6259765.5</v>
      </c>
      <c r="G27" s="55">
        <f t="shared" ref="G27:G32" si="23">SUM(C27:F27)</f>
        <v>24124695</v>
      </c>
      <c r="H27" s="45">
        <v>4.04</v>
      </c>
      <c r="I27" s="45">
        <v>4.2</v>
      </c>
      <c r="J27" s="45">
        <v>3.08</v>
      </c>
      <c r="K27" s="45">
        <v>3.51</v>
      </c>
      <c r="L27" s="45">
        <f t="shared" si="0"/>
        <v>5570478.7199999997</v>
      </c>
      <c r="M27" s="45">
        <f>(H27-J27)*D27</f>
        <v>5570478.7199999997</v>
      </c>
      <c r="N27" s="45">
        <f>(I27-K27)*E27</f>
        <v>4319238.1950000022</v>
      </c>
      <c r="O27" s="45">
        <f>(I27-K27)*F27</f>
        <v>4319238.1950000022</v>
      </c>
      <c r="P27" s="45">
        <f>SUM(L27:O27)</f>
        <v>19779433.830000006</v>
      </c>
      <c r="Q27" s="45" t="s">
        <v>14</v>
      </c>
      <c r="R27" s="45"/>
      <c r="S27" s="56">
        <f>F27/3</f>
        <v>2086588.5</v>
      </c>
      <c r="T27" s="45">
        <f>(I27-K27)*S27</f>
        <v>1439746.0650000009</v>
      </c>
      <c r="U27" s="45"/>
      <c r="V27" s="19"/>
      <c r="W27" s="20">
        <f t="shared" ref="W27:W32" si="24">SUM(C27:D27)</f>
        <v>11605164</v>
      </c>
      <c r="X27" s="20">
        <f t="shared" ref="X27:X32" si="25">SUM(E27:F27)</f>
        <v>12519531</v>
      </c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</row>
    <row r="28" spans="1:199" s="2" customFormat="1" ht="45">
      <c r="A28" s="81"/>
      <c r="B28" s="54" t="s">
        <v>61</v>
      </c>
      <c r="C28" s="55">
        <v>65242.596957364993</v>
      </c>
      <c r="D28" s="55">
        <v>65242.596957364993</v>
      </c>
      <c r="E28" s="55">
        <v>70383.039406270997</v>
      </c>
      <c r="F28" s="55">
        <v>70383.039406270997</v>
      </c>
      <c r="G28" s="55">
        <f t="shared" si="23"/>
        <v>271251.27272727201</v>
      </c>
      <c r="H28" s="45">
        <v>4.6500000000000004</v>
      </c>
      <c r="I28" s="45">
        <v>4.83</v>
      </c>
      <c r="J28" s="45">
        <v>3.31</v>
      </c>
      <c r="K28" s="45">
        <v>3.57</v>
      </c>
      <c r="L28" s="45">
        <f t="shared" si="0"/>
        <v>87425.079922869103</v>
      </c>
      <c r="M28" s="45">
        <f t="shared" si="1"/>
        <v>87425.079922869103</v>
      </c>
      <c r="N28" s="45">
        <f t="shared" ref="N28:N32" si="26">(I28-K28)*E28</f>
        <v>88682.629651901472</v>
      </c>
      <c r="O28" s="45">
        <f t="shared" ref="O28:O32" si="27">(I28-K28)*F28</f>
        <v>88682.629651901472</v>
      </c>
      <c r="P28" s="45">
        <f t="shared" ref="P28:P32" si="28">SUM(L28:O28)</f>
        <v>352215.41914954118</v>
      </c>
      <c r="Q28" s="45" t="s">
        <v>14</v>
      </c>
      <c r="R28" s="45"/>
      <c r="S28" s="56">
        <f t="shared" ref="S28:S32" si="29">F28/3</f>
        <v>23461.013135423666</v>
      </c>
      <c r="T28" s="45">
        <f t="shared" ref="T28:T32" si="30">(I28-K28)*S28</f>
        <v>29560.876550633824</v>
      </c>
      <c r="U28" s="45"/>
      <c r="V28" s="19"/>
      <c r="W28" s="20">
        <f t="shared" si="24"/>
        <v>130485.19391472999</v>
      </c>
      <c r="X28" s="20">
        <f t="shared" si="25"/>
        <v>140766.07881254199</v>
      </c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</row>
    <row r="29" spans="1:199" s="2" customFormat="1" ht="45">
      <c r="A29" s="81"/>
      <c r="B29" s="54" t="s">
        <v>62</v>
      </c>
      <c r="C29" s="55">
        <v>5231.0159098723498</v>
      </c>
      <c r="D29" s="55">
        <v>5231.0159098723498</v>
      </c>
      <c r="E29" s="55">
        <v>5643.1659083094501</v>
      </c>
      <c r="F29" s="55">
        <v>5643.1659083094501</v>
      </c>
      <c r="G29" s="55">
        <f t="shared" si="23"/>
        <v>21748.3636363636</v>
      </c>
      <c r="H29" s="45">
        <v>1.26</v>
      </c>
      <c r="I29" s="45">
        <v>1.36</v>
      </c>
      <c r="J29" s="45">
        <v>1.2</v>
      </c>
      <c r="K29" s="45">
        <v>1.3</v>
      </c>
      <c r="L29" s="45">
        <f t="shared" si="0"/>
        <v>313.86095459234127</v>
      </c>
      <c r="M29" s="45">
        <f t="shared" si="1"/>
        <v>313.86095459234127</v>
      </c>
      <c r="N29" s="45">
        <f t="shared" si="26"/>
        <v>338.58995449856729</v>
      </c>
      <c r="O29" s="45">
        <f t="shared" si="27"/>
        <v>338.58995449856729</v>
      </c>
      <c r="P29" s="45">
        <f t="shared" si="28"/>
        <v>1304.9018181818171</v>
      </c>
      <c r="Q29" s="45" t="s">
        <v>14</v>
      </c>
      <c r="R29" s="45"/>
      <c r="S29" s="56">
        <f t="shared" si="29"/>
        <v>1881.0553027698168</v>
      </c>
      <c r="T29" s="45">
        <f t="shared" si="30"/>
        <v>112.8633181661891</v>
      </c>
      <c r="U29" s="45"/>
      <c r="V29" s="19"/>
      <c r="W29" s="20">
        <f t="shared" si="24"/>
        <v>10462.0318197447</v>
      </c>
      <c r="X29" s="20">
        <f t="shared" si="25"/>
        <v>11286.3318166189</v>
      </c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</row>
    <row r="30" spans="1:199" s="2" customFormat="1" ht="45">
      <c r="A30" s="81"/>
      <c r="B30" s="54" t="s">
        <v>63</v>
      </c>
      <c r="C30" s="55">
        <v>1180778</v>
      </c>
      <c r="D30" s="55">
        <v>1180778</v>
      </c>
      <c r="E30" s="55">
        <v>1202153.5</v>
      </c>
      <c r="F30" s="55">
        <v>1202153.5</v>
      </c>
      <c r="G30" s="55">
        <f t="shared" si="23"/>
        <v>4765863</v>
      </c>
      <c r="H30" s="45">
        <v>3.03</v>
      </c>
      <c r="I30" s="45">
        <v>3.15</v>
      </c>
      <c r="J30" s="45">
        <v>2.31</v>
      </c>
      <c r="K30" s="45">
        <v>2.64</v>
      </c>
      <c r="L30" s="45">
        <f t="shared" si="0"/>
        <v>850160.15999999968</v>
      </c>
      <c r="M30" s="45">
        <f t="shared" si="1"/>
        <v>850160.15999999968</v>
      </c>
      <c r="N30" s="45">
        <f t="shared" si="26"/>
        <v>613098.2849999998</v>
      </c>
      <c r="O30" s="45">
        <f t="shared" si="27"/>
        <v>613098.2849999998</v>
      </c>
      <c r="P30" s="45">
        <f t="shared" si="28"/>
        <v>2926516.8899999987</v>
      </c>
      <c r="Q30" s="45" t="s">
        <v>14</v>
      </c>
      <c r="R30" s="45"/>
      <c r="S30" s="56">
        <f t="shared" si="29"/>
        <v>400717.83333333331</v>
      </c>
      <c r="T30" s="45">
        <f t="shared" si="30"/>
        <v>204366.09499999991</v>
      </c>
      <c r="U30" s="45"/>
      <c r="V30" s="19"/>
      <c r="W30" s="20">
        <f t="shared" si="24"/>
        <v>2361556</v>
      </c>
      <c r="X30" s="20">
        <f t="shared" si="25"/>
        <v>2404307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</row>
    <row r="31" spans="1:199" s="2" customFormat="1" ht="45">
      <c r="A31" s="81"/>
      <c r="B31" s="54" t="s">
        <v>64</v>
      </c>
      <c r="C31" s="55">
        <v>25901.012888765548</v>
      </c>
      <c r="D31" s="55">
        <v>25901.012888765548</v>
      </c>
      <c r="E31" s="55">
        <v>26369.896202143551</v>
      </c>
      <c r="F31" s="55">
        <v>26369.896202143551</v>
      </c>
      <c r="G31" s="55">
        <f t="shared" si="23"/>
        <v>104541.81818181821</v>
      </c>
      <c r="H31" s="45">
        <v>3.49</v>
      </c>
      <c r="I31" s="45">
        <v>3.63</v>
      </c>
      <c r="J31" s="45">
        <v>2.48</v>
      </c>
      <c r="K31" s="45">
        <v>2.68</v>
      </c>
      <c r="L31" s="45">
        <f t="shared" si="0"/>
        <v>26160.02301765321</v>
      </c>
      <c r="M31" s="45">
        <f t="shared" si="1"/>
        <v>26160.02301765321</v>
      </c>
      <c r="N31" s="45">
        <f t="shared" si="26"/>
        <v>25051.401392036365</v>
      </c>
      <c r="O31" s="45">
        <f t="shared" si="27"/>
        <v>25051.401392036365</v>
      </c>
      <c r="P31" s="45">
        <f t="shared" si="28"/>
        <v>102422.84881937916</v>
      </c>
      <c r="Q31" s="45" t="s">
        <v>14</v>
      </c>
      <c r="R31" s="45"/>
      <c r="S31" s="56">
        <f t="shared" si="29"/>
        <v>8789.9654007145164</v>
      </c>
      <c r="T31" s="45">
        <f t="shared" si="30"/>
        <v>8350.4671306787877</v>
      </c>
      <c r="U31" s="45"/>
      <c r="V31" s="19"/>
      <c r="W31" s="20">
        <f t="shared" si="24"/>
        <v>51802.025777531097</v>
      </c>
      <c r="X31" s="20">
        <f t="shared" si="25"/>
        <v>52739.792404287102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</row>
    <row r="32" spans="1:199" s="2" customFormat="1" ht="45">
      <c r="A32" s="81"/>
      <c r="B32" s="54" t="s">
        <v>65</v>
      </c>
      <c r="C32" s="55">
        <v>1122.74660899439</v>
      </c>
      <c r="D32" s="55">
        <v>1122.74660899439</v>
      </c>
      <c r="E32" s="55">
        <v>1143.0715728237951</v>
      </c>
      <c r="F32" s="55">
        <v>1143.0715728237951</v>
      </c>
      <c r="G32" s="55">
        <f t="shared" si="23"/>
        <v>4531.6363636363703</v>
      </c>
      <c r="H32" s="45">
        <v>0.95</v>
      </c>
      <c r="I32" s="45">
        <v>1.02</v>
      </c>
      <c r="J32" s="45">
        <v>0.91</v>
      </c>
      <c r="K32" s="45">
        <v>0.98</v>
      </c>
      <c r="L32" s="45">
        <f t="shared" si="0"/>
        <v>44.909864359775518</v>
      </c>
      <c r="M32" s="45">
        <f t="shared" si="1"/>
        <v>44.909864359775518</v>
      </c>
      <c r="N32" s="45">
        <f t="shared" si="26"/>
        <v>45.722862912951847</v>
      </c>
      <c r="O32" s="45">
        <f t="shared" si="27"/>
        <v>45.722862912951847</v>
      </c>
      <c r="P32" s="45">
        <f t="shared" si="28"/>
        <v>181.26545454545473</v>
      </c>
      <c r="Q32" s="45" t="s">
        <v>14</v>
      </c>
      <c r="R32" s="45"/>
      <c r="S32" s="56">
        <f t="shared" si="29"/>
        <v>381.02385760793169</v>
      </c>
      <c r="T32" s="45">
        <f t="shared" si="30"/>
        <v>15.240954304317281</v>
      </c>
      <c r="U32" s="45"/>
      <c r="V32" s="19"/>
      <c r="W32" s="20">
        <f t="shared" si="24"/>
        <v>2245.4932179887801</v>
      </c>
      <c r="X32" s="20">
        <f t="shared" si="25"/>
        <v>2286.1431456475902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</row>
    <row r="33" spans="1:199" s="47" customFormat="1">
      <c r="A33" s="82"/>
      <c r="B33" s="44" t="s">
        <v>6</v>
      </c>
      <c r="C33" s="36">
        <f>SUM(C27:C32)</f>
        <v>7080857.3723649969</v>
      </c>
      <c r="D33" s="36">
        <f>SUM(D27:D32)</f>
        <v>7080857.3723649969</v>
      </c>
      <c r="E33" s="36">
        <f>SUM(E27:E32)</f>
        <v>7565458.1730895471</v>
      </c>
      <c r="F33" s="36">
        <f>SUM(F27:F32)</f>
        <v>7565458.1730895471</v>
      </c>
      <c r="G33" s="36">
        <f>SUM(G27:G32)</f>
        <v>29292631.09090909</v>
      </c>
      <c r="H33" s="36"/>
      <c r="I33" s="36"/>
      <c r="J33" s="36"/>
      <c r="K33" s="36"/>
      <c r="L33" s="36">
        <f>SUM(L27:L32)</f>
        <v>6534582.7537594736</v>
      </c>
      <c r="M33" s="36">
        <f t="shared" ref="M33:P33" si="31">SUM(M27:M32)</f>
        <v>6534582.7537594736</v>
      </c>
      <c r="N33" s="36">
        <f t="shared" si="31"/>
        <v>5046454.8238613512</v>
      </c>
      <c r="O33" s="36">
        <f t="shared" si="31"/>
        <v>5046454.8238613512</v>
      </c>
      <c r="P33" s="36">
        <f t="shared" si="31"/>
        <v>23162075.15524165</v>
      </c>
      <c r="Q33" s="45">
        <v>0</v>
      </c>
      <c r="R33" s="34">
        <f>P33+Q33</f>
        <v>23162075.15524165</v>
      </c>
      <c r="S33" s="43">
        <f>SUM(S27:S32)</f>
        <v>2521819.3910298496</v>
      </c>
      <c r="T33" s="43">
        <f>SUM(T27:T32)</f>
        <v>1682151.6079537841</v>
      </c>
      <c r="U33" s="34">
        <f>R33-T33</f>
        <v>21479923.547287866</v>
      </c>
      <c r="V33" s="46"/>
      <c r="W33" s="46">
        <f>ROUND(SUMPRODUCT(J27:J32,W27:W32)/SUM(W27:W32),2)</f>
        <v>2.95</v>
      </c>
      <c r="X33" s="46">
        <f>ROUND(SUMPRODUCT(K27:K32,X27:X32)/SUM(X27:X32),2)</f>
        <v>3.37</v>
      </c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</row>
    <row r="34" spans="1:199" s="26" customFormat="1" ht="15.75" outlineLevel="1">
      <c r="A34" s="29"/>
      <c r="B34" s="64" t="s">
        <v>7</v>
      </c>
      <c r="C34" s="30">
        <f>C12+C21+C26+C33</f>
        <v>16484503.372364998</v>
      </c>
      <c r="D34" s="30">
        <f>D12+D21+D26+D33</f>
        <v>14424752.372364998</v>
      </c>
      <c r="E34" s="30">
        <f>E12+E21+E26+E33</f>
        <v>14755869.173089547</v>
      </c>
      <c r="F34" s="30">
        <f>F12+F21+F26+F33</f>
        <v>15525787.173089547</v>
      </c>
      <c r="G34" s="30">
        <f>G12+G21+G26+G33</f>
        <v>61190912.090909094</v>
      </c>
      <c r="H34" s="30"/>
      <c r="I34" s="30"/>
      <c r="J34" s="30"/>
      <c r="K34" s="30"/>
      <c r="L34" s="30">
        <f>L12+L21+L26+L33</f>
        <v>236569217.56375942</v>
      </c>
      <c r="M34" s="30">
        <f t="shared" ref="M34:P34" si="32">M12+M21+M26+M33</f>
        <v>187261737.31375948</v>
      </c>
      <c r="N34" s="30">
        <f t="shared" si="32"/>
        <v>181601942.91386133</v>
      </c>
      <c r="O34" s="30">
        <f t="shared" si="32"/>
        <v>199462922.52386135</v>
      </c>
      <c r="P34" s="30">
        <f t="shared" si="32"/>
        <v>804895820.31524158</v>
      </c>
      <c r="Q34" s="31">
        <f>Q12+Q21+Q26+Q33</f>
        <v>65843303.04999999</v>
      </c>
      <c r="R34" s="31">
        <f>R26+R12+R21+R33</f>
        <v>870739123.36524153</v>
      </c>
      <c r="S34" s="32">
        <f>S26+S12+S21+S33</f>
        <v>5230053.3910298496</v>
      </c>
      <c r="T34" s="33">
        <f>T26+T12+T21+T33</f>
        <v>67732765.247953773</v>
      </c>
      <c r="U34" s="34">
        <f>R34-T34</f>
        <v>803006358.11728776</v>
      </c>
    </row>
    <row r="35" spans="1:199" s="7" customFormat="1" ht="5.25" customHeight="1" outlineLevel="1">
      <c r="A35" s="10"/>
      <c r="B35" s="11"/>
      <c r="C35" s="12"/>
      <c r="D35" s="12"/>
      <c r="E35" s="12"/>
      <c r="F35" s="12"/>
      <c r="G35" s="12"/>
      <c r="H35" s="13"/>
      <c r="I35" s="13"/>
      <c r="J35" s="14"/>
      <c r="K35" s="14"/>
      <c r="L35" s="15"/>
      <c r="M35" s="15"/>
      <c r="N35" s="15"/>
      <c r="O35" s="15"/>
      <c r="P35" s="15"/>
      <c r="Q35" s="15"/>
      <c r="R35" s="15"/>
      <c r="S35" s="16"/>
      <c r="T35" s="17"/>
      <c r="U35" s="18"/>
    </row>
    <row r="36" spans="1:199" ht="15" hidden="1" customHeight="1"/>
    <row r="37" spans="1:199" s="28" customFormat="1" ht="15" hidden="1" customHeight="1"/>
    <row r="38" spans="1:199" s="28" customFormat="1" ht="6.75" customHeight="1"/>
    <row r="39" spans="1:199" ht="15" customHeight="1">
      <c r="A39" s="9"/>
    </row>
    <row r="62" spans="2:2" ht="15.75">
      <c r="B62" s="8"/>
    </row>
    <row r="63" spans="2:2" ht="15.75">
      <c r="B63" s="8"/>
    </row>
  </sheetData>
  <mergeCells count="15">
    <mergeCell ref="R5:R6"/>
    <mergeCell ref="S5:T5"/>
    <mergeCell ref="U5:U6"/>
    <mergeCell ref="A22:A26"/>
    <mergeCell ref="A7:A12"/>
    <mergeCell ref="A13:A20"/>
    <mergeCell ref="J5:K5"/>
    <mergeCell ref="L5:P5"/>
    <mergeCell ref="Q5:Q6"/>
    <mergeCell ref="C3:J3"/>
    <mergeCell ref="A27:A33"/>
    <mergeCell ref="A5:A6"/>
    <mergeCell ref="B5:B6"/>
    <mergeCell ref="C5:G5"/>
    <mergeCell ref="H5:I5"/>
  </mergeCells>
  <pageMargins left="0.19685039370078741" right="0.19685039370078741" top="0.51181102362204722" bottom="0.35433070866141736" header="0.31496062992125984" footer="0.31496062992125984"/>
  <pageSetup paperSize="9" scale="46" fitToHeight="0" orientation="landscape" r:id="rId1"/>
  <headerFooter>
    <oddFooter>&amp;C&amp;P</oddFooter>
  </headerFooter>
  <colBreaks count="1" manualBreakCount="1">
    <brk id="1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Q45"/>
  <sheetViews>
    <sheetView view="pageBreakPreview" zoomScale="60" zoomScaleNormal="80" workbookViewId="0">
      <pane xSplit="2" ySplit="9" topLeftCell="G10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ColWidth="9.140625" defaultRowHeight="15" outlineLevelRow="2" outlineLevelCol="1"/>
  <cols>
    <col min="1" max="1" width="38.7109375" style="1" customWidth="1"/>
    <col min="2" max="2" width="48.7109375" style="1" customWidth="1"/>
    <col min="3" max="3" width="21.7109375" style="1" customWidth="1"/>
    <col min="4" max="4" width="23" style="1" customWidth="1"/>
    <col min="5" max="5" width="21.5703125" style="1" customWidth="1"/>
    <col min="6" max="7" width="20.28515625" style="1" customWidth="1"/>
    <col min="8" max="8" width="23.140625" style="1" customWidth="1"/>
    <col min="9" max="9" width="24" style="1" customWidth="1"/>
    <col min="10" max="11" width="26.5703125" style="1" customWidth="1"/>
    <col min="12" max="16" width="19.5703125" style="1" customWidth="1"/>
    <col min="17" max="21" width="21.7109375" style="1" customWidth="1"/>
    <col min="22" max="22" width="9.140625" style="1"/>
    <col min="23" max="24" width="0" style="1" hidden="1" customWidth="1" outlineLevel="1"/>
    <col min="25" max="25" width="9.140625" style="1" collapsed="1"/>
    <col min="26" max="16384" width="9.140625" style="1"/>
  </cols>
  <sheetData>
    <row r="1" spans="1:21" ht="6" hidden="1" customHeight="1">
      <c r="K1" s="78"/>
    </row>
    <row r="2" spans="1:21" ht="5.25" hidden="1" customHeight="1">
      <c r="K2" s="78"/>
    </row>
    <row r="3" spans="1:21" ht="87" customHeight="1">
      <c r="A3" s="79"/>
      <c r="B3" s="79"/>
      <c r="C3" s="91" t="s">
        <v>69</v>
      </c>
      <c r="D3" s="91"/>
      <c r="E3" s="91"/>
      <c r="F3" s="91"/>
      <c r="G3" s="91"/>
      <c r="H3" s="91"/>
      <c r="I3" s="91"/>
      <c r="J3" s="91"/>
      <c r="K3" s="79"/>
      <c r="L3" s="79"/>
      <c r="M3" s="79"/>
      <c r="N3" s="53"/>
      <c r="O3" s="53"/>
      <c r="P3" s="53"/>
      <c r="Q3" s="53"/>
      <c r="R3" s="53"/>
      <c r="S3" s="53"/>
      <c r="T3" s="53"/>
      <c r="U3" s="53"/>
    </row>
    <row r="4" spans="1:21" ht="9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2"/>
    </row>
    <row r="5" spans="1:21" hidden="1" outlineLevel="2">
      <c r="A5" s="3"/>
      <c r="B5" s="4"/>
      <c r="C5" s="3"/>
      <c r="D5" s="3"/>
      <c r="E5" s="3"/>
      <c r="F5" s="3"/>
      <c r="G5" s="3"/>
      <c r="H5" s="21" t="s">
        <v>48</v>
      </c>
      <c r="I5" s="22">
        <v>1.0389999999999999</v>
      </c>
      <c r="J5" s="23" t="s">
        <v>47</v>
      </c>
      <c r="K5" s="24">
        <v>1.04</v>
      </c>
      <c r="L5" s="3"/>
      <c r="M5" s="3"/>
      <c r="N5" s="3"/>
      <c r="O5" s="3"/>
      <c r="P5" s="3"/>
      <c r="Q5" s="3"/>
      <c r="R5" s="3"/>
      <c r="S5" s="2"/>
      <c r="T5" s="2"/>
      <c r="U5" s="2"/>
    </row>
    <row r="6" spans="1:21" hidden="1" outlineLevel="2">
      <c r="A6" s="3"/>
      <c r="B6" s="4"/>
      <c r="C6" s="3"/>
      <c r="D6" s="3"/>
      <c r="E6" s="3"/>
      <c r="F6" s="3"/>
      <c r="G6" s="3"/>
      <c r="H6" s="21"/>
      <c r="I6" s="22"/>
      <c r="J6" s="23"/>
      <c r="K6" s="24">
        <v>1.1399999999999999</v>
      </c>
      <c r="L6" s="3"/>
      <c r="M6" s="3"/>
      <c r="N6" s="3"/>
      <c r="O6" s="3"/>
      <c r="P6" s="3"/>
      <c r="Q6" s="3"/>
      <c r="R6" s="3"/>
      <c r="S6" s="2"/>
      <c r="T6" s="2"/>
      <c r="U6" s="2"/>
    </row>
    <row r="7" spans="1:21" hidden="1" outlineLevel="2">
      <c r="A7" s="3"/>
      <c r="B7" s="4"/>
      <c r="C7" s="3"/>
      <c r="D7" s="3"/>
      <c r="E7" s="3"/>
      <c r="F7" s="3"/>
      <c r="G7" s="3"/>
      <c r="H7" s="21"/>
      <c r="I7" s="22"/>
      <c r="J7" s="23"/>
      <c r="K7" s="24">
        <v>1.08</v>
      </c>
      <c r="L7" s="3"/>
      <c r="M7" s="3"/>
      <c r="N7" s="3"/>
      <c r="O7" s="3"/>
      <c r="P7" s="3"/>
      <c r="Q7" s="3"/>
      <c r="R7" s="3"/>
      <c r="S7" s="2"/>
      <c r="T7" s="2"/>
      <c r="U7" s="2"/>
    </row>
    <row r="8" spans="1:21" s="27" customFormat="1" ht="80.25" customHeight="1" collapsed="1">
      <c r="A8" s="83" t="s">
        <v>9</v>
      </c>
      <c r="B8" s="84" t="s">
        <v>10</v>
      </c>
      <c r="C8" s="86" t="s">
        <v>42</v>
      </c>
      <c r="D8" s="87"/>
      <c r="E8" s="87"/>
      <c r="F8" s="87"/>
      <c r="G8" s="88"/>
      <c r="H8" s="89" t="s">
        <v>11</v>
      </c>
      <c r="I8" s="90"/>
      <c r="J8" s="89" t="s">
        <v>31</v>
      </c>
      <c r="K8" s="90"/>
      <c r="L8" s="98" t="s">
        <v>30</v>
      </c>
      <c r="M8" s="99"/>
      <c r="N8" s="99"/>
      <c r="O8" s="99"/>
      <c r="P8" s="100"/>
      <c r="Q8" s="92" t="s">
        <v>33</v>
      </c>
      <c r="R8" s="92" t="s">
        <v>37</v>
      </c>
      <c r="S8" s="93" t="s">
        <v>36</v>
      </c>
      <c r="T8" s="94"/>
      <c r="U8" s="101" t="s">
        <v>45</v>
      </c>
    </row>
    <row r="9" spans="1:21" s="27" customFormat="1" ht="33.75" customHeight="1">
      <c r="A9" s="83"/>
      <c r="B9" s="85"/>
      <c r="C9" s="74" t="s">
        <v>55</v>
      </c>
      <c r="D9" s="74" t="s">
        <v>56</v>
      </c>
      <c r="E9" s="74" t="s">
        <v>57</v>
      </c>
      <c r="F9" s="74" t="s">
        <v>58</v>
      </c>
      <c r="G9" s="74" t="s">
        <v>29</v>
      </c>
      <c r="H9" s="75" t="s">
        <v>4</v>
      </c>
      <c r="I9" s="75" t="s">
        <v>5</v>
      </c>
      <c r="J9" s="75" t="s">
        <v>19</v>
      </c>
      <c r="K9" s="75" t="s">
        <v>5</v>
      </c>
      <c r="L9" s="74" t="s">
        <v>0</v>
      </c>
      <c r="M9" s="74" t="s">
        <v>1</v>
      </c>
      <c r="N9" s="74" t="s">
        <v>2</v>
      </c>
      <c r="O9" s="74" t="s">
        <v>3</v>
      </c>
      <c r="P9" s="74" t="s">
        <v>29</v>
      </c>
      <c r="Q9" s="92"/>
      <c r="R9" s="92"/>
      <c r="S9" s="76" t="s">
        <v>43</v>
      </c>
      <c r="T9" s="76" t="s">
        <v>12</v>
      </c>
      <c r="U9" s="101"/>
    </row>
    <row r="10" spans="1:21" ht="30" outlineLevel="1">
      <c r="A10" s="80" t="s">
        <v>13</v>
      </c>
      <c r="B10" s="66" t="s">
        <v>21</v>
      </c>
      <c r="C10" s="55">
        <v>35759</v>
      </c>
      <c r="D10" s="55">
        <f>68603-C10</f>
        <v>32844</v>
      </c>
      <c r="E10" s="55">
        <v>36278</v>
      </c>
      <c r="F10" s="55">
        <f>75159-E10</f>
        <v>38881</v>
      </c>
      <c r="G10" s="55">
        <f>SUM(C10:F10)</f>
        <v>143762</v>
      </c>
      <c r="H10" s="45">
        <v>44.41</v>
      </c>
      <c r="I10" s="45">
        <v>44.41</v>
      </c>
      <c r="J10" s="45">
        <v>2.94</v>
      </c>
      <c r="K10" s="45">
        <v>3.06</v>
      </c>
      <c r="L10" s="45">
        <f>(H10-J10)*C10</f>
        <v>1482925.73</v>
      </c>
      <c r="M10" s="45">
        <f>(H10-J10)*D10</f>
        <v>1362040.68</v>
      </c>
      <c r="N10" s="45">
        <f>E10*(I10-K10)</f>
        <v>1500095.2999999998</v>
      </c>
      <c r="O10" s="45">
        <f>(I10-K10)*F10</f>
        <v>1607729.3499999999</v>
      </c>
      <c r="P10" s="45">
        <f>SUM(L10:O10)</f>
        <v>5952791.0599999996</v>
      </c>
      <c r="Q10" s="45" t="s">
        <v>14</v>
      </c>
      <c r="R10" s="45"/>
      <c r="S10" s="56">
        <v>15084</v>
      </c>
      <c r="T10" s="45">
        <f>(I10-K10)*S10</f>
        <v>623723.39999999991</v>
      </c>
      <c r="U10" s="57"/>
    </row>
    <row r="11" spans="1:21" ht="30" outlineLevel="1">
      <c r="A11" s="81"/>
      <c r="B11" s="66" t="s">
        <v>22</v>
      </c>
      <c r="C11" s="55">
        <v>31395</v>
      </c>
      <c r="D11" s="55">
        <f>62064-C11</f>
        <v>30669</v>
      </c>
      <c r="E11" s="55">
        <v>30466</v>
      </c>
      <c r="F11" s="55">
        <f>65392-E11</f>
        <v>34926</v>
      </c>
      <c r="G11" s="55">
        <f>SUM(C11:F11)</f>
        <v>127456</v>
      </c>
      <c r="H11" s="45">
        <v>44.41</v>
      </c>
      <c r="I11" s="45">
        <v>44.41</v>
      </c>
      <c r="J11" s="45">
        <v>3.38</v>
      </c>
      <c r="K11" s="45">
        <v>3.52</v>
      </c>
      <c r="L11" s="45">
        <f t="shared" ref="L11:L14" si="0">(H11-J11)*C11</f>
        <v>1288136.8499999999</v>
      </c>
      <c r="M11" s="45">
        <f t="shared" ref="M11:M14" si="1">(H11-J11)*D11</f>
        <v>1258349.0699999998</v>
      </c>
      <c r="N11" s="45">
        <f t="shared" ref="N11:N14" si="2">E11*(I11-K11)</f>
        <v>1245754.7399999998</v>
      </c>
      <c r="O11" s="45">
        <f t="shared" ref="O11:O14" si="3">(I11-K11)*F11</f>
        <v>1428124.1399999997</v>
      </c>
      <c r="P11" s="45">
        <f t="shared" ref="P11:P14" si="4">SUM(L11:O11)</f>
        <v>5220364.7999999989</v>
      </c>
      <c r="Q11" s="45" t="s">
        <v>14</v>
      </c>
      <c r="R11" s="45"/>
      <c r="S11" s="56">
        <v>13346</v>
      </c>
      <c r="T11" s="45">
        <f t="shared" ref="T11:T14" si="5">(I11-K11)*S11</f>
        <v>545717.93999999994</v>
      </c>
      <c r="U11" s="57"/>
    </row>
    <row r="12" spans="1:21" ht="30" outlineLevel="1">
      <c r="A12" s="81"/>
      <c r="B12" s="58" t="s">
        <v>23</v>
      </c>
      <c r="C12" s="55">
        <v>9870</v>
      </c>
      <c r="D12" s="55">
        <f>19362-C12</f>
        <v>9492</v>
      </c>
      <c r="E12" s="55">
        <v>9108</v>
      </c>
      <c r="F12" s="55">
        <f>19237-E12</f>
        <v>10129</v>
      </c>
      <c r="G12" s="55">
        <f>SUM(C12:F12)</f>
        <v>38599</v>
      </c>
      <c r="H12" s="45">
        <v>44.41</v>
      </c>
      <c r="I12" s="45">
        <v>44.41</v>
      </c>
      <c r="J12" s="45">
        <v>0.95</v>
      </c>
      <c r="K12" s="45">
        <v>1.03</v>
      </c>
      <c r="L12" s="45">
        <f t="shared" si="0"/>
        <v>428950.19999999995</v>
      </c>
      <c r="M12" s="45">
        <f t="shared" si="1"/>
        <v>412522.31999999995</v>
      </c>
      <c r="N12" s="45">
        <f t="shared" si="2"/>
        <v>395105.04</v>
      </c>
      <c r="O12" s="45">
        <f t="shared" si="3"/>
        <v>439396.01999999996</v>
      </c>
      <c r="P12" s="45">
        <f t="shared" si="4"/>
        <v>1675973.5799999998</v>
      </c>
      <c r="Q12" s="45" t="s">
        <v>14</v>
      </c>
      <c r="R12" s="45"/>
      <c r="S12" s="56">
        <v>4105</v>
      </c>
      <c r="T12" s="45">
        <f t="shared" si="5"/>
        <v>178074.9</v>
      </c>
      <c r="U12" s="57"/>
    </row>
    <row r="13" spans="1:21" ht="45" outlineLevel="1">
      <c r="A13" s="81"/>
      <c r="B13" s="67" t="s">
        <v>15</v>
      </c>
      <c r="C13" s="55">
        <v>62</v>
      </c>
      <c r="D13" s="55">
        <f>312-C13</f>
        <v>250</v>
      </c>
      <c r="E13" s="55">
        <v>50</v>
      </c>
      <c r="F13" s="55">
        <f>256-E13</f>
        <v>206</v>
      </c>
      <c r="G13" s="55">
        <f>SUM(C13:F13)</f>
        <v>568</v>
      </c>
      <c r="H13" s="45">
        <v>44.41</v>
      </c>
      <c r="I13" s="45">
        <v>44.41</v>
      </c>
      <c r="J13" s="45">
        <v>4.2</v>
      </c>
      <c r="K13" s="45">
        <v>4.37</v>
      </c>
      <c r="L13" s="45">
        <f t="shared" si="0"/>
        <v>2493.0199999999995</v>
      </c>
      <c r="M13" s="45">
        <f t="shared" si="1"/>
        <v>10052.499999999998</v>
      </c>
      <c r="N13" s="45">
        <f t="shared" si="2"/>
        <v>2002</v>
      </c>
      <c r="O13" s="45">
        <f t="shared" si="3"/>
        <v>8248.24</v>
      </c>
      <c r="P13" s="45">
        <f t="shared" si="4"/>
        <v>22795.759999999995</v>
      </c>
      <c r="Q13" s="45"/>
      <c r="R13" s="45"/>
      <c r="S13" s="56">
        <v>122</v>
      </c>
      <c r="T13" s="45">
        <f t="shared" si="5"/>
        <v>4884.88</v>
      </c>
      <c r="U13" s="57"/>
    </row>
    <row r="14" spans="1:21" outlineLevel="1">
      <c r="A14" s="81"/>
      <c r="B14" s="67" t="s">
        <v>8</v>
      </c>
      <c r="C14" s="55">
        <v>83986</v>
      </c>
      <c r="D14" s="55">
        <f>137221-C14</f>
        <v>53235</v>
      </c>
      <c r="E14" s="55">
        <f>212947-175286</f>
        <v>37661</v>
      </c>
      <c r="F14" s="55">
        <f>288731-212947</f>
        <v>75784</v>
      </c>
      <c r="G14" s="55">
        <f>SUM(C14:F14)</f>
        <v>250666</v>
      </c>
      <c r="H14" s="45">
        <v>44.41</v>
      </c>
      <c r="I14" s="45">
        <v>44.41</v>
      </c>
      <c r="J14" s="45">
        <v>7.95</v>
      </c>
      <c r="K14" s="45">
        <v>7.95</v>
      </c>
      <c r="L14" s="45">
        <f t="shared" si="0"/>
        <v>3062129.5599999996</v>
      </c>
      <c r="M14" s="45">
        <f t="shared" si="1"/>
        <v>1940948.0999999996</v>
      </c>
      <c r="N14" s="45">
        <f t="shared" si="2"/>
        <v>1373120.0599999998</v>
      </c>
      <c r="O14" s="45">
        <f t="shared" si="3"/>
        <v>2763084.6399999997</v>
      </c>
      <c r="P14" s="45">
        <f t="shared" si="4"/>
        <v>9139282.3599999994</v>
      </c>
      <c r="Q14" s="45" t="s">
        <v>14</v>
      </c>
      <c r="R14" s="45"/>
      <c r="S14" s="56">
        <v>29644</v>
      </c>
      <c r="T14" s="45">
        <f t="shared" si="5"/>
        <v>1080820.2399999998</v>
      </c>
      <c r="U14" s="57"/>
    </row>
    <row r="15" spans="1:21" s="26" customFormat="1" ht="15.75" outlineLevel="1">
      <c r="A15" s="82"/>
      <c r="B15" s="35" t="s">
        <v>6</v>
      </c>
      <c r="C15" s="36">
        <f>SUM(C10:C14)</f>
        <v>161072</v>
      </c>
      <c r="D15" s="36">
        <f t="shared" ref="D15:G15" si="6">SUM(D10:D14)</f>
        <v>126490</v>
      </c>
      <c r="E15" s="36">
        <f t="shared" si="6"/>
        <v>113563</v>
      </c>
      <c r="F15" s="36">
        <f t="shared" si="6"/>
        <v>159926</v>
      </c>
      <c r="G15" s="36">
        <f t="shared" si="6"/>
        <v>561051</v>
      </c>
      <c r="H15" s="37"/>
      <c r="I15" s="37"/>
      <c r="J15" s="37"/>
      <c r="K15" s="37"/>
      <c r="L15" s="37">
        <f>SUM(L10:L14)</f>
        <v>6264635.3599999994</v>
      </c>
      <c r="M15" s="37">
        <f t="shared" ref="M15:O15" si="7">SUM(M10:M14)</f>
        <v>4983912.67</v>
      </c>
      <c r="N15" s="37">
        <f t="shared" si="7"/>
        <v>4516077.1399999997</v>
      </c>
      <c r="O15" s="37">
        <f t="shared" si="7"/>
        <v>6246582.3899999987</v>
      </c>
      <c r="P15" s="37">
        <f>SUM(P10:P14)</f>
        <v>22011207.559999999</v>
      </c>
      <c r="Q15" s="37">
        <f>'2019'!T12</f>
        <v>2333206.3499999996</v>
      </c>
      <c r="R15" s="37">
        <f>P15+Q15</f>
        <v>24344413.909999996</v>
      </c>
      <c r="S15" s="37">
        <f>SUM(S10:S14)</f>
        <v>62301</v>
      </c>
      <c r="T15" s="37">
        <f>SUM(T10:T14)</f>
        <v>2433221.3599999994</v>
      </c>
      <c r="U15" s="37">
        <f>R15-T15</f>
        <v>21911192.549999997</v>
      </c>
    </row>
    <row r="16" spans="1:21" ht="30">
      <c r="A16" s="96" t="s">
        <v>18</v>
      </c>
      <c r="B16" s="66" t="s">
        <v>21</v>
      </c>
      <c r="C16" s="60">
        <v>2918456</v>
      </c>
      <c r="D16" s="55">
        <f>5627547-C16</f>
        <v>2709091</v>
      </c>
      <c r="E16" s="55">
        <v>3116212</v>
      </c>
      <c r="F16" s="55">
        <f>5948380-E16</f>
        <v>2832168</v>
      </c>
      <c r="G16" s="55">
        <f>SUM(C16:F16)</f>
        <v>11575927</v>
      </c>
      <c r="H16" s="68">
        <v>28.24</v>
      </c>
      <c r="I16" s="68">
        <v>28.24</v>
      </c>
      <c r="J16" s="45">
        <v>2.94</v>
      </c>
      <c r="K16" s="45">
        <v>3.06</v>
      </c>
      <c r="L16" s="45">
        <f>C16*(H16-J16)</f>
        <v>73836936.799999997</v>
      </c>
      <c r="M16" s="45">
        <f>D16*(H16-J16)</f>
        <v>68540002.299999997</v>
      </c>
      <c r="N16" s="45">
        <f>E16*(I16-K16)</f>
        <v>78466218.159999996</v>
      </c>
      <c r="O16" s="45">
        <f>F16*(I16-K16)</f>
        <v>71313990.239999995</v>
      </c>
      <c r="P16" s="45">
        <f>SUM(L16:O16)</f>
        <v>292157147.5</v>
      </c>
      <c r="Q16" s="45" t="s">
        <v>14</v>
      </c>
      <c r="R16" s="45"/>
      <c r="S16" s="56">
        <v>953415</v>
      </c>
      <c r="T16" s="45">
        <f>(I16-K16)*S16</f>
        <v>24006989.699999999</v>
      </c>
      <c r="U16" s="45"/>
    </row>
    <row r="17" spans="1:199" ht="30">
      <c r="A17" s="97"/>
      <c r="B17" s="66" t="s">
        <v>22</v>
      </c>
      <c r="C17" s="61">
        <f>1719066</f>
        <v>1719066</v>
      </c>
      <c r="D17" s="62">
        <f>3007606-C17</f>
        <v>1288540</v>
      </c>
      <c r="E17" s="62">
        <v>1137710</v>
      </c>
      <c r="F17" s="62">
        <f>2478033-E17</f>
        <v>1340323</v>
      </c>
      <c r="G17" s="55">
        <f>SUM(C17:F17)</f>
        <v>5485639</v>
      </c>
      <c r="H17" s="68">
        <v>28.24</v>
      </c>
      <c r="I17" s="68">
        <v>28.24</v>
      </c>
      <c r="J17" s="45">
        <v>3.38</v>
      </c>
      <c r="K17" s="45">
        <v>3.52</v>
      </c>
      <c r="L17" s="45">
        <f t="shared" ref="L17:L23" si="8">C17*(H17-J17)</f>
        <v>42735980.759999998</v>
      </c>
      <c r="M17" s="45">
        <f t="shared" ref="M17:N23" si="9">D17*(H17-J17)</f>
        <v>32033104.399999999</v>
      </c>
      <c r="N17" s="45">
        <f t="shared" si="9"/>
        <v>28124191.199999999</v>
      </c>
      <c r="O17" s="45">
        <f t="shared" ref="O17:O23" si="10">F17*(I17-K17)</f>
        <v>33132784.559999999</v>
      </c>
      <c r="P17" s="45">
        <f t="shared" ref="P17:P23" si="11">SUM(L17:O17)</f>
        <v>136026060.91999999</v>
      </c>
      <c r="Q17" s="45" t="s">
        <v>14</v>
      </c>
      <c r="R17" s="45"/>
      <c r="S17" s="56">
        <v>450906</v>
      </c>
      <c r="T17" s="45">
        <f t="shared" ref="T17:T22" si="12">(I17-K17)*S17</f>
        <v>11146396.32</v>
      </c>
      <c r="U17" s="45"/>
    </row>
    <row r="18" spans="1:199" ht="30">
      <c r="A18" s="97"/>
      <c r="B18" s="58" t="s">
        <v>23</v>
      </c>
      <c r="C18" s="61">
        <f>827497</f>
        <v>827497</v>
      </c>
      <c r="D18" s="62">
        <f>1430838-C18</f>
        <v>603341</v>
      </c>
      <c r="E18" s="62">
        <v>430446</v>
      </c>
      <c r="F18" s="62">
        <f>1031068-E18</f>
        <v>600622</v>
      </c>
      <c r="G18" s="55">
        <f t="shared" ref="G18:G22" si="13">SUM(C18:F18)</f>
        <v>2461906</v>
      </c>
      <c r="H18" s="68">
        <v>28.24</v>
      </c>
      <c r="I18" s="68">
        <v>28.24</v>
      </c>
      <c r="J18" s="45">
        <v>0.95</v>
      </c>
      <c r="K18" s="45">
        <v>1.03</v>
      </c>
      <c r="L18" s="45">
        <f t="shared" si="8"/>
        <v>22582393.129999999</v>
      </c>
      <c r="M18" s="45">
        <f t="shared" si="9"/>
        <v>16465175.889999999</v>
      </c>
      <c r="N18" s="45">
        <f t="shared" si="9"/>
        <v>11712435.659999998</v>
      </c>
      <c r="O18" s="45">
        <f t="shared" si="10"/>
        <v>16342924.619999999</v>
      </c>
      <c r="P18" s="45">
        <f t="shared" si="11"/>
        <v>67102929.29999999</v>
      </c>
      <c r="Q18" s="45" t="s">
        <v>14</v>
      </c>
      <c r="R18" s="45"/>
      <c r="S18" s="56">
        <v>207129</v>
      </c>
      <c r="T18" s="45">
        <f t="shared" si="12"/>
        <v>5635980.0899999999</v>
      </c>
      <c r="U18" s="45"/>
    </row>
    <row r="19" spans="1:199" ht="60">
      <c r="A19" s="97"/>
      <c r="B19" s="58" t="s">
        <v>24</v>
      </c>
      <c r="C19" s="61">
        <v>8749</v>
      </c>
      <c r="D19" s="62">
        <f>13996-C19</f>
        <v>5247</v>
      </c>
      <c r="E19" s="62">
        <v>5354</v>
      </c>
      <c r="F19" s="62">
        <f>11857-E19</f>
        <v>6503</v>
      </c>
      <c r="G19" s="55">
        <f t="shared" si="13"/>
        <v>25853</v>
      </c>
      <c r="H19" s="68">
        <v>28.24</v>
      </c>
      <c r="I19" s="68">
        <v>28.24</v>
      </c>
      <c r="J19" s="45">
        <v>4.2</v>
      </c>
      <c r="K19" s="45">
        <v>4.37</v>
      </c>
      <c r="L19" s="45">
        <f t="shared" si="8"/>
        <v>210325.96</v>
      </c>
      <c r="M19" s="45">
        <f t="shared" si="9"/>
        <v>126137.87999999999</v>
      </c>
      <c r="N19" s="45">
        <f t="shared" si="9"/>
        <v>127799.97999999998</v>
      </c>
      <c r="O19" s="45">
        <f t="shared" si="10"/>
        <v>155226.60999999999</v>
      </c>
      <c r="P19" s="45">
        <f t="shared" si="11"/>
        <v>619490.42999999993</v>
      </c>
      <c r="Q19" s="45" t="s">
        <v>14</v>
      </c>
      <c r="R19" s="45"/>
      <c r="S19" s="56">
        <v>2856</v>
      </c>
      <c r="T19" s="45">
        <f t="shared" si="12"/>
        <v>68172.719999999987</v>
      </c>
      <c r="U19" s="45"/>
    </row>
    <row r="20" spans="1:199" ht="45">
      <c r="A20" s="97"/>
      <c r="B20" s="58" t="s">
        <v>25</v>
      </c>
      <c r="C20" s="61">
        <v>131684</v>
      </c>
      <c r="D20" s="62">
        <f>240117-C20</f>
        <v>108433</v>
      </c>
      <c r="E20" s="62">
        <v>120589</v>
      </c>
      <c r="F20" s="62">
        <f>203645-E20</f>
        <v>83056</v>
      </c>
      <c r="G20" s="55">
        <f t="shared" si="13"/>
        <v>443762</v>
      </c>
      <c r="H20" s="68">
        <v>28.24</v>
      </c>
      <c r="I20" s="68">
        <v>28.24</v>
      </c>
      <c r="J20" s="45">
        <v>3.15</v>
      </c>
      <c r="K20" s="45">
        <v>3.28</v>
      </c>
      <c r="L20" s="45">
        <f t="shared" si="8"/>
        <v>3303951.56</v>
      </c>
      <c r="M20" s="45">
        <f t="shared" si="9"/>
        <v>2720583.97</v>
      </c>
      <c r="N20" s="45">
        <f t="shared" si="9"/>
        <v>3009901.4399999995</v>
      </c>
      <c r="O20" s="45">
        <f t="shared" si="10"/>
        <v>2073077.7599999998</v>
      </c>
      <c r="P20" s="45">
        <f t="shared" si="11"/>
        <v>11107514.729999999</v>
      </c>
      <c r="Q20" s="45"/>
      <c r="R20" s="45"/>
      <c r="S20" s="56">
        <v>25556</v>
      </c>
      <c r="T20" s="45">
        <f t="shared" si="12"/>
        <v>637877.75999999989</v>
      </c>
      <c r="U20" s="45"/>
    </row>
    <row r="21" spans="1:199" ht="60">
      <c r="A21" s="97"/>
      <c r="B21" s="58" t="s">
        <v>26</v>
      </c>
      <c r="C21" s="61">
        <v>216773</v>
      </c>
      <c r="D21" s="62">
        <f>377550-C21</f>
        <v>160777</v>
      </c>
      <c r="E21" s="62">
        <v>151820</v>
      </c>
      <c r="F21" s="62">
        <f>303712-E21</f>
        <v>151892</v>
      </c>
      <c r="G21" s="55">
        <f t="shared" si="13"/>
        <v>681262</v>
      </c>
      <c r="H21" s="68">
        <v>28.24</v>
      </c>
      <c r="I21" s="68">
        <v>28.24</v>
      </c>
      <c r="J21" s="45">
        <v>3.63</v>
      </c>
      <c r="K21" s="45">
        <v>3.78</v>
      </c>
      <c r="L21" s="45">
        <f t="shared" si="8"/>
        <v>5334783.53</v>
      </c>
      <c r="M21" s="45">
        <f t="shared" si="9"/>
        <v>3956721.9699999997</v>
      </c>
      <c r="N21" s="45">
        <f t="shared" si="9"/>
        <v>3713517.1999999997</v>
      </c>
      <c r="O21" s="45">
        <f t="shared" si="10"/>
        <v>3715278.3199999994</v>
      </c>
      <c r="P21" s="45">
        <f t="shared" si="11"/>
        <v>16720301.02</v>
      </c>
      <c r="Q21" s="45"/>
      <c r="R21" s="45"/>
      <c r="S21" s="56">
        <v>49931</v>
      </c>
      <c r="T21" s="45">
        <f t="shared" si="12"/>
        <v>1221312.2599999998</v>
      </c>
      <c r="U21" s="45"/>
    </row>
    <row r="22" spans="1:199" ht="60">
      <c r="A22" s="97"/>
      <c r="B22" s="58" t="s">
        <v>27</v>
      </c>
      <c r="C22" s="61">
        <v>92216</v>
      </c>
      <c r="D22" s="62">
        <f>160714-C22</f>
        <v>68498</v>
      </c>
      <c r="E22" s="62">
        <v>50287</v>
      </c>
      <c r="F22" s="62">
        <f>111809-E22</f>
        <v>61522</v>
      </c>
      <c r="G22" s="55">
        <f t="shared" si="13"/>
        <v>272523</v>
      </c>
      <c r="H22" s="68">
        <v>28.24</v>
      </c>
      <c r="I22" s="68">
        <v>28.24</v>
      </c>
      <c r="J22" s="45">
        <v>1.02</v>
      </c>
      <c r="K22" s="45">
        <v>1.1000000000000001</v>
      </c>
      <c r="L22" s="45">
        <f t="shared" si="8"/>
        <v>2510119.52</v>
      </c>
      <c r="M22" s="45">
        <f t="shared" si="9"/>
        <v>1864515.5599999998</v>
      </c>
      <c r="N22" s="45">
        <f t="shared" si="9"/>
        <v>1364789.18</v>
      </c>
      <c r="O22" s="45">
        <f t="shared" si="10"/>
        <v>1669707.0799999998</v>
      </c>
      <c r="P22" s="45">
        <f t="shared" si="11"/>
        <v>7409131.3399999999</v>
      </c>
      <c r="Q22" s="45"/>
      <c r="R22" s="45"/>
      <c r="S22" s="56">
        <v>20174</v>
      </c>
      <c r="T22" s="45">
        <f t="shared" si="12"/>
        <v>547522.36</v>
      </c>
      <c r="U22" s="45"/>
    </row>
    <row r="23" spans="1:199" ht="45">
      <c r="A23" s="97"/>
      <c r="B23" s="58" t="s">
        <v>28</v>
      </c>
      <c r="C23" s="61">
        <v>3198813</v>
      </c>
      <c r="D23" s="62">
        <f>5386790-C23</f>
        <v>2187977</v>
      </c>
      <c r="E23" s="62">
        <f>7697000-5709363</f>
        <v>1987637</v>
      </c>
      <c r="F23" s="62">
        <f>10321166-7697000</f>
        <v>2624166</v>
      </c>
      <c r="G23" s="55">
        <f>SUM(C23:F23)</f>
        <v>9998593</v>
      </c>
      <c r="H23" s="68">
        <v>28.24</v>
      </c>
      <c r="I23" s="68">
        <v>28.24</v>
      </c>
      <c r="J23" s="45">
        <v>7.95</v>
      </c>
      <c r="K23" s="63">
        <v>7.95</v>
      </c>
      <c r="L23" s="45">
        <f t="shared" si="8"/>
        <v>64903915.769999996</v>
      </c>
      <c r="M23" s="45">
        <f t="shared" si="9"/>
        <v>44394053.329999998</v>
      </c>
      <c r="N23" s="45">
        <f t="shared" si="9"/>
        <v>40329154.729999997</v>
      </c>
      <c r="O23" s="45">
        <f t="shared" si="10"/>
        <v>53244328.140000001</v>
      </c>
      <c r="P23" s="45">
        <f t="shared" si="11"/>
        <v>202871451.96999997</v>
      </c>
      <c r="Q23" s="45" t="s">
        <v>14</v>
      </c>
      <c r="R23" s="45"/>
      <c r="S23" s="56">
        <v>905577</v>
      </c>
      <c r="T23" s="45">
        <f>(I23-K23)*S23</f>
        <v>18374157.329999998</v>
      </c>
      <c r="U23" s="45"/>
    </row>
    <row r="24" spans="1:199" s="26" customFormat="1" ht="15.75">
      <c r="A24" s="25"/>
      <c r="B24" s="38" t="s">
        <v>6</v>
      </c>
      <c r="C24" s="39">
        <f>SUM(C16:C23)</f>
        <v>9113254</v>
      </c>
      <c r="D24" s="39">
        <f t="shared" ref="D24:F24" si="14">SUM(D16:D23)</f>
        <v>7131904</v>
      </c>
      <c r="E24" s="39">
        <f t="shared" si="14"/>
        <v>7000055</v>
      </c>
      <c r="F24" s="39">
        <f t="shared" si="14"/>
        <v>7700252</v>
      </c>
      <c r="G24" s="39">
        <f>SUM(G16:G23)</f>
        <v>30945465</v>
      </c>
      <c r="H24" s="52"/>
      <c r="I24" s="40"/>
      <c r="J24" s="40"/>
      <c r="K24" s="40"/>
      <c r="L24" s="40">
        <f>SUM(L16:L23)</f>
        <v>215418407.03000003</v>
      </c>
      <c r="M24" s="40">
        <f t="shared" ref="M24:P24" si="15">SUM(M16:M23)</f>
        <v>170100295.29999998</v>
      </c>
      <c r="N24" s="40">
        <f t="shared" si="15"/>
        <v>166848007.55000001</v>
      </c>
      <c r="O24" s="40">
        <f t="shared" si="15"/>
        <v>181647317.32999998</v>
      </c>
      <c r="P24" s="40">
        <f t="shared" si="15"/>
        <v>734014027.20999992</v>
      </c>
      <c r="Q24" s="40">
        <f>'2019'!T21</f>
        <v>61845426.86999999</v>
      </c>
      <c r="R24" s="40">
        <f>P24+Q24</f>
        <v>795859454.07999992</v>
      </c>
      <c r="S24" s="41">
        <f>SUM(S16:S23)</f>
        <v>2615544</v>
      </c>
      <c r="T24" s="41">
        <f>SUM(T16:T23)</f>
        <v>61638408.539999992</v>
      </c>
      <c r="U24" s="34">
        <f>R24-T24</f>
        <v>734221045.53999996</v>
      </c>
    </row>
    <row r="25" spans="1:199" ht="30" outlineLevel="1">
      <c r="A25" s="95" t="s">
        <v>16</v>
      </c>
      <c r="B25" s="66" t="s">
        <v>21</v>
      </c>
      <c r="C25" s="55">
        <f>42434+17314</f>
        <v>59748</v>
      </c>
      <c r="D25" s="55">
        <f>109203-C25</f>
        <v>49455</v>
      </c>
      <c r="E25" s="55">
        <v>44982</v>
      </c>
      <c r="F25" s="55">
        <f>95192-E25</f>
        <v>50210</v>
      </c>
      <c r="G25" s="55">
        <f>SUM(C25:F25)</f>
        <v>204395</v>
      </c>
      <c r="H25" s="45">
        <v>69.23</v>
      </c>
      <c r="I25" s="45">
        <v>69.23</v>
      </c>
      <c r="J25" s="45">
        <v>2.94</v>
      </c>
      <c r="K25" s="45">
        <v>3.06</v>
      </c>
      <c r="L25" s="45">
        <f>(H25-J25)*C25</f>
        <v>3960694.9200000004</v>
      </c>
      <c r="M25" s="45">
        <f>(H25-J25)*D25</f>
        <v>3278371.95</v>
      </c>
      <c r="N25" s="45">
        <f>(I25-K25)*E25</f>
        <v>2976458.94</v>
      </c>
      <c r="O25" s="45">
        <f>(I25-K25)*F25</f>
        <v>3322395.7</v>
      </c>
      <c r="P25" s="45">
        <f>SUM(L25:O25)</f>
        <v>13537921.510000002</v>
      </c>
      <c r="Q25" s="45"/>
      <c r="R25" s="45"/>
      <c r="S25" s="56">
        <v>15571</v>
      </c>
      <c r="T25" s="45">
        <f>(I25-K25)*S25</f>
        <v>1030333.0700000001</v>
      </c>
      <c r="U25" s="45"/>
    </row>
    <row r="26" spans="1:199" ht="30" outlineLevel="1">
      <c r="A26" s="95"/>
      <c r="B26" s="66" t="s">
        <v>22</v>
      </c>
      <c r="C26" s="55">
        <f>25115-17314</f>
        <v>7801</v>
      </c>
      <c r="D26" s="55">
        <f>11382-C26</f>
        <v>3581</v>
      </c>
      <c r="E26" s="55">
        <v>3994</v>
      </c>
      <c r="F26" s="55">
        <v>4899</v>
      </c>
      <c r="G26" s="55">
        <f>SUM(C26:F26)</f>
        <v>20275</v>
      </c>
      <c r="H26" s="45">
        <v>69.23</v>
      </c>
      <c r="I26" s="45">
        <v>69.23</v>
      </c>
      <c r="J26" s="45">
        <v>3.38</v>
      </c>
      <c r="K26" s="45">
        <v>3.52</v>
      </c>
      <c r="L26" s="45">
        <f t="shared" ref="L26:L28" si="16">(H26-J26)*C26</f>
        <v>513695.85000000009</v>
      </c>
      <c r="M26" s="45">
        <f t="shared" ref="M26:N28" si="17">(H26-J26)*D26</f>
        <v>235808.85000000003</v>
      </c>
      <c r="N26" s="45">
        <f t="shared" si="17"/>
        <v>262445.74000000005</v>
      </c>
      <c r="O26" s="45">
        <f t="shared" ref="O26:O28" si="18">(I26-K26)*F26</f>
        <v>321913.29000000004</v>
      </c>
      <c r="P26" s="45">
        <f t="shared" ref="P26:P28" si="19">SUM(L26:O26)</f>
        <v>1333863.7300000002</v>
      </c>
      <c r="Q26" s="45" t="s">
        <v>14</v>
      </c>
      <c r="R26" s="45"/>
      <c r="S26" s="56">
        <v>1467</v>
      </c>
      <c r="T26" s="45">
        <f>(I26-K26)*S26</f>
        <v>96396.57</v>
      </c>
      <c r="U26" s="45"/>
    </row>
    <row r="27" spans="1:199" ht="30" outlineLevel="1">
      <c r="A27" s="95"/>
      <c r="B27" s="58" t="s">
        <v>23</v>
      </c>
      <c r="C27" s="55">
        <v>3445</v>
      </c>
      <c r="D27" s="55">
        <f>4823-C27</f>
        <v>1378</v>
      </c>
      <c r="E27" s="55">
        <v>1547</v>
      </c>
      <c r="F27" s="55">
        <v>1897</v>
      </c>
      <c r="G27" s="55">
        <f>SUM(C27:F27)</f>
        <v>8267</v>
      </c>
      <c r="H27" s="45">
        <v>69.23</v>
      </c>
      <c r="I27" s="45">
        <v>69.23</v>
      </c>
      <c r="J27" s="45">
        <v>0.95</v>
      </c>
      <c r="K27" s="45">
        <v>1.03</v>
      </c>
      <c r="L27" s="45">
        <f t="shared" si="16"/>
        <v>235224.6</v>
      </c>
      <c r="M27" s="45">
        <f t="shared" si="17"/>
        <v>94089.84</v>
      </c>
      <c r="N27" s="45">
        <f t="shared" si="17"/>
        <v>105505.40000000001</v>
      </c>
      <c r="O27" s="45">
        <f t="shared" si="18"/>
        <v>129375.40000000001</v>
      </c>
      <c r="P27" s="45">
        <f t="shared" si="19"/>
        <v>564195.24</v>
      </c>
      <c r="Q27" s="45"/>
      <c r="R27" s="45"/>
      <c r="S27" s="56">
        <v>577</v>
      </c>
      <c r="T27" s="45">
        <f>(I27-K27)*S27</f>
        <v>39351.4</v>
      </c>
      <c r="U27" s="45"/>
    </row>
    <row r="28" spans="1:199" outlineLevel="1">
      <c r="A28" s="95"/>
      <c r="B28" s="66" t="s">
        <v>8</v>
      </c>
      <c r="C28" s="55">
        <v>58326</v>
      </c>
      <c r="D28" s="55">
        <f>89413-C28</f>
        <v>31087</v>
      </c>
      <c r="E28" s="55">
        <f>116315-90045</f>
        <v>26270</v>
      </c>
      <c r="F28" s="55">
        <f>159460-116315</f>
        <v>43145</v>
      </c>
      <c r="G28" s="55">
        <f>SUM(C28:F28)</f>
        <v>158828</v>
      </c>
      <c r="H28" s="45">
        <v>69.23</v>
      </c>
      <c r="I28" s="45">
        <v>69.23</v>
      </c>
      <c r="J28" s="45">
        <v>7.95</v>
      </c>
      <c r="K28" s="45">
        <v>7.95</v>
      </c>
      <c r="L28" s="45">
        <f t="shared" si="16"/>
        <v>3574217.2800000003</v>
      </c>
      <c r="M28" s="45">
        <f t="shared" si="17"/>
        <v>1905011.36</v>
      </c>
      <c r="N28" s="45">
        <f t="shared" si="17"/>
        <v>1609825.6</v>
      </c>
      <c r="O28" s="45">
        <f t="shared" si="18"/>
        <v>2643925.6</v>
      </c>
      <c r="P28" s="45">
        <f t="shared" si="19"/>
        <v>9732979.8399999999</v>
      </c>
      <c r="Q28" s="45" t="s">
        <v>14</v>
      </c>
      <c r="R28" s="45"/>
      <c r="S28" s="56">
        <v>12774</v>
      </c>
      <c r="T28" s="45">
        <f>(I28-K28)*S28</f>
        <v>782790.72</v>
      </c>
      <c r="U28" s="45"/>
    </row>
    <row r="29" spans="1:199" s="26" customFormat="1" ht="15.75" outlineLevel="1">
      <c r="A29" s="95"/>
      <c r="B29" s="42" t="s">
        <v>6</v>
      </c>
      <c r="C29" s="36">
        <f>SUM(C25:C28)</f>
        <v>129320</v>
      </c>
      <c r="D29" s="36">
        <f t="shared" ref="D29:G29" si="20">SUM(D25:D28)</f>
        <v>85501</v>
      </c>
      <c r="E29" s="36">
        <f>SUM(E25:E28)</f>
        <v>76793</v>
      </c>
      <c r="F29" s="36">
        <f t="shared" si="20"/>
        <v>100151</v>
      </c>
      <c r="G29" s="36">
        <f t="shared" si="20"/>
        <v>391765</v>
      </c>
      <c r="H29" s="45"/>
      <c r="I29" s="45"/>
      <c r="J29" s="45"/>
      <c r="K29" s="34"/>
      <c r="L29" s="34">
        <f>SUM(L25:L28)</f>
        <v>8283832.6500000004</v>
      </c>
      <c r="M29" s="34">
        <f t="shared" ref="M29:P29" si="21">SUM(M25:M28)</f>
        <v>5513282</v>
      </c>
      <c r="N29" s="34">
        <f t="shared" si="21"/>
        <v>4954235.68</v>
      </c>
      <c r="O29" s="34">
        <f t="shared" si="21"/>
        <v>6417609.9900000002</v>
      </c>
      <c r="P29" s="34">
        <f t="shared" si="21"/>
        <v>25168960.32</v>
      </c>
      <c r="Q29" s="34">
        <f>'2019'!T26</f>
        <v>1871980.42</v>
      </c>
      <c r="R29" s="34">
        <f>P29+Q29</f>
        <v>27040940.740000002</v>
      </c>
      <c r="S29" s="43">
        <f>SUM(S25:S28)</f>
        <v>30389</v>
      </c>
      <c r="T29" s="43">
        <f>SUM(T25:T28)</f>
        <v>1948871.76</v>
      </c>
      <c r="U29" s="34">
        <f>R29-T29</f>
        <v>25092068.98</v>
      </c>
    </row>
    <row r="30" spans="1:199" s="2" customFormat="1" ht="45">
      <c r="A30" s="80" t="s">
        <v>59</v>
      </c>
      <c r="B30" s="66" t="s">
        <v>60</v>
      </c>
      <c r="C30" s="55">
        <v>5802582</v>
      </c>
      <c r="D30" s="55">
        <v>5802582</v>
      </c>
      <c r="E30" s="55">
        <v>6259765.5</v>
      </c>
      <c r="F30" s="55">
        <v>6259765.5</v>
      </c>
      <c r="G30" s="55">
        <f t="shared" ref="G30:G35" si="22">SUM(C30:F30)</f>
        <v>24124695</v>
      </c>
      <c r="H30" s="45">
        <v>4.2</v>
      </c>
      <c r="I30" s="45">
        <v>4.37</v>
      </c>
      <c r="J30" s="45">
        <v>3.51</v>
      </c>
      <c r="K30" s="45">
        <v>4</v>
      </c>
      <c r="L30" s="45">
        <f t="shared" ref="L30:L35" si="23">(H30-J30)*C30</f>
        <v>4003781.5800000024</v>
      </c>
      <c r="M30" s="45">
        <f t="shared" ref="M30:N35" si="24">(H30-J30)*D30</f>
        <v>4003781.5800000024</v>
      </c>
      <c r="N30" s="45">
        <f t="shared" si="24"/>
        <v>2316113.2350000008</v>
      </c>
      <c r="O30" s="45">
        <f t="shared" ref="O30:O35" si="25">(I30-K30)*F30</f>
        <v>2316113.2350000008</v>
      </c>
      <c r="P30" s="45">
        <f t="shared" ref="P30:P35" si="26">SUM(L30:O30)</f>
        <v>12639789.630000006</v>
      </c>
      <c r="Q30" s="45" t="s">
        <v>14</v>
      </c>
      <c r="R30" s="45"/>
      <c r="S30" s="56">
        <f>F30/3</f>
        <v>2086588.5</v>
      </c>
      <c r="T30" s="45">
        <f t="shared" ref="T30:T35" si="27">(I30-K30)*S30</f>
        <v>772037.74500000023</v>
      </c>
      <c r="U30" s="45"/>
      <c r="V30" s="19"/>
      <c r="W30" s="20">
        <f t="shared" ref="W30:W35" si="28">SUM(C30:D30)</f>
        <v>11605164</v>
      </c>
      <c r="X30" s="20">
        <f t="shared" ref="X30:X35" si="29">SUM(E30:F30)</f>
        <v>12519531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</row>
    <row r="31" spans="1:199" s="2" customFormat="1" ht="45">
      <c r="A31" s="81"/>
      <c r="B31" s="66" t="s">
        <v>61</v>
      </c>
      <c r="C31" s="55">
        <v>65242.596957364993</v>
      </c>
      <c r="D31" s="55">
        <v>65242.596957364993</v>
      </c>
      <c r="E31" s="55">
        <v>70383.039406270997</v>
      </c>
      <c r="F31" s="55">
        <v>70383.039406270997</v>
      </c>
      <c r="G31" s="55">
        <f t="shared" si="22"/>
        <v>271251.27272727201</v>
      </c>
      <c r="H31" s="45">
        <v>4.83</v>
      </c>
      <c r="I31" s="45">
        <v>5.0199999999999996</v>
      </c>
      <c r="J31" s="45">
        <v>3.57</v>
      </c>
      <c r="K31" s="45">
        <v>3.86</v>
      </c>
      <c r="L31" s="45">
        <f t="shared" si="23"/>
        <v>82205.67216627991</v>
      </c>
      <c r="M31" s="45">
        <f t="shared" si="24"/>
        <v>82205.67216627991</v>
      </c>
      <c r="N31" s="45">
        <f t="shared" si="24"/>
        <v>81644.32571127433</v>
      </c>
      <c r="O31" s="45">
        <f t="shared" si="25"/>
        <v>81644.32571127433</v>
      </c>
      <c r="P31" s="45">
        <f t="shared" si="26"/>
        <v>327699.99575510848</v>
      </c>
      <c r="Q31" s="45" t="s">
        <v>14</v>
      </c>
      <c r="R31" s="45"/>
      <c r="S31" s="56">
        <f t="shared" ref="S31:S35" si="30">F31/3</f>
        <v>23461.013135423666</v>
      </c>
      <c r="T31" s="45">
        <f t="shared" si="27"/>
        <v>27214.775237091446</v>
      </c>
      <c r="U31" s="45"/>
      <c r="V31" s="19"/>
      <c r="W31" s="20">
        <f t="shared" si="28"/>
        <v>130485.19391472999</v>
      </c>
      <c r="X31" s="20">
        <f t="shared" si="29"/>
        <v>140766.07881254199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</row>
    <row r="32" spans="1:199" s="2" customFormat="1" ht="45">
      <c r="A32" s="81"/>
      <c r="B32" s="66" t="s">
        <v>62</v>
      </c>
      <c r="C32" s="55">
        <v>5231.0159098723498</v>
      </c>
      <c r="D32" s="55">
        <v>5231.0159098723498</v>
      </c>
      <c r="E32" s="55">
        <v>5643.1659083094501</v>
      </c>
      <c r="F32" s="55">
        <v>5643.1659083094501</v>
      </c>
      <c r="G32" s="55">
        <f t="shared" si="22"/>
        <v>21748.3636363636</v>
      </c>
      <c r="H32" s="45">
        <v>1.36</v>
      </c>
      <c r="I32" s="45">
        <v>1.47</v>
      </c>
      <c r="J32" s="45">
        <v>1.3</v>
      </c>
      <c r="K32" s="45">
        <v>1.4</v>
      </c>
      <c r="L32" s="45">
        <f t="shared" si="23"/>
        <v>313.86095459234127</v>
      </c>
      <c r="M32" s="45">
        <f t="shared" si="24"/>
        <v>313.86095459234127</v>
      </c>
      <c r="N32" s="45">
        <f t="shared" si="24"/>
        <v>395.02161358166188</v>
      </c>
      <c r="O32" s="45">
        <f t="shared" si="25"/>
        <v>395.02161358166188</v>
      </c>
      <c r="P32" s="45">
        <f t="shared" si="26"/>
        <v>1417.7651363480063</v>
      </c>
      <c r="Q32" s="45" t="s">
        <v>14</v>
      </c>
      <c r="R32" s="45"/>
      <c r="S32" s="56">
        <f t="shared" si="30"/>
        <v>1881.0553027698168</v>
      </c>
      <c r="T32" s="45">
        <f t="shared" si="27"/>
        <v>131.67387119388729</v>
      </c>
      <c r="U32" s="45"/>
      <c r="V32" s="19"/>
      <c r="W32" s="20">
        <f t="shared" si="28"/>
        <v>10462.0318197447</v>
      </c>
      <c r="X32" s="20">
        <f t="shared" si="29"/>
        <v>11286.3318166189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</row>
    <row r="33" spans="1:199" s="2" customFormat="1" ht="45">
      <c r="A33" s="81"/>
      <c r="B33" s="66" t="s">
        <v>63</v>
      </c>
      <c r="C33" s="55">
        <v>1180778</v>
      </c>
      <c r="D33" s="55">
        <v>1180778</v>
      </c>
      <c r="E33" s="55">
        <v>1202153.5</v>
      </c>
      <c r="F33" s="55">
        <v>1202153.5</v>
      </c>
      <c r="G33" s="55">
        <f t="shared" si="22"/>
        <v>4765863</v>
      </c>
      <c r="H33" s="45">
        <v>3.15</v>
      </c>
      <c r="I33" s="45">
        <v>3.28</v>
      </c>
      <c r="J33" s="45">
        <v>2.64</v>
      </c>
      <c r="K33" s="45">
        <v>3.01</v>
      </c>
      <c r="L33" s="45">
        <f t="shared" si="23"/>
        <v>602196.7799999998</v>
      </c>
      <c r="M33" s="45">
        <f t="shared" si="24"/>
        <v>602196.7799999998</v>
      </c>
      <c r="N33" s="45">
        <f t="shared" si="24"/>
        <v>324581.44500000001</v>
      </c>
      <c r="O33" s="45">
        <f t="shared" si="25"/>
        <v>324581.44500000001</v>
      </c>
      <c r="P33" s="45">
        <f t="shared" si="26"/>
        <v>1853556.4499999997</v>
      </c>
      <c r="Q33" s="45" t="s">
        <v>14</v>
      </c>
      <c r="R33" s="45"/>
      <c r="S33" s="56">
        <f t="shared" si="30"/>
        <v>400717.83333333331</v>
      </c>
      <c r="T33" s="45">
        <f t="shared" si="27"/>
        <v>108193.815</v>
      </c>
      <c r="U33" s="45"/>
      <c r="V33" s="19"/>
      <c r="W33" s="20">
        <f t="shared" si="28"/>
        <v>2361556</v>
      </c>
      <c r="X33" s="20">
        <f t="shared" si="29"/>
        <v>2404307</v>
      </c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</row>
    <row r="34" spans="1:199" s="2" customFormat="1" ht="45">
      <c r="A34" s="81"/>
      <c r="B34" s="66" t="s">
        <v>64</v>
      </c>
      <c r="C34" s="55">
        <v>25901.012888765548</v>
      </c>
      <c r="D34" s="55">
        <v>25901.012888765548</v>
      </c>
      <c r="E34" s="55">
        <v>26369.896202143551</v>
      </c>
      <c r="F34" s="55">
        <v>26369.896202143551</v>
      </c>
      <c r="G34" s="55">
        <f t="shared" si="22"/>
        <v>104541.81818181821</v>
      </c>
      <c r="H34" s="45">
        <v>3.63</v>
      </c>
      <c r="I34" s="45">
        <v>3.78</v>
      </c>
      <c r="J34" s="45">
        <v>2.68</v>
      </c>
      <c r="K34" s="45">
        <v>2.89</v>
      </c>
      <c r="L34" s="45">
        <f t="shared" si="23"/>
        <v>24605.962244327264</v>
      </c>
      <c r="M34" s="45">
        <f t="shared" si="24"/>
        <v>24605.962244327264</v>
      </c>
      <c r="N34" s="45">
        <f t="shared" si="24"/>
        <v>23469.207619907753</v>
      </c>
      <c r="O34" s="45">
        <f t="shared" si="25"/>
        <v>23469.207619907753</v>
      </c>
      <c r="P34" s="45">
        <f t="shared" si="26"/>
        <v>96150.339728470033</v>
      </c>
      <c r="Q34" s="45" t="s">
        <v>14</v>
      </c>
      <c r="R34" s="45"/>
      <c r="S34" s="56">
        <f t="shared" si="30"/>
        <v>8789.9654007145164</v>
      </c>
      <c r="T34" s="45">
        <f t="shared" si="27"/>
        <v>7823.069206635917</v>
      </c>
      <c r="U34" s="45"/>
      <c r="V34" s="19"/>
      <c r="W34" s="20">
        <f t="shared" si="28"/>
        <v>51802.025777531097</v>
      </c>
      <c r="X34" s="20">
        <f t="shared" si="29"/>
        <v>52739.792404287102</v>
      </c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</row>
    <row r="35" spans="1:199" s="2" customFormat="1" ht="45">
      <c r="A35" s="81"/>
      <c r="B35" s="66" t="s">
        <v>65</v>
      </c>
      <c r="C35" s="55">
        <v>1122.74660899439</v>
      </c>
      <c r="D35" s="55">
        <v>1122.74660899439</v>
      </c>
      <c r="E35" s="55">
        <v>1143.0715728237951</v>
      </c>
      <c r="F35" s="55">
        <v>1143.0715728237951</v>
      </c>
      <c r="G35" s="55">
        <f t="shared" si="22"/>
        <v>4531.6363636363703</v>
      </c>
      <c r="H35" s="45">
        <v>1.02</v>
      </c>
      <c r="I35" s="45">
        <v>1.1000000000000001</v>
      </c>
      <c r="J35" s="45">
        <v>0.98</v>
      </c>
      <c r="K35" s="45">
        <v>1.06</v>
      </c>
      <c r="L35" s="45">
        <f t="shared" si="23"/>
        <v>44.909864359775639</v>
      </c>
      <c r="M35" s="45">
        <f t="shared" si="24"/>
        <v>44.909864359775639</v>
      </c>
      <c r="N35" s="45">
        <f t="shared" si="24"/>
        <v>45.722862912951847</v>
      </c>
      <c r="O35" s="45">
        <f t="shared" si="25"/>
        <v>45.722862912951847</v>
      </c>
      <c r="P35" s="45">
        <f t="shared" si="26"/>
        <v>181.26545454545499</v>
      </c>
      <c r="Q35" s="45" t="s">
        <v>14</v>
      </c>
      <c r="R35" s="45"/>
      <c r="S35" s="56">
        <f t="shared" si="30"/>
        <v>381.02385760793169</v>
      </c>
      <c r="T35" s="45">
        <f t="shared" si="27"/>
        <v>15.240954304317281</v>
      </c>
      <c r="U35" s="45"/>
      <c r="V35" s="19"/>
      <c r="W35" s="20">
        <f t="shared" si="28"/>
        <v>2245.4932179887801</v>
      </c>
      <c r="X35" s="20">
        <f t="shared" si="29"/>
        <v>2286.1431456475902</v>
      </c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</row>
    <row r="36" spans="1:199" s="47" customFormat="1">
      <c r="A36" s="82"/>
      <c r="B36" s="35" t="s">
        <v>6</v>
      </c>
      <c r="C36" s="36">
        <f>SUM(C30:C35)</f>
        <v>7080857.3723649969</v>
      </c>
      <c r="D36" s="36">
        <f>SUM(D30:D35)</f>
        <v>7080857.3723649969</v>
      </c>
      <c r="E36" s="36">
        <f>SUM(E30:E35)</f>
        <v>7565458.1730895471</v>
      </c>
      <c r="F36" s="36">
        <f>SUM(F30:F35)</f>
        <v>7565458.1730895471</v>
      </c>
      <c r="G36" s="36">
        <f>SUM(G30:G35)</f>
        <v>29292631.09090909</v>
      </c>
      <c r="H36" s="34"/>
      <c r="I36" s="34"/>
      <c r="J36" s="34"/>
      <c r="K36" s="34"/>
      <c r="L36" s="34">
        <f>SUM(L30:L35)</f>
        <v>4713148.7652295614</v>
      </c>
      <c r="M36" s="34">
        <f>SUM(M30:M35)</f>
        <v>4713148.7652295614</v>
      </c>
      <c r="N36" s="34">
        <f>SUM(N30:N35)</f>
        <v>2746248.9578076773</v>
      </c>
      <c r="O36" s="34">
        <f>SUM(O30:O35)</f>
        <v>2746248.9578076773</v>
      </c>
      <c r="P36" s="34">
        <f>SUM(P30:P35)</f>
        <v>14918795.446074478</v>
      </c>
      <c r="Q36" s="45">
        <f>'2019'!T33</f>
        <v>1682151.6079537841</v>
      </c>
      <c r="R36" s="34">
        <f>P36+Q36</f>
        <v>16600947.054028261</v>
      </c>
      <c r="S36" s="43">
        <f>SUM(S30:S35)</f>
        <v>2521819.3910298496</v>
      </c>
      <c r="T36" s="43">
        <f>SUM(T30:T35)</f>
        <v>915416.31926922593</v>
      </c>
      <c r="U36" s="34">
        <f>R36-T36</f>
        <v>15685530.734759036</v>
      </c>
      <c r="V36" s="46"/>
      <c r="W36" s="46">
        <f>ROUND(SUMPRODUCT(J30:J35,W30:W35)/SUM(W30:W35),2)</f>
        <v>3.36</v>
      </c>
      <c r="X36" s="46">
        <f>ROUND(SUMPRODUCT(K30:K35,X30:X35)/SUM(X30:X35),2)</f>
        <v>3.84</v>
      </c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</row>
    <row r="37" spans="1:199" s="7" customFormat="1" outlineLevel="1">
      <c r="A37" s="29"/>
      <c r="B37" s="64" t="s">
        <v>7</v>
      </c>
      <c r="C37" s="30">
        <f>C15+C24+C29+C36</f>
        <v>16484503.372364998</v>
      </c>
      <c r="D37" s="30">
        <f t="shared" ref="D37:G37" si="31">D15+D24+D29+D36</f>
        <v>14424752.372364998</v>
      </c>
      <c r="E37" s="30">
        <f t="shared" si="31"/>
        <v>14755869.173089547</v>
      </c>
      <c r="F37" s="30">
        <f t="shared" si="31"/>
        <v>15525787.173089547</v>
      </c>
      <c r="G37" s="30">
        <f t="shared" si="31"/>
        <v>61190912.090909094</v>
      </c>
      <c r="H37" s="49"/>
      <c r="I37" s="49"/>
      <c r="J37" s="50"/>
      <c r="K37" s="50"/>
      <c r="L37" s="31">
        <f>L29+L15+L24+L36</f>
        <v>234680023.80522957</v>
      </c>
      <c r="M37" s="31">
        <f t="shared" ref="M37:P37" si="32">M29+M15+M24+M36</f>
        <v>185310638.73522952</v>
      </c>
      <c r="N37" s="31">
        <f t="shared" si="32"/>
        <v>179064569.32780769</v>
      </c>
      <c r="O37" s="31">
        <f t="shared" si="32"/>
        <v>197057758.66780767</v>
      </c>
      <c r="P37" s="31">
        <f t="shared" si="32"/>
        <v>796112990.5360744</v>
      </c>
      <c r="Q37" s="31">
        <f>Q15+Q24+Q29+Q36</f>
        <v>67732765.247953773</v>
      </c>
      <c r="R37" s="31">
        <f>R29+R15+R24+R36</f>
        <v>863845755.78402817</v>
      </c>
      <c r="S37" s="32">
        <f>S29+S15+S24+S36</f>
        <v>5230053.3910298496</v>
      </c>
      <c r="T37" s="33">
        <f>T29+T15+T24+T36</f>
        <v>66935917.979269214</v>
      </c>
      <c r="U37" s="34">
        <f>R37-T37</f>
        <v>796909837.80475891</v>
      </c>
    </row>
    <row r="38" spans="1:199" s="7" customFormat="1" ht="15.75" customHeight="1" outlineLevel="1">
      <c r="A38" s="10"/>
      <c r="B38" s="11"/>
      <c r="C38" s="12"/>
      <c r="D38" s="12"/>
      <c r="E38" s="12"/>
      <c r="F38" s="12"/>
      <c r="G38" s="12"/>
      <c r="H38" s="13"/>
      <c r="I38" s="13"/>
      <c r="J38" s="14"/>
      <c r="K38" s="14"/>
      <c r="L38" s="15"/>
      <c r="M38" s="15"/>
      <c r="N38" s="15"/>
      <c r="O38" s="15"/>
      <c r="P38" s="15"/>
      <c r="Q38" s="15"/>
      <c r="R38" s="15"/>
      <c r="S38" s="16"/>
      <c r="T38" s="17"/>
      <c r="U38" s="18"/>
    </row>
    <row r="39" spans="1:199" ht="15" customHeight="1"/>
    <row r="44" spans="1:199" ht="15.75">
      <c r="B44" s="8"/>
    </row>
    <row r="45" spans="1:199" ht="15.75">
      <c r="B45" s="8"/>
    </row>
  </sheetData>
  <mergeCells count="15">
    <mergeCell ref="U8:U9"/>
    <mergeCell ref="A10:A15"/>
    <mergeCell ref="A16:A23"/>
    <mergeCell ref="A25:A29"/>
    <mergeCell ref="J8:K8"/>
    <mergeCell ref="L8:P8"/>
    <mergeCell ref="Q8:Q9"/>
    <mergeCell ref="R8:R9"/>
    <mergeCell ref="S8:T8"/>
    <mergeCell ref="A30:A36"/>
    <mergeCell ref="A8:A9"/>
    <mergeCell ref="B8:B9"/>
    <mergeCell ref="C8:G8"/>
    <mergeCell ref="H8:I8"/>
    <mergeCell ref="C3:J3"/>
  </mergeCells>
  <pageMargins left="0.19685039370078741" right="0.19685039370078741" top="0.43307086614173229" bottom="0.35433070866141736" header="0.31496062992125984" footer="0.27559055118110237"/>
  <pageSetup paperSize="9" scale="47" fitToHeight="0" orientation="landscape" r:id="rId1"/>
  <headerFooter>
    <oddFooter>&amp;C&amp;P</oddFooter>
  </headerFooter>
  <colBreaks count="1" manualBreakCount="1">
    <brk id="1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Q40"/>
  <sheetViews>
    <sheetView view="pageBreakPreview" zoomScale="65" zoomScaleNormal="80" zoomScaleSheetLayoutView="65" workbookViewId="0">
      <selection activeCell="A3" sqref="A3"/>
    </sheetView>
  </sheetViews>
  <sheetFormatPr defaultColWidth="9.140625" defaultRowHeight="15" outlineLevelRow="1" outlineLevelCol="1"/>
  <cols>
    <col min="1" max="1" width="38.7109375" style="1" customWidth="1"/>
    <col min="2" max="2" width="57" style="1" customWidth="1"/>
    <col min="3" max="3" width="20.140625" style="1" customWidth="1"/>
    <col min="4" max="4" width="19.7109375" style="1" customWidth="1"/>
    <col min="5" max="5" width="20.5703125" style="1" customWidth="1"/>
    <col min="6" max="6" width="21.140625" style="1" customWidth="1"/>
    <col min="7" max="7" width="19.7109375" style="1" customWidth="1"/>
    <col min="8" max="8" width="24.140625" style="1" customWidth="1"/>
    <col min="9" max="9" width="23.7109375" style="1" customWidth="1"/>
    <col min="10" max="10" width="25.140625" style="1" customWidth="1"/>
    <col min="11" max="11" width="26.7109375" style="1" customWidth="1"/>
    <col min="12" max="16" width="19.5703125" style="1" customWidth="1"/>
    <col min="17" max="21" width="21.7109375" style="1" customWidth="1"/>
    <col min="22" max="22" width="9.140625" style="1"/>
    <col min="23" max="24" width="0" style="1" hidden="1" customWidth="1" outlineLevel="1"/>
    <col min="25" max="25" width="9.140625" style="1" collapsed="1"/>
    <col min="26" max="16384" width="9.140625" style="1"/>
  </cols>
  <sheetData>
    <row r="1" spans="1:21">
      <c r="K1" s="78"/>
    </row>
    <row r="2" spans="1:21">
      <c r="K2" s="78"/>
    </row>
    <row r="3" spans="1:21" ht="80.25" customHeight="1">
      <c r="A3" s="79"/>
      <c r="B3" s="79"/>
      <c r="C3" s="91" t="s">
        <v>70</v>
      </c>
      <c r="D3" s="91"/>
      <c r="E3" s="91"/>
      <c r="F3" s="91"/>
      <c r="G3" s="91"/>
      <c r="H3" s="91"/>
      <c r="I3" s="91"/>
      <c r="J3" s="91"/>
      <c r="K3" s="79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ht="19.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2"/>
    </row>
    <row r="5" spans="1:21" hidden="1" outlineLevel="1">
      <c r="A5" s="3"/>
      <c r="B5" s="4"/>
      <c r="C5" s="3"/>
      <c r="D5" s="3"/>
      <c r="E5" s="3"/>
      <c r="F5" s="3"/>
      <c r="G5" s="3"/>
      <c r="H5" s="21" t="s">
        <v>48</v>
      </c>
      <c r="I5" s="22">
        <v>1.0389999999999999</v>
      </c>
      <c r="J5" s="23" t="s">
        <v>47</v>
      </c>
      <c r="K5" s="24">
        <v>1.04</v>
      </c>
      <c r="L5" s="3"/>
      <c r="M5" s="3"/>
      <c r="N5" s="3"/>
      <c r="O5" s="3"/>
      <c r="P5" s="3"/>
      <c r="Q5" s="3"/>
      <c r="R5" s="3"/>
      <c r="S5" s="2"/>
      <c r="T5" s="2"/>
      <c r="U5" s="2"/>
    </row>
    <row r="6" spans="1:21" hidden="1" outlineLevel="1">
      <c r="A6" s="3"/>
      <c r="B6" s="4"/>
      <c r="C6" s="3"/>
      <c r="D6" s="3"/>
      <c r="E6" s="3"/>
      <c r="F6" s="3"/>
      <c r="G6" s="3"/>
      <c r="H6" s="21"/>
      <c r="I6" s="22"/>
      <c r="J6" s="23"/>
      <c r="K6" s="24">
        <v>1.1399999999999999</v>
      </c>
      <c r="L6" s="3"/>
      <c r="M6" s="3"/>
      <c r="N6" s="3"/>
      <c r="O6" s="3"/>
      <c r="P6" s="3"/>
      <c r="Q6" s="3"/>
      <c r="R6" s="3"/>
      <c r="S6" s="2"/>
      <c r="T6" s="2"/>
      <c r="U6" s="2"/>
    </row>
    <row r="7" spans="1:21" hidden="1" outlineLevel="1">
      <c r="A7" s="3"/>
      <c r="B7" s="4"/>
      <c r="C7" s="3"/>
      <c r="D7" s="3"/>
      <c r="E7" s="3"/>
      <c r="F7" s="3"/>
      <c r="G7" s="3"/>
      <c r="H7" s="21"/>
      <c r="I7" s="22"/>
      <c r="J7" s="23"/>
      <c r="K7" s="24">
        <v>1.08</v>
      </c>
      <c r="L7" s="3"/>
      <c r="M7" s="3"/>
      <c r="N7" s="3"/>
      <c r="O7" s="3"/>
      <c r="P7" s="3"/>
      <c r="Q7" s="3"/>
      <c r="R7" s="3"/>
      <c r="S7" s="2"/>
      <c r="T7" s="2"/>
      <c r="U7" s="2"/>
    </row>
    <row r="8" spans="1:21" ht="81" customHeight="1" collapsed="1">
      <c r="A8" s="83" t="s">
        <v>9</v>
      </c>
      <c r="B8" s="84" t="s">
        <v>10</v>
      </c>
      <c r="C8" s="86" t="s">
        <v>17</v>
      </c>
      <c r="D8" s="87"/>
      <c r="E8" s="87"/>
      <c r="F8" s="87"/>
      <c r="G8" s="88"/>
      <c r="H8" s="89" t="s">
        <v>11</v>
      </c>
      <c r="I8" s="90"/>
      <c r="J8" s="89" t="s">
        <v>31</v>
      </c>
      <c r="K8" s="90"/>
      <c r="L8" s="98" t="s">
        <v>30</v>
      </c>
      <c r="M8" s="99"/>
      <c r="N8" s="99"/>
      <c r="O8" s="99"/>
      <c r="P8" s="100"/>
      <c r="Q8" s="92" t="s">
        <v>35</v>
      </c>
      <c r="R8" s="92" t="s">
        <v>20</v>
      </c>
      <c r="S8" s="93" t="s">
        <v>39</v>
      </c>
      <c r="T8" s="94"/>
      <c r="U8" s="101" t="s">
        <v>44</v>
      </c>
    </row>
    <row r="9" spans="1:21" ht="32.25" customHeight="1">
      <c r="A9" s="83"/>
      <c r="B9" s="85"/>
      <c r="C9" s="74" t="s">
        <v>0</v>
      </c>
      <c r="D9" s="74" t="s">
        <v>1</v>
      </c>
      <c r="E9" s="74" t="s">
        <v>2</v>
      </c>
      <c r="F9" s="74" t="s">
        <v>3</v>
      </c>
      <c r="G9" s="74" t="s">
        <v>29</v>
      </c>
      <c r="H9" s="75" t="s">
        <v>4</v>
      </c>
      <c r="I9" s="75" t="s">
        <v>5</v>
      </c>
      <c r="J9" s="75" t="s">
        <v>19</v>
      </c>
      <c r="K9" s="75" t="s">
        <v>5</v>
      </c>
      <c r="L9" s="74" t="s">
        <v>0</v>
      </c>
      <c r="M9" s="74" t="s">
        <v>1</v>
      </c>
      <c r="N9" s="74" t="s">
        <v>2</v>
      </c>
      <c r="O9" s="74" t="s">
        <v>3</v>
      </c>
      <c r="P9" s="74" t="s">
        <v>29</v>
      </c>
      <c r="Q9" s="92"/>
      <c r="R9" s="92"/>
      <c r="S9" s="76" t="s">
        <v>43</v>
      </c>
      <c r="T9" s="76" t="s">
        <v>12</v>
      </c>
      <c r="U9" s="101"/>
    </row>
    <row r="10" spans="1:21" outlineLevel="1">
      <c r="A10" s="80" t="s">
        <v>13</v>
      </c>
      <c r="B10" s="54" t="s">
        <v>21</v>
      </c>
      <c r="C10" s="69">
        <v>35759</v>
      </c>
      <c r="D10" s="69">
        <f>68603-C10</f>
        <v>32844</v>
      </c>
      <c r="E10" s="69">
        <v>36278</v>
      </c>
      <c r="F10" s="69">
        <f>75159-E10</f>
        <v>38881</v>
      </c>
      <c r="G10" s="69">
        <f>SUM(C10:F10)</f>
        <v>143762</v>
      </c>
      <c r="H10" s="45">
        <v>46.14</v>
      </c>
      <c r="I10" s="45">
        <v>46.14</v>
      </c>
      <c r="J10" s="45">
        <v>3.06</v>
      </c>
      <c r="K10" s="45">
        <v>3.18</v>
      </c>
      <c r="L10" s="45">
        <f>(H10-J10)*C10</f>
        <v>1540497.72</v>
      </c>
      <c r="M10" s="45">
        <f>(H10-J10)*D10</f>
        <v>1414919.52</v>
      </c>
      <c r="N10" s="45">
        <f>E10*(I10-K10)</f>
        <v>1558502.8800000001</v>
      </c>
      <c r="O10" s="45">
        <f>(I10-K10)*F10</f>
        <v>1670327.76</v>
      </c>
      <c r="P10" s="45">
        <f>SUM(L10:O10)</f>
        <v>6184247.8799999999</v>
      </c>
      <c r="Q10" s="45" t="s">
        <v>14</v>
      </c>
      <c r="R10" s="45"/>
      <c r="S10" s="56">
        <v>15084</v>
      </c>
      <c r="T10" s="45">
        <f>(I10-K10)*S10</f>
        <v>648008.64</v>
      </c>
      <c r="U10" s="57"/>
    </row>
    <row r="11" spans="1:21" ht="30" outlineLevel="1">
      <c r="A11" s="81"/>
      <c r="B11" s="54" t="s">
        <v>22</v>
      </c>
      <c r="C11" s="69">
        <v>31395</v>
      </c>
      <c r="D11" s="69">
        <f>62064-C11</f>
        <v>30669</v>
      </c>
      <c r="E11" s="69">
        <v>30466</v>
      </c>
      <c r="F11" s="69">
        <f>65392-E11</f>
        <v>34926</v>
      </c>
      <c r="G11" s="69">
        <f>SUM(C11:F11)</f>
        <v>127456</v>
      </c>
      <c r="H11" s="45">
        <v>46.14</v>
      </c>
      <c r="I11" s="45">
        <v>46.14</v>
      </c>
      <c r="J11" s="45">
        <v>3.52</v>
      </c>
      <c r="K11" s="45">
        <v>3.66</v>
      </c>
      <c r="L11" s="45">
        <f t="shared" ref="L11:L14" si="0">(H11-J11)*C11</f>
        <v>1338054.8999999999</v>
      </c>
      <c r="M11" s="45">
        <f t="shared" ref="M11:M14" si="1">(H11-J11)*D11</f>
        <v>1307112.78</v>
      </c>
      <c r="N11" s="45">
        <f t="shared" ref="N11:N14" si="2">E11*(I11-K11)</f>
        <v>1294195.6800000002</v>
      </c>
      <c r="O11" s="45">
        <f t="shared" ref="O11:O14" si="3">(I11-K11)*F11</f>
        <v>1483656.4800000002</v>
      </c>
      <c r="P11" s="45">
        <f t="shared" ref="P11:P14" si="4">SUM(L11:O11)</f>
        <v>5423019.8399999999</v>
      </c>
      <c r="Q11" s="45" t="s">
        <v>14</v>
      </c>
      <c r="R11" s="45"/>
      <c r="S11" s="56">
        <v>13346</v>
      </c>
      <c r="T11" s="45">
        <f t="shared" ref="T11:T14" si="5">(I11-K11)*S11</f>
        <v>566938.08000000007</v>
      </c>
      <c r="U11" s="57"/>
    </row>
    <row r="12" spans="1:21" ht="30" outlineLevel="1">
      <c r="A12" s="81"/>
      <c r="B12" s="58" t="s">
        <v>23</v>
      </c>
      <c r="C12" s="69">
        <v>9870</v>
      </c>
      <c r="D12" s="69">
        <f>19362-C12</f>
        <v>9492</v>
      </c>
      <c r="E12" s="69">
        <v>9108</v>
      </c>
      <c r="F12" s="69">
        <f>19237-E12</f>
        <v>10129</v>
      </c>
      <c r="G12" s="69">
        <f>SUM(C12:F12)</f>
        <v>38599</v>
      </c>
      <c r="H12" s="45">
        <v>46.14</v>
      </c>
      <c r="I12" s="45">
        <v>46.14</v>
      </c>
      <c r="J12" s="45">
        <v>1.03</v>
      </c>
      <c r="K12" s="45">
        <v>1.1100000000000001</v>
      </c>
      <c r="L12" s="45">
        <f t="shared" si="0"/>
        <v>445235.7</v>
      </c>
      <c r="M12" s="45">
        <f t="shared" si="1"/>
        <v>428184.12</v>
      </c>
      <c r="N12" s="45">
        <f t="shared" si="2"/>
        <v>410133.24</v>
      </c>
      <c r="O12" s="45">
        <f t="shared" si="3"/>
        <v>456108.87</v>
      </c>
      <c r="P12" s="45">
        <f t="shared" si="4"/>
        <v>1739661.9300000002</v>
      </c>
      <c r="Q12" s="45" t="s">
        <v>14</v>
      </c>
      <c r="R12" s="45"/>
      <c r="S12" s="56">
        <v>4105</v>
      </c>
      <c r="T12" s="45">
        <f t="shared" si="5"/>
        <v>184848.15</v>
      </c>
      <c r="U12" s="57"/>
    </row>
    <row r="13" spans="1:21" ht="30" outlineLevel="1">
      <c r="A13" s="81"/>
      <c r="B13" s="59" t="s">
        <v>15</v>
      </c>
      <c r="C13" s="69">
        <v>62</v>
      </c>
      <c r="D13" s="69">
        <f>312-C13</f>
        <v>250</v>
      </c>
      <c r="E13" s="69">
        <v>50</v>
      </c>
      <c r="F13" s="69">
        <f>256-E13</f>
        <v>206</v>
      </c>
      <c r="G13" s="69">
        <f>SUM(C13:F13)</f>
        <v>568</v>
      </c>
      <c r="H13" s="45">
        <v>46.14</v>
      </c>
      <c r="I13" s="45">
        <v>46.14</v>
      </c>
      <c r="J13" s="45">
        <v>4.37</v>
      </c>
      <c r="K13" s="45">
        <v>4.54</v>
      </c>
      <c r="L13" s="45">
        <f t="shared" si="0"/>
        <v>2589.7400000000002</v>
      </c>
      <c r="M13" s="45">
        <f t="shared" si="1"/>
        <v>10442.5</v>
      </c>
      <c r="N13" s="45">
        <f t="shared" si="2"/>
        <v>2080</v>
      </c>
      <c r="O13" s="45">
        <f t="shared" si="3"/>
        <v>8569.6</v>
      </c>
      <c r="P13" s="45">
        <f t="shared" si="4"/>
        <v>23681.84</v>
      </c>
      <c r="Q13" s="45"/>
      <c r="R13" s="45"/>
      <c r="S13" s="56">
        <v>122</v>
      </c>
      <c r="T13" s="45">
        <f t="shared" si="5"/>
        <v>5075.2</v>
      </c>
      <c r="U13" s="57"/>
    </row>
    <row r="14" spans="1:21" outlineLevel="1">
      <c r="A14" s="81"/>
      <c r="B14" s="59" t="s">
        <v>8</v>
      </c>
      <c r="C14" s="69">
        <v>83986</v>
      </c>
      <c r="D14" s="69">
        <f>137221-C14</f>
        <v>53235</v>
      </c>
      <c r="E14" s="69">
        <f>212947-175286</f>
        <v>37661</v>
      </c>
      <c r="F14" s="69">
        <f>288731-212947</f>
        <v>75784</v>
      </c>
      <c r="G14" s="69">
        <f>SUM(C14:F14)</f>
        <v>250666</v>
      </c>
      <c r="H14" s="45">
        <v>46.14</v>
      </c>
      <c r="I14" s="45">
        <v>46.14</v>
      </c>
      <c r="J14" s="45">
        <v>7.95</v>
      </c>
      <c r="K14" s="45">
        <v>7.95</v>
      </c>
      <c r="L14" s="45">
        <f t="shared" si="0"/>
        <v>3207425.34</v>
      </c>
      <c r="M14" s="45">
        <f t="shared" si="1"/>
        <v>2033044.65</v>
      </c>
      <c r="N14" s="45">
        <f t="shared" si="2"/>
        <v>1438273.5899999999</v>
      </c>
      <c r="O14" s="45">
        <f t="shared" si="3"/>
        <v>2894190.96</v>
      </c>
      <c r="P14" s="45">
        <f t="shared" si="4"/>
        <v>9572934.5399999991</v>
      </c>
      <c r="Q14" s="45" t="s">
        <v>14</v>
      </c>
      <c r="R14" s="45"/>
      <c r="S14" s="56">
        <v>29644</v>
      </c>
      <c r="T14" s="45">
        <f t="shared" si="5"/>
        <v>1132104.3599999999</v>
      </c>
      <c r="U14" s="57"/>
    </row>
    <row r="15" spans="1:21" s="26" customFormat="1" ht="15.75" outlineLevel="1">
      <c r="A15" s="82"/>
      <c r="B15" s="35" t="s">
        <v>6</v>
      </c>
      <c r="C15" s="37">
        <f>SUM(C10:C14)</f>
        <v>161072</v>
      </c>
      <c r="D15" s="37">
        <f t="shared" ref="D15:G15" si="6">SUM(D10:D14)</f>
        <v>126490</v>
      </c>
      <c r="E15" s="37">
        <f t="shared" si="6"/>
        <v>113563</v>
      </c>
      <c r="F15" s="37">
        <f t="shared" si="6"/>
        <v>159926</v>
      </c>
      <c r="G15" s="37">
        <f t="shared" si="6"/>
        <v>561051</v>
      </c>
      <c r="H15" s="37"/>
      <c r="I15" s="37"/>
      <c r="J15" s="37"/>
      <c r="K15" s="37"/>
      <c r="L15" s="37">
        <f>SUM(L10:L14)</f>
        <v>6533803.4000000004</v>
      </c>
      <c r="M15" s="37">
        <f t="shared" ref="M15:O15" si="7">SUM(M10:M14)</f>
        <v>5193703.57</v>
      </c>
      <c r="N15" s="37">
        <f t="shared" si="7"/>
        <v>4703185.3900000006</v>
      </c>
      <c r="O15" s="37">
        <f t="shared" si="7"/>
        <v>6512853.6699999999</v>
      </c>
      <c r="P15" s="37">
        <f>SUM(P10:P14)</f>
        <v>22943546.029999997</v>
      </c>
      <c r="Q15" s="37">
        <f>'2020'!T15</f>
        <v>2433221.3599999994</v>
      </c>
      <c r="R15" s="37">
        <f>P15+Q15</f>
        <v>25376767.389999997</v>
      </c>
      <c r="S15" s="37">
        <f>SUM(S10:S14)</f>
        <v>62301</v>
      </c>
      <c r="T15" s="37">
        <f>SUM(T10:T14)</f>
        <v>2536974.4299999997</v>
      </c>
      <c r="U15" s="37">
        <f>R15-T15</f>
        <v>22839792.959999997</v>
      </c>
    </row>
    <row r="16" spans="1:21">
      <c r="A16" s="80" t="s">
        <v>18</v>
      </c>
      <c r="B16" s="54" t="s">
        <v>21</v>
      </c>
      <c r="C16" s="70">
        <v>2918456</v>
      </c>
      <c r="D16" s="71">
        <f>5627547-C16</f>
        <v>2709091</v>
      </c>
      <c r="E16" s="71">
        <v>3116212</v>
      </c>
      <c r="F16" s="71">
        <f>5948380-E16</f>
        <v>2832168</v>
      </c>
      <c r="G16" s="71">
        <f>SUM(C16:F16)</f>
        <v>11575927</v>
      </c>
      <c r="H16" s="68">
        <v>28.24</v>
      </c>
      <c r="I16" s="68">
        <v>28.24</v>
      </c>
      <c r="J16" s="45">
        <v>3.06</v>
      </c>
      <c r="K16" s="45">
        <v>3.18</v>
      </c>
      <c r="L16" s="45">
        <f>C16*(H16-J16)</f>
        <v>73486722.079999998</v>
      </c>
      <c r="M16" s="45">
        <f>D16*(H16-J16)</f>
        <v>68214911.379999995</v>
      </c>
      <c r="N16" s="45">
        <f>E16*(I16-K16)</f>
        <v>78092272.719999999</v>
      </c>
      <c r="O16" s="45">
        <f>F16*(I16-K16)</f>
        <v>70974130.079999998</v>
      </c>
      <c r="P16" s="45">
        <f>SUM(L16:O16)</f>
        <v>290768036.25999999</v>
      </c>
      <c r="Q16" s="45" t="s">
        <v>14</v>
      </c>
      <c r="R16" s="45"/>
      <c r="S16" s="56">
        <v>953415</v>
      </c>
      <c r="T16" s="45">
        <f>(I16-K16)*S16</f>
        <v>23892579.899999999</v>
      </c>
      <c r="U16" s="45"/>
    </row>
    <row r="17" spans="1:199" ht="30">
      <c r="A17" s="81"/>
      <c r="B17" s="54" t="s">
        <v>22</v>
      </c>
      <c r="C17" s="72">
        <f>1719066</f>
        <v>1719066</v>
      </c>
      <c r="D17" s="73">
        <f>3007606-C17</f>
        <v>1288540</v>
      </c>
      <c r="E17" s="73">
        <v>1137710</v>
      </c>
      <c r="F17" s="73">
        <f>2478033-E17</f>
        <v>1340323</v>
      </c>
      <c r="G17" s="71">
        <f>SUM(C17:F17)</f>
        <v>5485639</v>
      </c>
      <c r="H17" s="68">
        <v>28.24</v>
      </c>
      <c r="I17" s="68">
        <v>28.24</v>
      </c>
      <c r="J17" s="45">
        <v>3.52</v>
      </c>
      <c r="K17" s="45">
        <v>3.66</v>
      </c>
      <c r="L17" s="45">
        <f t="shared" ref="L17:L23" si="8">C17*(H17-J17)</f>
        <v>42495311.519999996</v>
      </c>
      <c r="M17" s="45">
        <f t="shared" ref="M17:N23" si="9">D17*(H17-J17)</f>
        <v>31852708.799999997</v>
      </c>
      <c r="N17" s="45">
        <f t="shared" si="9"/>
        <v>27964911.799999997</v>
      </c>
      <c r="O17" s="45">
        <f t="shared" ref="O17:O23" si="10">F17*(I17-K17)</f>
        <v>32945139.339999996</v>
      </c>
      <c r="P17" s="45">
        <f t="shared" ref="P17:P23" si="11">SUM(L17:O17)</f>
        <v>135258071.45999998</v>
      </c>
      <c r="Q17" s="45" t="s">
        <v>14</v>
      </c>
      <c r="R17" s="45"/>
      <c r="S17" s="56">
        <v>450906</v>
      </c>
      <c r="T17" s="45">
        <f t="shared" ref="T17:T22" si="12">(I17-K17)*S17</f>
        <v>11083269.479999999</v>
      </c>
      <c r="U17" s="45"/>
    </row>
    <row r="18" spans="1:199" ht="30">
      <c r="A18" s="81"/>
      <c r="B18" s="65" t="s">
        <v>23</v>
      </c>
      <c r="C18" s="72">
        <f>827497</f>
        <v>827497</v>
      </c>
      <c r="D18" s="73">
        <f>1430838-C18</f>
        <v>603341</v>
      </c>
      <c r="E18" s="73">
        <v>430446</v>
      </c>
      <c r="F18" s="73">
        <f>1031068-E18</f>
        <v>600622</v>
      </c>
      <c r="G18" s="71">
        <f t="shared" ref="G18:G22" si="13">SUM(C18:F18)</f>
        <v>2461906</v>
      </c>
      <c r="H18" s="68">
        <v>28.24</v>
      </c>
      <c r="I18" s="68">
        <v>28.24</v>
      </c>
      <c r="J18" s="45">
        <v>1.03</v>
      </c>
      <c r="K18" s="45">
        <v>1.1100000000000001</v>
      </c>
      <c r="L18" s="45">
        <f t="shared" si="8"/>
        <v>22516193.369999997</v>
      </c>
      <c r="M18" s="45">
        <f t="shared" si="9"/>
        <v>16416908.609999998</v>
      </c>
      <c r="N18" s="45">
        <f t="shared" si="9"/>
        <v>11677999.98</v>
      </c>
      <c r="O18" s="45">
        <f t="shared" si="10"/>
        <v>16294874.859999999</v>
      </c>
      <c r="P18" s="45">
        <f t="shared" si="11"/>
        <v>66905976.819999993</v>
      </c>
      <c r="Q18" s="45" t="s">
        <v>14</v>
      </c>
      <c r="R18" s="45"/>
      <c r="S18" s="56">
        <v>207129</v>
      </c>
      <c r="T18" s="45">
        <f t="shared" si="12"/>
        <v>5619409.7699999996</v>
      </c>
      <c r="U18" s="45"/>
    </row>
    <row r="19" spans="1:199" ht="45">
      <c r="A19" s="81"/>
      <c r="B19" s="65" t="s">
        <v>24</v>
      </c>
      <c r="C19" s="72">
        <v>8749</v>
      </c>
      <c r="D19" s="73">
        <f>13996-C19</f>
        <v>5247</v>
      </c>
      <c r="E19" s="73">
        <v>5354</v>
      </c>
      <c r="F19" s="73">
        <f>11857-E19</f>
        <v>6503</v>
      </c>
      <c r="G19" s="71">
        <f t="shared" si="13"/>
        <v>25853</v>
      </c>
      <c r="H19" s="68">
        <v>28.24</v>
      </c>
      <c r="I19" s="68">
        <v>28.24</v>
      </c>
      <c r="J19" s="45">
        <v>4.37</v>
      </c>
      <c r="K19" s="45">
        <v>4.54</v>
      </c>
      <c r="L19" s="45">
        <f t="shared" si="8"/>
        <v>208838.62999999998</v>
      </c>
      <c r="M19" s="45">
        <f t="shared" si="9"/>
        <v>125245.88999999998</v>
      </c>
      <c r="N19" s="45">
        <f t="shared" si="9"/>
        <v>126889.8</v>
      </c>
      <c r="O19" s="45">
        <f t="shared" si="10"/>
        <v>154121.1</v>
      </c>
      <c r="P19" s="45">
        <f t="shared" si="11"/>
        <v>615095.41999999993</v>
      </c>
      <c r="Q19" s="45" t="s">
        <v>14</v>
      </c>
      <c r="R19" s="45"/>
      <c r="S19" s="56">
        <v>2856</v>
      </c>
      <c r="T19" s="45">
        <f t="shared" si="12"/>
        <v>67687.199999999997</v>
      </c>
      <c r="U19" s="45"/>
    </row>
    <row r="20" spans="1:199" ht="45">
      <c r="A20" s="81"/>
      <c r="B20" s="65" t="s">
        <v>25</v>
      </c>
      <c r="C20" s="72">
        <v>131684</v>
      </c>
      <c r="D20" s="73">
        <f>240117-C20</f>
        <v>108433</v>
      </c>
      <c r="E20" s="73">
        <v>120589</v>
      </c>
      <c r="F20" s="73">
        <f>203645-E20</f>
        <v>83056</v>
      </c>
      <c r="G20" s="71">
        <f t="shared" si="13"/>
        <v>443762</v>
      </c>
      <c r="H20" s="68">
        <v>28.24</v>
      </c>
      <c r="I20" s="68">
        <v>28.24</v>
      </c>
      <c r="J20" s="45">
        <v>3.28</v>
      </c>
      <c r="K20" s="45">
        <v>3.41</v>
      </c>
      <c r="L20" s="45">
        <f t="shared" si="8"/>
        <v>3286832.6399999997</v>
      </c>
      <c r="M20" s="45">
        <f t="shared" si="9"/>
        <v>2706487.6799999997</v>
      </c>
      <c r="N20" s="45">
        <f t="shared" si="9"/>
        <v>2994224.8699999996</v>
      </c>
      <c r="O20" s="45">
        <f t="shared" si="10"/>
        <v>2062280.4799999997</v>
      </c>
      <c r="P20" s="45">
        <f t="shared" si="11"/>
        <v>11049825.67</v>
      </c>
      <c r="Q20" s="45"/>
      <c r="R20" s="45"/>
      <c r="S20" s="56">
        <v>25556</v>
      </c>
      <c r="T20" s="45">
        <f t="shared" si="12"/>
        <v>634555.48</v>
      </c>
      <c r="U20" s="45"/>
    </row>
    <row r="21" spans="1:199" ht="60">
      <c r="A21" s="81"/>
      <c r="B21" s="65" t="s">
        <v>26</v>
      </c>
      <c r="C21" s="72">
        <v>216773</v>
      </c>
      <c r="D21" s="73">
        <f>377550-C21</f>
        <v>160777</v>
      </c>
      <c r="E21" s="73">
        <v>151820</v>
      </c>
      <c r="F21" s="73">
        <f>303712-E21</f>
        <v>151892</v>
      </c>
      <c r="G21" s="71">
        <f t="shared" si="13"/>
        <v>681262</v>
      </c>
      <c r="H21" s="68">
        <v>28.24</v>
      </c>
      <c r="I21" s="68">
        <v>28.24</v>
      </c>
      <c r="J21" s="45">
        <v>3.78</v>
      </c>
      <c r="K21" s="45">
        <v>3.93</v>
      </c>
      <c r="L21" s="45">
        <f t="shared" si="8"/>
        <v>5302267.5799999991</v>
      </c>
      <c r="M21" s="45">
        <f t="shared" si="9"/>
        <v>3932605.4199999995</v>
      </c>
      <c r="N21" s="45">
        <f t="shared" si="9"/>
        <v>3690744.1999999997</v>
      </c>
      <c r="O21" s="45">
        <f t="shared" si="10"/>
        <v>3692494.52</v>
      </c>
      <c r="P21" s="45">
        <f t="shared" si="11"/>
        <v>16618111.719999997</v>
      </c>
      <c r="Q21" s="45"/>
      <c r="R21" s="45"/>
      <c r="S21" s="56">
        <v>49931</v>
      </c>
      <c r="T21" s="45">
        <f t="shared" si="12"/>
        <v>1213822.6099999999</v>
      </c>
      <c r="U21" s="45"/>
    </row>
    <row r="22" spans="1:199" ht="60">
      <c r="A22" s="81"/>
      <c r="B22" s="65" t="s">
        <v>27</v>
      </c>
      <c r="C22" s="72">
        <v>92216</v>
      </c>
      <c r="D22" s="73">
        <f>160714-C22</f>
        <v>68498</v>
      </c>
      <c r="E22" s="73">
        <v>50287</v>
      </c>
      <c r="F22" s="73">
        <f>111809-E22</f>
        <v>61522</v>
      </c>
      <c r="G22" s="71">
        <f t="shared" si="13"/>
        <v>272523</v>
      </c>
      <c r="H22" s="68">
        <v>28.24</v>
      </c>
      <c r="I22" s="68">
        <v>28.24</v>
      </c>
      <c r="J22" s="45">
        <v>1.1000000000000001</v>
      </c>
      <c r="K22" s="45">
        <v>1.19</v>
      </c>
      <c r="L22" s="45">
        <f t="shared" si="8"/>
        <v>2502742.2399999998</v>
      </c>
      <c r="M22" s="45">
        <f t="shared" si="9"/>
        <v>1859035.7199999997</v>
      </c>
      <c r="N22" s="45">
        <f t="shared" si="9"/>
        <v>1360263.3499999999</v>
      </c>
      <c r="O22" s="45">
        <f t="shared" si="10"/>
        <v>1664170.0999999999</v>
      </c>
      <c r="P22" s="45">
        <f t="shared" si="11"/>
        <v>7386211.4099999983</v>
      </c>
      <c r="Q22" s="45"/>
      <c r="R22" s="45"/>
      <c r="S22" s="56">
        <v>20174</v>
      </c>
      <c r="T22" s="45">
        <f t="shared" si="12"/>
        <v>545706.69999999995</v>
      </c>
      <c r="U22" s="45"/>
    </row>
    <row r="23" spans="1:199" ht="30">
      <c r="A23" s="81"/>
      <c r="B23" s="65" t="s">
        <v>28</v>
      </c>
      <c r="C23" s="72">
        <v>3198813</v>
      </c>
      <c r="D23" s="73">
        <f>5386790-C23</f>
        <v>2187977</v>
      </c>
      <c r="E23" s="73">
        <f>7697000-5709363</f>
        <v>1987637</v>
      </c>
      <c r="F23" s="73">
        <f>10321166-7697000</f>
        <v>2624166</v>
      </c>
      <c r="G23" s="71">
        <f>SUM(C23:F23)</f>
        <v>9998593</v>
      </c>
      <c r="H23" s="68">
        <v>28.24</v>
      </c>
      <c r="I23" s="68">
        <v>28.24</v>
      </c>
      <c r="J23" s="45">
        <v>7.95</v>
      </c>
      <c r="K23" s="45">
        <v>7.95</v>
      </c>
      <c r="L23" s="45">
        <f t="shared" si="8"/>
        <v>64903915.769999996</v>
      </c>
      <c r="M23" s="45">
        <f t="shared" si="9"/>
        <v>44394053.329999998</v>
      </c>
      <c r="N23" s="45">
        <f t="shared" si="9"/>
        <v>40329154.729999997</v>
      </c>
      <c r="O23" s="45">
        <f t="shared" si="10"/>
        <v>53244328.140000001</v>
      </c>
      <c r="P23" s="45">
        <f t="shared" si="11"/>
        <v>202871451.96999997</v>
      </c>
      <c r="Q23" s="45" t="s">
        <v>14</v>
      </c>
      <c r="R23" s="45"/>
      <c r="S23" s="56">
        <v>905577</v>
      </c>
      <c r="T23" s="45">
        <f>(I23-K23)*S23</f>
        <v>18374157.329999998</v>
      </c>
      <c r="U23" s="45"/>
    </row>
    <row r="24" spans="1:199" s="26" customFormat="1" ht="15.75">
      <c r="A24" s="82"/>
      <c r="B24" s="38" t="s">
        <v>6</v>
      </c>
      <c r="C24" s="40">
        <f>SUM(C16:C23)</f>
        <v>9113254</v>
      </c>
      <c r="D24" s="40">
        <f t="shared" ref="D24:F24" si="14">SUM(D16:D23)</f>
        <v>7131904</v>
      </c>
      <c r="E24" s="40">
        <f t="shared" si="14"/>
        <v>7000055</v>
      </c>
      <c r="F24" s="40">
        <f t="shared" si="14"/>
        <v>7700252</v>
      </c>
      <c r="G24" s="40">
        <f>SUM(G16:G23)</f>
        <v>30945465</v>
      </c>
      <c r="H24" s="52"/>
      <c r="I24" s="40"/>
      <c r="J24" s="40"/>
      <c r="K24" s="40"/>
      <c r="L24" s="40">
        <f>SUM(L16:L23)</f>
        <v>214702823.82999998</v>
      </c>
      <c r="M24" s="40">
        <f t="shared" ref="M24:P24" si="15">SUM(M16:M23)</f>
        <v>169501956.82999998</v>
      </c>
      <c r="N24" s="40">
        <f t="shared" si="15"/>
        <v>166236461.44999999</v>
      </c>
      <c r="O24" s="40">
        <f t="shared" si="15"/>
        <v>181031538.61999997</v>
      </c>
      <c r="P24" s="40">
        <f t="shared" si="15"/>
        <v>731472780.73000002</v>
      </c>
      <c r="Q24" s="40">
        <f>'2020'!T24</f>
        <v>61638408.539999992</v>
      </c>
      <c r="R24" s="40">
        <f>P24+Q24</f>
        <v>793111189.26999998</v>
      </c>
      <c r="S24" s="41">
        <f>SUM(S16:S23)</f>
        <v>2615544</v>
      </c>
      <c r="T24" s="41">
        <f>SUM(T16:T23)</f>
        <v>61431188.469999991</v>
      </c>
      <c r="U24" s="34">
        <f>R24-T24</f>
        <v>731680000.79999995</v>
      </c>
    </row>
    <row r="25" spans="1:199" outlineLevel="1">
      <c r="A25" s="95" t="s">
        <v>16</v>
      </c>
      <c r="B25" s="54" t="s">
        <v>21</v>
      </c>
      <c r="C25" s="45">
        <f>42434+17314</f>
        <v>59748</v>
      </c>
      <c r="D25" s="45">
        <f>109203-C25</f>
        <v>49455</v>
      </c>
      <c r="E25" s="45">
        <v>44982</v>
      </c>
      <c r="F25" s="45">
        <f>95192-E25</f>
        <v>50210</v>
      </c>
      <c r="G25" s="45">
        <f>SUM(C25:F25)</f>
        <v>204395</v>
      </c>
      <c r="H25" s="45">
        <v>71.930000000000007</v>
      </c>
      <c r="I25" s="45">
        <v>71.930000000000007</v>
      </c>
      <c r="J25" s="45">
        <v>3.06</v>
      </c>
      <c r="K25" s="45">
        <v>3.18</v>
      </c>
      <c r="L25" s="45">
        <f>(H25-J25)*C25</f>
        <v>4114844.7600000002</v>
      </c>
      <c r="M25" s="45">
        <f>(H25-J25)*D25</f>
        <v>3405965.85</v>
      </c>
      <c r="N25" s="45">
        <f>(I25-K25)*E25</f>
        <v>3092512.5</v>
      </c>
      <c r="O25" s="45">
        <f>(I25-K25)*F25</f>
        <v>3451937.5</v>
      </c>
      <c r="P25" s="45">
        <f>SUM(L25:O25)</f>
        <v>14065260.609999999</v>
      </c>
      <c r="Q25" s="45"/>
      <c r="R25" s="45"/>
      <c r="S25" s="56">
        <v>15571</v>
      </c>
      <c r="T25" s="45">
        <f>(I25-K25)*S25</f>
        <v>1070506.25</v>
      </c>
      <c r="U25" s="45"/>
    </row>
    <row r="26" spans="1:199" ht="30" outlineLevel="1">
      <c r="A26" s="95"/>
      <c r="B26" s="54" t="s">
        <v>22</v>
      </c>
      <c r="C26" s="69">
        <f>25115-17314</f>
        <v>7801</v>
      </c>
      <c r="D26" s="69">
        <f>11382-C26</f>
        <v>3581</v>
      </c>
      <c r="E26" s="69">
        <v>3994</v>
      </c>
      <c r="F26" s="69">
        <v>4899</v>
      </c>
      <c r="G26" s="69">
        <f>SUM(C26:F26)</f>
        <v>20275</v>
      </c>
      <c r="H26" s="45">
        <v>71.930000000000007</v>
      </c>
      <c r="I26" s="45">
        <v>71.930000000000007</v>
      </c>
      <c r="J26" s="45">
        <v>3.52</v>
      </c>
      <c r="K26" s="45">
        <v>3.66</v>
      </c>
      <c r="L26" s="45">
        <f t="shared" ref="L26:L28" si="16">(H26-J26)*C26</f>
        <v>533666.41</v>
      </c>
      <c r="M26" s="45">
        <f t="shared" ref="M26:N28" si="17">(H26-J26)*D26</f>
        <v>244976.21000000005</v>
      </c>
      <c r="N26" s="45">
        <f t="shared" si="17"/>
        <v>272670.38000000006</v>
      </c>
      <c r="O26" s="45">
        <f t="shared" ref="O26:O28" si="18">(I26-K26)*F26</f>
        <v>334454.73000000004</v>
      </c>
      <c r="P26" s="45">
        <f t="shared" ref="P26:P28" si="19">SUM(L26:O26)</f>
        <v>1385767.7300000002</v>
      </c>
      <c r="Q26" s="45"/>
      <c r="R26" s="45"/>
      <c r="S26" s="56">
        <v>1467</v>
      </c>
      <c r="T26" s="45">
        <f>(I26-K26)*S26</f>
        <v>100152.09000000001</v>
      </c>
      <c r="U26" s="45"/>
    </row>
    <row r="27" spans="1:199" ht="30" outlineLevel="1">
      <c r="A27" s="95"/>
      <c r="B27" s="58" t="s">
        <v>23</v>
      </c>
      <c r="C27" s="69">
        <v>3445</v>
      </c>
      <c r="D27" s="69">
        <f>4823-C27</f>
        <v>1378</v>
      </c>
      <c r="E27" s="69">
        <v>1547</v>
      </c>
      <c r="F27" s="69">
        <v>1897</v>
      </c>
      <c r="G27" s="69">
        <f>SUM(C27:F27)</f>
        <v>8267</v>
      </c>
      <c r="H27" s="45">
        <v>71.930000000000007</v>
      </c>
      <c r="I27" s="45">
        <v>71.930000000000007</v>
      </c>
      <c r="J27" s="45">
        <v>1.03</v>
      </c>
      <c r="K27" s="45">
        <v>1.1100000000000001</v>
      </c>
      <c r="L27" s="45">
        <f t="shared" si="16"/>
        <v>244250.50000000003</v>
      </c>
      <c r="M27" s="45">
        <f t="shared" si="17"/>
        <v>97700.200000000012</v>
      </c>
      <c r="N27" s="45">
        <f t="shared" si="17"/>
        <v>109558.54000000001</v>
      </c>
      <c r="O27" s="45">
        <f t="shared" si="18"/>
        <v>134345.54</v>
      </c>
      <c r="P27" s="45">
        <f t="shared" si="19"/>
        <v>585854.78000000014</v>
      </c>
      <c r="Q27" s="45"/>
      <c r="R27" s="45"/>
      <c r="S27" s="56">
        <v>577</v>
      </c>
      <c r="T27" s="45">
        <f>(I27-K27)*S27</f>
        <v>40863.140000000007</v>
      </c>
      <c r="U27" s="45"/>
    </row>
    <row r="28" spans="1:199" outlineLevel="1">
      <c r="A28" s="95"/>
      <c r="B28" s="54" t="s">
        <v>8</v>
      </c>
      <c r="C28" s="69">
        <v>58326</v>
      </c>
      <c r="D28" s="69">
        <f>89413-C28</f>
        <v>31087</v>
      </c>
      <c r="E28" s="69">
        <f>116315-90045</f>
        <v>26270</v>
      </c>
      <c r="F28" s="69">
        <f>159460-116315</f>
        <v>43145</v>
      </c>
      <c r="G28" s="69">
        <f>SUM(C28:F28)</f>
        <v>158828</v>
      </c>
      <c r="H28" s="45">
        <v>71.930000000000007</v>
      </c>
      <c r="I28" s="45">
        <v>71.930000000000007</v>
      </c>
      <c r="J28" s="45">
        <v>7.95</v>
      </c>
      <c r="K28" s="45">
        <v>7.95</v>
      </c>
      <c r="L28" s="45">
        <f t="shared" si="16"/>
        <v>3731697.4800000004</v>
      </c>
      <c r="M28" s="45">
        <f t="shared" si="17"/>
        <v>1988946.26</v>
      </c>
      <c r="N28" s="45">
        <f t="shared" si="17"/>
        <v>1680754.6</v>
      </c>
      <c r="O28" s="45">
        <f t="shared" si="18"/>
        <v>2760417.1</v>
      </c>
      <c r="P28" s="45">
        <f t="shared" si="19"/>
        <v>10161815.439999999</v>
      </c>
      <c r="Q28" s="45" t="s">
        <v>14</v>
      </c>
      <c r="R28" s="45"/>
      <c r="S28" s="56">
        <v>12774</v>
      </c>
      <c r="T28" s="45">
        <f>(I28-K28)*S28</f>
        <v>817280.52</v>
      </c>
      <c r="U28" s="45"/>
    </row>
    <row r="29" spans="1:199" s="26" customFormat="1" ht="15.75" outlineLevel="1">
      <c r="A29" s="95"/>
      <c r="B29" s="42" t="s">
        <v>6</v>
      </c>
      <c r="C29" s="37">
        <f>SUM(C25:C28)</f>
        <v>129320</v>
      </c>
      <c r="D29" s="37">
        <f t="shared" ref="D29:G29" si="20">SUM(D25:D28)</f>
        <v>85501</v>
      </c>
      <c r="E29" s="37">
        <f>SUM(E25:E28)</f>
        <v>76793</v>
      </c>
      <c r="F29" s="37">
        <f t="shared" si="20"/>
        <v>100151</v>
      </c>
      <c r="G29" s="37">
        <f t="shared" si="20"/>
        <v>391765</v>
      </c>
      <c r="H29" s="34"/>
      <c r="I29" s="34"/>
      <c r="J29" s="34"/>
      <c r="K29" s="34"/>
      <c r="L29" s="34">
        <f>SUM(L25:L28)</f>
        <v>8624459.1500000004</v>
      </c>
      <c r="M29" s="34">
        <f t="shared" ref="M29:P29" si="21">SUM(M25:M28)</f>
        <v>5737588.5200000005</v>
      </c>
      <c r="N29" s="34">
        <f t="shared" si="21"/>
        <v>5155496.0199999996</v>
      </c>
      <c r="O29" s="34">
        <f t="shared" si="21"/>
        <v>6681154.8700000001</v>
      </c>
      <c r="P29" s="34">
        <f t="shared" si="21"/>
        <v>26198698.559999999</v>
      </c>
      <c r="Q29" s="34">
        <f>'2020'!T29</f>
        <v>1948871.76</v>
      </c>
      <c r="R29" s="34">
        <f>P29+Q29</f>
        <v>28147570.32</v>
      </c>
      <c r="S29" s="43">
        <f>SUM(S25:S28)</f>
        <v>30389</v>
      </c>
      <c r="T29" s="43">
        <f>SUM(T25:T28)</f>
        <v>2028802</v>
      </c>
      <c r="U29" s="34">
        <f>R29-T29</f>
        <v>26118768.32</v>
      </c>
    </row>
    <row r="30" spans="1:199" s="2" customFormat="1" ht="30">
      <c r="A30" s="80" t="s">
        <v>46</v>
      </c>
      <c r="B30" s="54" t="s">
        <v>60</v>
      </c>
      <c r="C30" s="69">
        <v>5802582</v>
      </c>
      <c r="D30" s="69">
        <v>5802582</v>
      </c>
      <c r="E30" s="69">
        <v>6259765.5</v>
      </c>
      <c r="F30" s="69">
        <v>6259765.5</v>
      </c>
      <c r="G30" s="69">
        <f t="shared" ref="G30:G35" si="22">SUM(C30:F30)</f>
        <v>24124695</v>
      </c>
      <c r="H30" s="45">
        <v>4.37</v>
      </c>
      <c r="I30" s="45">
        <v>4.54</v>
      </c>
      <c r="J30" s="45">
        <v>4</v>
      </c>
      <c r="K30" s="45">
        <v>4.54</v>
      </c>
      <c r="L30" s="45">
        <f>(H30-J30)*C30</f>
        <v>2146955.3400000008</v>
      </c>
      <c r="M30" s="45">
        <f>(H30-J30)*D30</f>
        <v>2146955.3400000008</v>
      </c>
      <c r="N30" s="45">
        <f>(I30-K30)*E30</f>
        <v>0</v>
      </c>
      <c r="O30" s="45">
        <f t="shared" ref="O30:O35" si="23">(I30-K30)*F30</f>
        <v>0</v>
      </c>
      <c r="P30" s="45">
        <f t="shared" ref="P30:P35" si="24">SUM(L30:O30)</f>
        <v>4293910.6800000016</v>
      </c>
      <c r="Q30" s="45" t="s">
        <v>14</v>
      </c>
      <c r="R30" s="45"/>
      <c r="S30" s="56">
        <f>F30/3</f>
        <v>2086588.5</v>
      </c>
      <c r="T30" s="45">
        <f t="shared" ref="T30:T35" si="25">(I30-K30)*S30</f>
        <v>0</v>
      </c>
      <c r="U30" s="45"/>
      <c r="V30" s="19"/>
      <c r="W30" s="20">
        <f t="shared" ref="W30:W35" si="26">SUM(C30:D30)</f>
        <v>11605164</v>
      </c>
      <c r="X30" s="20">
        <f t="shared" ref="X30:X35" si="27">SUM(E30:F30)</f>
        <v>12519531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</row>
    <row r="31" spans="1:199" s="2" customFormat="1" ht="45">
      <c r="A31" s="81"/>
      <c r="B31" s="54" t="s">
        <v>61</v>
      </c>
      <c r="C31" s="69">
        <v>65242.596957364993</v>
      </c>
      <c r="D31" s="69">
        <v>65242.596957364993</v>
      </c>
      <c r="E31" s="69">
        <v>70383.039406270997</v>
      </c>
      <c r="F31" s="69">
        <v>70383.039406270997</v>
      </c>
      <c r="G31" s="69">
        <f t="shared" si="22"/>
        <v>271251.27272727201</v>
      </c>
      <c r="H31" s="45">
        <v>5.0199999999999996</v>
      </c>
      <c r="I31" s="45">
        <v>5.22</v>
      </c>
      <c r="J31" s="45">
        <v>3.86</v>
      </c>
      <c r="K31" s="45">
        <v>4.17</v>
      </c>
      <c r="L31" s="45">
        <f t="shared" ref="L31:L35" si="28">(H31-J31)*C31</f>
        <v>75681.412470543379</v>
      </c>
      <c r="M31" s="45">
        <f t="shared" ref="M31:N35" si="29">(H31-J31)*D31</f>
        <v>75681.412470543379</v>
      </c>
      <c r="N31" s="45">
        <f t="shared" si="29"/>
        <v>73902.191376584538</v>
      </c>
      <c r="O31" s="45">
        <f t="shared" si="23"/>
        <v>73902.191376584538</v>
      </c>
      <c r="P31" s="45">
        <f t="shared" si="24"/>
        <v>299167.20769425581</v>
      </c>
      <c r="Q31" s="45" t="s">
        <v>14</v>
      </c>
      <c r="R31" s="45"/>
      <c r="S31" s="56">
        <f t="shared" ref="S31:S35" si="30">F31/3</f>
        <v>23461.013135423666</v>
      </c>
      <c r="T31" s="45">
        <f t="shared" si="25"/>
        <v>24634.063792194844</v>
      </c>
      <c r="U31" s="45"/>
      <c r="V31" s="19"/>
      <c r="W31" s="20">
        <f t="shared" si="26"/>
        <v>130485.19391472999</v>
      </c>
      <c r="X31" s="20">
        <f t="shared" si="27"/>
        <v>140766.07881254199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</row>
    <row r="32" spans="1:199" s="2" customFormat="1" ht="45">
      <c r="A32" s="81"/>
      <c r="B32" s="54" t="s">
        <v>62</v>
      </c>
      <c r="C32" s="69">
        <v>5231.0159098723498</v>
      </c>
      <c r="D32" s="69">
        <v>5231.0159098723498</v>
      </c>
      <c r="E32" s="69">
        <v>5643.1659083094501</v>
      </c>
      <c r="F32" s="69">
        <v>5643.1659083094501</v>
      </c>
      <c r="G32" s="69">
        <f t="shared" si="22"/>
        <v>21748.3636363636</v>
      </c>
      <c r="H32" s="45">
        <v>1.47</v>
      </c>
      <c r="I32" s="45">
        <v>1.59</v>
      </c>
      <c r="J32" s="45">
        <v>1.4</v>
      </c>
      <c r="K32" s="45">
        <v>1.51</v>
      </c>
      <c r="L32" s="45">
        <f t="shared" si="28"/>
        <v>366.17111369106482</v>
      </c>
      <c r="M32" s="45">
        <f t="shared" si="29"/>
        <v>366.17111369106482</v>
      </c>
      <c r="N32" s="45">
        <f t="shared" si="29"/>
        <v>451.45327266475641</v>
      </c>
      <c r="O32" s="45">
        <f t="shared" si="23"/>
        <v>451.45327266475641</v>
      </c>
      <c r="P32" s="45">
        <f t="shared" si="24"/>
        <v>1635.2487727116425</v>
      </c>
      <c r="Q32" s="45" t="s">
        <v>14</v>
      </c>
      <c r="R32" s="45"/>
      <c r="S32" s="56">
        <f t="shared" si="30"/>
        <v>1881.0553027698168</v>
      </c>
      <c r="T32" s="45">
        <f t="shared" si="25"/>
        <v>150.48442422158547</v>
      </c>
      <c r="U32" s="45"/>
      <c r="V32" s="19"/>
      <c r="W32" s="20">
        <f t="shared" si="26"/>
        <v>10462.0318197447</v>
      </c>
      <c r="X32" s="20">
        <f t="shared" si="27"/>
        <v>11286.3318166189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</row>
    <row r="33" spans="1:199" s="2" customFormat="1" ht="30">
      <c r="A33" s="81"/>
      <c r="B33" s="54" t="s">
        <v>63</v>
      </c>
      <c r="C33" s="69">
        <v>1180778</v>
      </c>
      <c r="D33" s="69">
        <v>1180778</v>
      </c>
      <c r="E33" s="69">
        <v>1202153.5</v>
      </c>
      <c r="F33" s="69">
        <v>1202153.5</v>
      </c>
      <c r="G33" s="69">
        <f t="shared" si="22"/>
        <v>4765863</v>
      </c>
      <c r="H33" s="45">
        <v>3.28</v>
      </c>
      <c r="I33" s="45">
        <v>3.41</v>
      </c>
      <c r="J33" s="45">
        <v>3.01</v>
      </c>
      <c r="K33" s="45">
        <v>3.41</v>
      </c>
      <c r="L33" s="45">
        <f t="shared" si="28"/>
        <v>318810.06</v>
      </c>
      <c r="M33" s="45">
        <f t="shared" si="29"/>
        <v>318810.06</v>
      </c>
      <c r="N33" s="45">
        <f t="shared" si="29"/>
        <v>0</v>
      </c>
      <c r="O33" s="45">
        <f t="shared" si="23"/>
        <v>0</v>
      </c>
      <c r="P33" s="45">
        <f t="shared" si="24"/>
        <v>637620.12</v>
      </c>
      <c r="Q33" s="45" t="s">
        <v>14</v>
      </c>
      <c r="R33" s="45"/>
      <c r="S33" s="56">
        <f t="shared" si="30"/>
        <v>400717.83333333331</v>
      </c>
      <c r="T33" s="45">
        <f t="shared" si="25"/>
        <v>0</v>
      </c>
      <c r="U33" s="45"/>
      <c r="V33" s="19"/>
      <c r="W33" s="20">
        <f t="shared" si="26"/>
        <v>2361556</v>
      </c>
      <c r="X33" s="20">
        <f t="shared" si="27"/>
        <v>2404307</v>
      </c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</row>
    <row r="34" spans="1:199" s="2" customFormat="1" ht="45">
      <c r="A34" s="81"/>
      <c r="B34" s="54" t="s">
        <v>64</v>
      </c>
      <c r="C34" s="69">
        <v>25901.012888765548</v>
      </c>
      <c r="D34" s="69">
        <v>25901.012888765548</v>
      </c>
      <c r="E34" s="69">
        <v>26369.896202143551</v>
      </c>
      <c r="F34" s="69">
        <v>26369.896202143551</v>
      </c>
      <c r="G34" s="69">
        <f t="shared" si="22"/>
        <v>104541.81818181821</v>
      </c>
      <c r="H34" s="45">
        <v>3.78</v>
      </c>
      <c r="I34" s="45">
        <v>3.93</v>
      </c>
      <c r="J34" s="45">
        <v>2.89</v>
      </c>
      <c r="K34" s="45">
        <v>3.12</v>
      </c>
      <c r="L34" s="45">
        <f t="shared" si="28"/>
        <v>23051.901471001329</v>
      </c>
      <c r="M34" s="45">
        <f t="shared" si="29"/>
        <v>23051.901471001329</v>
      </c>
      <c r="N34" s="45">
        <f t="shared" si="29"/>
        <v>21359.615923736277</v>
      </c>
      <c r="O34" s="45">
        <f t="shared" si="23"/>
        <v>21359.615923736277</v>
      </c>
      <c r="P34" s="45">
        <f t="shared" si="24"/>
        <v>88823.034789475205</v>
      </c>
      <c r="Q34" s="45" t="s">
        <v>14</v>
      </c>
      <c r="R34" s="45"/>
      <c r="S34" s="56">
        <f t="shared" si="30"/>
        <v>8789.9654007145164</v>
      </c>
      <c r="T34" s="45">
        <f t="shared" si="25"/>
        <v>7119.8719745787585</v>
      </c>
      <c r="U34" s="45"/>
      <c r="V34" s="19"/>
      <c r="W34" s="20">
        <f t="shared" si="26"/>
        <v>51802.025777531097</v>
      </c>
      <c r="X34" s="20">
        <f t="shared" si="27"/>
        <v>52739.792404287102</v>
      </c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</row>
    <row r="35" spans="1:199" s="2" customFormat="1" ht="45">
      <c r="A35" s="81"/>
      <c r="B35" s="54" t="s">
        <v>65</v>
      </c>
      <c r="C35" s="69">
        <v>1122.74660899439</v>
      </c>
      <c r="D35" s="69">
        <v>1122.74660899439</v>
      </c>
      <c r="E35" s="69">
        <v>1143.0715728237951</v>
      </c>
      <c r="F35" s="69">
        <v>1143.0715728237951</v>
      </c>
      <c r="G35" s="69">
        <f t="shared" si="22"/>
        <v>4531.6363636363703</v>
      </c>
      <c r="H35" s="45">
        <v>1.1000000000000001</v>
      </c>
      <c r="I35" s="45">
        <v>1.19</v>
      </c>
      <c r="J35" s="45">
        <v>1.06</v>
      </c>
      <c r="K35" s="45">
        <v>1.1399999999999999</v>
      </c>
      <c r="L35" s="45">
        <f t="shared" si="28"/>
        <v>44.909864359775639</v>
      </c>
      <c r="M35" s="45">
        <f t="shared" si="29"/>
        <v>44.909864359775639</v>
      </c>
      <c r="N35" s="45">
        <f t="shared" si="29"/>
        <v>57.15357864118981</v>
      </c>
      <c r="O35" s="45">
        <f t="shared" si="23"/>
        <v>57.15357864118981</v>
      </c>
      <c r="P35" s="45">
        <f t="shared" si="24"/>
        <v>204.12688600193093</v>
      </c>
      <c r="Q35" s="45" t="s">
        <v>14</v>
      </c>
      <c r="R35" s="45"/>
      <c r="S35" s="56">
        <f t="shared" si="30"/>
        <v>381.02385760793169</v>
      </c>
      <c r="T35" s="45">
        <f t="shared" si="25"/>
        <v>19.051192880396602</v>
      </c>
      <c r="U35" s="45"/>
      <c r="V35" s="19"/>
      <c r="W35" s="20">
        <f t="shared" si="26"/>
        <v>2245.4932179887801</v>
      </c>
      <c r="X35" s="20">
        <f t="shared" si="27"/>
        <v>2286.1431456475902</v>
      </c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</row>
    <row r="36" spans="1:199" s="47" customFormat="1">
      <c r="A36" s="82"/>
      <c r="B36" s="44" t="s">
        <v>6</v>
      </c>
      <c r="C36" s="37">
        <f>SUM(C30:C35)</f>
        <v>7080857.3723649969</v>
      </c>
      <c r="D36" s="37">
        <f>SUM(D30:D35)</f>
        <v>7080857.3723649969</v>
      </c>
      <c r="E36" s="37">
        <f>SUM(E30:E35)</f>
        <v>7565458.1730895471</v>
      </c>
      <c r="F36" s="37">
        <f>SUM(F30:F35)</f>
        <v>7565458.1730895471</v>
      </c>
      <c r="G36" s="37">
        <f>SUM(G30:G35)</f>
        <v>29292631.09090909</v>
      </c>
      <c r="H36" s="34"/>
      <c r="I36" s="34"/>
      <c r="J36" s="34"/>
      <c r="K36" s="34"/>
      <c r="L36" s="34">
        <f>SUM(L30:L35)</f>
        <v>2564909.7949195965</v>
      </c>
      <c r="M36" s="34">
        <f>SUM(M30:M35)</f>
        <v>2564909.7949195965</v>
      </c>
      <c r="N36" s="34">
        <f>SUM(N30:N35)</f>
        <v>95770.414151626755</v>
      </c>
      <c r="O36" s="34">
        <f>SUM(O30:O35)</f>
        <v>95770.414151626755</v>
      </c>
      <c r="P36" s="34">
        <f>SUM(P30:P35)</f>
        <v>5321360.4181424463</v>
      </c>
      <c r="Q36" s="45">
        <f>'2020'!T36</f>
        <v>915416.31926922593</v>
      </c>
      <c r="R36" s="34">
        <f>P36+Q36</f>
        <v>6236776.7374116722</v>
      </c>
      <c r="S36" s="43">
        <f>SUM(S30:S35)</f>
        <v>2521819.3910298496</v>
      </c>
      <c r="T36" s="43">
        <f>SUM(T30:T35)</f>
        <v>31923.471383875585</v>
      </c>
      <c r="U36" s="34">
        <f>R36-T36</f>
        <v>6204853.266027797</v>
      </c>
      <c r="V36" s="46"/>
      <c r="W36" s="46">
        <f>ROUND(SUMPRODUCT(J30:J35,W30:W35)/SUM(W30:W35),2)</f>
        <v>3.83</v>
      </c>
      <c r="X36" s="46">
        <f>ROUND(SUMPRODUCT(K30:K35,X30:X35)/SUM(X30:X35),2)</f>
        <v>4.3499999999999996</v>
      </c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</row>
    <row r="37" spans="1:199" s="7" customFormat="1" outlineLevel="1">
      <c r="A37" s="6"/>
      <c r="B37" s="64" t="s">
        <v>7</v>
      </c>
      <c r="C37" s="48">
        <f>C15+C24+C29+C36</f>
        <v>16484503.372364998</v>
      </c>
      <c r="D37" s="48">
        <f t="shared" ref="D37:G37" si="31">D15+D24+D29+D36</f>
        <v>14424752.372364998</v>
      </c>
      <c r="E37" s="48">
        <f t="shared" si="31"/>
        <v>14755869.173089547</v>
      </c>
      <c r="F37" s="48">
        <f t="shared" si="31"/>
        <v>15525787.173089547</v>
      </c>
      <c r="G37" s="48">
        <f t="shared" si="31"/>
        <v>61190912.090909094</v>
      </c>
      <c r="H37" s="49"/>
      <c r="I37" s="49"/>
      <c r="J37" s="50"/>
      <c r="K37" s="50"/>
      <c r="L37" s="31">
        <f>L29+L15+L24+L36</f>
        <v>232425996.17491961</v>
      </c>
      <c r="M37" s="31">
        <f>M29+M15+M24+M36</f>
        <v>182998158.7149196</v>
      </c>
      <c r="N37" s="31">
        <f t="shared" ref="N37:P37" si="32">N29+N15+N24+N36</f>
        <v>176190913.27415162</v>
      </c>
      <c r="O37" s="31">
        <f t="shared" si="32"/>
        <v>194321317.57415161</v>
      </c>
      <c r="P37" s="31">
        <f t="shared" si="32"/>
        <v>785936385.73814249</v>
      </c>
      <c r="Q37" s="31">
        <f t="shared" ref="Q37" si="33">Q29+Q15+Q24+Q36</f>
        <v>66935917.979269214</v>
      </c>
      <c r="R37" s="31">
        <f t="shared" ref="R37" si="34">R29+R15+R24+R36</f>
        <v>852872303.71741164</v>
      </c>
      <c r="S37" s="31">
        <f t="shared" ref="S37" si="35">S29+S15+S24+S36</f>
        <v>5230053.3910298496</v>
      </c>
      <c r="T37" s="33">
        <f>T29+T15+T24+T36</f>
        <v>66028888.371383868</v>
      </c>
      <c r="U37" s="34">
        <f>R37-T37</f>
        <v>786843415.34602773</v>
      </c>
    </row>
    <row r="38" spans="1:199" s="7" customFormat="1" ht="14.25" outlineLevel="1">
      <c r="A38" s="10"/>
      <c r="B38" s="11"/>
      <c r="C38" s="12"/>
      <c r="D38" s="12"/>
      <c r="E38" s="12"/>
      <c r="F38" s="12"/>
      <c r="G38" s="12"/>
      <c r="H38" s="13"/>
      <c r="I38" s="13"/>
      <c r="J38" s="14"/>
      <c r="K38" s="14"/>
      <c r="L38" s="15"/>
      <c r="M38" s="15"/>
      <c r="N38" s="15"/>
      <c r="O38" s="15"/>
      <c r="P38" s="15"/>
      <c r="Q38" s="15"/>
      <c r="R38" s="15"/>
      <c r="S38" s="16"/>
      <c r="T38" s="17"/>
      <c r="U38" s="18"/>
    </row>
    <row r="40" spans="1:199" s="28" customFormat="1" ht="23.25"/>
  </sheetData>
  <mergeCells count="15">
    <mergeCell ref="A10:A15"/>
    <mergeCell ref="A25:A29"/>
    <mergeCell ref="A30:A36"/>
    <mergeCell ref="A16:A24"/>
    <mergeCell ref="J8:K8"/>
    <mergeCell ref="A8:A9"/>
    <mergeCell ref="B8:B9"/>
    <mergeCell ref="C8:G8"/>
    <mergeCell ref="H8:I8"/>
    <mergeCell ref="U8:U9"/>
    <mergeCell ref="L8:P8"/>
    <mergeCell ref="Q8:Q9"/>
    <mergeCell ref="R8:R9"/>
    <mergeCell ref="S8:T8"/>
    <mergeCell ref="C3:J3"/>
  </mergeCells>
  <pageMargins left="0.19685039370078741" right="0.19685039370078741" top="0.59055118110236227" bottom="0.39370078740157483" header="0.31496062992125984" footer="0.31496062992125984"/>
  <pageSetup paperSize="9" scale="47" fitToHeight="0" orientation="landscape" r:id="rId1"/>
  <headerFooter>
    <oddFooter>&amp;C&amp;P</oddFooter>
  </headerFooter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2019</vt:lpstr>
      <vt:lpstr>2020</vt:lpstr>
      <vt:lpstr>2021</vt:lpstr>
      <vt:lpstr>'2019'!Заголовки_для_печати</vt:lpstr>
      <vt:lpstr>'2020'!Заголовки_для_печати</vt:lpstr>
      <vt:lpstr>'2021'!Заголовки_для_печати</vt:lpstr>
      <vt:lpstr>'2019'!Область_печати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2018-10-11T09:05:23Z</cp:lastPrinted>
  <dcterms:created xsi:type="dcterms:W3CDTF">2016-01-14T10:10:37Z</dcterms:created>
  <dcterms:modified xsi:type="dcterms:W3CDTF">2018-10-11T09:05:28Z</dcterms:modified>
</cp:coreProperties>
</file>