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 tabRatio="604"/>
  </bookViews>
  <sheets>
    <sheet name="на 02.01.16    " sheetId="16" r:id="rId1"/>
  </sheets>
  <definedNames>
    <definedName name="_xlnm.Print_Titles" localSheetId="0">'на 02.01.16    '!$6:$8</definedName>
    <definedName name="_xlnm.Print_Area" localSheetId="0">'на 02.01.16    '!$A$1:$AI$232</definedName>
  </definedNames>
  <calcPr calcId="125725"/>
</workbook>
</file>

<file path=xl/calcChain.xml><?xml version="1.0" encoding="utf-8"?>
<calcChain xmlns="http://schemas.openxmlformats.org/spreadsheetml/2006/main">
  <c r="AI232" i="16"/>
  <c r="AI181"/>
  <c r="AI231"/>
  <c r="AI227"/>
  <c r="AI226"/>
  <c r="AI223" s="1"/>
  <c r="AI222"/>
  <c r="AI220"/>
  <c r="AI216"/>
  <c r="AI205" s="1"/>
  <c r="AI210"/>
  <c r="AI204"/>
  <c r="AI199" s="1"/>
  <c r="AI198"/>
  <c r="AI192" s="1"/>
  <c r="AI194"/>
  <c r="AI190"/>
  <c r="AI187"/>
  <c r="AI185"/>
  <c r="AI183"/>
  <c r="AI166"/>
  <c r="AI154"/>
  <c r="AI138"/>
  <c r="AI137"/>
  <c r="AI136"/>
  <c r="AI93"/>
  <c r="AI91"/>
  <c r="AI43"/>
  <c r="AI27"/>
  <c r="AI24"/>
  <c r="AI163" l="1"/>
  <c r="AI217"/>
  <c r="AG231" l="1"/>
  <c r="AF231"/>
  <c r="AD231"/>
  <c r="AC231"/>
  <c r="AB231"/>
  <c r="Z231"/>
  <c r="Y231"/>
  <c r="X231"/>
  <c r="T231"/>
  <c r="T227" s="1"/>
  <c r="AE230"/>
  <c r="AE231" s="1"/>
  <c r="L230"/>
  <c r="L231" s="1"/>
  <c r="L227" s="1"/>
  <c r="AG229"/>
  <c r="AG227" s="1"/>
  <c r="AF229"/>
  <c r="AF227" s="1"/>
  <c r="AE229"/>
  <c r="AD227"/>
  <c r="AC227"/>
  <c r="AB227"/>
  <c r="Z227"/>
  <c r="Y227"/>
  <c r="X227"/>
  <c r="S227"/>
  <c r="R227"/>
  <c r="Q227"/>
  <c r="P227"/>
  <c r="O227"/>
  <c r="N227"/>
  <c r="M227"/>
  <c r="AG226"/>
  <c r="AG223" s="1"/>
  <c r="AF226"/>
  <c r="AF223" s="1"/>
  <c r="AD226"/>
  <c r="AD223" s="1"/>
  <c r="AC226"/>
  <c r="AC223" s="1"/>
  <c r="AB226"/>
  <c r="AB223" s="1"/>
  <c r="Z226"/>
  <c r="Z223" s="1"/>
  <c r="Y226"/>
  <c r="Y223" s="1"/>
  <c r="X226"/>
  <c r="X223" s="1"/>
  <c r="W226"/>
  <c r="W223" s="1"/>
  <c r="V226"/>
  <c r="V223" s="1"/>
  <c r="T226"/>
  <c r="T223" s="1"/>
  <c r="S226"/>
  <c r="S223" s="1"/>
  <c r="R226"/>
  <c r="R223" s="1"/>
  <c r="Q226"/>
  <c r="Q223" s="1"/>
  <c r="P226"/>
  <c r="P223" s="1"/>
  <c r="O226"/>
  <c r="O223" s="1"/>
  <c r="N226"/>
  <c r="N223" s="1"/>
  <c r="M226"/>
  <c r="M223" s="1"/>
  <c r="K226"/>
  <c r="K223" s="1"/>
  <c r="J226"/>
  <c r="J223" s="1"/>
  <c r="I226"/>
  <c r="I223" s="1"/>
  <c r="H226"/>
  <c r="H223" s="1"/>
  <c r="G226"/>
  <c r="G223" s="1"/>
  <c r="F226"/>
  <c r="F223" s="1"/>
  <c r="D226"/>
  <c r="D223" s="1"/>
  <c r="C226"/>
  <c r="C223" s="1"/>
  <c r="B226"/>
  <c r="B223" s="1"/>
  <c r="L225"/>
  <c r="L226" s="1"/>
  <c r="E225"/>
  <c r="E226" s="1"/>
  <c r="E223" s="1"/>
  <c r="AE224"/>
  <c r="AE226" s="1"/>
  <c r="AE223" s="1"/>
  <c r="L224"/>
  <c r="U224" s="1"/>
  <c r="AG222"/>
  <c r="AF222"/>
  <c r="AE222"/>
  <c r="AD222"/>
  <c r="AC222"/>
  <c r="AB222"/>
  <c r="Z222"/>
  <c r="Y222"/>
  <c r="X222"/>
  <c r="W222"/>
  <c r="V222"/>
  <c r="T222"/>
  <c r="S222"/>
  <c r="R222"/>
  <c r="Q222"/>
  <c r="P222"/>
  <c r="O222"/>
  <c r="N222"/>
  <c r="M222"/>
  <c r="L222"/>
  <c r="K222"/>
  <c r="J222"/>
  <c r="I222"/>
  <c r="H222"/>
  <c r="G222"/>
  <c r="F222"/>
  <c r="E222"/>
  <c r="D222"/>
  <c r="C222"/>
  <c r="B222"/>
  <c r="U221"/>
  <c r="AA221" s="1"/>
  <c r="AA222" s="1"/>
  <c r="AH220"/>
  <c r="AG220"/>
  <c r="AF220"/>
  <c r="AE220"/>
  <c r="AD220"/>
  <c r="AC220"/>
  <c r="AB220"/>
  <c r="Z220"/>
  <c r="Y220"/>
  <c r="X220"/>
  <c r="W220"/>
  <c r="V220"/>
  <c r="T220"/>
  <c r="T217" s="1"/>
  <c r="S220"/>
  <c r="R220"/>
  <c r="Q220"/>
  <c r="P220"/>
  <c r="O220"/>
  <c r="N220"/>
  <c r="M220"/>
  <c r="L220"/>
  <c r="L217" s="1"/>
  <c r="K220"/>
  <c r="J220"/>
  <c r="I220"/>
  <c r="G220"/>
  <c r="F220"/>
  <c r="E220"/>
  <c r="D220"/>
  <c r="C220"/>
  <c r="B220"/>
  <c r="AA219"/>
  <c r="H219"/>
  <c r="H218"/>
  <c r="AG216"/>
  <c r="AF216"/>
  <c r="AE216"/>
  <c r="AD216"/>
  <c r="AC216"/>
  <c r="AB216"/>
  <c r="AA216"/>
  <c r="Z216"/>
  <c r="Y216"/>
  <c r="X216"/>
  <c r="W216"/>
  <c r="V216"/>
  <c r="T216"/>
  <c r="S216"/>
  <c r="R216"/>
  <c r="Q216"/>
  <c r="P216"/>
  <c r="O216"/>
  <c r="N216"/>
  <c r="M216"/>
  <c r="L216"/>
  <c r="K216"/>
  <c r="K217" s="1"/>
  <c r="J216"/>
  <c r="I216"/>
  <c r="I217" s="1"/>
  <c r="G216"/>
  <c r="F216"/>
  <c r="E216"/>
  <c r="D216"/>
  <c r="C216"/>
  <c r="B216"/>
  <c r="H215"/>
  <c r="U215" s="1"/>
  <c r="U216" s="1"/>
  <c r="AG214"/>
  <c r="AF214"/>
  <c r="AE214"/>
  <c r="AD214"/>
  <c r="AC214"/>
  <c r="AB214"/>
  <c r="Z214"/>
  <c r="Y214"/>
  <c r="X214"/>
  <c r="W214"/>
  <c r="V214"/>
  <c r="T214"/>
  <c r="S214"/>
  <c r="R214"/>
  <c r="Q214"/>
  <c r="P214"/>
  <c r="O214"/>
  <c r="N214"/>
  <c r="M214"/>
  <c r="L214"/>
  <c r="K214"/>
  <c r="J214"/>
  <c r="I214"/>
  <c r="G214"/>
  <c r="F214"/>
  <c r="E214"/>
  <c r="D214"/>
  <c r="C214"/>
  <c r="H212"/>
  <c r="U212" s="1"/>
  <c r="AA212" s="1"/>
  <c r="B211"/>
  <c r="H211" s="1"/>
  <c r="U211" s="1"/>
  <c r="AA211" s="1"/>
  <c r="U209"/>
  <c r="AA209" s="1"/>
  <c r="B208"/>
  <c r="H207"/>
  <c r="U207" s="1"/>
  <c r="AG204"/>
  <c r="AG199" s="1"/>
  <c r="AD204"/>
  <c r="AD199" s="1"/>
  <c r="AC204"/>
  <c r="AC199" s="1"/>
  <c r="AB204"/>
  <c r="AB199" s="1"/>
  <c r="Z204"/>
  <c r="Z199" s="1"/>
  <c r="Y204"/>
  <c r="Y199" s="1"/>
  <c r="W204"/>
  <c r="W199" s="1"/>
  <c r="V204"/>
  <c r="V199" s="1"/>
  <c r="T204"/>
  <c r="T199" s="1"/>
  <c r="S204"/>
  <c r="S199" s="1"/>
  <c r="R204"/>
  <c r="R199" s="1"/>
  <c r="Q204"/>
  <c r="Q199" s="1"/>
  <c r="P204"/>
  <c r="P199" s="1"/>
  <c r="O204"/>
  <c r="O199" s="1"/>
  <c r="N204"/>
  <c r="N199" s="1"/>
  <c r="K204"/>
  <c r="K199" s="1"/>
  <c r="J204"/>
  <c r="J199" s="1"/>
  <c r="I204"/>
  <c r="I199" s="1"/>
  <c r="G204"/>
  <c r="G199" s="1"/>
  <c r="F204"/>
  <c r="F199" s="1"/>
  <c r="E204"/>
  <c r="E199" s="1"/>
  <c r="D204"/>
  <c r="D199" s="1"/>
  <c r="C204"/>
  <c r="C199" s="1"/>
  <c r="M203"/>
  <c r="B203"/>
  <c r="H203" s="1"/>
  <c r="B201"/>
  <c r="AF200"/>
  <c r="AF204" s="1"/>
  <c r="AF199" s="1"/>
  <c r="AE200"/>
  <c r="AE204" s="1"/>
  <c r="AE199" s="1"/>
  <c r="X200"/>
  <c r="X204" s="1"/>
  <c r="X199" s="1"/>
  <c r="M200"/>
  <c r="L200"/>
  <c r="L204" s="1"/>
  <c r="L199" s="1"/>
  <c r="E200"/>
  <c r="AG198"/>
  <c r="AG192" s="1"/>
  <c r="AD198"/>
  <c r="AD192" s="1"/>
  <c r="AC198"/>
  <c r="AC192" s="1"/>
  <c r="AB198"/>
  <c r="AB192" s="1"/>
  <c r="Z198"/>
  <c r="Z192" s="1"/>
  <c r="Y198"/>
  <c r="Y192" s="1"/>
  <c r="W198"/>
  <c r="W192" s="1"/>
  <c r="T198"/>
  <c r="T192" s="1"/>
  <c r="S198"/>
  <c r="S192" s="1"/>
  <c r="R198"/>
  <c r="R192" s="1"/>
  <c r="Q198"/>
  <c r="Q192" s="1"/>
  <c r="P198"/>
  <c r="P192" s="1"/>
  <c r="O198"/>
  <c r="O192" s="1"/>
  <c r="N198"/>
  <c r="N192" s="1"/>
  <c r="K198"/>
  <c r="K192" s="1"/>
  <c r="J198"/>
  <c r="J192" s="1"/>
  <c r="I198"/>
  <c r="I192" s="1"/>
  <c r="G198"/>
  <c r="G192" s="1"/>
  <c r="F198"/>
  <c r="F192" s="1"/>
  <c r="D198"/>
  <c r="D192" s="1"/>
  <c r="C198"/>
  <c r="C192" s="1"/>
  <c r="AE197"/>
  <c r="M197"/>
  <c r="L197"/>
  <c r="E197"/>
  <c r="E198" s="1"/>
  <c r="E192" s="1"/>
  <c r="B197"/>
  <c r="AF196"/>
  <c r="AE196"/>
  <c r="X196"/>
  <c r="V196"/>
  <c r="M196"/>
  <c r="U196" s="1"/>
  <c r="AF195"/>
  <c r="AE195"/>
  <c r="X195"/>
  <c r="V195"/>
  <c r="L195"/>
  <c r="B195"/>
  <c r="H195" s="1"/>
  <c r="AG190"/>
  <c r="AF190"/>
  <c r="AD190"/>
  <c r="AC190"/>
  <c r="AB190"/>
  <c r="Z190"/>
  <c r="Y190"/>
  <c r="X190"/>
  <c r="V190"/>
  <c r="T190"/>
  <c r="S190"/>
  <c r="R190"/>
  <c r="Q190"/>
  <c r="P190"/>
  <c r="O190"/>
  <c r="N190"/>
  <c r="M190"/>
  <c r="K190"/>
  <c r="I190"/>
  <c r="G190"/>
  <c r="F190"/>
  <c r="E190"/>
  <c r="D190"/>
  <c r="C190"/>
  <c r="B190"/>
  <c r="AE189"/>
  <c r="AE190" s="1"/>
  <c r="AA189"/>
  <c r="L189"/>
  <c r="L190" s="1"/>
  <c r="J189"/>
  <c r="H189"/>
  <c r="J188"/>
  <c r="H188"/>
  <c r="U188" s="1"/>
  <c r="AG187"/>
  <c r="AF187"/>
  <c r="AE187"/>
  <c r="AD187"/>
  <c r="AC187"/>
  <c r="AB187"/>
  <c r="Z187"/>
  <c r="Y187"/>
  <c r="X187"/>
  <c r="V187"/>
  <c r="T187"/>
  <c r="S187"/>
  <c r="R187"/>
  <c r="Q187"/>
  <c r="P187"/>
  <c r="O187"/>
  <c r="N187"/>
  <c r="M187"/>
  <c r="K187"/>
  <c r="J187"/>
  <c r="I187"/>
  <c r="H187"/>
  <c r="G187"/>
  <c r="F187"/>
  <c r="E187"/>
  <c r="D187"/>
  <c r="C187"/>
  <c r="B187"/>
  <c r="L186"/>
  <c r="L187" s="1"/>
  <c r="AG183"/>
  <c r="AF183"/>
  <c r="AE183"/>
  <c r="AD183"/>
  <c r="AC183"/>
  <c r="AB183"/>
  <c r="Z183"/>
  <c r="Y183"/>
  <c r="X183"/>
  <c r="V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U182"/>
  <c r="AG181"/>
  <c r="AF181"/>
  <c r="AE181"/>
  <c r="AD181"/>
  <c r="AB181"/>
  <c r="Z181"/>
  <c r="Y181"/>
  <c r="X181"/>
  <c r="V181"/>
  <c r="T181"/>
  <c r="S181"/>
  <c r="R181"/>
  <c r="Q181"/>
  <c r="P181"/>
  <c r="O181"/>
  <c r="N181"/>
  <c r="M181"/>
  <c r="K181"/>
  <c r="J181"/>
  <c r="I181"/>
  <c r="H181"/>
  <c r="AC180"/>
  <c r="L180"/>
  <c r="U180" s="1"/>
  <c r="AC177"/>
  <c r="AC175"/>
  <c r="L175"/>
  <c r="M173"/>
  <c r="AC172"/>
  <c r="U172"/>
  <c r="U169"/>
  <c r="AA167"/>
  <c r="AG166"/>
  <c r="AF166"/>
  <c r="AE166"/>
  <c r="AD166"/>
  <c r="AC166"/>
  <c r="AB166"/>
  <c r="AA166"/>
  <c r="Z166"/>
  <c r="Y166"/>
  <c r="X166"/>
  <c r="W166"/>
  <c r="V166"/>
  <c r="U166"/>
  <c r="AD163"/>
  <c r="AB163"/>
  <c r="Z163"/>
  <c r="Y163"/>
  <c r="V163"/>
  <c r="S163"/>
  <c r="R163"/>
  <c r="Q163"/>
  <c r="P163"/>
  <c r="O163"/>
  <c r="N163"/>
  <c r="K163"/>
  <c r="J163"/>
  <c r="I163"/>
  <c r="G163"/>
  <c r="F163"/>
  <c r="C163"/>
  <c r="AF162"/>
  <c r="AE162"/>
  <c r="AC162"/>
  <c r="M162"/>
  <c r="L162"/>
  <c r="D162"/>
  <c r="E162" s="1"/>
  <c r="H162" s="1"/>
  <c r="AG160"/>
  <c r="AE160"/>
  <c r="AC160"/>
  <c r="AA160"/>
  <c r="AE159"/>
  <c r="AC157"/>
  <c r="H157"/>
  <c r="U157" s="1"/>
  <c r="D157"/>
  <c r="AC156"/>
  <c r="M156"/>
  <c r="U156" s="1"/>
  <c r="AF155"/>
  <c r="AE155"/>
  <c r="AC155"/>
  <c r="M155"/>
  <c r="L155"/>
  <c r="D155"/>
  <c r="AC154"/>
  <c r="H154"/>
  <c r="U154" s="1"/>
  <c r="W154" s="1"/>
  <c r="AA154" s="1"/>
  <c r="AC153"/>
  <c r="D153"/>
  <c r="E153" s="1"/>
  <c r="H153" s="1"/>
  <c r="U153" s="1"/>
  <c r="AC152"/>
  <c r="L152"/>
  <c r="E152"/>
  <c r="H152" s="1"/>
  <c r="AC151"/>
  <c r="E151"/>
  <c r="H151" s="1"/>
  <c r="U151" s="1"/>
  <c r="AC150"/>
  <c r="E150"/>
  <c r="H150" s="1"/>
  <c r="U150" s="1"/>
  <c r="W150" s="1"/>
  <c r="AA150" s="1"/>
  <c r="AC149"/>
  <c r="AG148"/>
  <c r="AE148"/>
  <c r="AC148"/>
  <c r="L148"/>
  <c r="E148"/>
  <c r="H148" s="1"/>
  <c r="AC147"/>
  <c r="L147"/>
  <c r="E147"/>
  <c r="H147" s="1"/>
  <c r="AH163"/>
  <c r="AC146"/>
  <c r="M146"/>
  <c r="L146"/>
  <c r="D146"/>
  <c r="E146" s="1"/>
  <c r="H146" s="1"/>
  <c r="AF145"/>
  <c r="AC145"/>
  <c r="AF144"/>
  <c r="AC144"/>
  <c r="M144"/>
  <c r="L144"/>
  <c r="D144"/>
  <c r="E144" s="1"/>
  <c r="H144" s="1"/>
  <c r="AC143"/>
  <c r="X143"/>
  <c r="M143"/>
  <c r="U143" s="1"/>
  <c r="AG142"/>
  <c r="AE142"/>
  <c r="AF141"/>
  <c r="AE141"/>
  <c r="AC141"/>
  <c r="M141"/>
  <c r="L141"/>
  <c r="D141"/>
  <c r="E141" s="1"/>
  <c r="H141" s="1"/>
  <c r="AF140"/>
  <c r="AC140"/>
  <c r="AA140"/>
  <c r="AC139"/>
  <c r="L139"/>
  <c r="H139"/>
  <c r="AC138"/>
  <c r="U138"/>
  <c r="W138" s="1"/>
  <c r="AA138" s="1"/>
  <c r="AC137"/>
  <c r="D137"/>
  <c r="AG136"/>
  <c r="AB136"/>
  <c r="V136"/>
  <c r="S136"/>
  <c r="R136"/>
  <c r="Q136"/>
  <c r="P136"/>
  <c r="O136"/>
  <c r="N136"/>
  <c r="K136"/>
  <c r="I136"/>
  <c r="G136"/>
  <c r="F136"/>
  <c r="D136"/>
  <c r="AF135"/>
  <c r="AF136" s="1"/>
  <c r="AE135"/>
  <c r="AE136" s="1"/>
  <c r="AD135"/>
  <c r="AD136" s="1"/>
  <c r="Z135"/>
  <c r="AC135" s="1"/>
  <c r="AC136" s="1"/>
  <c r="Y135"/>
  <c r="Y136" s="1"/>
  <c r="X135"/>
  <c r="X136" s="1"/>
  <c r="T135"/>
  <c r="T136" s="1"/>
  <c r="M135"/>
  <c r="M136" s="1"/>
  <c r="L135"/>
  <c r="L136" s="1"/>
  <c r="J135"/>
  <c r="J136" s="1"/>
  <c r="E135"/>
  <c r="E136" s="1"/>
  <c r="C135"/>
  <c r="C136" s="1"/>
  <c r="B135"/>
  <c r="AF132"/>
  <c r="AC132"/>
  <c r="AC126"/>
  <c r="H126"/>
  <c r="U126" s="1"/>
  <c r="AC124"/>
  <c r="AG120"/>
  <c r="AC119"/>
  <c r="H119"/>
  <c r="U119" s="1"/>
  <c r="AC117"/>
  <c r="AC116"/>
  <c r="U116"/>
  <c r="AC115"/>
  <c r="U115"/>
  <c r="AC114"/>
  <c r="T114"/>
  <c r="H114"/>
  <c r="AC113"/>
  <c r="E113"/>
  <c r="AC111"/>
  <c r="X111"/>
  <c r="L111"/>
  <c r="U111" s="1"/>
  <c r="W111" s="1"/>
  <c r="AC110"/>
  <c r="U110"/>
  <c r="W110" s="1"/>
  <c r="AC109"/>
  <c r="L109"/>
  <c r="U109" s="1"/>
  <c r="W109" s="1"/>
  <c r="AA109" s="1"/>
  <c r="AC108"/>
  <c r="L108"/>
  <c r="U108" s="1"/>
  <c r="AC106"/>
  <c r="L106"/>
  <c r="U106" s="1"/>
  <c r="W106" s="1"/>
  <c r="AA106" s="1"/>
  <c r="AC105"/>
  <c r="L105"/>
  <c r="U105" s="1"/>
  <c r="AC104"/>
  <c r="W104"/>
  <c r="AA104" s="1"/>
  <c r="L104"/>
  <c r="AC100"/>
  <c r="L100"/>
  <c r="U100" s="1"/>
  <c r="W100" s="1"/>
  <c r="AA100" s="1"/>
  <c r="AC99"/>
  <c r="L99"/>
  <c r="U99" s="1"/>
  <c r="AC98"/>
  <c r="L98"/>
  <c r="U98" s="1"/>
  <c r="AC97"/>
  <c r="L97"/>
  <c r="U97" s="1"/>
  <c r="AC96"/>
  <c r="L96"/>
  <c r="U96" s="1"/>
  <c r="W96" s="1"/>
  <c r="AA96" s="1"/>
  <c r="AC95"/>
  <c r="T95"/>
  <c r="L95"/>
  <c r="AC94"/>
  <c r="L94"/>
  <c r="H94"/>
  <c r="AG93"/>
  <c r="AF93"/>
  <c r="AE93"/>
  <c r="AD93"/>
  <c r="AC93"/>
  <c r="AB93"/>
  <c r="Z93"/>
  <c r="Y93"/>
  <c r="X93"/>
  <c r="V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U92"/>
  <c r="W92" s="1"/>
  <c r="AG91"/>
  <c r="AD91"/>
  <c r="AB91"/>
  <c r="Z91"/>
  <c r="Y91"/>
  <c r="S91"/>
  <c r="R91"/>
  <c r="Q91"/>
  <c r="P91"/>
  <c r="O91"/>
  <c r="N91"/>
  <c r="G91"/>
  <c r="F91"/>
  <c r="AF90"/>
  <c r="AC90"/>
  <c r="M90"/>
  <c r="M91" s="1"/>
  <c r="L90"/>
  <c r="E90"/>
  <c r="C90"/>
  <c r="B90"/>
  <c r="AC88"/>
  <c r="I88"/>
  <c r="I91" s="1"/>
  <c r="E88"/>
  <c r="D88"/>
  <c r="AC87"/>
  <c r="U87"/>
  <c r="W87" s="1"/>
  <c r="AA87" s="1"/>
  <c r="E87"/>
  <c r="AC86"/>
  <c r="U86"/>
  <c r="AC84"/>
  <c r="U84"/>
  <c r="W84" s="1"/>
  <c r="AA84" s="1"/>
  <c r="AC82"/>
  <c r="U82"/>
  <c r="W82" s="1"/>
  <c r="AA82" s="1"/>
  <c r="AC81"/>
  <c r="L81"/>
  <c r="U81" s="1"/>
  <c r="W81" s="1"/>
  <c r="AC80"/>
  <c r="L80"/>
  <c r="U80" s="1"/>
  <c r="W80" s="1"/>
  <c r="AA80" s="1"/>
  <c r="AC79"/>
  <c r="L79"/>
  <c r="H79"/>
  <c r="AC78"/>
  <c r="H78"/>
  <c r="U78" s="1"/>
  <c r="W78" s="1"/>
  <c r="AA78" s="1"/>
  <c r="AF77"/>
  <c r="AC77"/>
  <c r="V77"/>
  <c r="V91" s="1"/>
  <c r="L77"/>
  <c r="E77"/>
  <c r="H77" s="1"/>
  <c r="X91"/>
  <c r="K91"/>
  <c r="AE76"/>
  <c r="AC76"/>
  <c r="H76"/>
  <c r="U76" s="1"/>
  <c r="AC75"/>
  <c r="L75"/>
  <c r="J75"/>
  <c r="E75"/>
  <c r="H75" s="1"/>
  <c r="AC74"/>
  <c r="AA74"/>
  <c r="H74"/>
  <c r="U74" s="1"/>
  <c r="AC73"/>
  <c r="H73"/>
  <c r="U73" s="1"/>
  <c r="AC72"/>
  <c r="AA72"/>
  <c r="U72"/>
  <c r="AC71"/>
  <c r="U71"/>
  <c r="W71" s="1"/>
  <c r="AC69"/>
  <c r="U69"/>
  <c r="AC68"/>
  <c r="U68"/>
  <c r="AC67"/>
  <c r="L67"/>
  <c r="U67" s="1"/>
  <c r="AE66"/>
  <c r="AC66"/>
  <c r="L66"/>
  <c r="U66" s="1"/>
  <c r="AC65"/>
  <c r="AC64"/>
  <c r="U64"/>
  <c r="W64" s="1"/>
  <c r="AA64" s="1"/>
  <c r="AC63"/>
  <c r="L63"/>
  <c r="U63" s="1"/>
  <c r="AC62"/>
  <c r="U62"/>
  <c r="W62" s="1"/>
  <c r="AA62" s="1"/>
  <c r="AC61"/>
  <c r="AA61"/>
  <c r="AC60"/>
  <c r="U60"/>
  <c r="W60" s="1"/>
  <c r="AA60" s="1"/>
  <c r="AC58"/>
  <c r="D58"/>
  <c r="E58" s="1"/>
  <c r="H58" s="1"/>
  <c r="U58" s="1"/>
  <c r="AC57"/>
  <c r="H57"/>
  <c r="U57" s="1"/>
  <c r="AC56"/>
  <c r="H56"/>
  <c r="U56" s="1"/>
  <c r="D56"/>
  <c r="AC55"/>
  <c r="H55"/>
  <c r="U55" s="1"/>
  <c r="W55" s="1"/>
  <c r="AA55" s="1"/>
  <c r="AC54"/>
  <c r="D54"/>
  <c r="E54" s="1"/>
  <c r="H54" s="1"/>
  <c r="U54" s="1"/>
  <c r="AC53"/>
  <c r="D53"/>
  <c r="E53" s="1"/>
  <c r="H53" s="1"/>
  <c r="U53" s="1"/>
  <c r="W53" s="1"/>
  <c r="AA53" s="1"/>
  <c r="U52"/>
  <c r="AC51"/>
  <c r="D51"/>
  <c r="E51" s="1"/>
  <c r="H51" s="1"/>
  <c r="U51" s="1"/>
  <c r="AF50"/>
  <c r="AC50"/>
  <c r="X50"/>
  <c r="M50"/>
  <c r="E50"/>
  <c r="B50"/>
  <c r="AB49"/>
  <c r="AC49" s="1"/>
  <c r="D49"/>
  <c r="E49" s="1"/>
  <c r="H49" s="1"/>
  <c r="U49" s="1"/>
  <c r="W49" s="1"/>
  <c r="AA49" s="1"/>
  <c r="AC48"/>
  <c r="U48"/>
  <c r="AC47"/>
  <c r="L47"/>
  <c r="H47"/>
  <c r="D47"/>
  <c r="AC46"/>
  <c r="H46"/>
  <c r="U46" s="1"/>
  <c r="D46"/>
  <c r="AC45"/>
  <c r="H45"/>
  <c r="U45" s="1"/>
  <c r="D45"/>
  <c r="AC44"/>
  <c r="L44"/>
  <c r="H44"/>
  <c r="D44"/>
  <c r="AG43"/>
  <c r="AD43"/>
  <c r="AB43"/>
  <c r="Z43"/>
  <c r="Y43"/>
  <c r="V43"/>
  <c r="S43"/>
  <c r="R43"/>
  <c r="Q43"/>
  <c r="P43"/>
  <c r="O43"/>
  <c r="N43"/>
  <c r="K43"/>
  <c r="J43"/>
  <c r="I43"/>
  <c r="G43"/>
  <c r="F43"/>
  <c r="D43"/>
  <c r="C43"/>
  <c r="B43"/>
  <c r="AE42"/>
  <c r="AC42"/>
  <c r="AE41"/>
  <c r="AC41"/>
  <c r="AE40"/>
  <c r="AC40"/>
  <c r="T40"/>
  <c r="T43" s="1"/>
  <c r="M40"/>
  <c r="M43" s="1"/>
  <c r="L40"/>
  <c r="E40"/>
  <c r="H40" s="1"/>
  <c r="AE39"/>
  <c r="AC39"/>
  <c r="AE38"/>
  <c r="AC38"/>
  <c r="AF37"/>
  <c r="AE37"/>
  <c r="AC37"/>
  <c r="X37"/>
  <c r="AE36"/>
  <c r="AC36"/>
  <c r="W36"/>
  <c r="AA36" s="1"/>
  <c r="AC35"/>
  <c r="L35"/>
  <c r="H35"/>
  <c r="AC34"/>
  <c r="L34"/>
  <c r="E34"/>
  <c r="H34" s="1"/>
  <c r="AC32"/>
  <c r="L32"/>
  <c r="U32" s="1"/>
  <c r="AC31"/>
  <c r="E31"/>
  <c r="H31" s="1"/>
  <c r="U31" s="1"/>
  <c r="AC30"/>
  <c r="E30"/>
  <c r="AF29"/>
  <c r="AC29"/>
  <c r="X29"/>
  <c r="AC28"/>
  <c r="X28"/>
  <c r="L28"/>
  <c r="E28"/>
  <c r="H28" s="1"/>
  <c r="AG27"/>
  <c r="AF27"/>
  <c r="AE27"/>
  <c r="AD27"/>
  <c r="AB27"/>
  <c r="Z27"/>
  <c r="Y27"/>
  <c r="V27"/>
  <c r="S27"/>
  <c r="R27"/>
  <c r="Q27"/>
  <c r="P27"/>
  <c r="O27"/>
  <c r="N27"/>
  <c r="M27"/>
  <c r="L27"/>
  <c r="K27"/>
  <c r="J27"/>
  <c r="I27"/>
  <c r="G27"/>
  <c r="F27"/>
  <c r="E27"/>
  <c r="D27"/>
  <c r="C27"/>
  <c r="B27"/>
  <c r="AC26"/>
  <c r="H26"/>
  <c r="H27" s="1"/>
  <c r="AC25"/>
  <c r="X25"/>
  <c r="X27" s="1"/>
  <c r="T25"/>
  <c r="T27" s="1"/>
  <c r="AG24"/>
  <c r="AF24"/>
  <c r="AD24"/>
  <c r="Y24"/>
  <c r="V24"/>
  <c r="T24"/>
  <c r="S24"/>
  <c r="R24"/>
  <c r="Q24"/>
  <c r="P24"/>
  <c r="O24"/>
  <c r="N24"/>
  <c r="M24"/>
  <c r="K24"/>
  <c r="J24"/>
  <c r="I24"/>
  <c r="G24"/>
  <c r="F24"/>
  <c r="E24"/>
  <c r="D24"/>
  <c r="C24"/>
  <c r="B24"/>
  <c r="AC22"/>
  <c r="H22"/>
  <c r="U22" s="1"/>
  <c r="AE20"/>
  <c r="AE24" s="1"/>
  <c r="AC20"/>
  <c r="H20"/>
  <c r="U20" s="1"/>
  <c r="AB19"/>
  <c r="AB24" s="1"/>
  <c r="Z19"/>
  <c r="Z24" s="1"/>
  <c r="H19"/>
  <c r="U19" s="1"/>
  <c r="AC18"/>
  <c r="U18"/>
  <c r="W18" s="1"/>
  <c r="AA18" s="1"/>
  <c r="AC17"/>
  <c r="U17"/>
  <c r="W17" s="1"/>
  <c r="AA17" s="1"/>
  <c r="AC16"/>
  <c r="U16"/>
  <c r="W16" s="1"/>
  <c r="AA16" s="1"/>
  <c r="AC15"/>
  <c r="U15"/>
  <c r="AC14"/>
  <c r="U14"/>
  <c r="W14" s="1"/>
  <c r="AA14" s="1"/>
  <c r="AC13"/>
  <c r="U13"/>
  <c r="AC12"/>
  <c r="X12"/>
  <c r="X24" s="1"/>
  <c r="L12"/>
  <c r="L24" s="1"/>
  <c r="H12"/>
  <c r="AA10"/>
  <c r="AA9"/>
  <c r="W68" l="1"/>
  <c r="AA68" s="1"/>
  <c r="W172"/>
  <c r="AA172" s="1"/>
  <c r="AF198"/>
  <c r="AF192" s="1"/>
  <c r="W15"/>
  <c r="AA15" s="1"/>
  <c r="V198"/>
  <c r="V192" s="1"/>
  <c r="U47"/>
  <c r="W47" s="1"/>
  <c r="AA47" s="1"/>
  <c r="D205"/>
  <c r="M205"/>
  <c r="V205"/>
  <c r="AE205"/>
  <c r="W86"/>
  <c r="AA86" s="1"/>
  <c r="J88"/>
  <c r="J91" s="1"/>
  <c r="U114"/>
  <c r="AD205"/>
  <c r="W115"/>
  <c r="AA115" s="1"/>
  <c r="M204"/>
  <c r="M199" s="1"/>
  <c r="E217"/>
  <c r="S217"/>
  <c r="C217"/>
  <c r="AB217"/>
  <c r="H135"/>
  <c r="U135" s="1"/>
  <c r="U141"/>
  <c r="W141" s="1"/>
  <c r="AA141" s="1"/>
  <c r="U195"/>
  <c r="AA195" s="1"/>
  <c r="U222"/>
  <c r="L43"/>
  <c r="U155"/>
  <c r="W155" s="1"/>
  <c r="X155" s="1"/>
  <c r="X163" s="1"/>
  <c r="U79"/>
  <c r="W79" s="1"/>
  <c r="AA79" s="1"/>
  <c r="U44"/>
  <c r="W105"/>
  <c r="AA105" s="1"/>
  <c r="U186"/>
  <c r="U187" s="1"/>
  <c r="AB205"/>
  <c r="B217"/>
  <c r="U225"/>
  <c r="W69"/>
  <c r="AA69" s="1"/>
  <c r="W67"/>
  <c r="AA67" s="1"/>
  <c r="G217"/>
  <c r="Y217"/>
  <c r="Q217"/>
  <c r="M217"/>
  <c r="L205"/>
  <c r="AD217"/>
  <c r="P205"/>
  <c r="Y205"/>
  <c r="J205"/>
  <c r="N217"/>
  <c r="AG205"/>
  <c r="D217"/>
  <c r="V217"/>
  <c r="P217"/>
  <c r="AC217"/>
  <c r="F217"/>
  <c r="W93"/>
  <c r="AA92"/>
  <c r="AA93" s="1"/>
  <c r="W31"/>
  <c r="AA31" s="1"/>
  <c r="AG163"/>
  <c r="W22"/>
  <c r="AA22" s="1"/>
  <c r="X43"/>
  <c r="U34"/>
  <c r="W34" s="1"/>
  <c r="AA34" s="1"/>
  <c r="U88"/>
  <c r="W88" s="1"/>
  <c r="AA88" s="1"/>
  <c r="U93"/>
  <c r="W97"/>
  <c r="AA97" s="1"/>
  <c r="W169"/>
  <c r="AC181"/>
  <c r="AE198"/>
  <c r="AE192" s="1"/>
  <c r="H197"/>
  <c r="H198" s="1"/>
  <c r="H192" s="1"/>
  <c r="F205"/>
  <c r="O205"/>
  <c r="X205"/>
  <c r="U28"/>
  <c r="W28" s="1"/>
  <c r="T205"/>
  <c r="U230"/>
  <c r="V230" s="1"/>
  <c r="V231" s="1"/>
  <c r="U183"/>
  <c r="U152"/>
  <c r="W152" s="1"/>
  <c r="AA152" s="1"/>
  <c r="W13"/>
  <c r="AA13" s="1"/>
  <c r="AF43"/>
  <c r="W32"/>
  <c r="AA32" s="1"/>
  <c r="U35"/>
  <c r="AE91"/>
  <c r="W5"/>
  <c r="W116"/>
  <c r="X217"/>
  <c r="AG217"/>
  <c r="Z217"/>
  <c r="N205"/>
  <c r="AC19"/>
  <c r="AC24" s="1"/>
  <c r="W182"/>
  <c r="W183" s="1"/>
  <c r="AF217"/>
  <c r="AA224"/>
  <c r="U75"/>
  <c r="C91"/>
  <c r="T91"/>
  <c r="B136"/>
  <c r="U148"/>
  <c r="W148" s="1"/>
  <c r="AA148" s="1"/>
  <c r="X198"/>
  <c r="X192" s="1"/>
  <c r="U26"/>
  <c r="W26" s="1"/>
  <c r="AA26" s="1"/>
  <c r="U40"/>
  <c r="W40" s="1"/>
  <c r="AA40" s="1"/>
  <c r="W51"/>
  <c r="AA51" s="1"/>
  <c r="AF91"/>
  <c r="H90"/>
  <c r="U90" s="1"/>
  <c r="W90" s="1"/>
  <c r="AA90" s="1"/>
  <c r="Z136"/>
  <c r="E205"/>
  <c r="R217"/>
  <c r="E91"/>
  <c r="AC163"/>
  <c r="U147"/>
  <c r="W147" s="1"/>
  <c r="AA147" s="1"/>
  <c r="J217"/>
  <c r="U146"/>
  <c r="W146" s="1"/>
  <c r="AA146" s="1"/>
  <c r="M163"/>
  <c r="M198"/>
  <c r="M192" s="1"/>
  <c r="U203"/>
  <c r="AA203" s="1"/>
  <c r="O217"/>
  <c r="W217"/>
  <c r="L223"/>
  <c r="B163"/>
  <c r="AC27"/>
  <c r="U77"/>
  <c r="W77" s="1"/>
  <c r="AA77" s="1"/>
  <c r="U25"/>
  <c r="W25" s="1"/>
  <c r="W98"/>
  <c r="AA98" s="1"/>
  <c r="I205"/>
  <c r="Q205"/>
  <c r="Z205"/>
  <c r="R205"/>
  <c r="AE217"/>
  <c r="F191"/>
  <c r="W205"/>
  <c r="G205"/>
  <c r="C205"/>
  <c r="S205"/>
  <c r="W151"/>
  <c r="AA151" s="1"/>
  <c r="W46"/>
  <c r="W54"/>
  <c r="W188"/>
  <c r="U190"/>
  <c r="AA71"/>
  <c r="AA81"/>
  <c r="W99"/>
  <c r="AA99" s="1"/>
  <c r="D50"/>
  <c r="T163"/>
  <c r="U175"/>
  <c r="L181"/>
  <c r="W56"/>
  <c r="W63"/>
  <c r="E137"/>
  <c r="D163"/>
  <c r="H24"/>
  <c r="G191"/>
  <c r="AC91"/>
  <c r="AA111"/>
  <c r="U144"/>
  <c r="U162"/>
  <c r="W20"/>
  <c r="AA20" s="1"/>
  <c r="W45"/>
  <c r="AA45" s="1"/>
  <c r="W66"/>
  <c r="L91"/>
  <c r="W108"/>
  <c r="AA108" s="1"/>
  <c r="W119"/>
  <c r="AE163"/>
  <c r="W156"/>
  <c r="AA156" s="1"/>
  <c r="H190"/>
  <c r="AA196"/>
  <c r="AF205"/>
  <c r="W19"/>
  <c r="AA19" s="1"/>
  <c r="W73"/>
  <c r="W153"/>
  <c r="W157"/>
  <c r="B214"/>
  <c r="B205" s="1"/>
  <c r="H208"/>
  <c r="W58"/>
  <c r="U218"/>
  <c r="H220"/>
  <c r="H217" s="1"/>
  <c r="U173"/>
  <c r="L163"/>
  <c r="AF163"/>
  <c r="AC205"/>
  <c r="H216"/>
  <c r="AA110"/>
  <c r="W126"/>
  <c r="AA126" s="1"/>
  <c r="U12"/>
  <c r="H50"/>
  <c r="U50" s="1"/>
  <c r="U94"/>
  <c r="U95"/>
  <c r="U139"/>
  <c r="L198"/>
  <c r="L192" s="1"/>
  <c r="U197"/>
  <c r="B198"/>
  <c r="B192" s="1"/>
  <c r="W57"/>
  <c r="W76"/>
  <c r="D90"/>
  <c r="B91"/>
  <c r="W180"/>
  <c r="E43"/>
  <c r="H30"/>
  <c r="H113"/>
  <c r="B204"/>
  <c r="B199" s="1"/>
  <c r="H201"/>
  <c r="AC43"/>
  <c r="I191"/>
  <c r="AE43"/>
  <c r="W143"/>
  <c r="AA143" s="1"/>
  <c r="J190"/>
  <c r="U200"/>
  <c r="K205"/>
  <c r="AE227"/>
  <c r="U198" l="1"/>
  <c r="U192" s="1"/>
  <c r="U227"/>
  <c r="W114"/>
  <c r="AA114" s="1"/>
  <c r="H91"/>
  <c r="W186"/>
  <c r="W187" s="1"/>
  <c r="AA230"/>
  <c r="AA169"/>
  <c r="U226"/>
  <c r="U223" s="1"/>
  <c r="U231"/>
  <c r="W44"/>
  <c r="AA44" s="1"/>
  <c r="AA155"/>
  <c r="AA182"/>
  <c r="AA183" s="1"/>
  <c r="Y232"/>
  <c r="C191"/>
  <c r="V227"/>
  <c r="V232" s="1"/>
  <c r="W230"/>
  <c r="H136"/>
  <c r="AA225"/>
  <c r="AA226" s="1"/>
  <c r="AA223" s="1"/>
  <c r="AD232"/>
  <c r="B191"/>
  <c r="X232"/>
  <c r="U27"/>
  <c r="O232"/>
  <c r="N232"/>
  <c r="P232"/>
  <c r="AG232"/>
  <c r="T232"/>
  <c r="B232"/>
  <c r="AF232"/>
  <c r="S232"/>
  <c r="W35"/>
  <c r="AA35" s="1"/>
  <c r="M232"/>
  <c r="R232"/>
  <c r="F232"/>
  <c r="I232"/>
  <c r="J232"/>
  <c r="Z232"/>
  <c r="D91"/>
  <c r="D191" s="1"/>
  <c r="J191"/>
  <c r="AE232"/>
  <c r="Q232"/>
  <c r="AC232"/>
  <c r="W75"/>
  <c r="K232"/>
  <c r="G232"/>
  <c r="C232"/>
  <c r="L232"/>
  <c r="AB232"/>
  <c r="AA58"/>
  <c r="AA73"/>
  <c r="AA56"/>
  <c r="W27"/>
  <c r="AA25"/>
  <c r="AA27" s="1"/>
  <c r="AA180"/>
  <c r="W144"/>
  <c r="AA144" s="1"/>
  <c r="E163"/>
  <c r="E191" s="1"/>
  <c r="H137"/>
  <c r="W175"/>
  <c r="U181"/>
  <c r="AA57"/>
  <c r="W173"/>
  <c r="U208"/>
  <c r="H214"/>
  <c r="H205" s="1"/>
  <c r="AA63"/>
  <c r="AA54"/>
  <c r="AA218"/>
  <c r="AA220" s="1"/>
  <c r="AA217" s="1"/>
  <c r="U220"/>
  <c r="U217" s="1"/>
  <c r="H43"/>
  <c r="U30"/>
  <c r="AA76"/>
  <c r="AA28"/>
  <c r="AA157"/>
  <c r="AA66"/>
  <c r="AA200"/>
  <c r="U113"/>
  <c r="AA46"/>
  <c r="U136"/>
  <c r="W135"/>
  <c r="AA197"/>
  <c r="AA198" s="1"/>
  <c r="AA192" s="1"/>
  <c r="W139"/>
  <c r="AA139" s="1"/>
  <c r="W94"/>
  <c r="W12"/>
  <c r="U24"/>
  <c r="AA153"/>
  <c r="H204"/>
  <c r="H199" s="1"/>
  <c r="U201"/>
  <c r="U204" s="1"/>
  <c r="U199" s="1"/>
  <c r="W162"/>
  <c r="AA162" s="1"/>
  <c r="W190"/>
  <c r="AA188"/>
  <c r="AA190" s="1"/>
  <c r="W95"/>
  <c r="AA95" s="1"/>
  <c r="W50"/>
  <c r="AA50" s="1"/>
  <c r="AA119"/>
  <c r="U91"/>
  <c r="AA231" l="1"/>
  <c r="AA227"/>
  <c r="AA186"/>
  <c r="AA187" s="1"/>
  <c r="W227"/>
  <c r="W231"/>
  <c r="D232"/>
  <c r="W91"/>
  <c r="AA75"/>
  <c r="AA91" s="1"/>
  <c r="AE5"/>
  <c r="W24"/>
  <c r="AA12"/>
  <c r="AA24" s="1"/>
  <c r="AA208"/>
  <c r="AA214" s="1"/>
  <c r="AA205" s="1"/>
  <c r="U214"/>
  <c r="U205" s="1"/>
  <c r="H163"/>
  <c r="H232" s="1"/>
  <c r="U137"/>
  <c r="E232"/>
  <c r="AA135"/>
  <c r="AA136" s="1"/>
  <c r="W136"/>
  <c r="W30"/>
  <c r="U43"/>
  <c r="W181"/>
  <c r="AA175"/>
  <c r="AA181" s="1"/>
  <c r="AA201"/>
  <c r="AA204" s="1"/>
  <c r="AA199" s="1"/>
  <c r="AA94"/>
  <c r="W113"/>
  <c r="AA113" s="1"/>
  <c r="AA173"/>
  <c r="U163" l="1"/>
  <c r="U232" s="1"/>
  <c r="W137"/>
  <c r="AA30"/>
  <c r="AA43" s="1"/>
  <c r="W43"/>
  <c r="W163" l="1"/>
  <c r="W232" s="1"/>
  <c r="AA137"/>
  <c r="AA163" s="1"/>
  <c r="AA232" s="1"/>
  <c r="AH7" l="1"/>
</calcChain>
</file>

<file path=xl/sharedStrings.xml><?xml version="1.0" encoding="utf-8"?>
<sst xmlns="http://schemas.openxmlformats.org/spreadsheetml/2006/main" count="253" uniqueCount="236">
  <si>
    <t>Наименование межбюджетного трансферта</t>
  </si>
  <si>
    <t>Процедуры возврата остатков в федеральный бюджет и в бюджет субъекта РФ</t>
  </si>
  <si>
    <t>возвращено в местные бюджеты</t>
  </si>
  <si>
    <t>поступило в 2013 году</t>
  </si>
  <si>
    <t>восстановлено в областной бюджет в 2013 году</t>
  </si>
  <si>
    <t>кассовые расходы областного бюджета</t>
  </si>
  <si>
    <t>остаток на счете областного бюджета на 01.01.2014</t>
  </si>
  <si>
    <t>поступило в 2014 году</t>
  </si>
  <si>
    <t>восстановлено в областной бюджет в 2014 году</t>
  </si>
  <si>
    <t>подлежит возврату в федеральный бюджет  в безусловном порядке до 29.01.2013</t>
  </si>
  <si>
    <r>
      <t>возвращено в федеральный бюджет</t>
    </r>
    <r>
      <rPr>
        <sz val="13"/>
        <rFont val="Times New Roman"/>
        <family val="1"/>
        <charset val="204"/>
      </rPr>
      <t xml:space="preserve"> из бюджета субъекта РФ (области)</t>
    </r>
  </si>
  <si>
    <r>
      <t>направлены обращения</t>
    </r>
    <r>
      <rPr>
        <sz val="13"/>
        <rFont val="Times New Roman"/>
        <family val="1"/>
        <charset val="204"/>
      </rPr>
      <t xml:space="preserve">  федеральным ИОГВ  о возврате  остатков в бюджет субъекта РФ </t>
    </r>
  </si>
  <si>
    <r>
      <t xml:space="preserve">федеральным ИОГВ </t>
    </r>
    <r>
      <rPr>
        <b/>
        <sz val="13"/>
        <rFont val="Times New Roman"/>
        <family val="1"/>
        <charset val="204"/>
      </rPr>
      <t>подтверждена потребность</t>
    </r>
    <r>
      <rPr>
        <sz val="13"/>
        <rFont val="Times New Roman"/>
        <family val="1"/>
        <charset val="204"/>
      </rPr>
      <t xml:space="preserve"> в использовании  на те же цели </t>
    </r>
  </si>
  <si>
    <t>остаток на счете областного бюджета после возврата в федеральный бюджет</t>
  </si>
  <si>
    <r>
      <t xml:space="preserve">возвращено из федерального бюджета </t>
    </r>
    <r>
      <rPr>
        <sz val="13"/>
        <rFont val="Times New Roman"/>
        <family val="1"/>
        <charset val="204"/>
      </rPr>
      <t>в  2013 году для использования на те же цели</t>
    </r>
  </si>
  <si>
    <r>
      <t xml:space="preserve">не поступило из федерального бюджета </t>
    </r>
    <r>
      <rPr>
        <sz val="13"/>
        <rFont val="Times New Roman"/>
        <family val="1"/>
        <charset val="204"/>
      </rPr>
      <t xml:space="preserve"> из заявленных в обращениях сумм</t>
    </r>
  </si>
  <si>
    <t>подлежит возврату в федеральный бюджет  в безусловном порядке до 29.01.2014</t>
  </si>
  <si>
    <r>
      <t xml:space="preserve">возвращено из федерального бюджета </t>
    </r>
    <r>
      <rPr>
        <sz val="13"/>
        <rFont val="Times New Roman"/>
        <family val="1"/>
        <charset val="204"/>
      </rPr>
      <t>в  2014 году для использования на те же цели</t>
    </r>
  </si>
  <si>
    <t>9 =8-6</t>
  </si>
  <si>
    <t xml:space="preserve">  Субсидии бюджетам субъектов РФ на бюджетные инвестиции в объекты капитального строительства государственной собственности субъектов РФ (объекты капитального строительства собственности муниципальных образований)</t>
  </si>
  <si>
    <t>Субсидии бюджетам субъектов Российской Федерации и муниципальных образований в рамках федеральной  целевой программы  "Развитие      водохозяйственного комплекса Российской Федерации  в  2012 - 2020 годах" 690</t>
  </si>
  <si>
    <t>Субсидии бюджетам субъектов Российской Федерации на бюджетные инвестиции в объекты капитального строительства государственной собственности субъектов Российской Федерации 264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</si>
  <si>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(501)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</si>
  <si>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годы(506)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</si>
  <si>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(507)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</si>
  <si>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(508)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</si>
  <si>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(509)</t>
  </si>
  <si>
    <t>Субсидии бюджетам субъектов Российской Федерации и муниципальных образований в рамках федеральной целевой программы "Развитие физической культуры и спорта  в Российской Федерации на 2006 - 2015 годы" на  расходы общепрограммного характера (595)</t>
  </si>
  <si>
    <t>Субсидии бюджетам субъектов Российской Федерации и муниципальных образований на реализацию Программы "Энергосбережение и повышение энергетической эффективности на период до 2020 года" 304 (гл.023+062+075+156)</t>
  </si>
  <si>
    <t>Итого по министерствуТЭК и ЖКХ Архангельской области</t>
  </si>
  <si>
    <t xml:space="preserve">    Субвенции бюджетам субъектов Российской Федерации на 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 (356)</t>
  </si>
  <si>
    <t xml:space="preserve">    Субвенции бюджетам субъектов Российской Федерации на 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 (355)</t>
  </si>
  <si>
    <t xml:space="preserve">  Субсидии бюджетам субъектов Российской Федерации на приобретение специализированной лесопожарной техники и оборудования</t>
  </si>
  <si>
    <t>субвенции бюджетам субъектов Российской Федерации на охрану и использование объектов животного мира (за исключением охотничьих ресурсов и водных биологических ресурсов) (340)</t>
  </si>
  <si>
    <t>Субсидии бюджетам субъектов Российской Федерации и муниципальных образований на мероприятия федеральной целевой программы "Развитие водохозяйственного комплекса Российской Федерации в 2012 - 2020 годах" государственной программы Российской Федерации "Воспроизводство и использование природных ресурсов" (692)</t>
  </si>
  <si>
    <t>Субвенции бюджетам субъектов Российской Федерации и муниципальных образований на охрану и использование охотничьих ресурсов (331)</t>
  </si>
  <si>
    <t xml:space="preserve"> Субвенции бюджетам субъектов Российской Федерации на осуществление отдельных полномочий в области лесных отношений (охрана лесов от пожаров)</t>
  </si>
  <si>
    <t>Субвенции бюджетам субъектов Российской Федерации на осуществление отдельных полномочий в области водных отношений 035</t>
  </si>
  <si>
    <t xml:space="preserve">  Субвенции бюджетам субъектов Российской Федерации на осуществление отдельных полномочий в области лесных отношений (073)</t>
  </si>
  <si>
    <t xml:space="preserve">  Субвенции бюджетам субъектов Российской Федерации на осуществление отдельных полномочий в области лесных отношений (072)</t>
  </si>
  <si>
    <t xml:space="preserve">  Субвенции бюджетам субъектов Российской Федерации на осуществление отдельных полномочий в области лесных отношений (054)</t>
  </si>
  <si>
    <t xml:space="preserve">  Субвенции бюджетам субъектов Российской Федерации на приобретение специализированной лесопожарной техники и оборудования (041)</t>
  </si>
  <si>
    <t>Итого по министерству природных ресурсов и лесопромышленного комплекса Архангельской области</t>
  </si>
  <si>
    <t xml:space="preserve">   Субвенции  на осуществление переданных полномочий Российской Федерации в области охраны здоровья граждан </t>
  </si>
  <si>
    <t xml:space="preserve">    Субсидии бюджетам субъектов Российской Федерации на закупки оборудования и расходных материалов для неонатального и аудиологического скрининга (142)</t>
  </si>
  <si>
    <t xml:space="preserve">    Субсидии бюджетам субъектов Российской Федерации на мероприятия по пренатальной (дородовой) диагностике 112</t>
  </si>
  <si>
    <t>Субвенции бюджетам субъектов Российской Федерации и муниципальных образований на оказание отдельным категориям граждан государственной социальной помощи  по обеспечению лекарственными средствами, изделиями медицинского назначения,  а также специализированными продуктами лечебного питания для детей-инвалидов 151</t>
  </si>
  <si>
    <t>Иные межбюджетные трансферты на реализацию отдельных полномочий в области лекарственного обеспечения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 155</t>
  </si>
  <si>
    <t>Субсидии бюджетам субъектов Российской Федерации на денежные выплаты медицинскому персоналу фельдшерско-акушерских пунктов, врачам, фельдшерам и медицинским сестрам скорой медицинской помощи 100</t>
  </si>
  <si>
    <t xml:space="preserve">    Субсидии бюджетам субъектов Российской Федерации на реализацию мероприятий по финансовому обеспечению оказания дополнительной медицинской помощи, оказываемой врачами-терапевтами участковыми, врачами-педиатрами участковыми, врачами общей практики (семейными врачами), медицинскими сестрами участковыми врачей-терапевтов участковых, врачей педиатров-участковых, медицинскими сестрами врачей общей практики (семейных врачей)</t>
  </si>
  <si>
    <t xml:space="preserve">  Субсидии бюджетам субъектов Российской Федерации на мероприятия по совершенствованию медицинской помощи больным с онкологическими заболеваниями</t>
  </si>
  <si>
    <t>Иные межбюджетные трансферты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 (131)</t>
  </si>
  <si>
    <t xml:space="preserve">  Субсидии бюджетам субъектов Российской Федерации на осуществление организационных мероприятий по обеспечению граждан лекарственными средствами, предназначенными для лечения больных гемофилией, муковисцидозом, гипофизарным нанизмом, болезнью Гоше (125)</t>
  </si>
  <si>
    <t xml:space="preserve">        Субсидии бюджетам субъектов Российской Федерации и муниципальных образований  на подпрограмму "Сахарный диабет" федеральной целевой программы "Предупреждение и борьба с социально значимыми заболеваниями (2007 - 2012 годы)"</t>
  </si>
  <si>
    <t xml:space="preserve">        Субсидии бюджетам субъектов Российской Федерации и муниципальных образований  в рамках федеральной целевой программы "Предупреждение и борьба с социально значимыми заболеваниями (2007 - 2012 годы)" на подпрограмму "Онкология"</t>
  </si>
  <si>
    <t xml:space="preserve">        Субсидии бюджетам субъектов Российской Федерации и муниципальных образований  на подпрограмму "Инфекции, передаваемые половым путем" федеральной целевой программы "Предупреждение и борьба с социально значимыми заболеваниями (2007 - 2012 годы)"</t>
  </si>
  <si>
    <t xml:space="preserve">        Субсидии бюджетам субъектов Российской Федерации и муниципальных образований  в рамках федеральной целевой программу "Предупреждение и борьба с социально значимыми заболеваниями (2007 - 2012 годы)" на подпрограмму "Психические расстройства"</t>
  </si>
  <si>
    <t xml:space="preserve">        Субсидии бюджетам субъектов Российской Федерации и муниципальных образований в рамках подпрограммы "Артериальная гипертония" федеральной целевой программы  "Предупреждение и борьба с социально значимыми заболеваниями (2007-2012 годы)"</t>
  </si>
  <si>
    <t>Субсидии бюджетам субъектов Российской Федерации и муниципальных образований на реализацию отдельных мероприятий Государственной программы Российской Федерации "Развитие здравоохранения"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 133</t>
  </si>
  <si>
    <t>Субсидии бюджетам субъектов Российской Федерации и муниципальных образований на мероприятия, направленные на формирование здорового образа жизни у населения Российской Федерации, включая сокрыщение потребления алкоголя и табака (134)</t>
  </si>
  <si>
    <t>Иные межбюджетные ьрнасферты на реализацию мероприятий по профилактике ВИЧ-инфекции и гепатитов В и С (148)</t>
  </si>
  <si>
    <t>Субсидии, передаваемые бюджетам субъектов Российской Федерации на финансовое обеспечение закупок антивирусных препаратов для профилактики и лечерия лиц, инфицированных вирусами иммунодефицита человека и гепатитов В и С (137)</t>
  </si>
  <si>
    <t>Межбюджетные трансферты, передаваемые бюджетам субъектов Российской Федерации на финансовое обеспечение закупок антивирусных препаратов для профилактики и лечерия лиц, инфицированных вирусами иммунодефицита человека и гепатитов В и С (138)</t>
  </si>
  <si>
    <t>Иные межбюджетные на реализацию мероприятий, направленных на обследование населения с целью выявления туберкулеза, лечения больных туберкулезом, профилактические мероприятия (128)</t>
  </si>
  <si>
    <t>Иные межбюджетные на реализацию мероприятий, направленных на обследование населения с целью выявления туберкулеза, лечения больных туберкулезом, профилактические мероприятия (129)</t>
  </si>
  <si>
    <t>субсидии бюджетам субъектов Российской Федерации на высокотехнологичные виды медицинской помощи 130</t>
  </si>
  <si>
    <t>Иные межбюджетные трансферты на отдельные полномочия в области обеспечения лекарственными препаратами</t>
  </si>
  <si>
    <t>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(второго порядка)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сувствительности микобактерии туберкулеза им мониторинга лечения больных туберкулезом с множественной лекарственной устойчивостью возбудителя 129</t>
  </si>
  <si>
    <t>Итого по министерству здравоохранения Архангельской области</t>
  </si>
  <si>
    <t>Иные межбюджетные трансферты на государственную поддержку муниципальных учреждений культутры, находящихся на территориях сельских поселений (091)</t>
  </si>
  <si>
    <t>Иные межбюджетные трансферты на государственную поддержку (грант) комплексного развития региональных и муниципальных учреждений культуры в рамках подпрограммы "Искусство" государственной программы Российской Федерации "Развитие культуры и туризма" 144</t>
  </si>
  <si>
    <t>Иные межбюджетные трансферты на государственную поддержку лучших работников муниципальных учреждений культуры, находящихся на территории сельских поселений (092)</t>
  </si>
  <si>
    <t>Иные межбюджетные трансферты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088</t>
  </si>
  <si>
    <t xml:space="preserve">    Субсидии бюджетам субъектов Российской Федерации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</si>
  <si>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 xml:space="preserve">        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 на развитие инфраструктуры города Мирного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</si>
  <si>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учреждений, надзору и контролю за соблюдением законодательства в области образования (375)</t>
  </si>
  <si>
    <t xml:space="preserve">    Межбюджетные трансферты, передаваемые бюджетам  субъектов РФ на выплату стипендий Президента РФ и Правительства РФ  для обучающихся по направлениям подготовки направлениям модернизации и технологического развития экономики РФ  064
</t>
  </si>
  <si>
    <t xml:space="preserve">  Субсидии бюджетам субъектов Российской Федерации на организацию дистанционного обучения инвалидов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</si>
  <si>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 (206)</t>
  </si>
  <si>
    <t>Иные межбюджетные трансферты на 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 63</t>
  </si>
  <si>
    <t>Иные межбюджетные трансферты на 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 64</t>
  </si>
  <si>
    <t>Субсидии бюджетам субъектов Российской Федерации и муниципальных образований на возмещение части затрат в связи  с предоставлением учителям общеобразовательных учреждений ипотечного кредита (241)</t>
  </si>
  <si>
    <t>Субсидии бюджетам субъектов Российской Федерации и муниципальных образований на софинансирование капитальных вложений в объекты государственной собственности субъектов Российской Федерации в рамках федеральной целевой программы "Повышение безопасности дорожного движения в 2013 - 2020 годах" государственной программы Российской Федерации "Обеспечение общественного порядка и противодействие преступности" 487</t>
  </si>
  <si>
    <t>Субсидии бюджетам субъектов Российской Федерации и муниципальных образований на поощрение лучших учителей (056)</t>
  </si>
  <si>
    <t>Федеральная целевая программа развития образования на 2011 - 2015 годы (622)</t>
  </si>
  <si>
    <t>Федеральная целевая программа развития образования на 2011 - 2015 годы (630)</t>
  </si>
  <si>
    <t>Федеральная целевая программа развития образования на 2011 - 2015 годы (601)</t>
  </si>
  <si>
    <t>Субсидии бюджетам субъектов Российской Федерации на ежемесячное денежное вознаграждение за классное руководство 051</t>
  </si>
  <si>
    <t>Итого по министерству образования и науки Архангельской области</t>
  </si>
  <si>
    <t>Субвенции бюджетам субъектов Российской Федерации на организацию, регулирование и охрану водных биологических ресурсов</t>
  </si>
  <si>
    <t>Итого по агентству по рыбному хозяйству Архангельской области</t>
  </si>
  <si>
    <t xml:space="preserve">        Субсидии бюджетам субъектов Российской Федерации и муниципальных образований в рамках федеральной целевой программы  "Социальное развитие села до 2013 года" (515)</t>
  </si>
  <si>
    <t xml:space="preserve">        Субсидии бюджетам субъектов Российской Федерации и муниципальных образований в рамках федеральной целевой программы  "Социальное развитие села до 2013 года" (519)</t>
  </si>
  <si>
    <t xml:space="preserve">        Субсидии бюджетам субъектов Российской Федерации и муниципальных образований в рамках федеральной целевой программы  "Социальное развитие села до 2013 года" (522)</t>
  </si>
  <si>
    <t xml:space="preserve">        Субсидии бюджетам субъектов Российской Федерации и муниципальных образований в рамках федеральной целевой программы  "Социальное развитие села до 2013 года" (524)</t>
  </si>
  <si>
    <t>Субсидии бюджетам субъектов Российской Федерации и муниципальных образований на возмещение части затрат на приобретение семян с учетом доставки в районы Крайнего Севера и приравненные к ним местности (011)</t>
  </si>
  <si>
    <t>Субсидии бюджетам субъектов Российской Федерации и муниципальных образований на возмещение части процентной ставки по краткосрочным кредитам (займам) на развитие растеневодства, переработки и реализации продукции растеневодства (001)</t>
  </si>
  <si>
    <t>Субсидии бюджетам субъектов Российской Федерации и муниципальных образований на возмещение части процентной ставки по инвестиционным кредитам (займам) на развитие растеневодства, переработки и развития инфраструктуры и логистического обеспечения рынков продукции растеневодства (002)</t>
  </si>
  <si>
    <t>Субсидии бюджетам субъектов Российской Федерации и муниципальных образований  на поддержку начинающих фермеров в рамках подпрограммы "Поддержка малых форм хозяйствования"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006</t>
  </si>
  <si>
    <t>Субсидии бюджетам субъектов Российской Федерации и муниципальных образований на оказание несвязанной поддержки сельскохозяйственным товаропроизводителям в области растеневодства (009)</t>
  </si>
  <si>
    <t>Субсидии бюджетам субъектов Российской Федерации и муниципальных образований на 1 литр реализованного товарного молока (016)</t>
  </si>
  <si>
    <t>Субсидии бюджетам субъектов Российской Федерации и муниципальных образований на возмещение части затрат по наращиванию поголовья северных оленей, моралов и мясных табунных лошадей (033)</t>
  </si>
  <si>
    <t>Субсидии бюджетам субъектов Российской Федерации и муниципальных образований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 (036)</t>
  </si>
  <si>
    <t>Субсидии бюджетам субъектов Российской Федерации и муниципальных образований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 (037_</t>
  </si>
  <si>
    <t>Субсидии бюджетам субъектов Российской Федерации и муниципальных образований на поддержку начинающих фермеров (006)</t>
  </si>
  <si>
    <t>Субсидии бюджетам субъектов Российской Федерации и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 (048)</t>
  </si>
  <si>
    <t xml:space="preserve"> Субсидии бюджетам субъектов Российской Федерации и муниципальных образований  на возмещение части затрат на приобретение элитных семян в рамках подпрограммы "Развитие подотрасли 024</t>
  </si>
  <si>
    <t xml:space="preserve">  Субсидии бюджетам субъектов Российской Федерации на поддержку северного оленеводства и табунного коневодства (027)</t>
  </si>
  <si>
    <t xml:space="preserve">    Субсидии бюджетам субъектов Российской Федерации на поддержку племенного животноводства (028)</t>
  </si>
  <si>
    <t>Субсидии бюджетам субъектов Российской Федерации и муниципальных образований на  возмещение  затрат, связанных с  оказанием  поддержки сельскохозяйственных товаропроизводителей, осуществляющих  производство свинины,  мяса  птицы  и  яиц,  в связи с удорожанием приобретенных кормов (050)</t>
  </si>
  <si>
    <t>Субсидии бюджетам субъектов Российской Федерации и муниципальных образований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 (019)</t>
  </si>
  <si>
    <t>Субсидии бюджетам субъектов Российской Федерации и муниципальных образований на возмещение части процентной ставки по инвестиционным кредитам на строительство и реконструкцию объектов мясного скотоводства в рамках подпрограммы "Развитие мясного скотоводства"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044</t>
  </si>
  <si>
    <t>Субсидии бюджетам субъектов Российской Федерации и муниципальных образований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038</t>
  </si>
  <si>
    <t xml:space="preserve">  Субсидии бюджетам субъектов Российской Федерации на поддержку завоз семян для выращивания кормовых культур в районах Крайнего Северных и приравненных к ним местностях, вкл. производство продукции растиневодства на низкопродуктивных пашнях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</si>
  <si>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(343)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</si>
  <si>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(344)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</si>
  <si>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(345)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</si>
  <si>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(347)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</si>
  <si>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(348)</t>
  </si>
  <si>
    <t xml:space="preserve">        Субсидии бюджетам субъектов Российской Федерации и муниципальных образований на возмещение сельскохозяйственным товаропроизводителям, организациям агропромышленного комплекса независимо от их организационно-правовых форм и крестьянским (фермерским) хозяйствам, сельскохозяйственным потребительским кооперативам части затрат на уплату процентов по инвестиционным кредитам, полученным в российских кредитных организациях, и займам, полученным в сельскохозяйственных кредитных потребительских кооперативах в 2004 - 2012 годах на срок от 2 до 10 лет</t>
  </si>
  <si>
    <t>Субсидии бюджетам субъектов Российской Федерации и муниципальных образований на мероприятия, предусмотренные программами развития пилотных инновационных территориальных кластеров в рамках подпрограммы "Стимулирование инноваций" государственной программы Российской Федерации "Экономическое развитие и инновационная экономика" 328</t>
  </si>
  <si>
    <t xml:space="preserve">   Субсидии бюджетам субъектов Российской Федерации на государственную поддержку малого предпринимательства, включая крестьянские (фермерские) хозяйства 260</t>
  </si>
  <si>
    <t xml:space="preserve">    Субсидии бюджетам субъектов Российской Федерации на оздоровление детей 153</t>
  </si>
  <si>
    <t>Иные межбюджетные трансферты на финансовое обеспечение мероприятий, связанных с отдыхом и оздоровлением детей в организациях отдыха детей и их оздоровления, расположенных в Республике Крым и г. Севастополе,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 152</t>
  </si>
  <si>
    <t xml:space="preserve">    Субсидии бюджетам субъектов РФ на осуществление ежемесячной денежной выплаты, назначенной в случае рождения третьего ребенка или последующих детей до достижения ребенком возраста трех лет (168)</t>
  </si>
  <si>
    <t xml:space="preserve">   Межбюджетные трансферты, передаваемые бюджетам субъектов РФ на выплату региональной доплаты к пенсии (170)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</si>
  <si>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непрограммного направления деятельности "Реализация функций иных федеральных органов государственной власти" 171</t>
  </si>
  <si>
    <t xml:space="preserve">   Субвенции бюджетам субъектов Российской Федерации на выплату единовременного пособия беременной жене военнослужащего, проходящего срочную военную службу по призыву, и ежемесячного пособия на ребенка военнослужащего, проходящего военную службу по призыву (190)</t>
  </si>
  <si>
    <t xml:space="preserve">   Субвенции бюджетам субъектов Российской Федерации на выплату единовременного пособия беременной жене военнослужащего, проходящего срочную военную службу по призыву, и ежемесячного пособия на ребенка военнослужащего, проходящего военную службу по призыву (191)</t>
  </si>
  <si>
    <t xml:space="preserve">   Субвенции бюджетам субъектов Российской Федерации на обеспечение мер социальной поддержки для лиц, награжденных знаком "Почетный донор СССР", "Почетный донор России" (211)</t>
  </si>
  <si>
    <t xml:space="preserve">   Субвенции бюджетам субъектов Российской Федерации на обеспечение мер социальной поддержки для лиц, награжденных знаком "Почетный донор СССР", "Почетный донор России" (210)</t>
  </si>
  <si>
    <t xml:space="preserve">   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 (195)</t>
  </si>
  <si>
    <t xml:space="preserve">   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 (180)</t>
  </si>
  <si>
    <t xml:space="preserve">    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246</t>
  </si>
  <si>
    <t xml:space="preserve">    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240</t>
  </si>
  <si>
    <t xml:space="preserve">    Межбюджетные трансферты бюджетам субъектов Российской Федерации на выплату единовременного денежного поощрения при награждении орденом "Родительская слава"</t>
  </si>
  <si>
    <t xml:space="preserve">   Субвенции бюджетам субъектов Российской Федерации на перевозку несовершеннолетних, самовольно ушедших из семей, детских домов, школ-интернатов, специальных учебно-воспитательных и иных детских учреждений (186)</t>
  </si>
  <si>
    <t xml:space="preserve">   Субвенции бюджетам субъектов Российской Федерации на осуществление полномочий Российской Федерации в области содействия занятости населения, включая расходы по осуществлению этих полномочий</t>
  </si>
  <si>
    <t xml:space="preserve">  Прочие безвозмездные поступления в бюджеты субъектов Российской Федерации</t>
  </si>
  <si>
    <t>Субвенции бюджетам Российской Федерации на социальные выплаты безработным гражданам (К/ц 390)</t>
  </si>
  <si>
    <t xml:space="preserve">   Прочие мероприятия, осуществляемые за счет межбюджетных трансфертов прошлых лет из федерального бюджета (единовременные денежные компенсации реабилитированным лицам)</t>
  </si>
  <si>
    <t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 (443)</t>
  </si>
  <si>
    <t>Итого по министерству труда, занятости социального развития Архангельской области</t>
  </si>
  <si>
    <t>Иные межбюджетные трансферты на государственную поддержку (грант) реализации лучших событийных региональных и межрегиональных проектов в рамках развития культурно-познавательного туризма в рамках подпрограммы "Туризм" государственной программы Российской Федерации "Развитие культуры и туризма" 139</t>
  </si>
  <si>
    <t>Агентство по туризму  и международному сотрудничеству Архангельской области</t>
  </si>
  <si>
    <t>Субсидии бюджетам субъектов Российской Федерации и муниципальных образований на приобретение оборудования для быстровозводимых физкультурно-оздоровительных комплексов, включая металлоконструкции и металлоизделия в рамках подпрограммы "Развитие физической культуры и массового спорта" государственной программы Российской Федерации "Развитие физической культуры и спорта" 107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</si>
  <si>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 (108)</t>
  </si>
  <si>
    <t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 (437)</t>
  </si>
  <si>
    <t>Субсидии бюджетам субъектов Российской Федерации и муниципальных образований на реализацию мероприятий подпрограммы "Развитие футбола в Российской Федерации на 2008 - 2015 годы" в рамках федеральной целевой программы "Развитие физической культуры и спорта в Российской Федерации на 2006 - 2015 годы" государственной программы Российской Федерации "Развитие физической культуры и спорта" 600</t>
  </si>
  <si>
    <t>убсидии бюджетам субъектов Российской Федерации и муниципальных образований на приобретение оборудования для быстровозводимых физкультурно-оздоровительных комплексов, включая метталллоконструкции и металлоизделия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</si>
  <si>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 (385)</t>
  </si>
  <si>
    <t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 437</t>
  </si>
  <si>
    <t>Субсидии бюджетам субъектов Российской Федерации и муниципальных образований на поддержку региональных проектов в сфкре информационных тнхнологий 694</t>
  </si>
  <si>
    <t>Иные межбюджетные трансферты на создание и развитие сети многофункциональных центров предоставления государственных и муниципальных услуг в рамках подпрограммы "Совершенствование государственного и муниципального управления" государственной программы Российской Федерации "Экономическое развитие и инновационная экономика" (349)</t>
  </si>
  <si>
    <t>Межбюджетные трансферты, передаваемые бюджетам субъектов Российской Федерации на содержание членов Совета Федерации и их помощников (380)</t>
  </si>
  <si>
    <t>Итого по администрации Губернатора Архангельской области и Правительства Архангельской области</t>
  </si>
  <si>
    <t>Субсидии бюджетам субъектов Российской Федерации и муниципальных образований на мероприятия по поддержке социально ориентированных некоммерческих организаций в рамках подпрограммы "Повышение эффективности государственной поддержки социально ориентированных некоммерческих организаций" государственной программы Российской Федерации "Социальная поддержка граждан" 311</t>
  </si>
  <si>
    <t>Итого по министерству по местному самоуправлению и внутренней политике Архангельской области</t>
  </si>
  <si>
    <t>Субвенции бюджетам субъектов Российской Федерации на государственную регистрацию актов гражданского состояния</t>
  </si>
  <si>
    <t>Итого по агентству ЗАГС Архангельской области</t>
  </si>
  <si>
    <t>ФЦП "Развитие водохозяйственного комплекса Российской Федерации в 2012- 2020 годах"</t>
  </si>
  <si>
    <t xml:space="preserve">   Субвенции бюджетам субъектов Российской Федерации на осуществление отдельных полномочий в области водных отношений 035</t>
  </si>
  <si>
    <t>Итого по агентству природных ресурсов и экологии Архангельской области</t>
  </si>
  <si>
    <t>ВСЕГО:</t>
  </si>
  <si>
    <t xml:space="preserve">2. СРЕДСТВА, ПОСТУПАЮЩИЕ ОТ ГОСУДАРСТВЕННОЙ КОРПОРАЦИИ - ФОНД СОДЕЙСТВИЯ РЕФОРМИРОВАНИЮ ЖИЛИЩНО-КОММУНАЛЬНОГО ХОЗЯЙСТВА </t>
  </si>
  <si>
    <t xml:space="preserve">3. СРЕДСТВА, ПОСТУПАЮЩИЕ ОТ ФОНДА ОБЯЗАТЕЛЬНОГО МЕДИЦИНСКОГО СТРАХОВАНИЯ </t>
  </si>
  <si>
    <t>Единовременные компенсационные выплаты медицинским работникам</t>
  </si>
  <si>
    <t xml:space="preserve">  Межбюджетные трансферты, передаваемые бюджетам субъектов Российской Федерации на реализацию региональной программы модернизации здравоохранения субъектов Российской Федерации в части укрепления материально-технической базы медицинских учреждений</t>
  </si>
  <si>
    <t>программа модернизации здравоохранения (строительсво перинатального центра)</t>
  </si>
  <si>
    <t xml:space="preserve">  Межбюджетные трансферты, передаваемые бюджетам субъектов Российской Федерации на  реализацию региональной программы модернизации здравоохранения  на 2011-2012 г, по внедрению современных информационных систем</t>
  </si>
  <si>
    <t>"Развитие массового жилищного строительства в Архангельской области на 2010 – 2013 годы"</t>
  </si>
  <si>
    <t>Субсидии бюджетам субъектов Российской Федерации и муниципальных образований в рамках федеральной  целевой программы  "Развитие      водохозяйственного комплекса Российской Федерации  в  2012 - 2020 годах"</t>
  </si>
  <si>
    <t xml:space="preserve">      Долгосрочная целевая программа Архангельской области "Развитие города Архангельска как административного центра Архангельской области на 2012 – 2015 годы"</t>
  </si>
  <si>
    <t xml:space="preserve"> </t>
  </si>
  <si>
    <t xml:space="preserve">      Долгосрочная целевая программа Архангельской области "Развитие водохозяйственного комплекса Архангельской области на 2012-2020 годы"</t>
  </si>
  <si>
    <t>"Развитие массового жилищного строительства в Архангельской области на 2010-2013 годы"</t>
  </si>
  <si>
    <t xml:space="preserve">      Долгосрочная целевая программа Архангельской области "Капитальный ремонт зданий, находящихся в государственной собственности Архангельской области, на 2012 – 2014 годы"</t>
  </si>
  <si>
    <t>Итого по агентству по ремонту объектов, находящихся в государственной собственности Архангельской области, и сохранению объектов культурного наследия Архангельской области</t>
  </si>
  <si>
    <t>5. СРЕДСТВА ЗА СЧЕТ ПЕНСИОННОГО ФОНДА</t>
  </si>
  <si>
    <t xml:space="preserve"> Прочие мероприятия, осуществляемые за счет средств Пенсионного Фонда</t>
  </si>
  <si>
    <t>6. ПРОЧИЕ БЕЗВОЗМЕЗДНЫЕ ПОСТУПЛЕНИЯ</t>
  </si>
  <si>
    <t>на развитие систсемы территориального общественного самоуправления за счет безвозмездных поступлений по соглашению о сотрудничестве в сфере социально-экономического развития Архангельской области</t>
  </si>
  <si>
    <t>Мероприятия по обеспечению мобилизационной готовности экономики</t>
  </si>
  <si>
    <t>Единая субвенция бюджетам субъектов Российской Федерации в рамках подпрограммы "Совершенствование федеративных отношений и механизмов управления региональным развитием" государственной программы Российской Федерации "Региональная политика и федеративные отношения 177</t>
  </si>
  <si>
    <t>Субсидии бюджетам субъектов Российской Федерации и муниципальных образований на реализацию мероприятий по поэтапному внедрению Всероссийского физкультурно-спортивного комплекса "Готов к труду и обороне" (ГТО) в рамках подпрограммы "Развитие физической культуры и массового спорта" государственной программы Российской Федерации "Развитие физической культуры и спорта" 102</t>
  </si>
  <si>
    <t>Субвенции бюджетам субъектов  Российской Федерации  на  обеспечение жильем отдельных категорий граждан, установленных Федеральным законом от 12 января  1995 года N 5-ФЗ "О ветеранах", в соответствии с Указом Президента Российской Федерации от 7 мая 2008 №714 "Об обеспечении жильем ветеранов Великой Отечественной войны 1941-1945 годов" (201)</t>
  </si>
  <si>
    <t>Субсидии на развитие семейных животноводческих ферм в рамках подпрограммы "Поддержка малых форм хозяйствования"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007</t>
  </si>
  <si>
    <t>Субсидии на 1 килограмм реализованного и (или) отгруженного на собственную переработку молока в рамках подпрограммы "Развитие молочного скотоводства"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846</t>
  </si>
  <si>
    <t>Субсидии на поддержку племенного животноводства в рамках подпрограммы  "Поддержка племенного дела селекции и семеноводства" 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 837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</si>
  <si>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(344-00025)</t>
  </si>
  <si>
    <t>Субвенции бюджетам субъектов Российской Федерации на организацию, регулирование и охрану водных биологических ресурсов035</t>
  </si>
  <si>
    <t xml:space="preserve"> Субсидии на возмещение части затрат на приобретение элитных семян в рамках подпрограммы "Поддержка племенного дела селекции и семеноводства"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836</t>
  </si>
  <si>
    <t>Субсидия на финансовое обеспечение мероприятий федеральной целевой программы развития образования на 2011 - 2015 годы государственной программы Российской Федерации "Развитие образования" на 2013 - 2020 годы (842)</t>
  </si>
  <si>
    <t xml:space="preserve">Субсидии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растениеводства, в рамках подпрограммы "Развитие подотрасли растениеводства, переработки и реализации продукции растениеводства"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003
</t>
  </si>
  <si>
    <t>Субсидии  на реализацию комплексных инвестиционных проектов по развитию инновационных территориальных кластеров в рамках подпрограммы "Стимулирование инноваций" государственной программы Российской Федерации "Экономическое развитие и инновационная экономика" 795</t>
  </si>
  <si>
    <t>Субсидия на софинансирование капитальных вложений в объекты государственной собственности субъектов Российской Федерации в рамках подпрограммы "Искусство" государственной программы Российской Федерации "Развитие культуры и туризма" 280-12866</t>
  </si>
  <si>
    <t>Субсидии на возмещение части процентной ставки по краткосрочным кредитам (займам) на развитие молочного скотоводства в рамках подпрограммы "Развитие молочного скотоводства"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годы"855</t>
  </si>
  <si>
    <t>компьютерная грамотность пенсионеров</t>
  </si>
  <si>
    <t>Субсидии  на мероприятия по поддержке социально ориентированных некоммерческих организаций в рамках подпрограммы "Повышение эффективности государственной поддержки социально ориентированных некоммерческих организаций" государственной программы Российской Федерации "Социальная поддержка граждан"311</t>
  </si>
  <si>
    <t xml:space="preserve"> Субсидии бюджетам субъектов Российской Федерации и муниципальных образований на модернизацию региональных систем общего образования (058)</t>
  </si>
  <si>
    <t>Итого по министерству строительства и архитектуры  Архангельской области</t>
  </si>
  <si>
    <t>Итого по министерству строительства и архитектуры Архангельской области</t>
  </si>
  <si>
    <t xml:space="preserve">   Бюджетные инвестиции бюджетам субъектов Российской Федерации в объекты капитального строительства государственной собственности субъектов Российской Федерации 246 (2013 год)</t>
  </si>
  <si>
    <t>Итого по министерству экономического развития  Архангельской области</t>
  </si>
  <si>
    <t xml:space="preserve">    Безвозмездные поступления в бюджеты субъектов Российской Федерации от государственной корпорации - Фонд содействия реформированию жилищно-коммунального хозяйства на обеспечение мероприятий по переселению граждан из аварийного жилищного фонда (5129502) </t>
  </si>
  <si>
    <t xml:space="preserve">3. СРЕДСТВА ЗА СЧЕТ ФЕДЕРАЛЬНЫХ БЮДЖЕТНЫХ КРЕДИТОВ </t>
  </si>
  <si>
    <t xml:space="preserve">4. СРЕДСТВА ЗА СЧЕТ ФЕДЕРАЛЬНЫХ ЦЕЛЕВЫХ ДОТАЦИЙ </t>
  </si>
  <si>
    <t xml:space="preserve"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</t>
  </si>
  <si>
    <t>руб.</t>
  </si>
  <si>
    <t>Субсидии бюджетам субъектов Российской Федерации и муниципальных образований на мероприятия федеральной целевой программы "Развитие водохозяйственного комплекса Российской Федерации в 2012 - 2020 годах" государственной программы Российской Федерации "Воспроизводство и использование природных ресурсов"</t>
  </si>
  <si>
    <t xml:space="preserve">Субвенции бюджетам субъектов Российской Федерации на осуществление отдельных полномочий в области лесных отношений </t>
  </si>
  <si>
    <t xml:space="preserve"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 </t>
  </si>
  <si>
    <t xml:space="preserve">Субсидии бюджетам субъектов Российской Федерации на государственную поддержку малого предпринимательства, включая крестьянские (фермерские) хозяйства </t>
  </si>
  <si>
    <t xml:space="preserve"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 временной нетрудоспособности и в связи с материнством, и лицам, уволенным  в связи с ликвидацией, организаций (прекращением деятельности, полномочий физическими лицами) </t>
  </si>
  <si>
    <t xml:space="preserve">Субвенции бюджетам Российской Федерации на социальные выплаты безработным гражданам </t>
  </si>
  <si>
    <t xml:space="preserve">Иные межбюджетные трансферты для оказания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Федерации, в рамках подпрограммы «Внешняя трудовая миграция» государственной программы Российской Федерации «Содействие занятости населения» </t>
  </si>
  <si>
    <t xml:space="preserve"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</t>
  </si>
  <si>
    <t xml:space="preserve">Субсидии бюджетам субъектов Российской Федерации и муниципальных образований в рамках федеральной  целевой программы  "Жилище" на 2011 - 2015 годы на подпрограмму "Обеспечение жильем молодых семей" </t>
  </si>
  <si>
    <t xml:space="preserve">Субсидии  на  софинансирование капитальных вложений в объекты муниципальной собственности в рамках подпрограммы "Создание условий для обеспечения качественными услугами ЖКХ граждан России" государственной программы Российской Федерации "Обеспечение доступным и комфортным жильем и коммунальными услугами граждан Российской Федерации" </t>
  </si>
  <si>
    <t>Итого по агентству по развитию Соловецкого архипелага Архангельской области</t>
  </si>
  <si>
    <t>Безвозмездные поступления в бюджеты субъектов Российской Федерации от государственной корпорации - Фонд содействия реформированию жилищно-коммунального хозяйства на обеспечение мероприятий по капитальному ремонту многоквартирных домов</t>
  </si>
  <si>
    <t xml:space="preserve">Безвозмездные поступления в бюджеты субъектов Российской Федерации от государственной корпорации - Фонд содействия реформированию жилищно-коммунального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</t>
  </si>
  <si>
    <t xml:space="preserve">Безвозмездные поступления в бюджеты субъектов Российской Федерации от государственной корпорации - Фонд содействия реформированию жилищно-коммунального хозяйства на обеспечение мероприятий по переселению граждан из аварийного жилищного фонда </t>
  </si>
  <si>
    <t>Итого по министерству топливно-энергетического и жилищно-коммунального хозяйства Архангельской области</t>
  </si>
  <si>
    <t>Обеспечение мероприятий, связанных с ликвидацией аварийного жилищного фонда</t>
  </si>
  <si>
    <t>Реализация комплексных программ поддержки развития дошкольных образовательных учреждений Архангельской области</t>
  </si>
  <si>
    <t>Бюджетные инвестиции в объекты капитального строительства государственной собственности субъектов Российской Федерации</t>
  </si>
  <si>
    <t xml:space="preserve">Иные межбюджетные трансферты, передаваемые бюджетам субъектов Российской Федерации на выплату региональной доплаты к пенсии  </t>
  </si>
  <si>
    <t xml:space="preserve">Долгосрочная целевая программа Архангельской области "Капитальный ремонт зданий, находящихся в государственной собственности Архангельской области, на 2012 – 2014 годы" </t>
  </si>
  <si>
    <t xml:space="preserve">Субсидии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 </t>
  </si>
  <si>
    <t>Остаток на счете 40201 на 01.07.2016</t>
  </si>
  <si>
    <r>
      <t xml:space="preserve">Остаток на счете ОБЛАСТНОГО бюджета  </t>
    </r>
    <r>
      <rPr>
        <sz val="13"/>
        <rFont val="Times New Roman"/>
        <family val="1"/>
        <charset val="204"/>
      </rPr>
      <t xml:space="preserve">на 01.01.2013             </t>
    </r>
    <r>
      <rPr>
        <b/>
        <sz val="13"/>
        <rFont val="Times New Roman"/>
        <family val="1"/>
        <charset val="204"/>
      </rPr>
      <t xml:space="preserve">   </t>
    </r>
  </si>
  <si>
    <r>
      <t xml:space="preserve">Остаток на счетах МЕСТНЫХ бюджетов и на  счетах бюджета АФОМСа </t>
    </r>
    <r>
      <rPr>
        <sz val="13"/>
        <rFont val="Times New Roman"/>
        <family val="1"/>
        <charset val="204"/>
      </rPr>
      <t>на 01.01.2013</t>
    </r>
  </si>
  <si>
    <r>
      <t xml:space="preserve">Остаток на счетах МЕСТНЫХ бюджетов АО и НАО, на  счетах бюджета АФОМСа </t>
    </r>
    <r>
      <rPr>
        <sz val="13"/>
        <rFont val="Times New Roman"/>
        <family val="1"/>
        <charset val="204"/>
      </rPr>
      <t>на 01.01.2014</t>
    </r>
  </si>
  <si>
    <t>Информация об остатках  целевых средств и их направленности на 01.07.2016</t>
  </si>
  <si>
    <t>Приложение № 39 к пояснительной записке                                                                                                                                 по отчету об исполнении областного бюджета                                                                                                          за 1 полугодие 2016 года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</si>
</sst>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_ ;\-#,##0.00\ "/>
    <numFmt numFmtId="165" formatCode="00\.00\.00"/>
    <numFmt numFmtId="166" formatCode="000000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  <font>
      <sz val="13"/>
      <name val="Arial Cyr"/>
      <charset val="204"/>
    </font>
    <font>
      <sz val="13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3"/>
      <name val="Arial Cyr"/>
      <charset val="204"/>
    </font>
    <font>
      <sz val="13"/>
      <color rgb="FFFF0000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2"/>
    <xf numFmtId="43" fontId="2" fillId="0" borderId="0" xfId="2" applyNumberFormat="1"/>
    <xf numFmtId="0" fontId="2" fillId="2" borderId="0" xfId="2" applyFill="1"/>
    <xf numFmtId="0" fontId="2" fillId="0" borderId="0" xfId="2" applyFill="1"/>
    <xf numFmtId="4" fontId="2" fillId="0" borderId="0" xfId="2" applyNumberFormat="1"/>
    <xf numFmtId="0" fontId="6" fillId="0" borderId="0" xfId="2" applyFont="1"/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" applyFont="1"/>
    <xf numFmtId="0" fontId="5" fillId="0" borderId="0" xfId="2" applyFont="1" applyFill="1"/>
    <xf numFmtId="0" fontId="7" fillId="0" borderId="0" xfId="2" applyFont="1"/>
    <xf numFmtId="0" fontId="7" fillId="2" borderId="0" xfId="2" applyFont="1" applyFill="1"/>
    <xf numFmtId="0" fontId="4" fillId="0" borderId="0" xfId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/>
    <xf numFmtId="0" fontId="5" fillId="0" borderId="0" xfId="2" applyFont="1" applyBorder="1" applyAlignment="1">
      <alignment horizontal="center" vertical="center" wrapText="1"/>
    </xf>
    <xf numFmtId="4" fontId="5" fillId="0" borderId="0" xfId="2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center" wrapText="1"/>
    </xf>
    <xf numFmtId="0" fontId="7" fillId="0" borderId="0" xfId="2" applyFont="1" applyAlignment="1">
      <alignment horizontal="center" vertical="center" wrapText="1"/>
    </xf>
    <xf numFmtId="2" fontId="7" fillId="0" borderId="0" xfId="2" applyNumberFormat="1" applyFont="1"/>
    <xf numFmtId="43" fontId="7" fillId="0" borderId="0" xfId="2" applyNumberFormat="1" applyFont="1"/>
    <xf numFmtId="164" fontId="7" fillId="0" borderId="0" xfId="2" applyNumberFormat="1" applyFont="1"/>
    <xf numFmtId="0" fontId="4" fillId="0" borderId="1" xfId="2" applyFont="1" applyBorder="1" applyAlignment="1">
      <alignment horizontal="center" vertical="center" wrapText="1"/>
    </xf>
    <xf numFmtId="0" fontId="7" fillId="0" borderId="1" xfId="2" applyFont="1" applyBorder="1"/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/>
    <xf numFmtId="43" fontId="7" fillId="0" borderId="1" xfId="2" applyNumberFormat="1" applyFont="1" applyBorder="1"/>
    <xf numFmtId="0" fontId="5" fillId="0" borderId="1" xfId="2" applyNumberFormat="1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2" borderId="1" xfId="2" applyFont="1" applyFill="1" applyBorder="1" applyAlignment="1">
      <alignment horizontal="left" vertical="top" wrapText="1"/>
    </xf>
    <xf numFmtId="4" fontId="5" fillId="2" borderId="1" xfId="2" applyNumberFormat="1" applyFont="1" applyFill="1" applyBorder="1" applyAlignment="1">
      <alignment horizontal="right" vertical="center"/>
    </xf>
    <xf numFmtId="0" fontId="7" fillId="2" borderId="1" xfId="2" applyFont="1" applyFill="1" applyBorder="1"/>
    <xf numFmtId="0" fontId="8" fillId="2" borderId="1" xfId="0" applyFont="1" applyFill="1" applyBorder="1"/>
    <xf numFmtId="0" fontId="5" fillId="2" borderId="1" xfId="2" applyNumberFormat="1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right" vertical="center"/>
    </xf>
    <xf numFmtId="49" fontId="4" fillId="2" borderId="1" xfId="2" applyNumberFormat="1" applyFont="1" applyFill="1" applyBorder="1" applyAlignment="1">
      <alignment horizontal="left" vertical="top" wrapText="1" shrinkToFit="1"/>
    </xf>
    <xf numFmtId="164" fontId="4" fillId="2" borderId="1" xfId="3" applyNumberFormat="1" applyFont="1" applyFill="1" applyBorder="1" applyAlignment="1" applyProtection="1">
      <alignment horizontal="right" vertical="center" wrapText="1"/>
      <protection hidden="1"/>
    </xf>
    <xf numFmtId="43" fontId="4" fillId="2" borderId="1" xfId="3" applyFont="1" applyFill="1" applyBorder="1" applyAlignment="1" applyProtection="1">
      <alignment horizontal="right" vertical="center" wrapText="1"/>
      <protection hidden="1"/>
    </xf>
    <xf numFmtId="0" fontId="7" fillId="0" borderId="1" xfId="2" applyFont="1" applyFill="1" applyBorder="1"/>
    <xf numFmtId="49" fontId="5" fillId="2" borderId="1" xfId="2" applyNumberFormat="1" applyFont="1" applyFill="1" applyBorder="1" applyAlignment="1">
      <alignment horizontal="left" vertical="top" wrapText="1" shrinkToFit="1"/>
    </xf>
    <xf numFmtId="164" fontId="5" fillId="2" borderId="1" xfId="3" applyNumberFormat="1" applyFont="1" applyFill="1" applyBorder="1" applyAlignment="1" applyProtection="1">
      <alignment horizontal="right" vertical="center" wrapText="1"/>
      <protection hidden="1"/>
    </xf>
    <xf numFmtId="4" fontId="9" fillId="2" borderId="1" xfId="2" applyNumberFormat="1" applyFont="1" applyFill="1" applyBorder="1" applyAlignment="1">
      <alignment horizontal="right" vertical="center" shrinkToFit="1"/>
    </xf>
    <xf numFmtId="49" fontId="9" fillId="2" borderId="1" xfId="2" applyNumberFormat="1" applyFont="1" applyFill="1" applyBorder="1" applyAlignment="1">
      <alignment horizontal="left" vertical="top" wrapText="1"/>
    </xf>
    <xf numFmtId="165" fontId="5" fillId="2" borderId="1" xfId="1" applyNumberFormat="1" applyFont="1" applyFill="1" applyBorder="1" applyAlignment="1" applyProtection="1">
      <alignment horizontal="left" vertical="top" wrapText="1"/>
      <protection hidden="1"/>
    </xf>
    <xf numFmtId="0" fontId="5" fillId="2" borderId="1" xfId="1" applyNumberFormat="1" applyFont="1" applyFill="1" applyBorder="1" applyAlignment="1" applyProtection="1">
      <alignment horizontal="left" vertical="top" wrapText="1"/>
      <protection hidden="1"/>
    </xf>
    <xf numFmtId="0" fontId="10" fillId="2" borderId="1" xfId="2" applyFont="1" applyFill="1" applyBorder="1"/>
    <xf numFmtId="0" fontId="5" fillId="2" borderId="1" xfId="2" applyNumberFormat="1" applyFont="1" applyFill="1" applyBorder="1" applyAlignment="1">
      <alignment vertical="top" wrapText="1"/>
    </xf>
    <xf numFmtId="43" fontId="5" fillId="2" borderId="1" xfId="3" applyFont="1" applyFill="1" applyBorder="1" applyAlignment="1" applyProtection="1">
      <alignment horizontal="right" vertical="center" wrapText="1"/>
      <protection hidden="1"/>
    </xf>
    <xf numFmtId="0" fontId="9" fillId="2" borderId="1" xfId="2" applyNumberFormat="1" applyFont="1" applyFill="1" applyBorder="1" applyAlignment="1">
      <alignment horizontal="left" vertical="top" wrapText="1"/>
    </xf>
    <xf numFmtId="165" fontId="5" fillId="2" borderId="1" xfId="1" applyNumberFormat="1" applyFont="1" applyFill="1" applyBorder="1" applyAlignment="1" applyProtection="1">
      <alignment horizontal="left" vertical="center" wrapText="1"/>
      <protection hidden="1"/>
    </xf>
    <xf numFmtId="0" fontId="5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5" fillId="2" borderId="1" xfId="0" applyNumberFormat="1" applyFont="1" applyFill="1" applyBorder="1" applyAlignment="1">
      <alignment horizontal="justify" vertical="top" wrapText="1"/>
    </xf>
    <xf numFmtId="4" fontId="11" fillId="2" borderId="1" xfId="2" applyNumberFormat="1" applyFont="1" applyFill="1" applyBorder="1" applyAlignment="1">
      <alignment horizontal="right" vertical="center"/>
    </xf>
    <xf numFmtId="43" fontId="4" fillId="2" borderId="1" xfId="3" applyFont="1" applyFill="1" applyBorder="1" applyAlignment="1" applyProtection="1">
      <alignment horizontal="center" vertical="center" wrapText="1"/>
      <protection hidden="1"/>
    </xf>
    <xf numFmtId="43" fontId="5" fillId="2" borderId="1" xfId="3" applyFont="1" applyFill="1" applyBorder="1" applyAlignment="1" applyProtection="1">
      <alignment horizontal="center" vertical="center" wrapText="1"/>
      <protection hidden="1"/>
    </xf>
    <xf numFmtId="4" fontId="7" fillId="2" borderId="1" xfId="2" applyNumberFormat="1" applyFont="1" applyFill="1" applyBorder="1"/>
    <xf numFmtId="166" fontId="9" fillId="2" borderId="1" xfId="0" applyNumberFormat="1" applyFont="1" applyFill="1" applyBorder="1" applyAlignment="1">
      <alignment horizontal="justify" vertical="center" wrapText="1"/>
    </xf>
    <xf numFmtId="4" fontId="5" fillId="2" borderId="1" xfId="1" applyNumberFormat="1" applyFont="1" applyFill="1" applyBorder="1" applyAlignment="1" applyProtection="1">
      <alignment horizontal="right" vertical="center" wrapText="1"/>
      <protection hidden="1"/>
    </xf>
    <xf numFmtId="4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5" fillId="2" borderId="1" xfId="2" applyNumberFormat="1" applyFont="1" applyFill="1" applyBorder="1" applyAlignment="1">
      <alignment horizontal="left" vertical="top" wrapText="1" shrinkToFit="1"/>
    </xf>
    <xf numFmtId="164" fontId="7" fillId="2" borderId="1" xfId="2" applyNumberFormat="1" applyFont="1" applyFill="1" applyBorder="1"/>
    <xf numFmtId="4" fontId="12" fillId="2" borderId="1" xfId="2" applyNumberFormat="1" applyFont="1" applyFill="1" applyBorder="1" applyAlignment="1">
      <alignment horizontal="right" vertical="center"/>
    </xf>
    <xf numFmtId="0" fontId="9" fillId="2" borderId="1" xfId="2" applyFont="1" applyFill="1" applyBorder="1" applyAlignment="1">
      <alignment horizontal="left" vertical="top" wrapText="1"/>
    </xf>
    <xf numFmtId="164" fontId="5" fillId="2" borderId="1" xfId="2" applyNumberFormat="1" applyFont="1" applyFill="1" applyBorder="1" applyAlignment="1">
      <alignment horizontal="right" vertical="center"/>
    </xf>
    <xf numFmtId="0" fontId="4" fillId="2" borderId="1" xfId="2" applyFont="1" applyFill="1" applyBorder="1" applyAlignment="1">
      <alignment vertical="top" wrapText="1"/>
    </xf>
    <xf numFmtId="4" fontId="4" fillId="2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2" borderId="1" xfId="3" applyNumberFormat="1" applyFont="1" applyFill="1" applyBorder="1" applyAlignment="1" applyProtection="1">
      <alignment vertical="center" wrapText="1"/>
      <protection hidden="1"/>
    </xf>
    <xf numFmtId="0" fontId="4" fillId="2" borderId="1" xfId="1" applyNumberFormat="1" applyFont="1" applyFill="1" applyBorder="1" applyAlignment="1" applyProtection="1">
      <alignment horizontal="left" vertical="center"/>
      <protection hidden="1"/>
    </xf>
    <xf numFmtId="4" fontId="4" fillId="2" borderId="1" xfId="1" applyNumberFormat="1" applyFont="1" applyFill="1" applyBorder="1" applyAlignment="1" applyProtection="1">
      <alignment horizontal="right" vertical="center"/>
      <protection hidden="1"/>
    </xf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4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2" applyFont="1" applyFill="1" applyBorder="1" applyAlignment="1">
      <alignment vertical="top" wrapText="1"/>
    </xf>
    <xf numFmtId="4" fontId="4" fillId="2" borderId="1" xfId="2" applyNumberFormat="1" applyFont="1" applyFill="1" applyBorder="1" applyAlignment="1">
      <alignment vertical="top" wrapText="1"/>
    </xf>
    <xf numFmtId="164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7" fillId="0" borderId="1" xfId="2" applyNumberFormat="1" applyFont="1" applyFill="1" applyBorder="1"/>
    <xf numFmtId="0" fontId="5" fillId="2" borderId="1" xfId="2" applyFont="1" applyFill="1" applyBorder="1"/>
    <xf numFmtId="164" fontId="5" fillId="2" borderId="1" xfId="3" applyNumberFormat="1" applyFont="1" applyFill="1" applyBorder="1" applyAlignment="1" applyProtection="1">
      <alignment vertical="center" wrapText="1"/>
      <protection hidden="1"/>
    </xf>
    <xf numFmtId="4" fontId="7" fillId="0" borderId="1" xfId="2" applyNumberFormat="1" applyFont="1" applyFill="1" applyBorder="1"/>
    <xf numFmtId="0" fontId="5" fillId="2" borderId="1" xfId="1" applyNumberFormat="1" applyFont="1" applyFill="1" applyBorder="1" applyAlignment="1" applyProtection="1">
      <alignment horizontal="justify" vertical="center" wrapText="1"/>
      <protection hidden="1"/>
    </xf>
    <xf numFmtId="4" fontId="7" fillId="2" borderId="1" xfId="2" applyNumberFormat="1" applyFont="1" applyFill="1" applyBorder="1" applyAlignment="1">
      <alignment vertical="center"/>
    </xf>
    <xf numFmtId="0" fontId="3" fillId="0" borderId="0" xfId="1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/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2" xfId="0" applyFont="1" applyBorder="1" applyAlignment="1">
      <alignment horizontal="right"/>
    </xf>
  </cellXfs>
  <cellStyles count="4">
    <cellStyle name="Обычный" xfId="0" builtinId="0"/>
    <cellStyle name="Обычный 2" xfId="2"/>
    <cellStyle name="Обычный_tmp" xfId="1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19</xdr:row>
      <xdr:rowOff>0</xdr:rowOff>
    </xdr:from>
    <xdr:to>
      <xdr:col>34</xdr:col>
      <xdr:colOff>123825</xdr:colOff>
      <xdr:row>39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13887450"/>
          <a:ext cx="12382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34</xdr:col>
      <xdr:colOff>114300</xdr:colOff>
      <xdr:row>39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6105525"/>
          <a:ext cx="1143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34</xdr:col>
      <xdr:colOff>114300</xdr:colOff>
      <xdr:row>39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6105525"/>
          <a:ext cx="1143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52"/>
  <sheetViews>
    <sheetView tabSelected="1" view="pageBreakPreview" topLeftCell="A173" zoomScaleNormal="75" zoomScaleSheetLayoutView="100" workbookViewId="0">
      <selection activeCell="AI232" sqref="AI232"/>
    </sheetView>
  </sheetViews>
  <sheetFormatPr defaultRowHeight="16.5"/>
  <cols>
    <col min="1" max="1" width="82.85546875" style="10" customWidth="1"/>
    <col min="2" max="2" width="24.7109375" style="10" hidden="1" customWidth="1"/>
    <col min="3" max="3" width="25.85546875" style="10" hidden="1" customWidth="1"/>
    <col min="4" max="4" width="23.140625" style="10" hidden="1" customWidth="1"/>
    <col min="5" max="5" width="23.5703125" style="11" hidden="1" customWidth="1"/>
    <col min="6" max="6" width="23.85546875" style="12" hidden="1" customWidth="1"/>
    <col min="7" max="7" width="20.28515625" style="12" hidden="1" customWidth="1"/>
    <col min="8" max="8" width="27.85546875" style="12" hidden="1" customWidth="1"/>
    <col min="9" max="9" width="24.28515625" style="12" hidden="1" customWidth="1"/>
    <col min="10" max="10" width="23.5703125" style="12" hidden="1" customWidth="1"/>
    <col min="11" max="11" width="25.28515625" style="12" hidden="1" customWidth="1"/>
    <col min="12" max="12" width="26.42578125" style="12" hidden="1" customWidth="1"/>
    <col min="13" max="13" width="23.28515625" style="12" hidden="1" customWidth="1"/>
    <col min="14" max="14" width="21" style="12" hidden="1" customWidth="1"/>
    <col min="15" max="16" width="20.85546875" style="12" hidden="1" customWidth="1"/>
    <col min="17" max="17" width="18.85546875" style="12" hidden="1" customWidth="1"/>
    <col min="18" max="18" width="20" style="12" hidden="1" customWidth="1"/>
    <col min="19" max="19" width="11.42578125" style="10" hidden="1" customWidth="1"/>
    <col min="20" max="20" width="27.7109375" style="12" hidden="1" customWidth="1"/>
    <col min="21" max="21" width="27.85546875" style="12" hidden="1" customWidth="1"/>
    <col min="22" max="22" width="27" style="12" hidden="1" customWidth="1"/>
    <col min="23" max="23" width="28.7109375" style="12" hidden="1" customWidth="1"/>
    <col min="24" max="24" width="28.42578125" style="12" hidden="1" customWidth="1"/>
    <col min="25" max="25" width="28.28515625" style="12" hidden="1" customWidth="1"/>
    <col min="26" max="26" width="27.28515625" style="12" hidden="1" customWidth="1"/>
    <col min="27" max="27" width="26.140625" style="12" hidden="1" customWidth="1"/>
    <col min="28" max="28" width="25.28515625" style="12" hidden="1" customWidth="1"/>
    <col min="29" max="29" width="25.42578125" style="12" hidden="1" customWidth="1"/>
    <col min="30" max="30" width="26.7109375" style="12" hidden="1" customWidth="1"/>
    <col min="31" max="31" width="27.5703125" style="12" hidden="1" customWidth="1"/>
    <col min="32" max="32" width="27" style="13" hidden="1" customWidth="1"/>
    <col min="33" max="33" width="27" style="12" hidden="1" customWidth="1"/>
    <col min="34" max="34" width="14.140625" style="12" hidden="1" customWidth="1"/>
    <col min="35" max="35" width="25.5703125" style="12" customWidth="1"/>
    <col min="36" max="36" width="26.42578125" style="1" customWidth="1"/>
    <col min="37" max="37" width="17.42578125" style="1" bestFit="1" customWidth="1"/>
    <col min="38" max="239" width="9.140625" style="1"/>
    <col min="240" max="240" width="0" style="1" hidden="1" customWidth="1"/>
    <col min="241" max="241" width="64.140625" style="1" customWidth="1"/>
    <col min="242" max="260" width="0" style="1" hidden="1" customWidth="1"/>
    <col min="261" max="261" width="27.85546875" style="1" customWidth="1"/>
    <col min="262" max="262" width="27" style="1" customWidth="1"/>
    <col min="263" max="263" width="28.7109375" style="1" customWidth="1"/>
    <col min="264" max="264" width="28.42578125" style="1" customWidth="1"/>
    <col min="265" max="265" width="28.28515625" style="1" customWidth="1"/>
    <col min="266" max="266" width="27.28515625" style="1" customWidth="1"/>
    <col min="267" max="267" width="26.140625" style="1" customWidth="1"/>
    <col min="268" max="268" width="25.28515625" style="1" customWidth="1"/>
    <col min="269" max="269" width="25.42578125" style="1" customWidth="1"/>
    <col min="270" max="270" width="26.7109375" style="1" customWidth="1"/>
    <col min="271" max="271" width="27.5703125" style="1" customWidth="1"/>
    <col min="272" max="273" width="27" style="1" customWidth="1"/>
    <col min="274" max="275" width="27.42578125" style="1" customWidth="1"/>
    <col min="276" max="276" width="28.28515625" style="1" customWidth="1"/>
    <col min="277" max="495" width="9.140625" style="1"/>
    <col min="496" max="496" width="0" style="1" hidden="1" customWidth="1"/>
    <col min="497" max="497" width="64.140625" style="1" customWidth="1"/>
    <col min="498" max="516" width="0" style="1" hidden="1" customWidth="1"/>
    <col min="517" max="517" width="27.85546875" style="1" customWidth="1"/>
    <col min="518" max="518" width="27" style="1" customWidth="1"/>
    <col min="519" max="519" width="28.7109375" style="1" customWidth="1"/>
    <col min="520" max="520" width="28.42578125" style="1" customWidth="1"/>
    <col min="521" max="521" width="28.28515625" style="1" customWidth="1"/>
    <col min="522" max="522" width="27.28515625" style="1" customWidth="1"/>
    <col min="523" max="523" width="26.140625" style="1" customWidth="1"/>
    <col min="524" max="524" width="25.28515625" style="1" customWidth="1"/>
    <col min="525" max="525" width="25.42578125" style="1" customWidth="1"/>
    <col min="526" max="526" width="26.7109375" style="1" customWidth="1"/>
    <col min="527" max="527" width="27.5703125" style="1" customWidth="1"/>
    <col min="528" max="529" width="27" style="1" customWidth="1"/>
    <col min="530" max="531" width="27.42578125" style="1" customWidth="1"/>
    <col min="532" max="532" width="28.28515625" style="1" customWidth="1"/>
    <col min="533" max="751" width="9.140625" style="1"/>
    <col min="752" max="752" width="0" style="1" hidden="1" customWidth="1"/>
    <col min="753" max="753" width="64.140625" style="1" customWidth="1"/>
    <col min="754" max="772" width="0" style="1" hidden="1" customWidth="1"/>
    <col min="773" max="773" width="27.85546875" style="1" customWidth="1"/>
    <col min="774" max="774" width="27" style="1" customWidth="1"/>
    <col min="775" max="775" width="28.7109375" style="1" customWidth="1"/>
    <col min="776" max="776" width="28.42578125" style="1" customWidth="1"/>
    <col min="777" max="777" width="28.28515625" style="1" customWidth="1"/>
    <col min="778" max="778" width="27.28515625" style="1" customWidth="1"/>
    <col min="779" max="779" width="26.140625" style="1" customWidth="1"/>
    <col min="780" max="780" width="25.28515625" style="1" customWidth="1"/>
    <col min="781" max="781" width="25.42578125" style="1" customWidth="1"/>
    <col min="782" max="782" width="26.7109375" style="1" customWidth="1"/>
    <col min="783" max="783" width="27.5703125" style="1" customWidth="1"/>
    <col min="784" max="785" width="27" style="1" customWidth="1"/>
    <col min="786" max="787" width="27.42578125" style="1" customWidth="1"/>
    <col min="788" max="788" width="28.28515625" style="1" customWidth="1"/>
    <col min="789" max="1007" width="9.140625" style="1"/>
    <col min="1008" max="1008" width="0" style="1" hidden="1" customWidth="1"/>
    <col min="1009" max="1009" width="64.140625" style="1" customWidth="1"/>
    <col min="1010" max="1028" width="0" style="1" hidden="1" customWidth="1"/>
    <col min="1029" max="1029" width="27.85546875" style="1" customWidth="1"/>
    <col min="1030" max="1030" width="27" style="1" customWidth="1"/>
    <col min="1031" max="1031" width="28.7109375" style="1" customWidth="1"/>
    <col min="1032" max="1032" width="28.42578125" style="1" customWidth="1"/>
    <col min="1033" max="1033" width="28.28515625" style="1" customWidth="1"/>
    <col min="1034" max="1034" width="27.28515625" style="1" customWidth="1"/>
    <col min="1035" max="1035" width="26.140625" style="1" customWidth="1"/>
    <col min="1036" max="1036" width="25.28515625" style="1" customWidth="1"/>
    <col min="1037" max="1037" width="25.42578125" style="1" customWidth="1"/>
    <col min="1038" max="1038" width="26.7109375" style="1" customWidth="1"/>
    <col min="1039" max="1039" width="27.5703125" style="1" customWidth="1"/>
    <col min="1040" max="1041" width="27" style="1" customWidth="1"/>
    <col min="1042" max="1043" width="27.42578125" style="1" customWidth="1"/>
    <col min="1044" max="1044" width="28.28515625" style="1" customWidth="1"/>
    <col min="1045" max="1263" width="9.140625" style="1"/>
    <col min="1264" max="1264" width="0" style="1" hidden="1" customWidth="1"/>
    <col min="1265" max="1265" width="64.140625" style="1" customWidth="1"/>
    <col min="1266" max="1284" width="0" style="1" hidden="1" customWidth="1"/>
    <col min="1285" max="1285" width="27.85546875" style="1" customWidth="1"/>
    <col min="1286" max="1286" width="27" style="1" customWidth="1"/>
    <col min="1287" max="1287" width="28.7109375" style="1" customWidth="1"/>
    <col min="1288" max="1288" width="28.42578125" style="1" customWidth="1"/>
    <col min="1289" max="1289" width="28.28515625" style="1" customWidth="1"/>
    <col min="1290" max="1290" width="27.28515625" style="1" customWidth="1"/>
    <col min="1291" max="1291" width="26.140625" style="1" customWidth="1"/>
    <col min="1292" max="1292" width="25.28515625" style="1" customWidth="1"/>
    <col min="1293" max="1293" width="25.42578125" style="1" customWidth="1"/>
    <col min="1294" max="1294" width="26.7109375" style="1" customWidth="1"/>
    <col min="1295" max="1295" width="27.5703125" style="1" customWidth="1"/>
    <col min="1296" max="1297" width="27" style="1" customWidth="1"/>
    <col min="1298" max="1299" width="27.42578125" style="1" customWidth="1"/>
    <col min="1300" max="1300" width="28.28515625" style="1" customWidth="1"/>
    <col min="1301" max="1519" width="9.140625" style="1"/>
    <col min="1520" max="1520" width="0" style="1" hidden="1" customWidth="1"/>
    <col min="1521" max="1521" width="64.140625" style="1" customWidth="1"/>
    <col min="1522" max="1540" width="0" style="1" hidden="1" customWidth="1"/>
    <col min="1541" max="1541" width="27.85546875" style="1" customWidth="1"/>
    <col min="1542" max="1542" width="27" style="1" customWidth="1"/>
    <col min="1543" max="1543" width="28.7109375" style="1" customWidth="1"/>
    <col min="1544" max="1544" width="28.42578125" style="1" customWidth="1"/>
    <col min="1545" max="1545" width="28.28515625" style="1" customWidth="1"/>
    <col min="1546" max="1546" width="27.28515625" style="1" customWidth="1"/>
    <col min="1547" max="1547" width="26.140625" style="1" customWidth="1"/>
    <col min="1548" max="1548" width="25.28515625" style="1" customWidth="1"/>
    <col min="1549" max="1549" width="25.42578125" style="1" customWidth="1"/>
    <col min="1550" max="1550" width="26.7109375" style="1" customWidth="1"/>
    <col min="1551" max="1551" width="27.5703125" style="1" customWidth="1"/>
    <col min="1552" max="1553" width="27" style="1" customWidth="1"/>
    <col min="1554" max="1555" width="27.42578125" style="1" customWidth="1"/>
    <col min="1556" max="1556" width="28.28515625" style="1" customWidth="1"/>
    <col min="1557" max="1775" width="9.140625" style="1"/>
    <col min="1776" max="1776" width="0" style="1" hidden="1" customWidth="1"/>
    <col min="1777" max="1777" width="64.140625" style="1" customWidth="1"/>
    <col min="1778" max="1796" width="0" style="1" hidden="1" customWidth="1"/>
    <col min="1797" max="1797" width="27.85546875" style="1" customWidth="1"/>
    <col min="1798" max="1798" width="27" style="1" customWidth="1"/>
    <col min="1799" max="1799" width="28.7109375" style="1" customWidth="1"/>
    <col min="1800" max="1800" width="28.42578125" style="1" customWidth="1"/>
    <col min="1801" max="1801" width="28.28515625" style="1" customWidth="1"/>
    <col min="1802" max="1802" width="27.28515625" style="1" customWidth="1"/>
    <col min="1803" max="1803" width="26.140625" style="1" customWidth="1"/>
    <col min="1804" max="1804" width="25.28515625" style="1" customWidth="1"/>
    <col min="1805" max="1805" width="25.42578125" style="1" customWidth="1"/>
    <col min="1806" max="1806" width="26.7109375" style="1" customWidth="1"/>
    <col min="1807" max="1807" width="27.5703125" style="1" customWidth="1"/>
    <col min="1808" max="1809" width="27" style="1" customWidth="1"/>
    <col min="1810" max="1811" width="27.42578125" style="1" customWidth="1"/>
    <col min="1812" max="1812" width="28.28515625" style="1" customWidth="1"/>
    <col min="1813" max="2031" width="9.140625" style="1"/>
    <col min="2032" max="2032" width="0" style="1" hidden="1" customWidth="1"/>
    <col min="2033" max="2033" width="64.140625" style="1" customWidth="1"/>
    <col min="2034" max="2052" width="0" style="1" hidden="1" customWidth="1"/>
    <col min="2053" max="2053" width="27.85546875" style="1" customWidth="1"/>
    <col min="2054" max="2054" width="27" style="1" customWidth="1"/>
    <col min="2055" max="2055" width="28.7109375" style="1" customWidth="1"/>
    <col min="2056" max="2056" width="28.42578125" style="1" customWidth="1"/>
    <col min="2057" max="2057" width="28.28515625" style="1" customWidth="1"/>
    <col min="2058" max="2058" width="27.28515625" style="1" customWidth="1"/>
    <col min="2059" max="2059" width="26.140625" style="1" customWidth="1"/>
    <col min="2060" max="2060" width="25.28515625" style="1" customWidth="1"/>
    <col min="2061" max="2061" width="25.42578125" style="1" customWidth="1"/>
    <col min="2062" max="2062" width="26.7109375" style="1" customWidth="1"/>
    <col min="2063" max="2063" width="27.5703125" style="1" customWidth="1"/>
    <col min="2064" max="2065" width="27" style="1" customWidth="1"/>
    <col min="2066" max="2067" width="27.42578125" style="1" customWidth="1"/>
    <col min="2068" max="2068" width="28.28515625" style="1" customWidth="1"/>
    <col min="2069" max="2287" width="9.140625" style="1"/>
    <col min="2288" max="2288" width="0" style="1" hidden="1" customWidth="1"/>
    <col min="2289" max="2289" width="64.140625" style="1" customWidth="1"/>
    <col min="2290" max="2308" width="0" style="1" hidden="1" customWidth="1"/>
    <col min="2309" max="2309" width="27.85546875" style="1" customWidth="1"/>
    <col min="2310" max="2310" width="27" style="1" customWidth="1"/>
    <col min="2311" max="2311" width="28.7109375" style="1" customWidth="1"/>
    <col min="2312" max="2312" width="28.42578125" style="1" customWidth="1"/>
    <col min="2313" max="2313" width="28.28515625" style="1" customWidth="1"/>
    <col min="2314" max="2314" width="27.28515625" style="1" customWidth="1"/>
    <col min="2315" max="2315" width="26.140625" style="1" customWidth="1"/>
    <col min="2316" max="2316" width="25.28515625" style="1" customWidth="1"/>
    <col min="2317" max="2317" width="25.42578125" style="1" customWidth="1"/>
    <col min="2318" max="2318" width="26.7109375" style="1" customWidth="1"/>
    <col min="2319" max="2319" width="27.5703125" style="1" customWidth="1"/>
    <col min="2320" max="2321" width="27" style="1" customWidth="1"/>
    <col min="2322" max="2323" width="27.42578125" style="1" customWidth="1"/>
    <col min="2324" max="2324" width="28.28515625" style="1" customWidth="1"/>
    <col min="2325" max="2543" width="9.140625" style="1"/>
    <col min="2544" max="2544" width="0" style="1" hidden="1" customWidth="1"/>
    <col min="2545" max="2545" width="64.140625" style="1" customWidth="1"/>
    <col min="2546" max="2564" width="0" style="1" hidden="1" customWidth="1"/>
    <col min="2565" max="2565" width="27.85546875" style="1" customWidth="1"/>
    <col min="2566" max="2566" width="27" style="1" customWidth="1"/>
    <col min="2567" max="2567" width="28.7109375" style="1" customWidth="1"/>
    <col min="2568" max="2568" width="28.42578125" style="1" customWidth="1"/>
    <col min="2569" max="2569" width="28.28515625" style="1" customWidth="1"/>
    <col min="2570" max="2570" width="27.28515625" style="1" customWidth="1"/>
    <col min="2571" max="2571" width="26.140625" style="1" customWidth="1"/>
    <col min="2572" max="2572" width="25.28515625" style="1" customWidth="1"/>
    <col min="2573" max="2573" width="25.42578125" style="1" customWidth="1"/>
    <col min="2574" max="2574" width="26.7109375" style="1" customWidth="1"/>
    <col min="2575" max="2575" width="27.5703125" style="1" customWidth="1"/>
    <col min="2576" max="2577" width="27" style="1" customWidth="1"/>
    <col min="2578" max="2579" width="27.42578125" style="1" customWidth="1"/>
    <col min="2580" max="2580" width="28.28515625" style="1" customWidth="1"/>
    <col min="2581" max="2799" width="9.140625" style="1"/>
    <col min="2800" max="2800" width="0" style="1" hidden="1" customWidth="1"/>
    <col min="2801" max="2801" width="64.140625" style="1" customWidth="1"/>
    <col min="2802" max="2820" width="0" style="1" hidden="1" customWidth="1"/>
    <col min="2821" max="2821" width="27.85546875" style="1" customWidth="1"/>
    <col min="2822" max="2822" width="27" style="1" customWidth="1"/>
    <col min="2823" max="2823" width="28.7109375" style="1" customWidth="1"/>
    <col min="2824" max="2824" width="28.42578125" style="1" customWidth="1"/>
    <col min="2825" max="2825" width="28.28515625" style="1" customWidth="1"/>
    <col min="2826" max="2826" width="27.28515625" style="1" customWidth="1"/>
    <col min="2827" max="2827" width="26.140625" style="1" customWidth="1"/>
    <col min="2828" max="2828" width="25.28515625" style="1" customWidth="1"/>
    <col min="2829" max="2829" width="25.42578125" style="1" customWidth="1"/>
    <col min="2830" max="2830" width="26.7109375" style="1" customWidth="1"/>
    <col min="2831" max="2831" width="27.5703125" style="1" customWidth="1"/>
    <col min="2832" max="2833" width="27" style="1" customWidth="1"/>
    <col min="2834" max="2835" width="27.42578125" style="1" customWidth="1"/>
    <col min="2836" max="2836" width="28.28515625" style="1" customWidth="1"/>
    <col min="2837" max="3055" width="9.140625" style="1"/>
    <col min="3056" max="3056" width="0" style="1" hidden="1" customWidth="1"/>
    <col min="3057" max="3057" width="64.140625" style="1" customWidth="1"/>
    <col min="3058" max="3076" width="0" style="1" hidden="1" customWidth="1"/>
    <col min="3077" max="3077" width="27.85546875" style="1" customWidth="1"/>
    <col min="3078" max="3078" width="27" style="1" customWidth="1"/>
    <col min="3079" max="3079" width="28.7109375" style="1" customWidth="1"/>
    <col min="3080" max="3080" width="28.42578125" style="1" customWidth="1"/>
    <col min="3081" max="3081" width="28.28515625" style="1" customWidth="1"/>
    <col min="3082" max="3082" width="27.28515625" style="1" customWidth="1"/>
    <col min="3083" max="3083" width="26.140625" style="1" customWidth="1"/>
    <col min="3084" max="3084" width="25.28515625" style="1" customWidth="1"/>
    <col min="3085" max="3085" width="25.42578125" style="1" customWidth="1"/>
    <col min="3086" max="3086" width="26.7109375" style="1" customWidth="1"/>
    <col min="3087" max="3087" width="27.5703125" style="1" customWidth="1"/>
    <col min="3088" max="3089" width="27" style="1" customWidth="1"/>
    <col min="3090" max="3091" width="27.42578125" style="1" customWidth="1"/>
    <col min="3092" max="3092" width="28.28515625" style="1" customWidth="1"/>
    <col min="3093" max="3311" width="9.140625" style="1"/>
    <col min="3312" max="3312" width="0" style="1" hidden="1" customWidth="1"/>
    <col min="3313" max="3313" width="64.140625" style="1" customWidth="1"/>
    <col min="3314" max="3332" width="0" style="1" hidden="1" customWidth="1"/>
    <col min="3333" max="3333" width="27.85546875" style="1" customWidth="1"/>
    <col min="3334" max="3334" width="27" style="1" customWidth="1"/>
    <col min="3335" max="3335" width="28.7109375" style="1" customWidth="1"/>
    <col min="3336" max="3336" width="28.42578125" style="1" customWidth="1"/>
    <col min="3337" max="3337" width="28.28515625" style="1" customWidth="1"/>
    <col min="3338" max="3338" width="27.28515625" style="1" customWidth="1"/>
    <col min="3339" max="3339" width="26.140625" style="1" customWidth="1"/>
    <col min="3340" max="3340" width="25.28515625" style="1" customWidth="1"/>
    <col min="3341" max="3341" width="25.42578125" style="1" customWidth="1"/>
    <col min="3342" max="3342" width="26.7109375" style="1" customWidth="1"/>
    <col min="3343" max="3343" width="27.5703125" style="1" customWidth="1"/>
    <col min="3344" max="3345" width="27" style="1" customWidth="1"/>
    <col min="3346" max="3347" width="27.42578125" style="1" customWidth="1"/>
    <col min="3348" max="3348" width="28.28515625" style="1" customWidth="1"/>
    <col min="3349" max="3567" width="9.140625" style="1"/>
    <col min="3568" max="3568" width="0" style="1" hidden="1" customWidth="1"/>
    <col min="3569" max="3569" width="64.140625" style="1" customWidth="1"/>
    <col min="3570" max="3588" width="0" style="1" hidden="1" customWidth="1"/>
    <col min="3589" max="3589" width="27.85546875" style="1" customWidth="1"/>
    <col min="3590" max="3590" width="27" style="1" customWidth="1"/>
    <col min="3591" max="3591" width="28.7109375" style="1" customWidth="1"/>
    <col min="3592" max="3592" width="28.42578125" style="1" customWidth="1"/>
    <col min="3593" max="3593" width="28.28515625" style="1" customWidth="1"/>
    <col min="3594" max="3594" width="27.28515625" style="1" customWidth="1"/>
    <col min="3595" max="3595" width="26.140625" style="1" customWidth="1"/>
    <col min="3596" max="3596" width="25.28515625" style="1" customWidth="1"/>
    <col min="3597" max="3597" width="25.42578125" style="1" customWidth="1"/>
    <col min="3598" max="3598" width="26.7109375" style="1" customWidth="1"/>
    <col min="3599" max="3599" width="27.5703125" style="1" customWidth="1"/>
    <col min="3600" max="3601" width="27" style="1" customWidth="1"/>
    <col min="3602" max="3603" width="27.42578125" style="1" customWidth="1"/>
    <col min="3604" max="3604" width="28.28515625" style="1" customWidth="1"/>
    <col min="3605" max="3823" width="9.140625" style="1"/>
    <col min="3824" max="3824" width="0" style="1" hidden="1" customWidth="1"/>
    <col min="3825" max="3825" width="64.140625" style="1" customWidth="1"/>
    <col min="3826" max="3844" width="0" style="1" hidden="1" customWidth="1"/>
    <col min="3845" max="3845" width="27.85546875" style="1" customWidth="1"/>
    <col min="3846" max="3846" width="27" style="1" customWidth="1"/>
    <col min="3847" max="3847" width="28.7109375" style="1" customWidth="1"/>
    <col min="3848" max="3848" width="28.42578125" style="1" customWidth="1"/>
    <col min="3849" max="3849" width="28.28515625" style="1" customWidth="1"/>
    <col min="3850" max="3850" width="27.28515625" style="1" customWidth="1"/>
    <col min="3851" max="3851" width="26.140625" style="1" customWidth="1"/>
    <col min="3852" max="3852" width="25.28515625" style="1" customWidth="1"/>
    <col min="3853" max="3853" width="25.42578125" style="1" customWidth="1"/>
    <col min="3854" max="3854" width="26.7109375" style="1" customWidth="1"/>
    <col min="3855" max="3855" width="27.5703125" style="1" customWidth="1"/>
    <col min="3856" max="3857" width="27" style="1" customWidth="1"/>
    <col min="3858" max="3859" width="27.42578125" style="1" customWidth="1"/>
    <col min="3860" max="3860" width="28.28515625" style="1" customWidth="1"/>
    <col min="3861" max="4079" width="9.140625" style="1"/>
    <col min="4080" max="4080" width="0" style="1" hidden="1" customWidth="1"/>
    <col min="4081" max="4081" width="64.140625" style="1" customWidth="1"/>
    <col min="4082" max="4100" width="0" style="1" hidden="1" customWidth="1"/>
    <col min="4101" max="4101" width="27.85546875" style="1" customWidth="1"/>
    <col min="4102" max="4102" width="27" style="1" customWidth="1"/>
    <col min="4103" max="4103" width="28.7109375" style="1" customWidth="1"/>
    <col min="4104" max="4104" width="28.42578125" style="1" customWidth="1"/>
    <col min="4105" max="4105" width="28.28515625" style="1" customWidth="1"/>
    <col min="4106" max="4106" width="27.28515625" style="1" customWidth="1"/>
    <col min="4107" max="4107" width="26.140625" style="1" customWidth="1"/>
    <col min="4108" max="4108" width="25.28515625" style="1" customWidth="1"/>
    <col min="4109" max="4109" width="25.42578125" style="1" customWidth="1"/>
    <col min="4110" max="4110" width="26.7109375" style="1" customWidth="1"/>
    <col min="4111" max="4111" width="27.5703125" style="1" customWidth="1"/>
    <col min="4112" max="4113" width="27" style="1" customWidth="1"/>
    <col min="4114" max="4115" width="27.42578125" style="1" customWidth="1"/>
    <col min="4116" max="4116" width="28.28515625" style="1" customWidth="1"/>
    <col min="4117" max="4335" width="9.140625" style="1"/>
    <col min="4336" max="4336" width="0" style="1" hidden="1" customWidth="1"/>
    <col min="4337" max="4337" width="64.140625" style="1" customWidth="1"/>
    <col min="4338" max="4356" width="0" style="1" hidden="1" customWidth="1"/>
    <col min="4357" max="4357" width="27.85546875" style="1" customWidth="1"/>
    <col min="4358" max="4358" width="27" style="1" customWidth="1"/>
    <col min="4359" max="4359" width="28.7109375" style="1" customWidth="1"/>
    <col min="4360" max="4360" width="28.42578125" style="1" customWidth="1"/>
    <col min="4361" max="4361" width="28.28515625" style="1" customWidth="1"/>
    <col min="4362" max="4362" width="27.28515625" style="1" customWidth="1"/>
    <col min="4363" max="4363" width="26.140625" style="1" customWidth="1"/>
    <col min="4364" max="4364" width="25.28515625" style="1" customWidth="1"/>
    <col min="4365" max="4365" width="25.42578125" style="1" customWidth="1"/>
    <col min="4366" max="4366" width="26.7109375" style="1" customWidth="1"/>
    <col min="4367" max="4367" width="27.5703125" style="1" customWidth="1"/>
    <col min="4368" max="4369" width="27" style="1" customWidth="1"/>
    <col min="4370" max="4371" width="27.42578125" style="1" customWidth="1"/>
    <col min="4372" max="4372" width="28.28515625" style="1" customWidth="1"/>
    <col min="4373" max="4591" width="9.140625" style="1"/>
    <col min="4592" max="4592" width="0" style="1" hidden="1" customWidth="1"/>
    <col min="4593" max="4593" width="64.140625" style="1" customWidth="1"/>
    <col min="4594" max="4612" width="0" style="1" hidden="1" customWidth="1"/>
    <col min="4613" max="4613" width="27.85546875" style="1" customWidth="1"/>
    <col min="4614" max="4614" width="27" style="1" customWidth="1"/>
    <col min="4615" max="4615" width="28.7109375" style="1" customWidth="1"/>
    <col min="4616" max="4616" width="28.42578125" style="1" customWidth="1"/>
    <col min="4617" max="4617" width="28.28515625" style="1" customWidth="1"/>
    <col min="4618" max="4618" width="27.28515625" style="1" customWidth="1"/>
    <col min="4619" max="4619" width="26.140625" style="1" customWidth="1"/>
    <col min="4620" max="4620" width="25.28515625" style="1" customWidth="1"/>
    <col min="4621" max="4621" width="25.42578125" style="1" customWidth="1"/>
    <col min="4622" max="4622" width="26.7109375" style="1" customWidth="1"/>
    <col min="4623" max="4623" width="27.5703125" style="1" customWidth="1"/>
    <col min="4624" max="4625" width="27" style="1" customWidth="1"/>
    <col min="4626" max="4627" width="27.42578125" style="1" customWidth="1"/>
    <col min="4628" max="4628" width="28.28515625" style="1" customWidth="1"/>
    <col min="4629" max="4847" width="9.140625" style="1"/>
    <col min="4848" max="4848" width="0" style="1" hidden="1" customWidth="1"/>
    <col min="4849" max="4849" width="64.140625" style="1" customWidth="1"/>
    <col min="4850" max="4868" width="0" style="1" hidden="1" customWidth="1"/>
    <col min="4869" max="4869" width="27.85546875" style="1" customWidth="1"/>
    <col min="4870" max="4870" width="27" style="1" customWidth="1"/>
    <col min="4871" max="4871" width="28.7109375" style="1" customWidth="1"/>
    <col min="4872" max="4872" width="28.42578125" style="1" customWidth="1"/>
    <col min="4873" max="4873" width="28.28515625" style="1" customWidth="1"/>
    <col min="4874" max="4874" width="27.28515625" style="1" customWidth="1"/>
    <col min="4875" max="4875" width="26.140625" style="1" customWidth="1"/>
    <col min="4876" max="4876" width="25.28515625" style="1" customWidth="1"/>
    <col min="4877" max="4877" width="25.42578125" style="1" customWidth="1"/>
    <col min="4878" max="4878" width="26.7109375" style="1" customWidth="1"/>
    <col min="4879" max="4879" width="27.5703125" style="1" customWidth="1"/>
    <col min="4880" max="4881" width="27" style="1" customWidth="1"/>
    <col min="4882" max="4883" width="27.42578125" style="1" customWidth="1"/>
    <col min="4884" max="4884" width="28.28515625" style="1" customWidth="1"/>
    <col min="4885" max="5103" width="9.140625" style="1"/>
    <col min="5104" max="5104" width="0" style="1" hidden="1" customWidth="1"/>
    <col min="5105" max="5105" width="64.140625" style="1" customWidth="1"/>
    <col min="5106" max="5124" width="0" style="1" hidden="1" customWidth="1"/>
    <col min="5125" max="5125" width="27.85546875" style="1" customWidth="1"/>
    <col min="5126" max="5126" width="27" style="1" customWidth="1"/>
    <col min="5127" max="5127" width="28.7109375" style="1" customWidth="1"/>
    <col min="5128" max="5128" width="28.42578125" style="1" customWidth="1"/>
    <col min="5129" max="5129" width="28.28515625" style="1" customWidth="1"/>
    <col min="5130" max="5130" width="27.28515625" style="1" customWidth="1"/>
    <col min="5131" max="5131" width="26.140625" style="1" customWidth="1"/>
    <col min="5132" max="5132" width="25.28515625" style="1" customWidth="1"/>
    <col min="5133" max="5133" width="25.42578125" style="1" customWidth="1"/>
    <col min="5134" max="5134" width="26.7109375" style="1" customWidth="1"/>
    <col min="5135" max="5135" width="27.5703125" style="1" customWidth="1"/>
    <col min="5136" max="5137" width="27" style="1" customWidth="1"/>
    <col min="5138" max="5139" width="27.42578125" style="1" customWidth="1"/>
    <col min="5140" max="5140" width="28.28515625" style="1" customWidth="1"/>
    <col min="5141" max="5359" width="9.140625" style="1"/>
    <col min="5360" max="5360" width="0" style="1" hidden="1" customWidth="1"/>
    <col min="5361" max="5361" width="64.140625" style="1" customWidth="1"/>
    <col min="5362" max="5380" width="0" style="1" hidden="1" customWidth="1"/>
    <col min="5381" max="5381" width="27.85546875" style="1" customWidth="1"/>
    <col min="5382" max="5382" width="27" style="1" customWidth="1"/>
    <col min="5383" max="5383" width="28.7109375" style="1" customWidth="1"/>
    <col min="5384" max="5384" width="28.42578125" style="1" customWidth="1"/>
    <col min="5385" max="5385" width="28.28515625" style="1" customWidth="1"/>
    <col min="5386" max="5386" width="27.28515625" style="1" customWidth="1"/>
    <col min="5387" max="5387" width="26.140625" style="1" customWidth="1"/>
    <col min="5388" max="5388" width="25.28515625" style="1" customWidth="1"/>
    <col min="5389" max="5389" width="25.42578125" style="1" customWidth="1"/>
    <col min="5390" max="5390" width="26.7109375" style="1" customWidth="1"/>
    <col min="5391" max="5391" width="27.5703125" style="1" customWidth="1"/>
    <col min="5392" max="5393" width="27" style="1" customWidth="1"/>
    <col min="5394" max="5395" width="27.42578125" style="1" customWidth="1"/>
    <col min="5396" max="5396" width="28.28515625" style="1" customWidth="1"/>
    <col min="5397" max="5615" width="9.140625" style="1"/>
    <col min="5616" max="5616" width="0" style="1" hidden="1" customWidth="1"/>
    <col min="5617" max="5617" width="64.140625" style="1" customWidth="1"/>
    <col min="5618" max="5636" width="0" style="1" hidden="1" customWidth="1"/>
    <col min="5637" max="5637" width="27.85546875" style="1" customWidth="1"/>
    <col min="5638" max="5638" width="27" style="1" customWidth="1"/>
    <col min="5639" max="5639" width="28.7109375" style="1" customWidth="1"/>
    <col min="5640" max="5640" width="28.42578125" style="1" customWidth="1"/>
    <col min="5641" max="5641" width="28.28515625" style="1" customWidth="1"/>
    <col min="5642" max="5642" width="27.28515625" style="1" customWidth="1"/>
    <col min="5643" max="5643" width="26.140625" style="1" customWidth="1"/>
    <col min="5644" max="5644" width="25.28515625" style="1" customWidth="1"/>
    <col min="5645" max="5645" width="25.42578125" style="1" customWidth="1"/>
    <col min="5646" max="5646" width="26.7109375" style="1" customWidth="1"/>
    <col min="5647" max="5647" width="27.5703125" style="1" customWidth="1"/>
    <col min="5648" max="5649" width="27" style="1" customWidth="1"/>
    <col min="5650" max="5651" width="27.42578125" style="1" customWidth="1"/>
    <col min="5652" max="5652" width="28.28515625" style="1" customWidth="1"/>
    <col min="5653" max="5871" width="9.140625" style="1"/>
    <col min="5872" max="5872" width="0" style="1" hidden="1" customWidth="1"/>
    <col min="5873" max="5873" width="64.140625" style="1" customWidth="1"/>
    <col min="5874" max="5892" width="0" style="1" hidden="1" customWidth="1"/>
    <col min="5893" max="5893" width="27.85546875" style="1" customWidth="1"/>
    <col min="5894" max="5894" width="27" style="1" customWidth="1"/>
    <col min="5895" max="5895" width="28.7109375" style="1" customWidth="1"/>
    <col min="5896" max="5896" width="28.42578125" style="1" customWidth="1"/>
    <col min="5897" max="5897" width="28.28515625" style="1" customWidth="1"/>
    <col min="5898" max="5898" width="27.28515625" style="1" customWidth="1"/>
    <col min="5899" max="5899" width="26.140625" style="1" customWidth="1"/>
    <col min="5900" max="5900" width="25.28515625" style="1" customWidth="1"/>
    <col min="5901" max="5901" width="25.42578125" style="1" customWidth="1"/>
    <col min="5902" max="5902" width="26.7109375" style="1" customWidth="1"/>
    <col min="5903" max="5903" width="27.5703125" style="1" customWidth="1"/>
    <col min="5904" max="5905" width="27" style="1" customWidth="1"/>
    <col min="5906" max="5907" width="27.42578125" style="1" customWidth="1"/>
    <col min="5908" max="5908" width="28.28515625" style="1" customWidth="1"/>
    <col min="5909" max="6127" width="9.140625" style="1"/>
    <col min="6128" max="6128" width="0" style="1" hidden="1" customWidth="1"/>
    <col min="6129" max="6129" width="64.140625" style="1" customWidth="1"/>
    <col min="6130" max="6148" width="0" style="1" hidden="1" customWidth="1"/>
    <col min="6149" max="6149" width="27.85546875" style="1" customWidth="1"/>
    <col min="6150" max="6150" width="27" style="1" customWidth="1"/>
    <col min="6151" max="6151" width="28.7109375" style="1" customWidth="1"/>
    <col min="6152" max="6152" width="28.42578125" style="1" customWidth="1"/>
    <col min="6153" max="6153" width="28.28515625" style="1" customWidth="1"/>
    <col min="6154" max="6154" width="27.28515625" style="1" customWidth="1"/>
    <col min="6155" max="6155" width="26.140625" style="1" customWidth="1"/>
    <col min="6156" max="6156" width="25.28515625" style="1" customWidth="1"/>
    <col min="6157" max="6157" width="25.42578125" style="1" customWidth="1"/>
    <col min="6158" max="6158" width="26.7109375" style="1" customWidth="1"/>
    <col min="6159" max="6159" width="27.5703125" style="1" customWidth="1"/>
    <col min="6160" max="6161" width="27" style="1" customWidth="1"/>
    <col min="6162" max="6163" width="27.42578125" style="1" customWidth="1"/>
    <col min="6164" max="6164" width="28.28515625" style="1" customWidth="1"/>
    <col min="6165" max="6383" width="9.140625" style="1"/>
    <col min="6384" max="6384" width="0" style="1" hidden="1" customWidth="1"/>
    <col min="6385" max="6385" width="64.140625" style="1" customWidth="1"/>
    <col min="6386" max="6404" width="0" style="1" hidden="1" customWidth="1"/>
    <col min="6405" max="6405" width="27.85546875" style="1" customWidth="1"/>
    <col min="6406" max="6406" width="27" style="1" customWidth="1"/>
    <col min="6407" max="6407" width="28.7109375" style="1" customWidth="1"/>
    <col min="6408" max="6408" width="28.42578125" style="1" customWidth="1"/>
    <col min="6409" max="6409" width="28.28515625" style="1" customWidth="1"/>
    <col min="6410" max="6410" width="27.28515625" style="1" customWidth="1"/>
    <col min="6411" max="6411" width="26.140625" style="1" customWidth="1"/>
    <col min="6412" max="6412" width="25.28515625" style="1" customWidth="1"/>
    <col min="6413" max="6413" width="25.42578125" style="1" customWidth="1"/>
    <col min="6414" max="6414" width="26.7109375" style="1" customWidth="1"/>
    <col min="6415" max="6415" width="27.5703125" style="1" customWidth="1"/>
    <col min="6416" max="6417" width="27" style="1" customWidth="1"/>
    <col min="6418" max="6419" width="27.42578125" style="1" customWidth="1"/>
    <col min="6420" max="6420" width="28.28515625" style="1" customWidth="1"/>
    <col min="6421" max="6639" width="9.140625" style="1"/>
    <col min="6640" max="6640" width="0" style="1" hidden="1" customWidth="1"/>
    <col min="6641" max="6641" width="64.140625" style="1" customWidth="1"/>
    <col min="6642" max="6660" width="0" style="1" hidden="1" customWidth="1"/>
    <col min="6661" max="6661" width="27.85546875" style="1" customWidth="1"/>
    <col min="6662" max="6662" width="27" style="1" customWidth="1"/>
    <col min="6663" max="6663" width="28.7109375" style="1" customWidth="1"/>
    <col min="6664" max="6664" width="28.42578125" style="1" customWidth="1"/>
    <col min="6665" max="6665" width="28.28515625" style="1" customWidth="1"/>
    <col min="6666" max="6666" width="27.28515625" style="1" customWidth="1"/>
    <col min="6667" max="6667" width="26.140625" style="1" customWidth="1"/>
    <col min="6668" max="6668" width="25.28515625" style="1" customWidth="1"/>
    <col min="6669" max="6669" width="25.42578125" style="1" customWidth="1"/>
    <col min="6670" max="6670" width="26.7109375" style="1" customWidth="1"/>
    <col min="6671" max="6671" width="27.5703125" style="1" customWidth="1"/>
    <col min="6672" max="6673" width="27" style="1" customWidth="1"/>
    <col min="6674" max="6675" width="27.42578125" style="1" customWidth="1"/>
    <col min="6676" max="6676" width="28.28515625" style="1" customWidth="1"/>
    <col min="6677" max="6895" width="9.140625" style="1"/>
    <col min="6896" max="6896" width="0" style="1" hidden="1" customWidth="1"/>
    <col min="6897" max="6897" width="64.140625" style="1" customWidth="1"/>
    <col min="6898" max="6916" width="0" style="1" hidden="1" customWidth="1"/>
    <col min="6917" max="6917" width="27.85546875" style="1" customWidth="1"/>
    <col min="6918" max="6918" width="27" style="1" customWidth="1"/>
    <col min="6919" max="6919" width="28.7109375" style="1" customWidth="1"/>
    <col min="6920" max="6920" width="28.42578125" style="1" customWidth="1"/>
    <col min="6921" max="6921" width="28.28515625" style="1" customWidth="1"/>
    <col min="6922" max="6922" width="27.28515625" style="1" customWidth="1"/>
    <col min="6923" max="6923" width="26.140625" style="1" customWidth="1"/>
    <col min="6924" max="6924" width="25.28515625" style="1" customWidth="1"/>
    <col min="6925" max="6925" width="25.42578125" style="1" customWidth="1"/>
    <col min="6926" max="6926" width="26.7109375" style="1" customWidth="1"/>
    <col min="6927" max="6927" width="27.5703125" style="1" customWidth="1"/>
    <col min="6928" max="6929" width="27" style="1" customWidth="1"/>
    <col min="6930" max="6931" width="27.42578125" style="1" customWidth="1"/>
    <col min="6932" max="6932" width="28.28515625" style="1" customWidth="1"/>
    <col min="6933" max="7151" width="9.140625" style="1"/>
    <col min="7152" max="7152" width="0" style="1" hidden="1" customWidth="1"/>
    <col min="7153" max="7153" width="64.140625" style="1" customWidth="1"/>
    <col min="7154" max="7172" width="0" style="1" hidden="1" customWidth="1"/>
    <col min="7173" max="7173" width="27.85546875" style="1" customWidth="1"/>
    <col min="7174" max="7174" width="27" style="1" customWidth="1"/>
    <col min="7175" max="7175" width="28.7109375" style="1" customWidth="1"/>
    <col min="7176" max="7176" width="28.42578125" style="1" customWidth="1"/>
    <col min="7177" max="7177" width="28.28515625" style="1" customWidth="1"/>
    <col min="7178" max="7178" width="27.28515625" style="1" customWidth="1"/>
    <col min="7179" max="7179" width="26.140625" style="1" customWidth="1"/>
    <col min="7180" max="7180" width="25.28515625" style="1" customWidth="1"/>
    <col min="7181" max="7181" width="25.42578125" style="1" customWidth="1"/>
    <col min="7182" max="7182" width="26.7109375" style="1" customWidth="1"/>
    <col min="7183" max="7183" width="27.5703125" style="1" customWidth="1"/>
    <col min="7184" max="7185" width="27" style="1" customWidth="1"/>
    <col min="7186" max="7187" width="27.42578125" style="1" customWidth="1"/>
    <col min="7188" max="7188" width="28.28515625" style="1" customWidth="1"/>
    <col min="7189" max="7407" width="9.140625" style="1"/>
    <col min="7408" max="7408" width="0" style="1" hidden="1" customWidth="1"/>
    <col min="7409" max="7409" width="64.140625" style="1" customWidth="1"/>
    <col min="7410" max="7428" width="0" style="1" hidden="1" customWidth="1"/>
    <col min="7429" max="7429" width="27.85546875" style="1" customWidth="1"/>
    <col min="7430" max="7430" width="27" style="1" customWidth="1"/>
    <col min="7431" max="7431" width="28.7109375" style="1" customWidth="1"/>
    <col min="7432" max="7432" width="28.42578125" style="1" customWidth="1"/>
    <col min="7433" max="7433" width="28.28515625" style="1" customWidth="1"/>
    <col min="7434" max="7434" width="27.28515625" style="1" customWidth="1"/>
    <col min="7435" max="7435" width="26.140625" style="1" customWidth="1"/>
    <col min="7436" max="7436" width="25.28515625" style="1" customWidth="1"/>
    <col min="7437" max="7437" width="25.42578125" style="1" customWidth="1"/>
    <col min="7438" max="7438" width="26.7109375" style="1" customWidth="1"/>
    <col min="7439" max="7439" width="27.5703125" style="1" customWidth="1"/>
    <col min="7440" max="7441" width="27" style="1" customWidth="1"/>
    <col min="7442" max="7443" width="27.42578125" style="1" customWidth="1"/>
    <col min="7444" max="7444" width="28.28515625" style="1" customWidth="1"/>
    <col min="7445" max="7663" width="9.140625" style="1"/>
    <col min="7664" max="7664" width="0" style="1" hidden="1" customWidth="1"/>
    <col min="7665" max="7665" width="64.140625" style="1" customWidth="1"/>
    <col min="7666" max="7684" width="0" style="1" hidden="1" customWidth="1"/>
    <col min="7685" max="7685" width="27.85546875" style="1" customWidth="1"/>
    <col min="7686" max="7686" width="27" style="1" customWidth="1"/>
    <col min="7687" max="7687" width="28.7109375" style="1" customWidth="1"/>
    <col min="7688" max="7688" width="28.42578125" style="1" customWidth="1"/>
    <col min="7689" max="7689" width="28.28515625" style="1" customWidth="1"/>
    <col min="7690" max="7690" width="27.28515625" style="1" customWidth="1"/>
    <col min="7691" max="7691" width="26.140625" style="1" customWidth="1"/>
    <col min="7692" max="7692" width="25.28515625" style="1" customWidth="1"/>
    <col min="7693" max="7693" width="25.42578125" style="1" customWidth="1"/>
    <col min="7694" max="7694" width="26.7109375" style="1" customWidth="1"/>
    <col min="7695" max="7695" width="27.5703125" style="1" customWidth="1"/>
    <col min="7696" max="7697" width="27" style="1" customWidth="1"/>
    <col min="7698" max="7699" width="27.42578125" style="1" customWidth="1"/>
    <col min="7700" max="7700" width="28.28515625" style="1" customWidth="1"/>
    <col min="7701" max="7919" width="9.140625" style="1"/>
    <col min="7920" max="7920" width="0" style="1" hidden="1" customWidth="1"/>
    <col min="7921" max="7921" width="64.140625" style="1" customWidth="1"/>
    <col min="7922" max="7940" width="0" style="1" hidden="1" customWidth="1"/>
    <col min="7941" max="7941" width="27.85546875" style="1" customWidth="1"/>
    <col min="7942" max="7942" width="27" style="1" customWidth="1"/>
    <col min="7943" max="7943" width="28.7109375" style="1" customWidth="1"/>
    <col min="7944" max="7944" width="28.42578125" style="1" customWidth="1"/>
    <col min="7945" max="7945" width="28.28515625" style="1" customWidth="1"/>
    <col min="7946" max="7946" width="27.28515625" style="1" customWidth="1"/>
    <col min="7947" max="7947" width="26.140625" style="1" customWidth="1"/>
    <col min="7948" max="7948" width="25.28515625" style="1" customWidth="1"/>
    <col min="7949" max="7949" width="25.42578125" style="1" customWidth="1"/>
    <col min="7950" max="7950" width="26.7109375" style="1" customWidth="1"/>
    <col min="7951" max="7951" width="27.5703125" style="1" customWidth="1"/>
    <col min="7952" max="7953" width="27" style="1" customWidth="1"/>
    <col min="7954" max="7955" width="27.42578125" style="1" customWidth="1"/>
    <col min="7956" max="7956" width="28.28515625" style="1" customWidth="1"/>
    <col min="7957" max="8175" width="9.140625" style="1"/>
    <col min="8176" max="8176" width="0" style="1" hidden="1" customWidth="1"/>
    <col min="8177" max="8177" width="64.140625" style="1" customWidth="1"/>
    <col min="8178" max="8196" width="0" style="1" hidden="1" customWidth="1"/>
    <col min="8197" max="8197" width="27.85546875" style="1" customWidth="1"/>
    <col min="8198" max="8198" width="27" style="1" customWidth="1"/>
    <col min="8199" max="8199" width="28.7109375" style="1" customWidth="1"/>
    <col min="8200" max="8200" width="28.42578125" style="1" customWidth="1"/>
    <col min="8201" max="8201" width="28.28515625" style="1" customWidth="1"/>
    <col min="8202" max="8202" width="27.28515625" style="1" customWidth="1"/>
    <col min="8203" max="8203" width="26.140625" style="1" customWidth="1"/>
    <col min="8204" max="8204" width="25.28515625" style="1" customWidth="1"/>
    <col min="8205" max="8205" width="25.42578125" style="1" customWidth="1"/>
    <col min="8206" max="8206" width="26.7109375" style="1" customWidth="1"/>
    <col min="8207" max="8207" width="27.5703125" style="1" customWidth="1"/>
    <col min="8208" max="8209" width="27" style="1" customWidth="1"/>
    <col min="8210" max="8211" width="27.42578125" style="1" customWidth="1"/>
    <col min="8212" max="8212" width="28.28515625" style="1" customWidth="1"/>
    <col min="8213" max="8431" width="9.140625" style="1"/>
    <col min="8432" max="8432" width="0" style="1" hidden="1" customWidth="1"/>
    <col min="8433" max="8433" width="64.140625" style="1" customWidth="1"/>
    <col min="8434" max="8452" width="0" style="1" hidden="1" customWidth="1"/>
    <col min="8453" max="8453" width="27.85546875" style="1" customWidth="1"/>
    <col min="8454" max="8454" width="27" style="1" customWidth="1"/>
    <col min="8455" max="8455" width="28.7109375" style="1" customWidth="1"/>
    <col min="8456" max="8456" width="28.42578125" style="1" customWidth="1"/>
    <col min="8457" max="8457" width="28.28515625" style="1" customWidth="1"/>
    <col min="8458" max="8458" width="27.28515625" style="1" customWidth="1"/>
    <col min="8459" max="8459" width="26.140625" style="1" customWidth="1"/>
    <col min="8460" max="8460" width="25.28515625" style="1" customWidth="1"/>
    <col min="8461" max="8461" width="25.42578125" style="1" customWidth="1"/>
    <col min="8462" max="8462" width="26.7109375" style="1" customWidth="1"/>
    <col min="8463" max="8463" width="27.5703125" style="1" customWidth="1"/>
    <col min="8464" max="8465" width="27" style="1" customWidth="1"/>
    <col min="8466" max="8467" width="27.42578125" style="1" customWidth="1"/>
    <col min="8468" max="8468" width="28.28515625" style="1" customWidth="1"/>
    <col min="8469" max="8687" width="9.140625" style="1"/>
    <col min="8688" max="8688" width="0" style="1" hidden="1" customWidth="1"/>
    <col min="8689" max="8689" width="64.140625" style="1" customWidth="1"/>
    <col min="8690" max="8708" width="0" style="1" hidden="1" customWidth="1"/>
    <col min="8709" max="8709" width="27.85546875" style="1" customWidth="1"/>
    <col min="8710" max="8710" width="27" style="1" customWidth="1"/>
    <col min="8711" max="8711" width="28.7109375" style="1" customWidth="1"/>
    <col min="8712" max="8712" width="28.42578125" style="1" customWidth="1"/>
    <col min="8713" max="8713" width="28.28515625" style="1" customWidth="1"/>
    <col min="8714" max="8714" width="27.28515625" style="1" customWidth="1"/>
    <col min="8715" max="8715" width="26.140625" style="1" customWidth="1"/>
    <col min="8716" max="8716" width="25.28515625" style="1" customWidth="1"/>
    <col min="8717" max="8717" width="25.42578125" style="1" customWidth="1"/>
    <col min="8718" max="8718" width="26.7109375" style="1" customWidth="1"/>
    <col min="8719" max="8719" width="27.5703125" style="1" customWidth="1"/>
    <col min="8720" max="8721" width="27" style="1" customWidth="1"/>
    <col min="8722" max="8723" width="27.42578125" style="1" customWidth="1"/>
    <col min="8724" max="8724" width="28.28515625" style="1" customWidth="1"/>
    <col min="8725" max="8943" width="9.140625" style="1"/>
    <col min="8944" max="8944" width="0" style="1" hidden="1" customWidth="1"/>
    <col min="8945" max="8945" width="64.140625" style="1" customWidth="1"/>
    <col min="8946" max="8964" width="0" style="1" hidden="1" customWidth="1"/>
    <col min="8965" max="8965" width="27.85546875" style="1" customWidth="1"/>
    <col min="8966" max="8966" width="27" style="1" customWidth="1"/>
    <col min="8967" max="8967" width="28.7109375" style="1" customWidth="1"/>
    <col min="8968" max="8968" width="28.42578125" style="1" customWidth="1"/>
    <col min="8969" max="8969" width="28.28515625" style="1" customWidth="1"/>
    <col min="8970" max="8970" width="27.28515625" style="1" customWidth="1"/>
    <col min="8971" max="8971" width="26.140625" style="1" customWidth="1"/>
    <col min="8972" max="8972" width="25.28515625" style="1" customWidth="1"/>
    <col min="8973" max="8973" width="25.42578125" style="1" customWidth="1"/>
    <col min="8974" max="8974" width="26.7109375" style="1" customWidth="1"/>
    <col min="8975" max="8975" width="27.5703125" style="1" customWidth="1"/>
    <col min="8976" max="8977" width="27" style="1" customWidth="1"/>
    <col min="8978" max="8979" width="27.42578125" style="1" customWidth="1"/>
    <col min="8980" max="8980" width="28.28515625" style="1" customWidth="1"/>
    <col min="8981" max="9199" width="9.140625" style="1"/>
    <col min="9200" max="9200" width="0" style="1" hidden="1" customWidth="1"/>
    <col min="9201" max="9201" width="64.140625" style="1" customWidth="1"/>
    <col min="9202" max="9220" width="0" style="1" hidden="1" customWidth="1"/>
    <col min="9221" max="9221" width="27.85546875" style="1" customWidth="1"/>
    <col min="9222" max="9222" width="27" style="1" customWidth="1"/>
    <col min="9223" max="9223" width="28.7109375" style="1" customWidth="1"/>
    <col min="9224" max="9224" width="28.42578125" style="1" customWidth="1"/>
    <col min="9225" max="9225" width="28.28515625" style="1" customWidth="1"/>
    <col min="9226" max="9226" width="27.28515625" style="1" customWidth="1"/>
    <col min="9227" max="9227" width="26.140625" style="1" customWidth="1"/>
    <col min="9228" max="9228" width="25.28515625" style="1" customWidth="1"/>
    <col min="9229" max="9229" width="25.42578125" style="1" customWidth="1"/>
    <col min="9230" max="9230" width="26.7109375" style="1" customWidth="1"/>
    <col min="9231" max="9231" width="27.5703125" style="1" customWidth="1"/>
    <col min="9232" max="9233" width="27" style="1" customWidth="1"/>
    <col min="9234" max="9235" width="27.42578125" style="1" customWidth="1"/>
    <col min="9236" max="9236" width="28.28515625" style="1" customWidth="1"/>
    <col min="9237" max="9455" width="9.140625" style="1"/>
    <col min="9456" max="9456" width="0" style="1" hidden="1" customWidth="1"/>
    <col min="9457" max="9457" width="64.140625" style="1" customWidth="1"/>
    <col min="9458" max="9476" width="0" style="1" hidden="1" customWidth="1"/>
    <col min="9477" max="9477" width="27.85546875" style="1" customWidth="1"/>
    <col min="9478" max="9478" width="27" style="1" customWidth="1"/>
    <col min="9479" max="9479" width="28.7109375" style="1" customWidth="1"/>
    <col min="9480" max="9480" width="28.42578125" style="1" customWidth="1"/>
    <col min="9481" max="9481" width="28.28515625" style="1" customWidth="1"/>
    <col min="9482" max="9482" width="27.28515625" style="1" customWidth="1"/>
    <col min="9483" max="9483" width="26.140625" style="1" customWidth="1"/>
    <col min="9484" max="9484" width="25.28515625" style="1" customWidth="1"/>
    <col min="9485" max="9485" width="25.42578125" style="1" customWidth="1"/>
    <col min="9486" max="9486" width="26.7109375" style="1" customWidth="1"/>
    <col min="9487" max="9487" width="27.5703125" style="1" customWidth="1"/>
    <col min="9488" max="9489" width="27" style="1" customWidth="1"/>
    <col min="9490" max="9491" width="27.42578125" style="1" customWidth="1"/>
    <col min="9492" max="9492" width="28.28515625" style="1" customWidth="1"/>
    <col min="9493" max="9711" width="9.140625" style="1"/>
    <col min="9712" max="9712" width="0" style="1" hidden="1" customWidth="1"/>
    <col min="9713" max="9713" width="64.140625" style="1" customWidth="1"/>
    <col min="9714" max="9732" width="0" style="1" hidden="1" customWidth="1"/>
    <col min="9733" max="9733" width="27.85546875" style="1" customWidth="1"/>
    <col min="9734" max="9734" width="27" style="1" customWidth="1"/>
    <col min="9735" max="9735" width="28.7109375" style="1" customWidth="1"/>
    <col min="9736" max="9736" width="28.42578125" style="1" customWidth="1"/>
    <col min="9737" max="9737" width="28.28515625" style="1" customWidth="1"/>
    <col min="9738" max="9738" width="27.28515625" style="1" customWidth="1"/>
    <col min="9739" max="9739" width="26.140625" style="1" customWidth="1"/>
    <col min="9740" max="9740" width="25.28515625" style="1" customWidth="1"/>
    <col min="9741" max="9741" width="25.42578125" style="1" customWidth="1"/>
    <col min="9742" max="9742" width="26.7109375" style="1" customWidth="1"/>
    <col min="9743" max="9743" width="27.5703125" style="1" customWidth="1"/>
    <col min="9744" max="9745" width="27" style="1" customWidth="1"/>
    <col min="9746" max="9747" width="27.42578125" style="1" customWidth="1"/>
    <col min="9748" max="9748" width="28.28515625" style="1" customWidth="1"/>
    <col min="9749" max="9967" width="9.140625" style="1"/>
    <col min="9968" max="9968" width="0" style="1" hidden="1" customWidth="1"/>
    <col min="9969" max="9969" width="64.140625" style="1" customWidth="1"/>
    <col min="9970" max="9988" width="0" style="1" hidden="1" customWidth="1"/>
    <col min="9989" max="9989" width="27.85546875" style="1" customWidth="1"/>
    <col min="9990" max="9990" width="27" style="1" customWidth="1"/>
    <col min="9991" max="9991" width="28.7109375" style="1" customWidth="1"/>
    <col min="9992" max="9992" width="28.42578125" style="1" customWidth="1"/>
    <col min="9993" max="9993" width="28.28515625" style="1" customWidth="1"/>
    <col min="9994" max="9994" width="27.28515625" style="1" customWidth="1"/>
    <col min="9995" max="9995" width="26.140625" style="1" customWidth="1"/>
    <col min="9996" max="9996" width="25.28515625" style="1" customWidth="1"/>
    <col min="9997" max="9997" width="25.42578125" style="1" customWidth="1"/>
    <col min="9998" max="9998" width="26.7109375" style="1" customWidth="1"/>
    <col min="9999" max="9999" width="27.5703125" style="1" customWidth="1"/>
    <col min="10000" max="10001" width="27" style="1" customWidth="1"/>
    <col min="10002" max="10003" width="27.42578125" style="1" customWidth="1"/>
    <col min="10004" max="10004" width="28.28515625" style="1" customWidth="1"/>
    <col min="10005" max="10223" width="9.140625" style="1"/>
    <col min="10224" max="10224" width="0" style="1" hidden="1" customWidth="1"/>
    <col min="10225" max="10225" width="64.140625" style="1" customWidth="1"/>
    <col min="10226" max="10244" width="0" style="1" hidden="1" customWidth="1"/>
    <col min="10245" max="10245" width="27.85546875" style="1" customWidth="1"/>
    <col min="10246" max="10246" width="27" style="1" customWidth="1"/>
    <col min="10247" max="10247" width="28.7109375" style="1" customWidth="1"/>
    <col min="10248" max="10248" width="28.42578125" style="1" customWidth="1"/>
    <col min="10249" max="10249" width="28.28515625" style="1" customWidth="1"/>
    <col min="10250" max="10250" width="27.28515625" style="1" customWidth="1"/>
    <col min="10251" max="10251" width="26.140625" style="1" customWidth="1"/>
    <col min="10252" max="10252" width="25.28515625" style="1" customWidth="1"/>
    <col min="10253" max="10253" width="25.42578125" style="1" customWidth="1"/>
    <col min="10254" max="10254" width="26.7109375" style="1" customWidth="1"/>
    <col min="10255" max="10255" width="27.5703125" style="1" customWidth="1"/>
    <col min="10256" max="10257" width="27" style="1" customWidth="1"/>
    <col min="10258" max="10259" width="27.42578125" style="1" customWidth="1"/>
    <col min="10260" max="10260" width="28.28515625" style="1" customWidth="1"/>
    <col min="10261" max="10479" width="9.140625" style="1"/>
    <col min="10480" max="10480" width="0" style="1" hidden="1" customWidth="1"/>
    <col min="10481" max="10481" width="64.140625" style="1" customWidth="1"/>
    <col min="10482" max="10500" width="0" style="1" hidden="1" customWidth="1"/>
    <col min="10501" max="10501" width="27.85546875" style="1" customWidth="1"/>
    <col min="10502" max="10502" width="27" style="1" customWidth="1"/>
    <col min="10503" max="10503" width="28.7109375" style="1" customWidth="1"/>
    <col min="10504" max="10504" width="28.42578125" style="1" customWidth="1"/>
    <col min="10505" max="10505" width="28.28515625" style="1" customWidth="1"/>
    <col min="10506" max="10506" width="27.28515625" style="1" customWidth="1"/>
    <col min="10507" max="10507" width="26.140625" style="1" customWidth="1"/>
    <col min="10508" max="10508" width="25.28515625" style="1" customWidth="1"/>
    <col min="10509" max="10509" width="25.42578125" style="1" customWidth="1"/>
    <col min="10510" max="10510" width="26.7109375" style="1" customWidth="1"/>
    <col min="10511" max="10511" width="27.5703125" style="1" customWidth="1"/>
    <col min="10512" max="10513" width="27" style="1" customWidth="1"/>
    <col min="10514" max="10515" width="27.42578125" style="1" customWidth="1"/>
    <col min="10516" max="10516" width="28.28515625" style="1" customWidth="1"/>
    <col min="10517" max="10735" width="9.140625" style="1"/>
    <col min="10736" max="10736" width="0" style="1" hidden="1" customWidth="1"/>
    <col min="10737" max="10737" width="64.140625" style="1" customWidth="1"/>
    <col min="10738" max="10756" width="0" style="1" hidden="1" customWidth="1"/>
    <col min="10757" max="10757" width="27.85546875" style="1" customWidth="1"/>
    <col min="10758" max="10758" width="27" style="1" customWidth="1"/>
    <col min="10759" max="10759" width="28.7109375" style="1" customWidth="1"/>
    <col min="10760" max="10760" width="28.42578125" style="1" customWidth="1"/>
    <col min="10761" max="10761" width="28.28515625" style="1" customWidth="1"/>
    <col min="10762" max="10762" width="27.28515625" style="1" customWidth="1"/>
    <col min="10763" max="10763" width="26.140625" style="1" customWidth="1"/>
    <col min="10764" max="10764" width="25.28515625" style="1" customWidth="1"/>
    <col min="10765" max="10765" width="25.42578125" style="1" customWidth="1"/>
    <col min="10766" max="10766" width="26.7109375" style="1" customWidth="1"/>
    <col min="10767" max="10767" width="27.5703125" style="1" customWidth="1"/>
    <col min="10768" max="10769" width="27" style="1" customWidth="1"/>
    <col min="10770" max="10771" width="27.42578125" style="1" customWidth="1"/>
    <col min="10772" max="10772" width="28.28515625" style="1" customWidth="1"/>
    <col min="10773" max="10991" width="9.140625" style="1"/>
    <col min="10992" max="10992" width="0" style="1" hidden="1" customWidth="1"/>
    <col min="10993" max="10993" width="64.140625" style="1" customWidth="1"/>
    <col min="10994" max="11012" width="0" style="1" hidden="1" customWidth="1"/>
    <col min="11013" max="11013" width="27.85546875" style="1" customWidth="1"/>
    <col min="11014" max="11014" width="27" style="1" customWidth="1"/>
    <col min="11015" max="11015" width="28.7109375" style="1" customWidth="1"/>
    <col min="11016" max="11016" width="28.42578125" style="1" customWidth="1"/>
    <col min="11017" max="11017" width="28.28515625" style="1" customWidth="1"/>
    <col min="11018" max="11018" width="27.28515625" style="1" customWidth="1"/>
    <col min="11019" max="11019" width="26.140625" style="1" customWidth="1"/>
    <col min="11020" max="11020" width="25.28515625" style="1" customWidth="1"/>
    <col min="11021" max="11021" width="25.42578125" style="1" customWidth="1"/>
    <col min="11022" max="11022" width="26.7109375" style="1" customWidth="1"/>
    <col min="11023" max="11023" width="27.5703125" style="1" customWidth="1"/>
    <col min="11024" max="11025" width="27" style="1" customWidth="1"/>
    <col min="11026" max="11027" width="27.42578125" style="1" customWidth="1"/>
    <col min="11028" max="11028" width="28.28515625" style="1" customWidth="1"/>
    <col min="11029" max="11247" width="9.140625" style="1"/>
    <col min="11248" max="11248" width="0" style="1" hidden="1" customWidth="1"/>
    <col min="11249" max="11249" width="64.140625" style="1" customWidth="1"/>
    <col min="11250" max="11268" width="0" style="1" hidden="1" customWidth="1"/>
    <col min="11269" max="11269" width="27.85546875" style="1" customWidth="1"/>
    <col min="11270" max="11270" width="27" style="1" customWidth="1"/>
    <col min="11271" max="11271" width="28.7109375" style="1" customWidth="1"/>
    <col min="11272" max="11272" width="28.42578125" style="1" customWidth="1"/>
    <col min="11273" max="11273" width="28.28515625" style="1" customWidth="1"/>
    <col min="11274" max="11274" width="27.28515625" style="1" customWidth="1"/>
    <col min="11275" max="11275" width="26.140625" style="1" customWidth="1"/>
    <col min="11276" max="11276" width="25.28515625" style="1" customWidth="1"/>
    <col min="11277" max="11277" width="25.42578125" style="1" customWidth="1"/>
    <col min="11278" max="11278" width="26.7109375" style="1" customWidth="1"/>
    <col min="11279" max="11279" width="27.5703125" style="1" customWidth="1"/>
    <col min="11280" max="11281" width="27" style="1" customWidth="1"/>
    <col min="11282" max="11283" width="27.42578125" style="1" customWidth="1"/>
    <col min="11284" max="11284" width="28.28515625" style="1" customWidth="1"/>
    <col min="11285" max="11503" width="9.140625" style="1"/>
    <col min="11504" max="11504" width="0" style="1" hidden="1" customWidth="1"/>
    <col min="11505" max="11505" width="64.140625" style="1" customWidth="1"/>
    <col min="11506" max="11524" width="0" style="1" hidden="1" customWidth="1"/>
    <col min="11525" max="11525" width="27.85546875" style="1" customWidth="1"/>
    <col min="11526" max="11526" width="27" style="1" customWidth="1"/>
    <col min="11527" max="11527" width="28.7109375" style="1" customWidth="1"/>
    <col min="11528" max="11528" width="28.42578125" style="1" customWidth="1"/>
    <col min="11529" max="11529" width="28.28515625" style="1" customWidth="1"/>
    <col min="11530" max="11530" width="27.28515625" style="1" customWidth="1"/>
    <col min="11531" max="11531" width="26.140625" style="1" customWidth="1"/>
    <col min="11532" max="11532" width="25.28515625" style="1" customWidth="1"/>
    <col min="11533" max="11533" width="25.42578125" style="1" customWidth="1"/>
    <col min="11534" max="11534" width="26.7109375" style="1" customWidth="1"/>
    <col min="11535" max="11535" width="27.5703125" style="1" customWidth="1"/>
    <col min="11536" max="11537" width="27" style="1" customWidth="1"/>
    <col min="11538" max="11539" width="27.42578125" style="1" customWidth="1"/>
    <col min="11540" max="11540" width="28.28515625" style="1" customWidth="1"/>
    <col min="11541" max="11759" width="9.140625" style="1"/>
    <col min="11760" max="11760" width="0" style="1" hidden="1" customWidth="1"/>
    <col min="11761" max="11761" width="64.140625" style="1" customWidth="1"/>
    <col min="11762" max="11780" width="0" style="1" hidden="1" customWidth="1"/>
    <col min="11781" max="11781" width="27.85546875" style="1" customWidth="1"/>
    <col min="11782" max="11782" width="27" style="1" customWidth="1"/>
    <col min="11783" max="11783" width="28.7109375" style="1" customWidth="1"/>
    <col min="11784" max="11784" width="28.42578125" style="1" customWidth="1"/>
    <col min="11785" max="11785" width="28.28515625" style="1" customWidth="1"/>
    <col min="11786" max="11786" width="27.28515625" style="1" customWidth="1"/>
    <col min="11787" max="11787" width="26.140625" style="1" customWidth="1"/>
    <col min="11788" max="11788" width="25.28515625" style="1" customWidth="1"/>
    <col min="11789" max="11789" width="25.42578125" style="1" customWidth="1"/>
    <col min="11790" max="11790" width="26.7109375" style="1" customWidth="1"/>
    <col min="11791" max="11791" width="27.5703125" style="1" customWidth="1"/>
    <col min="11792" max="11793" width="27" style="1" customWidth="1"/>
    <col min="11794" max="11795" width="27.42578125" style="1" customWidth="1"/>
    <col min="11796" max="11796" width="28.28515625" style="1" customWidth="1"/>
    <col min="11797" max="12015" width="9.140625" style="1"/>
    <col min="12016" max="12016" width="0" style="1" hidden="1" customWidth="1"/>
    <col min="12017" max="12017" width="64.140625" style="1" customWidth="1"/>
    <col min="12018" max="12036" width="0" style="1" hidden="1" customWidth="1"/>
    <col min="12037" max="12037" width="27.85546875" style="1" customWidth="1"/>
    <col min="12038" max="12038" width="27" style="1" customWidth="1"/>
    <col min="12039" max="12039" width="28.7109375" style="1" customWidth="1"/>
    <col min="12040" max="12040" width="28.42578125" style="1" customWidth="1"/>
    <col min="12041" max="12041" width="28.28515625" style="1" customWidth="1"/>
    <col min="12042" max="12042" width="27.28515625" style="1" customWidth="1"/>
    <col min="12043" max="12043" width="26.140625" style="1" customWidth="1"/>
    <col min="12044" max="12044" width="25.28515625" style="1" customWidth="1"/>
    <col min="12045" max="12045" width="25.42578125" style="1" customWidth="1"/>
    <col min="12046" max="12046" width="26.7109375" style="1" customWidth="1"/>
    <col min="12047" max="12047" width="27.5703125" style="1" customWidth="1"/>
    <col min="12048" max="12049" width="27" style="1" customWidth="1"/>
    <col min="12050" max="12051" width="27.42578125" style="1" customWidth="1"/>
    <col min="12052" max="12052" width="28.28515625" style="1" customWidth="1"/>
    <col min="12053" max="12271" width="9.140625" style="1"/>
    <col min="12272" max="12272" width="0" style="1" hidden="1" customWidth="1"/>
    <col min="12273" max="12273" width="64.140625" style="1" customWidth="1"/>
    <col min="12274" max="12292" width="0" style="1" hidden="1" customWidth="1"/>
    <col min="12293" max="12293" width="27.85546875" style="1" customWidth="1"/>
    <col min="12294" max="12294" width="27" style="1" customWidth="1"/>
    <col min="12295" max="12295" width="28.7109375" style="1" customWidth="1"/>
    <col min="12296" max="12296" width="28.42578125" style="1" customWidth="1"/>
    <col min="12297" max="12297" width="28.28515625" style="1" customWidth="1"/>
    <col min="12298" max="12298" width="27.28515625" style="1" customWidth="1"/>
    <col min="12299" max="12299" width="26.140625" style="1" customWidth="1"/>
    <col min="12300" max="12300" width="25.28515625" style="1" customWidth="1"/>
    <col min="12301" max="12301" width="25.42578125" style="1" customWidth="1"/>
    <col min="12302" max="12302" width="26.7109375" style="1" customWidth="1"/>
    <col min="12303" max="12303" width="27.5703125" style="1" customWidth="1"/>
    <col min="12304" max="12305" width="27" style="1" customWidth="1"/>
    <col min="12306" max="12307" width="27.42578125" style="1" customWidth="1"/>
    <col min="12308" max="12308" width="28.28515625" style="1" customWidth="1"/>
    <col min="12309" max="12527" width="9.140625" style="1"/>
    <col min="12528" max="12528" width="0" style="1" hidden="1" customWidth="1"/>
    <col min="12529" max="12529" width="64.140625" style="1" customWidth="1"/>
    <col min="12530" max="12548" width="0" style="1" hidden="1" customWidth="1"/>
    <col min="12549" max="12549" width="27.85546875" style="1" customWidth="1"/>
    <col min="12550" max="12550" width="27" style="1" customWidth="1"/>
    <col min="12551" max="12551" width="28.7109375" style="1" customWidth="1"/>
    <col min="12552" max="12552" width="28.42578125" style="1" customWidth="1"/>
    <col min="12553" max="12553" width="28.28515625" style="1" customWidth="1"/>
    <col min="12554" max="12554" width="27.28515625" style="1" customWidth="1"/>
    <col min="12555" max="12555" width="26.140625" style="1" customWidth="1"/>
    <col min="12556" max="12556" width="25.28515625" style="1" customWidth="1"/>
    <col min="12557" max="12557" width="25.42578125" style="1" customWidth="1"/>
    <col min="12558" max="12558" width="26.7109375" style="1" customWidth="1"/>
    <col min="12559" max="12559" width="27.5703125" style="1" customWidth="1"/>
    <col min="12560" max="12561" width="27" style="1" customWidth="1"/>
    <col min="12562" max="12563" width="27.42578125" style="1" customWidth="1"/>
    <col min="12564" max="12564" width="28.28515625" style="1" customWidth="1"/>
    <col min="12565" max="12783" width="9.140625" style="1"/>
    <col min="12784" max="12784" width="0" style="1" hidden="1" customWidth="1"/>
    <col min="12785" max="12785" width="64.140625" style="1" customWidth="1"/>
    <col min="12786" max="12804" width="0" style="1" hidden="1" customWidth="1"/>
    <col min="12805" max="12805" width="27.85546875" style="1" customWidth="1"/>
    <col min="12806" max="12806" width="27" style="1" customWidth="1"/>
    <col min="12807" max="12807" width="28.7109375" style="1" customWidth="1"/>
    <col min="12808" max="12808" width="28.42578125" style="1" customWidth="1"/>
    <col min="12809" max="12809" width="28.28515625" style="1" customWidth="1"/>
    <col min="12810" max="12810" width="27.28515625" style="1" customWidth="1"/>
    <col min="12811" max="12811" width="26.140625" style="1" customWidth="1"/>
    <col min="12812" max="12812" width="25.28515625" style="1" customWidth="1"/>
    <col min="12813" max="12813" width="25.42578125" style="1" customWidth="1"/>
    <col min="12814" max="12814" width="26.7109375" style="1" customWidth="1"/>
    <col min="12815" max="12815" width="27.5703125" style="1" customWidth="1"/>
    <col min="12816" max="12817" width="27" style="1" customWidth="1"/>
    <col min="12818" max="12819" width="27.42578125" style="1" customWidth="1"/>
    <col min="12820" max="12820" width="28.28515625" style="1" customWidth="1"/>
    <col min="12821" max="13039" width="9.140625" style="1"/>
    <col min="13040" max="13040" width="0" style="1" hidden="1" customWidth="1"/>
    <col min="13041" max="13041" width="64.140625" style="1" customWidth="1"/>
    <col min="13042" max="13060" width="0" style="1" hidden="1" customWidth="1"/>
    <col min="13061" max="13061" width="27.85546875" style="1" customWidth="1"/>
    <col min="13062" max="13062" width="27" style="1" customWidth="1"/>
    <col min="13063" max="13063" width="28.7109375" style="1" customWidth="1"/>
    <col min="13064" max="13064" width="28.42578125" style="1" customWidth="1"/>
    <col min="13065" max="13065" width="28.28515625" style="1" customWidth="1"/>
    <col min="13066" max="13066" width="27.28515625" style="1" customWidth="1"/>
    <col min="13067" max="13067" width="26.140625" style="1" customWidth="1"/>
    <col min="13068" max="13068" width="25.28515625" style="1" customWidth="1"/>
    <col min="13069" max="13069" width="25.42578125" style="1" customWidth="1"/>
    <col min="13070" max="13070" width="26.7109375" style="1" customWidth="1"/>
    <col min="13071" max="13071" width="27.5703125" style="1" customWidth="1"/>
    <col min="13072" max="13073" width="27" style="1" customWidth="1"/>
    <col min="13074" max="13075" width="27.42578125" style="1" customWidth="1"/>
    <col min="13076" max="13076" width="28.28515625" style="1" customWidth="1"/>
    <col min="13077" max="13295" width="9.140625" style="1"/>
    <col min="13296" max="13296" width="0" style="1" hidden="1" customWidth="1"/>
    <col min="13297" max="13297" width="64.140625" style="1" customWidth="1"/>
    <col min="13298" max="13316" width="0" style="1" hidden="1" customWidth="1"/>
    <col min="13317" max="13317" width="27.85546875" style="1" customWidth="1"/>
    <col min="13318" max="13318" width="27" style="1" customWidth="1"/>
    <col min="13319" max="13319" width="28.7109375" style="1" customWidth="1"/>
    <col min="13320" max="13320" width="28.42578125" style="1" customWidth="1"/>
    <col min="13321" max="13321" width="28.28515625" style="1" customWidth="1"/>
    <col min="13322" max="13322" width="27.28515625" style="1" customWidth="1"/>
    <col min="13323" max="13323" width="26.140625" style="1" customWidth="1"/>
    <col min="13324" max="13324" width="25.28515625" style="1" customWidth="1"/>
    <col min="13325" max="13325" width="25.42578125" style="1" customWidth="1"/>
    <col min="13326" max="13326" width="26.7109375" style="1" customWidth="1"/>
    <col min="13327" max="13327" width="27.5703125" style="1" customWidth="1"/>
    <col min="13328" max="13329" width="27" style="1" customWidth="1"/>
    <col min="13330" max="13331" width="27.42578125" style="1" customWidth="1"/>
    <col min="13332" max="13332" width="28.28515625" style="1" customWidth="1"/>
    <col min="13333" max="13551" width="9.140625" style="1"/>
    <col min="13552" max="13552" width="0" style="1" hidden="1" customWidth="1"/>
    <col min="13553" max="13553" width="64.140625" style="1" customWidth="1"/>
    <col min="13554" max="13572" width="0" style="1" hidden="1" customWidth="1"/>
    <col min="13573" max="13573" width="27.85546875" style="1" customWidth="1"/>
    <col min="13574" max="13574" width="27" style="1" customWidth="1"/>
    <col min="13575" max="13575" width="28.7109375" style="1" customWidth="1"/>
    <col min="13576" max="13576" width="28.42578125" style="1" customWidth="1"/>
    <col min="13577" max="13577" width="28.28515625" style="1" customWidth="1"/>
    <col min="13578" max="13578" width="27.28515625" style="1" customWidth="1"/>
    <col min="13579" max="13579" width="26.140625" style="1" customWidth="1"/>
    <col min="13580" max="13580" width="25.28515625" style="1" customWidth="1"/>
    <col min="13581" max="13581" width="25.42578125" style="1" customWidth="1"/>
    <col min="13582" max="13582" width="26.7109375" style="1" customWidth="1"/>
    <col min="13583" max="13583" width="27.5703125" style="1" customWidth="1"/>
    <col min="13584" max="13585" width="27" style="1" customWidth="1"/>
    <col min="13586" max="13587" width="27.42578125" style="1" customWidth="1"/>
    <col min="13588" max="13588" width="28.28515625" style="1" customWidth="1"/>
    <col min="13589" max="13807" width="9.140625" style="1"/>
    <col min="13808" max="13808" width="0" style="1" hidden="1" customWidth="1"/>
    <col min="13809" max="13809" width="64.140625" style="1" customWidth="1"/>
    <col min="13810" max="13828" width="0" style="1" hidden="1" customWidth="1"/>
    <col min="13829" max="13829" width="27.85546875" style="1" customWidth="1"/>
    <col min="13830" max="13830" width="27" style="1" customWidth="1"/>
    <col min="13831" max="13831" width="28.7109375" style="1" customWidth="1"/>
    <col min="13832" max="13832" width="28.42578125" style="1" customWidth="1"/>
    <col min="13833" max="13833" width="28.28515625" style="1" customWidth="1"/>
    <col min="13834" max="13834" width="27.28515625" style="1" customWidth="1"/>
    <col min="13835" max="13835" width="26.140625" style="1" customWidth="1"/>
    <col min="13836" max="13836" width="25.28515625" style="1" customWidth="1"/>
    <col min="13837" max="13837" width="25.42578125" style="1" customWidth="1"/>
    <col min="13838" max="13838" width="26.7109375" style="1" customWidth="1"/>
    <col min="13839" max="13839" width="27.5703125" style="1" customWidth="1"/>
    <col min="13840" max="13841" width="27" style="1" customWidth="1"/>
    <col min="13842" max="13843" width="27.42578125" style="1" customWidth="1"/>
    <col min="13844" max="13844" width="28.28515625" style="1" customWidth="1"/>
    <col min="13845" max="14063" width="9.140625" style="1"/>
    <col min="14064" max="14064" width="0" style="1" hidden="1" customWidth="1"/>
    <col min="14065" max="14065" width="64.140625" style="1" customWidth="1"/>
    <col min="14066" max="14084" width="0" style="1" hidden="1" customWidth="1"/>
    <col min="14085" max="14085" width="27.85546875" style="1" customWidth="1"/>
    <col min="14086" max="14086" width="27" style="1" customWidth="1"/>
    <col min="14087" max="14087" width="28.7109375" style="1" customWidth="1"/>
    <col min="14088" max="14088" width="28.42578125" style="1" customWidth="1"/>
    <col min="14089" max="14089" width="28.28515625" style="1" customWidth="1"/>
    <col min="14090" max="14090" width="27.28515625" style="1" customWidth="1"/>
    <col min="14091" max="14091" width="26.140625" style="1" customWidth="1"/>
    <col min="14092" max="14092" width="25.28515625" style="1" customWidth="1"/>
    <col min="14093" max="14093" width="25.42578125" style="1" customWidth="1"/>
    <col min="14094" max="14094" width="26.7109375" style="1" customWidth="1"/>
    <col min="14095" max="14095" width="27.5703125" style="1" customWidth="1"/>
    <col min="14096" max="14097" width="27" style="1" customWidth="1"/>
    <col min="14098" max="14099" width="27.42578125" style="1" customWidth="1"/>
    <col min="14100" max="14100" width="28.28515625" style="1" customWidth="1"/>
    <col min="14101" max="14319" width="9.140625" style="1"/>
    <col min="14320" max="14320" width="0" style="1" hidden="1" customWidth="1"/>
    <col min="14321" max="14321" width="64.140625" style="1" customWidth="1"/>
    <col min="14322" max="14340" width="0" style="1" hidden="1" customWidth="1"/>
    <col min="14341" max="14341" width="27.85546875" style="1" customWidth="1"/>
    <col min="14342" max="14342" width="27" style="1" customWidth="1"/>
    <col min="14343" max="14343" width="28.7109375" style="1" customWidth="1"/>
    <col min="14344" max="14344" width="28.42578125" style="1" customWidth="1"/>
    <col min="14345" max="14345" width="28.28515625" style="1" customWidth="1"/>
    <col min="14346" max="14346" width="27.28515625" style="1" customWidth="1"/>
    <col min="14347" max="14347" width="26.140625" style="1" customWidth="1"/>
    <col min="14348" max="14348" width="25.28515625" style="1" customWidth="1"/>
    <col min="14349" max="14349" width="25.42578125" style="1" customWidth="1"/>
    <col min="14350" max="14350" width="26.7109375" style="1" customWidth="1"/>
    <col min="14351" max="14351" width="27.5703125" style="1" customWidth="1"/>
    <col min="14352" max="14353" width="27" style="1" customWidth="1"/>
    <col min="14354" max="14355" width="27.42578125" style="1" customWidth="1"/>
    <col min="14356" max="14356" width="28.28515625" style="1" customWidth="1"/>
    <col min="14357" max="14575" width="9.140625" style="1"/>
    <col min="14576" max="14576" width="0" style="1" hidden="1" customWidth="1"/>
    <col min="14577" max="14577" width="64.140625" style="1" customWidth="1"/>
    <col min="14578" max="14596" width="0" style="1" hidden="1" customWidth="1"/>
    <col min="14597" max="14597" width="27.85546875" style="1" customWidth="1"/>
    <col min="14598" max="14598" width="27" style="1" customWidth="1"/>
    <col min="14599" max="14599" width="28.7109375" style="1" customWidth="1"/>
    <col min="14600" max="14600" width="28.42578125" style="1" customWidth="1"/>
    <col min="14601" max="14601" width="28.28515625" style="1" customWidth="1"/>
    <col min="14602" max="14602" width="27.28515625" style="1" customWidth="1"/>
    <col min="14603" max="14603" width="26.140625" style="1" customWidth="1"/>
    <col min="14604" max="14604" width="25.28515625" style="1" customWidth="1"/>
    <col min="14605" max="14605" width="25.42578125" style="1" customWidth="1"/>
    <col min="14606" max="14606" width="26.7109375" style="1" customWidth="1"/>
    <col min="14607" max="14607" width="27.5703125" style="1" customWidth="1"/>
    <col min="14608" max="14609" width="27" style="1" customWidth="1"/>
    <col min="14610" max="14611" width="27.42578125" style="1" customWidth="1"/>
    <col min="14612" max="14612" width="28.28515625" style="1" customWidth="1"/>
    <col min="14613" max="14831" width="9.140625" style="1"/>
    <col min="14832" max="14832" width="0" style="1" hidden="1" customWidth="1"/>
    <col min="14833" max="14833" width="64.140625" style="1" customWidth="1"/>
    <col min="14834" max="14852" width="0" style="1" hidden="1" customWidth="1"/>
    <col min="14853" max="14853" width="27.85546875" style="1" customWidth="1"/>
    <col min="14854" max="14854" width="27" style="1" customWidth="1"/>
    <col min="14855" max="14855" width="28.7109375" style="1" customWidth="1"/>
    <col min="14856" max="14856" width="28.42578125" style="1" customWidth="1"/>
    <col min="14857" max="14857" width="28.28515625" style="1" customWidth="1"/>
    <col min="14858" max="14858" width="27.28515625" style="1" customWidth="1"/>
    <col min="14859" max="14859" width="26.140625" style="1" customWidth="1"/>
    <col min="14860" max="14860" width="25.28515625" style="1" customWidth="1"/>
    <col min="14861" max="14861" width="25.42578125" style="1" customWidth="1"/>
    <col min="14862" max="14862" width="26.7109375" style="1" customWidth="1"/>
    <col min="14863" max="14863" width="27.5703125" style="1" customWidth="1"/>
    <col min="14864" max="14865" width="27" style="1" customWidth="1"/>
    <col min="14866" max="14867" width="27.42578125" style="1" customWidth="1"/>
    <col min="14868" max="14868" width="28.28515625" style="1" customWidth="1"/>
    <col min="14869" max="15087" width="9.140625" style="1"/>
    <col min="15088" max="15088" width="0" style="1" hidden="1" customWidth="1"/>
    <col min="15089" max="15089" width="64.140625" style="1" customWidth="1"/>
    <col min="15090" max="15108" width="0" style="1" hidden="1" customWidth="1"/>
    <col min="15109" max="15109" width="27.85546875" style="1" customWidth="1"/>
    <col min="15110" max="15110" width="27" style="1" customWidth="1"/>
    <col min="15111" max="15111" width="28.7109375" style="1" customWidth="1"/>
    <col min="15112" max="15112" width="28.42578125" style="1" customWidth="1"/>
    <col min="15113" max="15113" width="28.28515625" style="1" customWidth="1"/>
    <col min="15114" max="15114" width="27.28515625" style="1" customWidth="1"/>
    <col min="15115" max="15115" width="26.140625" style="1" customWidth="1"/>
    <col min="15116" max="15116" width="25.28515625" style="1" customWidth="1"/>
    <col min="15117" max="15117" width="25.42578125" style="1" customWidth="1"/>
    <col min="15118" max="15118" width="26.7109375" style="1" customWidth="1"/>
    <col min="15119" max="15119" width="27.5703125" style="1" customWidth="1"/>
    <col min="15120" max="15121" width="27" style="1" customWidth="1"/>
    <col min="15122" max="15123" width="27.42578125" style="1" customWidth="1"/>
    <col min="15124" max="15124" width="28.28515625" style="1" customWidth="1"/>
    <col min="15125" max="15343" width="9.140625" style="1"/>
    <col min="15344" max="15344" width="0" style="1" hidden="1" customWidth="1"/>
    <col min="15345" max="15345" width="64.140625" style="1" customWidth="1"/>
    <col min="15346" max="15364" width="0" style="1" hidden="1" customWidth="1"/>
    <col min="15365" max="15365" width="27.85546875" style="1" customWidth="1"/>
    <col min="15366" max="15366" width="27" style="1" customWidth="1"/>
    <col min="15367" max="15367" width="28.7109375" style="1" customWidth="1"/>
    <col min="15368" max="15368" width="28.42578125" style="1" customWidth="1"/>
    <col min="15369" max="15369" width="28.28515625" style="1" customWidth="1"/>
    <col min="15370" max="15370" width="27.28515625" style="1" customWidth="1"/>
    <col min="15371" max="15371" width="26.140625" style="1" customWidth="1"/>
    <col min="15372" max="15372" width="25.28515625" style="1" customWidth="1"/>
    <col min="15373" max="15373" width="25.42578125" style="1" customWidth="1"/>
    <col min="15374" max="15374" width="26.7109375" style="1" customWidth="1"/>
    <col min="15375" max="15375" width="27.5703125" style="1" customWidth="1"/>
    <col min="15376" max="15377" width="27" style="1" customWidth="1"/>
    <col min="15378" max="15379" width="27.42578125" style="1" customWidth="1"/>
    <col min="15380" max="15380" width="28.28515625" style="1" customWidth="1"/>
    <col min="15381" max="15599" width="9.140625" style="1"/>
    <col min="15600" max="15600" width="0" style="1" hidden="1" customWidth="1"/>
    <col min="15601" max="15601" width="64.140625" style="1" customWidth="1"/>
    <col min="15602" max="15620" width="0" style="1" hidden="1" customWidth="1"/>
    <col min="15621" max="15621" width="27.85546875" style="1" customWidth="1"/>
    <col min="15622" max="15622" width="27" style="1" customWidth="1"/>
    <col min="15623" max="15623" width="28.7109375" style="1" customWidth="1"/>
    <col min="15624" max="15624" width="28.42578125" style="1" customWidth="1"/>
    <col min="15625" max="15625" width="28.28515625" style="1" customWidth="1"/>
    <col min="15626" max="15626" width="27.28515625" style="1" customWidth="1"/>
    <col min="15627" max="15627" width="26.140625" style="1" customWidth="1"/>
    <col min="15628" max="15628" width="25.28515625" style="1" customWidth="1"/>
    <col min="15629" max="15629" width="25.42578125" style="1" customWidth="1"/>
    <col min="15630" max="15630" width="26.7109375" style="1" customWidth="1"/>
    <col min="15631" max="15631" width="27.5703125" style="1" customWidth="1"/>
    <col min="15632" max="15633" width="27" style="1" customWidth="1"/>
    <col min="15634" max="15635" width="27.42578125" style="1" customWidth="1"/>
    <col min="15636" max="15636" width="28.28515625" style="1" customWidth="1"/>
    <col min="15637" max="15855" width="9.140625" style="1"/>
    <col min="15856" max="15856" width="0" style="1" hidden="1" customWidth="1"/>
    <col min="15857" max="15857" width="64.140625" style="1" customWidth="1"/>
    <col min="15858" max="15876" width="0" style="1" hidden="1" customWidth="1"/>
    <col min="15877" max="15877" width="27.85546875" style="1" customWidth="1"/>
    <col min="15878" max="15878" width="27" style="1" customWidth="1"/>
    <col min="15879" max="15879" width="28.7109375" style="1" customWidth="1"/>
    <col min="15880" max="15880" width="28.42578125" style="1" customWidth="1"/>
    <col min="15881" max="15881" width="28.28515625" style="1" customWidth="1"/>
    <col min="15882" max="15882" width="27.28515625" style="1" customWidth="1"/>
    <col min="15883" max="15883" width="26.140625" style="1" customWidth="1"/>
    <col min="15884" max="15884" width="25.28515625" style="1" customWidth="1"/>
    <col min="15885" max="15885" width="25.42578125" style="1" customWidth="1"/>
    <col min="15886" max="15886" width="26.7109375" style="1" customWidth="1"/>
    <col min="15887" max="15887" width="27.5703125" style="1" customWidth="1"/>
    <col min="15888" max="15889" width="27" style="1" customWidth="1"/>
    <col min="15890" max="15891" width="27.42578125" style="1" customWidth="1"/>
    <col min="15892" max="15892" width="28.28515625" style="1" customWidth="1"/>
    <col min="15893" max="16111" width="9.140625" style="1"/>
    <col min="16112" max="16112" width="0" style="1" hidden="1" customWidth="1"/>
    <col min="16113" max="16113" width="64.140625" style="1" customWidth="1"/>
    <col min="16114" max="16132" width="0" style="1" hidden="1" customWidth="1"/>
    <col min="16133" max="16133" width="27.85546875" style="1" customWidth="1"/>
    <col min="16134" max="16134" width="27" style="1" customWidth="1"/>
    <col min="16135" max="16135" width="28.7109375" style="1" customWidth="1"/>
    <col min="16136" max="16136" width="28.42578125" style="1" customWidth="1"/>
    <col min="16137" max="16137" width="28.28515625" style="1" customWidth="1"/>
    <col min="16138" max="16138" width="27.28515625" style="1" customWidth="1"/>
    <col min="16139" max="16139" width="26.140625" style="1" customWidth="1"/>
    <col min="16140" max="16140" width="25.28515625" style="1" customWidth="1"/>
    <col min="16141" max="16141" width="25.42578125" style="1" customWidth="1"/>
    <col min="16142" max="16142" width="26.7109375" style="1" customWidth="1"/>
    <col min="16143" max="16143" width="27.5703125" style="1" customWidth="1"/>
    <col min="16144" max="16145" width="27" style="1" customWidth="1"/>
    <col min="16146" max="16147" width="27.42578125" style="1" customWidth="1"/>
    <col min="16148" max="16148" width="28.28515625" style="1" customWidth="1"/>
    <col min="16149" max="16384" width="9.140625" style="1"/>
  </cols>
  <sheetData>
    <row r="1" spans="1:35" ht="58.5" customHeight="1">
      <c r="A1" s="90" t="s">
        <v>235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 ht="14.25" customHeight="1"/>
    <row r="3" spans="1:35" ht="18" customHeight="1">
      <c r="A3" s="88" t="s">
        <v>234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</row>
    <row r="4" spans="1:35" ht="12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5" ht="12" customHeight="1">
      <c r="A5" s="16"/>
      <c r="B5" s="16"/>
      <c r="C5" s="17"/>
      <c r="D5" s="16"/>
      <c r="F5" s="18"/>
      <c r="G5" s="18"/>
      <c r="H5" s="18"/>
      <c r="I5" s="18"/>
      <c r="J5" s="18"/>
      <c r="K5" s="18"/>
      <c r="L5" s="19"/>
      <c r="M5" s="20"/>
      <c r="T5" s="20"/>
      <c r="W5" s="21">
        <f>V91-AD91</f>
        <v>375815.62000000005</v>
      </c>
      <c r="AB5" s="22"/>
      <c r="AE5" s="21" t="e">
        <f>#REF!+#REF!</f>
        <v>#REF!</v>
      </c>
      <c r="AH5" s="92" t="s">
        <v>208</v>
      </c>
      <c r="AI5" s="92"/>
    </row>
    <row r="6" spans="1:35" ht="34.9" customHeight="1">
      <c r="A6" s="9" t="s">
        <v>0</v>
      </c>
      <c r="B6" s="9" t="s">
        <v>231</v>
      </c>
      <c r="C6" s="9" t="s">
        <v>232</v>
      </c>
      <c r="D6" s="23" t="s">
        <v>1</v>
      </c>
      <c r="E6" s="23"/>
      <c r="F6" s="23"/>
      <c r="G6" s="23"/>
      <c r="H6" s="23"/>
      <c r="I6" s="23"/>
      <c r="J6" s="23"/>
      <c r="K6" s="23" t="s">
        <v>2</v>
      </c>
      <c r="L6" s="9" t="s">
        <v>3</v>
      </c>
      <c r="M6" s="9" t="s">
        <v>4</v>
      </c>
      <c r="N6" s="24"/>
      <c r="O6" s="24"/>
      <c r="P6" s="24"/>
      <c r="Q6" s="24"/>
      <c r="R6" s="24"/>
      <c r="S6" s="24"/>
      <c r="T6" s="9" t="s">
        <v>5</v>
      </c>
      <c r="U6" s="9" t="s">
        <v>6</v>
      </c>
      <c r="V6" s="9" t="s">
        <v>233</v>
      </c>
      <c r="W6" s="23" t="s">
        <v>1</v>
      </c>
      <c r="X6" s="23"/>
      <c r="Y6" s="23"/>
      <c r="Z6" s="23"/>
      <c r="AA6" s="23"/>
      <c r="AB6" s="23"/>
      <c r="AC6" s="23"/>
      <c r="AD6" s="23" t="s">
        <v>2</v>
      </c>
      <c r="AE6" s="9" t="s">
        <v>7</v>
      </c>
      <c r="AF6" s="25" t="s">
        <v>8</v>
      </c>
      <c r="AG6" s="9" t="s">
        <v>5</v>
      </c>
      <c r="AH6" s="24"/>
      <c r="AI6" s="9" t="s">
        <v>230</v>
      </c>
    </row>
    <row r="7" spans="1:35" ht="10.5" customHeight="1">
      <c r="A7" s="9"/>
      <c r="B7" s="9"/>
      <c r="C7" s="9"/>
      <c r="D7" s="8" t="s">
        <v>9</v>
      </c>
      <c r="E7" s="8" t="s">
        <v>10</v>
      </c>
      <c r="F7" s="8" t="s">
        <v>11</v>
      </c>
      <c r="G7" s="7" t="s">
        <v>12</v>
      </c>
      <c r="H7" s="8" t="s">
        <v>13</v>
      </c>
      <c r="I7" s="8" t="s">
        <v>14</v>
      </c>
      <c r="J7" s="8" t="s">
        <v>15</v>
      </c>
      <c r="K7" s="26"/>
      <c r="L7" s="9"/>
      <c r="M7" s="9"/>
      <c r="N7" s="24"/>
      <c r="O7" s="24"/>
      <c r="P7" s="24"/>
      <c r="Q7" s="24"/>
      <c r="R7" s="24"/>
      <c r="S7" s="24"/>
      <c r="T7" s="9"/>
      <c r="U7" s="27"/>
      <c r="V7" s="9"/>
      <c r="W7" s="8" t="s">
        <v>16</v>
      </c>
      <c r="X7" s="8" t="s">
        <v>10</v>
      </c>
      <c r="Y7" s="8" t="s">
        <v>11</v>
      </c>
      <c r="Z7" s="7" t="s">
        <v>12</v>
      </c>
      <c r="AA7" s="8" t="s">
        <v>13</v>
      </c>
      <c r="AB7" s="8" t="s">
        <v>17</v>
      </c>
      <c r="AC7" s="8" t="s">
        <v>15</v>
      </c>
      <c r="AD7" s="26"/>
      <c r="AE7" s="9"/>
      <c r="AF7" s="25"/>
      <c r="AG7" s="9"/>
      <c r="AH7" s="28" t="e">
        <f>#REF!+#REF!</f>
        <v>#REF!</v>
      </c>
      <c r="AI7" s="27"/>
    </row>
    <row r="8" spans="1:35" ht="17.25">
      <c r="A8" s="7">
        <v>1</v>
      </c>
      <c r="B8" s="29">
        <v>2</v>
      </c>
      <c r="C8" s="29">
        <v>3</v>
      </c>
      <c r="D8" s="29">
        <v>4</v>
      </c>
      <c r="E8" s="30">
        <v>5</v>
      </c>
      <c r="F8" s="31">
        <v>6</v>
      </c>
      <c r="G8" s="31">
        <v>7</v>
      </c>
      <c r="H8" s="31">
        <v>6</v>
      </c>
      <c r="I8" s="31">
        <v>7</v>
      </c>
      <c r="J8" s="31" t="s">
        <v>18</v>
      </c>
      <c r="K8" s="31"/>
      <c r="L8" s="32">
        <v>8</v>
      </c>
      <c r="M8" s="32">
        <v>9</v>
      </c>
      <c r="N8" s="24"/>
      <c r="O8" s="24"/>
      <c r="P8" s="24"/>
      <c r="Q8" s="24"/>
      <c r="R8" s="24"/>
      <c r="S8" s="24"/>
      <c r="T8" s="32">
        <v>10</v>
      </c>
      <c r="U8" s="32">
        <v>2</v>
      </c>
      <c r="V8" s="31">
        <v>3</v>
      </c>
      <c r="W8" s="31">
        <v>4</v>
      </c>
      <c r="X8" s="31">
        <v>5</v>
      </c>
      <c r="Y8" s="31">
        <v>6</v>
      </c>
      <c r="Z8" s="31">
        <v>7</v>
      </c>
      <c r="AA8" s="31">
        <v>8</v>
      </c>
      <c r="AB8" s="31">
        <v>9</v>
      </c>
      <c r="AC8" s="31">
        <v>10</v>
      </c>
      <c r="AD8" s="31">
        <v>11</v>
      </c>
      <c r="AE8" s="31">
        <v>12</v>
      </c>
      <c r="AF8" s="33">
        <v>13</v>
      </c>
      <c r="AG8" s="31">
        <v>14</v>
      </c>
      <c r="AH8" s="24"/>
      <c r="AI8" s="34">
        <v>2</v>
      </c>
    </row>
    <row r="9" spans="1:35" ht="33" hidden="1" customHeight="1">
      <c r="A9" s="35"/>
      <c r="B9" s="36">
        <v>0</v>
      </c>
      <c r="C9" s="36"/>
      <c r="D9" s="36"/>
      <c r="E9" s="36"/>
      <c r="F9" s="36"/>
      <c r="G9" s="36"/>
      <c r="H9" s="36"/>
      <c r="I9" s="36"/>
      <c r="J9" s="36"/>
      <c r="K9" s="36"/>
      <c r="L9" s="37"/>
      <c r="M9" s="37"/>
      <c r="N9" s="37"/>
      <c r="O9" s="37"/>
      <c r="P9" s="37"/>
      <c r="Q9" s="37"/>
      <c r="R9" s="37"/>
      <c r="S9" s="37"/>
      <c r="T9" s="36"/>
      <c r="U9" s="37"/>
      <c r="V9" s="37"/>
      <c r="W9" s="37"/>
      <c r="X9" s="37"/>
      <c r="Y9" s="37"/>
      <c r="Z9" s="37"/>
      <c r="AA9" s="36">
        <f t="shared" ref="AA9:AA22" si="0">W9-X9</f>
        <v>0</v>
      </c>
      <c r="AB9" s="37"/>
      <c r="AC9" s="37"/>
      <c r="AD9" s="37"/>
      <c r="AE9" s="37"/>
      <c r="AF9" s="37"/>
      <c r="AG9" s="37"/>
      <c r="AH9" s="24"/>
      <c r="AI9" s="38"/>
    </row>
    <row r="10" spans="1:35" ht="38.25" hidden="1" customHeight="1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37"/>
      <c r="N10" s="37"/>
      <c r="O10" s="37"/>
      <c r="P10" s="37"/>
      <c r="Q10" s="37"/>
      <c r="R10" s="37"/>
      <c r="S10" s="37"/>
      <c r="T10" s="36"/>
      <c r="U10" s="37"/>
      <c r="V10" s="37"/>
      <c r="W10" s="37"/>
      <c r="X10" s="37"/>
      <c r="Y10" s="37"/>
      <c r="Z10" s="37"/>
      <c r="AA10" s="36">
        <f t="shared" si="0"/>
        <v>0</v>
      </c>
      <c r="AB10" s="37"/>
      <c r="AC10" s="37"/>
      <c r="AD10" s="37"/>
      <c r="AE10" s="37"/>
      <c r="AF10" s="37"/>
      <c r="AG10" s="37"/>
      <c r="AH10" s="24"/>
      <c r="AI10" s="38"/>
    </row>
    <row r="11" spans="1:35" ht="98.25" hidden="1" customHeight="1">
      <c r="A11" s="39" t="s">
        <v>185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  <c r="M11" s="37"/>
      <c r="N11" s="37"/>
      <c r="O11" s="37"/>
      <c r="P11" s="37"/>
      <c r="Q11" s="37"/>
      <c r="R11" s="37"/>
      <c r="S11" s="37"/>
      <c r="T11" s="36"/>
      <c r="U11" s="37"/>
      <c r="V11" s="37"/>
      <c r="W11" s="37"/>
      <c r="X11" s="37"/>
      <c r="Y11" s="37"/>
      <c r="Z11" s="37"/>
      <c r="AA11" s="36"/>
      <c r="AB11" s="37"/>
      <c r="AC11" s="37"/>
      <c r="AD11" s="37"/>
      <c r="AE11" s="37"/>
      <c r="AF11" s="37"/>
      <c r="AG11" s="37"/>
      <c r="AH11" s="24"/>
      <c r="AI11" s="38"/>
    </row>
    <row r="12" spans="1:35" ht="71.25" hidden="1" customHeight="1">
      <c r="A12" s="40" t="s">
        <v>20</v>
      </c>
      <c r="B12" s="36">
        <v>87521100</v>
      </c>
      <c r="C12" s="36"/>
      <c r="D12" s="36"/>
      <c r="E12" s="36"/>
      <c r="F12" s="36"/>
      <c r="G12" s="36"/>
      <c r="H12" s="36">
        <f>B12</f>
        <v>87521100</v>
      </c>
      <c r="I12" s="36"/>
      <c r="J12" s="36"/>
      <c r="K12" s="36"/>
      <c r="L12" s="36">
        <f>48000000+16000000+16000000+14435300</f>
        <v>94435300</v>
      </c>
      <c r="M12" s="37"/>
      <c r="N12" s="37"/>
      <c r="O12" s="37"/>
      <c r="P12" s="37"/>
      <c r="Q12" s="37"/>
      <c r="R12" s="37"/>
      <c r="S12" s="37"/>
      <c r="T12" s="36">
        <v>179679180.74000001</v>
      </c>
      <c r="U12" s="36">
        <f t="shared" ref="U12:U22" si="1">H12+I12+L12+M12-T12</f>
        <v>2277219.2599999905</v>
      </c>
      <c r="V12" s="37"/>
      <c r="W12" s="36">
        <f t="shared" ref="W12:W22" si="2">U12+V12</f>
        <v>2277219.2599999905</v>
      </c>
      <c r="X12" s="36">
        <f>2277219.26</f>
        <v>2277219.2599999998</v>
      </c>
      <c r="Y12" s="36">
        <v>2277219.2599999998</v>
      </c>
      <c r="Z12" s="36">
        <v>2277219.2599999998</v>
      </c>
      <c r="AA12" s="36">
        <f t="shared" si="0"/>
        <v>-9.3132257461547852E-9</v>
      </c>
      <c r="AB12" s="36">
        <v>2277219.2599999998</v>
      </c>
      <c r="AC12" s="36">
        <f>Y12-Z12</f>
        <v>0</v>
      </c>
      <c r="AD12" s="37"/>
      <c r="AE12" s="37"/>
      <c r="AF12" s="37"/>
      <c r="AG12" s="36">
        <v>2277219.2599999998</v>
      </c>
      <c r="AH12" s="24"/>
      <c r="AI12" s="41"/>
    </row>
    <row r="13" spans="1:35" ht="63" hidden="1" customHeight="1">
      <c r="A13" s="40" t="s">
        <v>21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>
        <v>417000000</v>
      </c>
      <c r="M13" s="37"/>
      <c r="N13" s="37"/>
      <c r="O13" s="37"/>
      <c r="P13" s="37"/>
      <c r="Q13" s="37"/>
      <c r="R13" s="37"/>
      <c r="S13" s="37"/>
      <c r="T13" s="36">
        <v>417000000</v>
      </c>
      <c r="U13" s="36">
        <f t="shared" si="1"/>
        <v>0</v>
      </c>
      <c r="V13" s="36"/>
      <c r="W13" s="36">
        <f t="shared" si="2"/>
        <v>0</v>
      </c>
      <c r="X13" s="36"/>
      <c r="Y13" s="37"/>
      <c r="Z13" s="37"/>
      <c r="AA13" s="36">
        <f t="shared" si="0"/>
        <v>0</v>
      </c>
      <c r="AB13" s="37"/>
      <c r="AC13" s="36">
        <f>Y13-Z13</f>
        <v>0</v>
      </c>
      <c r="AD13" s="37"/>
      <c r="AE13" s="37"/>
      <c r="AF13" s="37"/>
      <c r="AG13" s="36"/>
      <c r="AH13" s="24"/>
      <c r="AI13" s="41"/>
    </row>
    <row r="14" spans="1:35" ht="81.75" hidden="1" customHeight="1">
      <c r="A14" s="40" t="s">
        <v>22</v>
      </c>
      <c r="B14" s="36"/>
      <c r="C14" s="36">
        <v>73922445</v>
      </c>
      <c r="D14" s="36"/>
      <c r="E14" s="36"/>
      <c r="F14" s="36"/>
      <c r="G14" s="36"/>
      <c r="H14" s="36"/>
      <c r="I14" s="36"/>
      <c r="J14" s="36"/>
      <c r="K14" s="36"/>
      <c r="L14" s="36"/>
      <c r="M14" s="37"/>
      <c r="N14" s="37"/>
      <c r="O14" s="37"/>
      <c r="P14" s="37"/>
      <c r="Q14" s="37"/>
      <c r="R14" s="37"/>
      <c r="S14" s="37"/>
      <c r="T14" s="36"/>
      <c r="U14" s="36">
        <f t="shared" si="1"/>
        <v>0</v>
      </c>
      <c r="V14" s="36"/>
      <c r="W14" s="36">
        <f t="shared" si="2"/>
        <v>0</v>
      </c>
      <c r="X14" s="36"/>
      <c r="Y14" s="37"/>
      <c r="Z14" s="37"/>
      <c r="AA14" s="36">
        <f t="shared" si="0"/>
        <v>0</v>
      </c>
      <c r="AB14" s="37"/>
      <c r="AC14" s="36">
        <f>Y14-Z14</f>
        <v>0</v>
      </c>
      <c r="AD14" s="37"/>
      <c r="AE14" s="37"/>
      <c r="AF14" s="37"/>
      <c r="AG14" s="36"/>
      <c r="AH14" s="24"/>
      <c r="AI14" s="41"/>
    </row>
    <row r="15" spans="1:35" ht="72" hidden="1" customHeight="1">
      <c r="A15" s="40" t="s">
        <v>207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>
        <v>441589600</v>
      </c>
      <c r="M15" s="37"/>
      <c r="N15" s="37"/>
      <c r="O15" s="37"/>
      <c r="P15" s="37"/>
      <c r="Q15" s="37"/>
      <c r="R15" s="37"/>
      <c r="S15" s="37"/>
      <c r="T15" s="36"/>
      <c r="U15" s="36">
        <f t="shared" si="1"/>
        <v>441589600</v>
      </c>
      <c r="V15" s="36"/>
      <c r="W15" s="36">
        <f t="shared" si="2"/>
        <v>441589600</v>
      </c>
      <c r="X15" s="36">
        <v>441589600</v>
      </c>
      <c r="Y15" s="36">
        <v>441589600</v>
      </c>
      <c r="Z15" s="36">
        <v>441589600</v>
      </c>
      <c r="AA15" s="36">
        <f t="shared" si="0"/>
        <v>0</v>
      </c>
      <c r="AB15" s="36">
        <v>441589600</v>
      </c>
      <c r="AC15" s="36">
        <f>Z15-AB15</f>
        <v>0</v>
      </c>
      <c r="AD15" s="37"/>
      <c r="AE15" s="37"/>
      <c r="AF15" s="37"/>
      <c r="AG15" s="36">
        <v>441589600</v>
      </c>
      <c r="AH15" s="24"/>
      <c r="AI15" s="41">
        <v>0</v>
      </c>
    </row>
    <row r="16" spans="1:35" ht="75" hidden="1" customHeight="1">
      <c r="A16" s="40" t="s">
        <v>23</v>
      </c>
      <c r="B16" s="36"/>
      <c r="C16" s="36">
        <v>26102371.460000001</v>
      </c>
      <c r="D16" s="36"/>
      <c r="E16" s="36"/>
      <c r="F16" s="36"/>
      <c r="G16" s="36"/>
      <c r="H16" s="36"/>
      <c r="I16" s="36"/>
      <c r="J16" s="36"/>
      <c r="K16" s="36"/>
      <c r="L16" s="36">
        <v>108565300</v>
      </c>
      <c r="M16" s="37"/>
      <c r="N16" s="37"/>
      <c r="O16" s="37"/>
      <c r="P16" s="37"/>
      <c r="Q16" s="37"/>
      <c r="R16" s="37"/>
      <c r="S16" s="37"/>
      <c r="T16" s="36"/>
      <c r="U16" s="36">
        <f t="shared" si="1"/>
        <v>108565300</v>
      </c>
      <c r="V16" s="36">
        <v>114326.33</v>
      </c>
      <c r="W16" s="36">
        <f t="shared" si="2"/>
        <v>108679626.33</v>
      </c>
      <c r="X16" s="36">
        <v>108679626.33</v>
      </c>
      <c r="Y16" s="36">
        <v>108565300</v>
      </c>
      <c r="Z16" s="36">
        <v>102857300</v>
      </c>
      <c r="AA16" s="36">
        <f t="shared" si="0"/>
        <v>0</v>
      </c>
      <c r="AB16" s="36">
        <v>102857300</v>
      </c>
      <c r="AC16" s="36">
        <f>Z16-AB16</f>
        <v>0</v>
      </c>
      <c r="AD16" s="37"/>
      <c r="AE16" s="37"/>
      <c r="AF16" s="37"/>
      <c r="AG16" s="36">
        <v>102857300</v>
      </c>
      <c r="AH16" s="24"/>
      <c r="AI16" s="41"/>
    </row>
    <row r="17" spans="1:35" ht="87" hidden="1" customHeight="1">
      <c r="A17" s="40" t="s">
        <v>24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>
        <v>503233100</v>
      </c>
      <c r="M17" s="37"/>
      <c r="N17" s="37"/>
      <c r="O17" s="37"/>
      <c r="P17" s="37"/>
      <c r="Q17" s="37"/>
      <c r="R17" s="37"/>
      <c r="S17" s="37"/>
      <c r="T17" s="36"/>
      <c r="U17" s="36">
        <f t="shared" si="1"/>
        <v>503233100</v>
      </c>
      <c r="V17" s="36"/>
      <c r="W17" s="36">
        <f t="shared" si="2"/>
        <v>503233100</v>
      </c>
      <c r="X17" s="36">
        <v>503233100</v>
      </c>
      <c r="Y17" s="36">
        <v>503233100</v>
      </c>
      <c r="Z17" s="36">
        <v>503233100</v>
      </c>
      <c r="AA17" s="36">
        <f t="shared" si="0"/>
        <v>0</v>
      </c>
      <c r="AB17" s="36">
        <v>503233100</v>
      </c>
      <c r="AC17" s="36">
        <f>Z17-AB17</f>
        <v>0</v>
      </c>
      <c r="AD17" s="37"/>
      <c r="AE17" s="37"/>
      <c r="AF17" s="37"/>
      <c r="AG17" s="36">
        <v>503233100</v>
      </c>
      <c r="AH17" s="24"/>
      <c r="AI17" s="41"/>
    </row>
    <row r="18" spans="1:35" ht="75.75" hidden="1" customHeight="1">
      <c r="A18" s="40" t="s">
        <v>25</v>
      </c>
      <c r="B18" s="36"/>
      <c r="C18" s="36">
        <v>27273237.010000002</v>
      </c>
      <c r="D18" s="36"/>
      <c r="E18" s="36"/>
      <c r="F18" s="36"/>
      <c r="G18" s="36"/>
      <c r="H18" s="36"/>
      <c r="I18" s="36"/>
      <c r="J18" s="36"/>
      <c r="K18" s="36"/>
      <c r="L18" s="36">
        <v>210658000</v>
      </c>
      <c r="M18" s="37"/>
      <c r="N18" s="37"/>
      <c r="O18" s="37"/>
      <c r="P18" s="37"/>
      <c r="Q18" s="37"/>
      <c r="R18" s="37"/>
      <c r="S18" s="37"/>
      <c r="T18" s="36"/>
      <c r="U18" s="36">
        <f t="shared" si="1"/>
        <v>210658000</v>
      </c>
      <c r="V18" s="36"/>
      <c r="W18" s="36">
        <f t="shared" si="2"/>
        <v>210658000</v>
      </c>
      <c r="X18" s="36">
        <v>210658000</v>
      </c>
      <c r="Y18" s="36">
        <v>210658000</v>
      </c>
      <c r="Z18" s="36">
        <v>210658000</v>
      </c>
      <c r="AA18" s="36">
        <f t="shared" si="0"/>
        <v>0</v>
      </c>
      <c r="AB18" s="36">
        <v>210658000</v>
      </c>
      <c r="AC18" s="36">
        <f>Z18-AB18</f>
        <v>0</v>
      </c>
      <c r="AD18" s="37"/>
      <c r="AE18" s="37"/>
      <c r="AF18" s="37"/>
      <c r="AG18" s="36">
        <v>210658000</v>
      </c>
      <c r="AH18" s="24"/>
      <c r="AI18" s="41"/>
    </row>
    <row r="19" spans="1:35" ht="78.75" hidden="1" customHeight="1" thickBot="1">
      <c r="A19" s="40" t="s">
        <v>26</v>
      </c>
      <c r="B19" s="36"/>
      <c r="C19" s="36">
        <v>139356639.09</v>
      </c>
      <c r="D19" s="36"/>
      <c r="E19" s="36">
        <v>15169939.310000001</v>
      </c>
      <c r="F19" s="36"/>
      <c r="G19" s="36"/>
      <c r="H19" s="36">
        <f>B19</f>
        <v>0</v>
      </c>
      <c r="I19" s="36"/>
      <c r="J19" s="36"/>
      <c r="K19" s="36"/>
      <c r="L19" s="36">
        <v>679465200</v>
      </c>
      <c r="M19" s="37"/>
      <c r="N19" s="37"/>
      <c r="O19" s="37"/>
      <c r="P19" s="37"/>
      <c r="Q19" s="37"/>
      <c r="R19" s="37"/>
      <c r="S19" s="37"/>
      <c r="T19" s="36"/>
      <c r="U19" s="36">
        <f t="shared" si="1"/>
        <v>679465200</v>
      </c>
      <c r="V19" s="36">
        <v>36982005.840000004</v>
      </c>
      <c r="W19" s="36">
        <f t="shared" si="2"/>
        <v>716447205.84000003</v>
      </c>
      <c r="X19" s="36">
        <v>716447205.84000003</v>
      </c>
      <c r="Y19" s="36">
        <v>714728737.75999999</v>
      </c>
      <c r="Z19" s="36">
        <f>659659700.2+35263537.76</f>
        <v>694923237.96000004</v>
      </c>
      <c r="AA19" s="36">
        <f t="shared" si="0"/>
        <v>0</v>
      </c>
      <c r="AB19" s="36">
        <f>659659700.2+35263537.76</f>
        <v>694923237.96000004</v>
      </c>
      <c r="AC19" s="36">
        <f>Z19-AB19</f>
        <v>0</v>
      </c>
      <c r="AD19" s="36">
        <v>35263537.759999998</v>
      </c>
      <c r="AE19" s="37"/>
      <c r="AF19" s="37"/>
      <c r="AG19" s="36">
        <v>659659700.20000005</v>
      </c>
      <c r="AH19" s="24"/>
      <c r="AI19" s="41"/>
    </row>
    <row r="20" spans="1:35" ht="82.5" hidden="1" customHeight="1">
      <c r="A20" s="40" t="s">
        <v>27</v>
      </c>
      <c r="B20" s="36">
        <v>13970524.800000001</v>
      </c>
      <c r="C20" s="36"/>
      <c r="D20" s="36"/>
      <c r="E20" s="36"/>
      <c r="F20" s="36"/>
      <c r="G20" s="36"/>
      <c r="H20" s="36">
        <f>B20</f>
        <v>13970524.800000001</v>
      </c>
      <c r="I20" s="36"/>
      <c r="J20" s="36"/>
      <c r="K20" s="36"/>
      <c r="L20" s="36">
        <v>75000000</v>
      </c>
      <c r="M20" s="37"/>
      <c r="N20" s="37"/>
      <c r="O20" s="37"/>
      <c r="P20" s="37"/>
      <c r="Q20" s="37"/>
      <c r="R20" s="37"/>
      <c r="S20" s="37"/>
      <c r="T20" s="36">
        <v>88970524.799999997</v>
      </c>
      <c r="U20" s="36">
        <f t="shared" si="1"/>
        <v>0</v>
      </c>
      <c r="V20" s="36">
        <v>15000000</v>
      </c>
      <c r="W20" s="36">
        <f t="shared" si="2"/>
        <v>15000000</v>
      </c>
      <c r="X20" s="36">
        <v>15000000</v>
      </c>
      <c r="Y20" s="36">
        <v>15000000</v>
      </c>
      <c r="Z20" s="36">
        <v>15000000</v>
      </c>
      <c r="AA20" s="36">
        <f t="shared" si="0"/>
        <v>0</v>
      </c>
      <c r="AB20" s="36">
        <v>15000000</v>
      </c>
      <c r="AC20" s="36">
        <f>Y20-Z20</f>
        <v>0</v>
      </c>
      <c r="AD20" s="36">
        <v>15000000</v>
      </c>
      <c r="AE20" s="36">
        <f>160000000+30000000</f>
        <v>190000000</v>
      </c>
      <c r="AF20" s="36"/>
      <c r="AG20" s="36">
        <v>190000000</v>
      </c>
      <c r="AH20" s="24"/>
      <c r="AI20" s="41"/>
    </row>
    <row r="21" spans="1:35" ht="67.5" hidden="1" customHeight="1">
      <c r="A21" s="40" t="s">
        <v>195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  <c r="N21" s="37"/>
      <c r="O21" s="37"/>
      <c r="P21" s="37"/>
      <c r="Q21" s="37"/>
      <c r="R21" s="37"/>
      <c r="S21" s="37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24"/>
      <c r="AI21" s="41"/>
    </row>
    <row r="22" spans="1:35" ht="51" hidden="1" customHeight="1" thickBot="1">
      <c r="A22" s="35" t="s">
        <v>202</v>
      </c>
      <c r="B22" s="36">
        <v>103378600</v>
      </c>
      <c r="C22" s="36"/>
      <c r="D22" s="36"/>
      <c r="E22" s="36"/>
      <c r="F22" s="36"/>
      <c r="G22" s="36"/>
      <c r="H22" s="36">
        <f>B22</f>
        <v>103378600</v>
      </c>
      <c r="I22" s="36"/>
      <c r="J22" s="36"/>
      <c r="K22" s="36"/>
      <c r="L22" s="36"/>
      <c r="M22" s="37"/>
      <c r="N22" s="37"/>
      <c r="O22" s="37"/>
      <c r="P22" s="37"/>
      <c r="Q22" s="37"/>
      <c r="R22" s="37"/>
      <c r="S22" s="37"/>
      <c r="T22" s="36">
        <v>20514901.350000001</v>
      </c>
      <c r="U22" s="36">
        <f t="shared" si="1"/>
        <v>82863698.650000006</v>
      </c>
      <c r="V22" s="36"/>
      <c r="W22" s="36">
        <f t="shared" si="2"/>
        <v>82863698.650000006</v>
      </c>
      <c r="X22" s="36">
        <v>82863698.650000006</v>
      </c>
      <c r="Y22" s="37"/>
      <c r="Z22" s="37"/>
      <c r="AA22" s="36">
        <f t="shared" si="0"/>
        <v>0</v>
      </c>
      <c r="AB22" s="37"/>
      <c r="AC22" s="36">
        <f>Y22-Z22</f>
        <v>0</v>
      </c>
      <c r="AD22" s="37"/>
      <c r="AE22" s="37"/>
      <c r="AF22" s="37"/>
      <c r="AG22" s="37"/>
      <c r="AH22" s="24"/>
      <c r="AI22" s="41"/>
    </row>
    <row r="23" spans="1:35" ht="73.5" hidden="1" customHeight="1" thickBot="1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24"/>
      <c r="AI23" s="38"/>
    </row>
    <row r="24" spans="1:35" s="4" customFormat="1" ht="31.5" hidden="1" customHeight="1">
      <c r="A24" s="42" t="s">
        <v>200</v>
      </c>
      <c r="B24" s="43">
        <f t="shared" ref="B24:AG24" si="3">SUM(B9:B23)</f>
        <v>204870224.80000001</v>
      </c>
      <c r="C24" s="43">
        <f t="shared" si="3"/>
        <v>266654692.56</v>
      </c>
      <c r="D24" s="43">
        <f t="shared" si="3"/>
        <v>0</v>
      </c>
      <c r="E24" s="43">
        <f t="shared" si="3"/>
        <v>15169939.310000001</v>
      </c>
      <c r="F24" s="43">
        <f t="shared" si="3"/>
        <v>0</v>
      </c>
      <c r="G24" s="43">
        <f t="shared" si="3"/>
        <v>0</v>
      </c>
      <c r="H24" s="43">
        <f t="shared" si="3"/>
        <v>204870224.80000001</v>
      </c>
      <c r="I24" s="43">
        <f t="shared" si="3"/>
        <v>0</v>
      </c>
      <c r="J24" s="43">
        <f t="shared" si="3"/>
        <v>0</v>
      </c>
      <c r="K24" s="43">
        <f t="shared" si="3"/>
        <v>0</v>
      </c>
      <c r="L24" s="43">
        <f t="shared" si="3"/>
        <v>2529946500</v>
      </c>
      <c r="M24" s="43">
        <f t="shared" si="3"/>
        <v>0</v>
      </c>
      <c r="N24" s="43">
        <f t="shared" si="3"/>
        <v>0</v>
      </c>
      <c r="O24" s="43">
        <f t="shared" si="3"/>
        <v>0</v>
      </c>
      <c r="P24" s="43">
        <f t="shared" si="3"/>
        <v>0</v>
      </c>
      <c r="Q24" s="43">
        <f t="shared" si="3"/>
        <v>0</v>
      </c>
      <c r="R24" s="43">
        <f t="shared" si="3"/>
        <v>0</v>
      </c>
      <c r="S24" s="43">
        <f t="shared" si="3"/>
        <v>0</v>
      </c>
      <c r="T24" s="43">
        <f t="shared" si="3"/>
        <v>706164606.88999999</v>
      </c>
      <c r="U24" s="43">
        <f t="shared" si="3"/>
        <v>2028652117.9100001</v>
      </c>
      <c r="V24" s="43">
        <f t="shared" si="3"/>
        <v>52096332.170000002</v>
      </c>
      <c r="W24" s="43">
        <f t="shared" si="3"/>
        <v>2080748450.0800004</v>
      </c>
      <c r="X24" s="43">
        <f t="shared" si="3"/>
        <v>2080748450.0800004</v>
      </c>
      <c r="Y24" s="43">
        <f t="shared" si="3"/>
        <v>1996051957.02</v>
      </c>
      <c r="Z24" s="43">
        <f t="shared" si="3"/>
        <v>1970538457.22</v>
      </c>
      <c r="AA24" s="43">
        <f t="shared" si="3"/>
        <v>-9.3132257461547852E-9</v>
      </c>
      <c r="AB24" s="43">
        <f t="shared" si="3"/>
        <v>1970538457.22</v>
      </c>
      <c r="AC24" s="43">
        <f t="shared" si="3"/>
        <v>0</v>
      </c>
      <c r="AD24" s="43">
        <f t="shared" si="3"/>
        <v>50263537.759999998</v>
      </c>
      <c r="AE24" s="43">
        <f t="shared" si="3"/>
        <v>190000000</v>
      </c>
      <c r="AF24" s="44">
        <f t="shared" si="3"/>
        <v>0</v>
      </c>
      <c r="AG24" s="43">
        <f t="shared" si="3"/>
        <v>2110274919.46</v>
      </c>
      <c r="AH24" s="45"/>
      <c r="AI24" s="43">
        <f t="shared" ref="AI24" si="4">SUM(AI9:AI23)</f>
        <v>0</v>
      </c>
    </row>
    <row r="25" spans="1:35" s="4" customFormat="1" ht="60.75" hidden="1" customHeight="1">
      <c r="A25" s="46" t="s">
        <v>28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7">
        <v>213365500</v>
      </c>
      <c r="M25" s="47"/>
      <c r="N25" s="43"/>
      <c r="O25" s="43"/>
      <c r="P25" s="43"/>
      <c r="Q25" s="43"/>
      <c r="R25" s="43"/>
      <c r="S25" s="43"/>
      <c r="T25" s="47">
        <f>11528702.88+5790037.41+1655681+97185</f>
        <v>19071606.289999999</v>
      </c>
      <c r="U25" s="36">
        <f>H25+I25+L25+M25-T25</f>
        <v>194293893.71000001</v>
      </c>
      <c r="V25" s="36"/>
      <c r="W25" s="36">
        <f>U25+V25</f>
        <v>194293893.71000001</v>
      </c>
      <c r="X25" s="36">
        <f>194293893.71+1573580.05</f>
        <v>195867473.76000002</v>
      </c>
      <c r="Y25" s="36">
        <v>194293893.71000001</v>
      </c>
      <c r="Z25" s="36">
        <v>181086569.25999999</v>
      </c>
      <c r="AA25" s="36">
        <f>W25-X25</f>
        <v>-1573580.0500000119</v>
      </c>
      <c r="AB25" s="36">
        <v>181086569.25999999</v>
      </c>
      <c r="AC25" s="36">
        <f>Z25-AB25</f>
        <v>0</v>
      </c>
      <c r="AD25" s="36"/>
      <c r="AE25" s="36"/>
      <c r="AF25" s="36">
        <v>1573580.05</v>
      </c>
      <c r="AG25" s="36">
        <v>151638768.61000001</v>
      </c>
      <c r="AH25" s="45"/>
      <c r="AI25" s="41"/>
    </row>
    <row r="26" spans="1:35" s="4" customFormat="1" ht="66" hidden="1">
      <c r="A26" s="35" t="s">
        <v>19</v>
      </c>
      <c r="B26" s="36">
        <v>1.05</v>
      </c>
      <c r="C26" s="36">
        <v>4073353.1</v>
      </c>
      <c r="D26" s="36"/>
      <c r="E26" s="36"/>
      <c r="F26" s="36"/>
      <c r="G26" s="36"/>
      <c r="H26" s="36">
        <f>B26</f>
        <v>1.05</v>
      </c>
      <c r="I26" s="36"/>
      <c r="J26" s="36"/>
      <c r="K26" s="36"/>
      <c r="L26" s="37"/>
      <c r="M26" s="37"/>
      <c r="N26" s="37"/>
      <c r="O26" s="37"/>
      <c r="P26" s="37"/>
      <c r="Q26" s="37"/>
      <c r="R26" s="37"/>
      <c r="S26" s="37"/>
      <c r="T26" s="37"/>
      <c r="U26" s="36">
        <f>H26+I26+L26+M26-T26</f>
        <v>1.05</v>
      </c>
      <c r="V26" s="36">
        <v>1101978.76</v>
      </c>
      <c r="W26" s="36">
        <f>U26+V26</f>
        <v>1101979.81</v>
      </c>
      <c r="X26" s="36">
        <v>1101979.81</v>
      </c>
      <c r="Y26" s="36"/>
      <c r="Z26" s="36"/>
      <c r="AA26" s="36">
        <f>W26-X26</f>
        <v>0</v>
      </c>
      <c r="AB26" s="37"/>
      <c r="AC26" s="36">
        <f>Z26-AB26</f>
        <v>0</v>
      </c>
      <c r="AD26" s="37"/>
      <c r="AE26" s="37"/>
      <c r="AF26" s="37"/>
      <c r="AG26" s="36"/>
      <c r="AH26" s="45"/>
      <c r="AI26" s="41"/>
    </row>
    <row r="27" spans="1:35" s="4" customFormat="1" ht="16.5" hidden="1" customHeight="1" thickBot="1">
      <c r="A27" s="42" t="s">
        <v>29</v>
      </c>
      <c r="B27" s="43">
        <f>SUM(B26:B26)</f>
        <v>1.05</v>
      </c>
      <c r="C27" s="43">
        <f t="shared" ref="C27:K27" si="5">SUM(C26:C26)</f>
        <v>4073353.1</v>
      </c>
      <c r="D27" s="43">
        <f t="shared" si="5"/>
        <v>0</v>
      </c>
      <c r="E27" s="43">
        <f t="shared" si="5"/>
        <v>0</v>
      </c>
      <c r="F27" s="43">
        <f t="shared" si="5"/>
        <v>0</v>
      </c>
      <c r="G27" s="43">
        <f t="shared" si="5"/>
        <v>0</v>
      </c>
      <c r="H27" s="43">
        <f t="shared" si="5"/>
        <v>1.05</v>
      </c>
      <c r="I27" s="43">
        <f t="shared" si="5"/>
        <v>0</v>
      </c>
      <c r="J27" s="43">
        <f t="shared" si="5"/>
        <v>0</v>
      </c>
      <c r="K27" s="43">
        <f t="shared" si="5"/>
        <v>0</v>
      </c>
      <c r="L27" s="43">
        <f t="shared" ref="L27:T27" si="6">SUM(L25:L26)</f>
        <v>213365500</v>
      </c>
      <c r="M27" s="43">
        <f t="shared" si="6"/>
        <v>0</v>
      </c>
      <c r="N27" s="43">
        <f t="shared" si="6"/>
        <v>0</v>
      </c>
      <c r="O27" s="43">
        <f t="shared" si="6"/>
        <v>0</v>
      </c>
      <c r="P27" s="43">
        <f t="shared" si="6"/>
        <v>0</v>
      </c>
      <c r="Q27" s="43">
        <f t="shared" si="6"/>
        <v>0</v>
      </c>
      <c r="R27" s="43">
        <f t="shared" si="6"/>
        <v>0</v>
      </c>
      <c r="S27" s="43">
        <f t="shared" si="6"/>
        <v>0</v>
      </c>
      <c r="T27" s="43">
        <f t="shared" si="6"/>
        <v>19071606.289999999</v>
      </c>
      <c r="U27" s="43">
        <f>SUM(U25:U26)</f>
        <v>194293894.76000002</v>
      </c>
      <c r="V27" s="43">
        <f t="shared" ref="V27:AG27" si="7">SUM(V25:V26)</f>
        <v>1101978.76</v>
      </c>
      <c r="W27" s="43">
        <f t="shared" si="7"/>
        <v>195395873.52000001</v>
      </c>
      <c r="X27" s="43">
        <f t="shared" si="7"/>
        <v>196969453.57000002</v>
      </c>
      <c r="Y27" s="43">
        <f t="shared" si="7"/>
        <v>194293893.71000001</v>
      </c>
      <c r="Z27" s="43">
        <f t="shared" si="7"/>
        <v>181086569.25999999</v>
      </c>
      <c r="AA27" s="43">
        <f t="shared" si="7"/>
        <v>-1573580.0500000119</v>
      </c>
      <c r="AB27" s="43">
        <f t="shared" si="7"/>
        <v>181086569.25999999</v>
      </c>
      <c r="AC27" s="43">
        <f t="shared" si="7"/>
        <v>0</v>
      </c>
      <c r="AD27" s="43">
        <f t="shared" si="7"/>
        <v>0</v>
      </c>
      <c r="AE27" s="43">
        <f t="shared" si="7"/>
        <v>0</v>
      </c>
      <c r="AF27" s="43">
        <f t="shared" si="7"/>
        <v>1573580.05</v>
      </c>
      <c r="AG27" s="43">
        <f t="shared" si="7"/>
        <v>151638768.61000001</v>
      </c>
      <c r="AH27" s="45"/>
      <c r="AI27" s="43">
        <f t="shared" ref="AI27" si="8">SUM(AI25:AI26)</f>
        <v>0</v>
      </c>
    </row>
    <row r="28" spans="1:35" ht="77.45" hidden="1" customHeight="1">
      <c r="A28" s="35" t="s">
        <v>30</v>
      </c>
      <c r="B28" s="36">
        <v>91722.94</v>
      </c>
      <c r="C28" s="36"/>
      <c r="D28" s="36">
        <v>91722.94</v>
      </c>
      <c r="E28" s="36">
        <f>D28</f>
        <v>91722.94</v>
      </c>
      <c r="F28" s="36"/>
      <c r="G28" s="36"/>
      <c r="H28" s="36">
        <f>B28-E28</f>
        <v>0</v>
      </c>
      <c r="I28" s="36">
        <v>91722.94</v>
      </c>
      <c r="J28" s="36"/>
      <c r="K28" s="36"/>
      <c r="L28" s="48">
        <f>13491800+458600</f>
        <v>13950400</v>
      </c>
      <c r="M28" s="37"/>
      <c r="N28" s="37"/>
      <c r="O28" s="37"/>
      <c r="P28" s="37"/>
      <c r="Q28" s="37"/>
      <c r="R28" s="37"/>
      <c r="S28" s="37"/>
      <c r="T28" s="48">
        <v>13928767.359999999</v>
      </c>
      <c r="U28" s="36">
        <f t="shared" ref="U28:U40" si="9">H28+I28+L28+M28-T28</f>
        <v>113355.58000000007</v>
      </c>
      <c r="V28" s="37"/>
      <c r="W28" s="36">
        <f t="shared" ref="W28:W40" si="10">U28</f>
        <v>113355.58000000007</v>
      </c>
      <c r="X28" s="36">
        <f>113355.58+38842.71</f>
        <v>152198.29</v>
      </c>
      <c r="Y28" s="37"/>
      <c r="Z28" s="37"/>
      <c r="AA28" s="36">
        <f t="shared" ref="AA28:AA40" si="11">W28-X28</f>
        <v>-38842.709999999934</v>
      </c>
      <c r="AB28" s="37"/>
      <c r="AC28" s="36">
        <f t="shared" ref="AC28:AC42" si="12">Z28-AB28</f>
        <v>0</v>
      </c>
      <c r="AD28" s="37"/>
      <c r="AE28" s="36"/>
      <c r="AF28" s="36">
        <v>38842.71</v>
      </c>
      <c r="AG28" s="37"/>
      <c r="AH28" s="24"/>
      <c r="AI28" s="41"/>
    </row>
    <row r="29" spans="1:35" ht="77.45" hidden="1" customHeight="1">
      <c r="A29" s="35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48"/>
      <c r="M29" s="37"/>
      <c r="N29" s="37"/>
      <c r="O29" s="37"/>
      <c r="P29" s="37"/>
      <c r="Q29" s="37"/>
      <c r="R29" s="37"/>
      <c r="S29" s="37"/>
      <c r="T29" s="48"/>
      <c r="U29" s="36"/>
      <c r="V29" s="37"/>
      <c r="W29" s="36"/>
      <c r="X29" s="36">
        <f>38842.71-38842.71</f>
        <v>0</v>
      </c>
      <c r="Y29" s="37"/>
      <c r="Z29" s="37"/>
      <c r="AA29" s="36"/>
      <c r="AB29" s="36"/>
      <c r="AC29" s="36">
        <f t="shared" si="12"/>
        <v>0</v>
      </c>
      <c r="AD29" s="36"/>
      <c r="AE29" s="36"/>
      <c r="AF29" s="36">
        <f>38842.71-38842.71</f>
        <v>0</v>
      </c>
      <c r="AG29" s="37"/>
      <c r="AH29" s="24"/>
      <c r="AI29" s="41"/>
    </row>
    <row r="30" spans="1:35" ht="63" hidden="1" customHeight="1">
      <c r="A30" s="35" t="s">
        <v>19</v>
      </c>
      <c r="B30" s="36">
        <v>31.4</v>
      </c>
      <c r="C30" s="36"/>
      <c r="D30" s="36">
        <v>31.4</v>
      </c>
      <c r="E30" s="36">
        <f>D30</f>
        <v>31.4</v>
      </c>
      <c r="F30" s="36"/>
      <c r="G30" s="36"/>
      <c r="H30" s="36">
        <f>B30-E30</f>
        <v>0</v>
      </c>
      <c r="I30" s="36"/>
      <c r="J30" s="36"/>
      <c r="K30" s="36"/>
      <c r="L30" s="48"/>
      <c r="M30" s="37"/>
      <c r="N30" s="37"/>
      <c r="O30" s="37"/>
      <c r="P30" s="37"/>
      <c r="Q30" s="37"/>
      <c r="R30" s="37"/>
      <c r="S30" s="37"/>
      <c r="T30" s="48"/>
      <c r="U30" s="36">
        <f t="shared" si="9"/>
        <v>0</v>
      </c>
      <c r="V30" s="37"/>
      <c r="W30" s="36">
        <f t="shared" si="10"/>
        <v>0</v>
      </c>
      <c r="X30" s="37"/>
      <c r="Y30" s="37"/>
      <c r="Z30" s="37"/>
      <c r="AA30" s="36">
        <f t="shared" si="11"/>
        <v>0</v>
      </c>
      <c r="AB30" s="37"/>
      <c r="AC30" s="36">
        <f t="shared" si="12"/>
        <v>0</v>
      </c>
      <c r="AD30" s="37"/>
      <c r="AE30" s="36"/>
      <c r="AF30" s="37"/>
      <c r="AG30" s="37"/>
      <c r="AH30" s="24"/>
      <c r="AI30" s="38"/>
    </row>
    <row r="31" spans="1:35" ht="53.25" hidden="1" customHeight="1">
      <c r="A31" s="35" t="s">
        <v>32</v>
      </c>
      <c r="B31" s="36">
        <v>300</v>
      </c>
      <c r="C31" s="36"/>
      <c r="D31" s="36">
        <v>300</v>
      </c>
      <c r="E31" s="36">
        <f>D31</f>
        <v>300</v>
      </c>
      <c r="F31" s="36"/>
      <c r="G31" s="36"/>
      <c r="H31" s="36">
        <f>B31-E31</f>
        <v>0</v>
      </c>
      <c r="I31" s="36"/>
      <c r="J31" s="36"/>
      <c r="K31" s="36"/>
      <c r="L31" s="48"/>
      <c r="M31" s="37"/>
      <c r="N31" s="37"/>
      <c r="O31" s="37"/>
      <c r="P31" s="37"/>
      <c r="Q31" s="37"/>
      <c r="R31" s="37"/>
      <c r="S31" s="37"/>
      <c r="T31" s="48"/>
      <c r="U31" s="36">
        <f t="shared" si="9"/>
        <v>0</v>
      </c>
      <c r="V31" s="37"/>
      <c r="W31" s="36">
        <f t="shared" si="10"/>
        <v>0</v>
      </c>
      <c r="X31" s="37"/>
      <c r="Y31" s="37"/>
      <c r="Z31" s="37"/>
      <c r="AA31" s="36">
        <f t="shared" si="11"/>
        <v>0</v>
      </c>
      <c r="AB31" s="37"/>
      <c r="AC31" s="36">
        <f t="shared" si="12"/>
        <v>0</v>
      </c>
      <c r="AD31" s="37"/>
      <c r="AE31" s="36"/>
      <c r="AF31" s="37"/>
      <c r="AG31" s="37"/>
      <c r="AH31" s="24"/>
      <c r="AI31" s="38"/>
    </row>
    <row r="32" spans="1:35" ht="54.75" hidden="1" customHeight="1">
      <c r="A32" s="49" t="s">
        <v>33</v>
      </c>
      <c r="B32" s="36"/>
      <c r="C32" s="36"/>
      <c r="D32" s="36"/>
      <c r="E32" s="36">
        <v>0</v>
      </c>
      <c r="F32" s="36"/>
      <c r="G32" s="36"/>
      <c r="H32" s="36">
        <v>0</v>
      </c>
      <c r="I32" s="36"/>
      <c r="J32" s="36"/>
      <c r="K32" s="36"/>
      <c r="L32" s="48">
        <f>114300+10700</f>
        <v>125000</v>
      </c>
      <c r="M32" s="37"/>
      <c r="N32" s="37"/>
      <c r="O32" s="37"/>
      <c r="P32" s="37"/>
      <c r="Q32" s="37"/>
      <c r="R32" s="37"/>
      <c r="S32" s="37"/>
      <c r="T32" s="48">
        <v>125000</v>
      </c>
      <c r="U32" s="36">
        <f t="shared" si="9"/>
        <v>0</v>
      </c>
      <c r="V32" s="37"/>
      <c r="W32" s="36">
        <f t="shared" si="10"/>
        <v>0</v>
      </c>
      <c r="X32" s="37"/>
      <c r="Y32" s="37"/>
      <c r="Z32" s="37"/>
      <c r="AA32" s="36">
        <f t="shared" si="11"/>
        <v>0</v>
      </c>
      <c r="AB32" s="37"/>
      <c r="AC32" s="36">
        <f t="shared" si="12"/>
        <v>0</v>
      </c>
      <c r="AD32" s="37"/>
      <c r="AE32" s="36"/>
      <c r="AF32" s="37"/>
      <c r="AG32" s="37"/>
      <c r="AH32" s="24"/>
      <c r="AI32" s="38"/>
    </row>
    <row r="33" spans="1:35" ht="96.75" hidden="1" customHeight="1">
      <c r="A33" s="39" t="s">
        <v>34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48"/>
      <c r="M33" s="37"/>
      <c r="N33" s="37"/>
      <c r="O33" s="37"/>
      <c r="P33" s="37"/>
      <c r="Q33" s="37"/>
      <c r="R33" s="37"/>
      <c r="S33" s="37"/>
      <c r="T33" s="48"/>
      <c r="U33" s="36"/>
      <c r="V33" s="37"/>
      <c r="W33" s="36"/>
      <c r="X33" s="37"/>
      <c r="Y33" s="37"/>
      <c r="Z33" s="37"/>
      <c r="AA33" s="36"/>
      <c r="AB33" s="37"/>
      <c r="AC33" s="36"/>
      <c r="AD33" s="37"/>
      <c r="AE33" s="36"/>
      <c r="AF33" s="37"/>
      <c r="AG33" s="37"/>
      <c r="AH33" s="24"/>
      <c r="AI33" s="38"/>
    </row>
    <row r="34" spans="1:35" ht="54.75" hidden="1" customHeight="1">
      <c r="A34" s="35" t="s">
        <v>35</v>
      </c>
      <c r="B34" s="36">
        <v>1800</v>
      </c>
      <c r="C34" s="36"/>
      <c r="D34" s="36">
        <v>1800</v>
      </c>
      <c r="E34" s="36">
        <f>D34</f>
        <v>1800</v>
      </c>
      <c r="F34" s="36"/>
      <c r="G34" s="36"/>
      <c r="H34" s="36">
        <f>B34-E34</f>
        <v>0</v>
      </c>
      <c r="I34" s="36"/>
      <c r="J34" s="36"/>
      <c r="K34" s="36"/>
      <c r="L34" s="48">
        <f>305400+28600</f>
        <v>334000</v>
      </c>
      <c r="M34" s="37"/>
      <c r="N34" s="37"/>
      <c r="O34" s="37"/>
      <c r="P34" s="37"/>
      <c r="Q34" s="37"/>
      <c r="R34" s="37"/>
      <c r="S34" s="37"/>
      <c r="T34" s="48">
        <v>333999.88</v>
      </c>
      <c r="U34" s="36">
        <f t="shared" si="9"/>
        <v>0.11999999999534339</v>
      </c>
      <c r="V34" s="37"/>
      <c r="W34" s="36">
        <f t="shared" si="10"/>
        <v>0.11999999999534339</v>
      </c>
      <c r="X34" s="36">
        <v>0.12</v>
      </c>
      <c r="Y34" s="36"/>
      <c r="Z34" s="36"/>
      <c r="AA34" s="36">
        <f t="shared" si="11"/>
        <v>-4.6566084321852941E-12</v>
      </c>
      <c r="AB34" s="37"/>
      <c r="AC34" s="36">
        <f t="shared" si="12"/>
        <v>0</v>
      </c>
      <c r="AD34" s="37"/>
      <c r="AE34" s="36"/>
      <c r="AF34" s="37"/>
      <c r="AG34" s="37"/>
      <c r="AH34" s="24"/>
      <c r="AI34" s="41"/>
    </row>
    <row r="35" spans="1:35" ht="51" hidden="1" customHeight="1">
      <c r="A35" s="35" t="s">
        <v>36</v>
      </c>
      <c r="B35" s="36">
        <v>0</v>
      </c>
      <c r="C35" s="36">
        <v>0</v>
      </c>
      <c r="D35" s="36">
        <v>0</v>
      </c>
      <c r="E35" s="36">
        <v>0</v>
      </c>
      <c r="F35" s="36"/>
      <c r="G35" s="36"/>
      <c r="H35" s="36">
        <f>B35-E35</f>
        <v>0</v>
      </c>
      <c r="I35" s="36">
        <v>0</v>
      </c>
      <c r="J35" s="36"/>
      <c r="K35" s="36"/>
      <c r="L35" s="48">
        <f>10000000+15000000</f>
        <v>25000000</v>
      </c>
      <c r="M35" s="37"/>
      <c r="N35" s="37"/>
      <c r="O35" s="37"/>
      <c r="P35" s="37"/>
      <c r="Q35" s="37"/>
      <c r="R35" s="37"/>
      <c r="S35" s="37"/>
      <c r="T35" s="48">
        <v>19410438</v>
      </c>
      <c r="U35" s="36">
        <f t="shared" si="9"/>
        <v>5589562</v>
      </c>
      <c r="V35" s="37"/>
      <c r="W35" s="36">
        <f t="shared" si="10"/>
        <v>5589562</v>
      </c>
      <c r="X35" s="36">
        <v>5589562</v>
      </c>
      <c r="Y35" s="36"/>
      <c r="Z35" s="36"/>
      <c r="AA35" s="36">
        <f t="shared" si="11"/>
        <v>0</v>
      </c>
      <c r="AB35" s="37"/>
      <c r="AC35" s="36">
        <f t="shared" si="12"/>
        <v>0</v>
      </c>
      <c r="AD35" s="37"/>
      <c r="AE35" s="36"/>
      <c r="AF35" s="37"/>
      <c r="AG35" s="37"/>
      <c r="AH35" s="24"/>
      <c r="AI35" s="41"/>
    </row>
    <row r="36" spans="1:35" ht="51" hidden="1" customHeight="1">
      <c r="A36" s="35" t="s">
        <v>37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48"/>
      <c r="M36" s="37"/>
      <c r="N36" s="37"/>
      <c r="O36" s="37"/>
      <c r="P36" s="37"/>
      <c r="Q36" s="37"/>
      <c r="R36" s="37"/>
      <c r="S36" s="37"/>
      <c r="T36" s="48"/>
      <c r="U36" s="36">
        <v>2121418.63</v>
      </c>
      <c r="V36" s="37"/>
      <c r="W36" s="36">
        <f>U36</f>
        <v>2121418.63</v>
      </c>
      <c r="X36" s="36">
        <v>2121418.63</v>
      </c>
      <c r="Y36" s="36">
        <v>2121418.63</v>
      </c>
      <c r="Z36" s="36">
        <v>2121418.63</v>
      </c>
      <c r="AA36" s="36">
        <f>W36-X36</f>
        <v>0</v>
      </c>
      <c r="AB36" s="36"/>
      <c r="AC36" s="36">
        <f t="shared" si="12"/>
        <v>2121418.63</v>
      </c>
      <c r="AD36" s="37"/>
      <c r="AE36" s="36">
        <f>5614800+14037000+5614800+2807400</f>
        <v>28074000</v>
      </c>
      <c r="AF36" s="37"/>
      <c r="AG36" s="36">
        <v>21552360.350000001</v>
      </c>
      <c r="AH36" s="24"/>
      <c r="AI36" s="41"/>
    </row>
    <row r="37" spans="1:35" ht="51" hidden="1" customHeight="1">
      <c r="A37" s="35" t="s">
        <v>38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48"/>
      <c r="M37" s="37"/>
      <c r="N37" s="37"/>
      <c r="O37" s="37"/>
      <c r="P37" s="37"/>
      <c r="Q37" s="37"/>
      <c r="R37" s="37"/>
      <c r="S37" s="37"/>
      <c r="T37" s="48"/>
      <c r="U37" s="36">
        <v>0</v>
      </c>
      <c r="V37" s="37"/>
      <c r="W37" s="36">
        <v>0</v>
      </c>
      <c r="X37" s="36">
        <f>124268.68+273.65+6653.59+61668.66</f>
        <v>192864.58</v>
      </c>
      <c r="Y37" s="36"/>
      <c r="Z37" s="36"/>
      <c r="AA37" s="36">
        <v>0</v>
      </c>
      <c r="AB37" s="37"/>
      <c r="AC37" s="36">
        <f t="shared" si="12"/>
        <v>0</v>
      </c>
      <c r="AD37" s="37"/>
      <c r="AE37" s="36">
        <f>98053000+6576000+117672100+89191000+82689500</f>
        <v>394181600</v>
      </c>
      <c r="AF37" s="36">
        <f>12634.66+25148+8957.38+321+600+76607.64+250+23.65+6653.59+61668.66</f>
        <v>192864.58</v>
      </c>
      <c r="AG37" s="36">
        <v>390867048.62</v>
      </c>
      <c r="AH37" s="24"/>
      <c r="AI37" s="41"/>
    </row>
    <row r="38" spans="1:35" ht="51" hidden="1" customHeight="1">
      <c r="A38" s="35" t="s">
        <v>39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48"/>
      <c r="M38" s="37"/>
      <c r="N38" s="37"/>
      <c r="O38" s="37"/>
      <c r="P38" s="37"/>
      <c r="Q38" s="37"/>
      <c r="R38" s="37"/>
      <c r="S38" s="37"/>
      <c r="T38" s="48"/>
      <c r="U38" s="36"/>
      <c r="V38" s="37"/>
      <c r="W38" s="36"/>
      <c r="X38" s="36"/>
      <c r="Y38" s="36"/>
      <c r="Z38" s="36"/>
      <c r="AA38" s="36"/>
      <c r="AB38" s="37"/>
      <c r="AC38" s="36">
        <f t="shared" si="12"/>
        <v>0</v>
      </c>
      <c r="AD38" s="37"/>
      <c r="AE38" s="36">
        <f>19409600+408900</f>
        <v>19818500</v>
      </c>
      <c r="AF38" s="36"/>
      <c r="AG38" s="36">
        <v>18754903.809999999</v>
      </c>
      <c r="AH38" s="24"/>
      <c r="AI38" s="41"/>
    </row>
    <row r="39" spans="1:35" ht="51" hidden="1" customHeight="1">
      <c r="A39" s="35" t="s">
        <v>40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48"/>
      <c r="M39" s="37"/>
      <c r="N39" s="37"/>
      <c r="O39" s="37"/>
      <c r="P39" s="37"/>
      <c r="Q39" s="37"/>
      <c r="R39" s="37"/>
      <c r="S39" s="37"/>
      <c r="T39" s="48"/>
      <c r="U39" s="36">
        <v>0</v>
      </c>
      <c r="V39" s="37"/>
      <c r="W39" s="36">
        <v>0</v>
      </c>
      <c r="X39" s="36"/>
      <c r="Y39" s="36"/>
      <c r="Z39" s="36"/>
      <c r="AA39" s="36">
        <v>0</v>
      </c>
      <c r="AB39" s="37"/>
      <c r="AC39" s="36">
        <f t="shared" si="12"/>
        <v>0</v>
      </c>
      <c r="AD39" s="37"/>
      <c r="AE39" s="36">
        <f>6576000+18571000+18574600+30000000+6576100+8029700</f>
        <v>88327400</v>
      </c>
      <c r="AF39" s="37"/>
      <c r="AG39" s="36">
        <v>81789172.239999995</v>
      </c>
      <c r="AH39" s="24"/>
      <c r="AI39" s="41"/>
    </row>
    <row r="40" spans="1:35" s="6" customFormat="1" ht="38.25" customHeight="1">
      <c r="A40" s="35" t="s">
        <v>210</v>
      </c>
      <c r="B40" s="36">
        <v>1292039.31</v>
      </c>
      <c r="C40" s="36"/>
      <c r="D40" s="36">
        <v>1292039.31</v>
      </c>
      <c r="E40" s="36">
        <f>D40+40208.8+115</f>
        <v>1332363.1100000001</v>
      </c>
      <c r="F40" s="36"/>
      <c r="G40" s="36"/>
      <c r="H40" s="36">
        <f>B40-E40</f>
        <v>-40323.800000000047</v>
      </c>
      <c r="I40" s="36">
        <v>1292039.31</v>
      </c>
      <c r="J40" s="36"/>
      <c r="K40" s="36"/>
      <c r="L40" s="48">
        <f>159208000+113811300+141049100+5000000+109632500+27756400</f>
        <v>556457300</v>
      </c>
      <c r="M40" s="48">
        <f>40208.53+115+0.27</f>
        <v>40323.799999999996</v>
      </c>
      <c r="N40" s="37"/>
      <c r="O40" s="37"/>
      <c r="P40" s="37"/>
      <c r="Q40" s="37"/>
      <c r="R40" s="37"/>
      <c r="S40" s="37"/>
      <c r="T40" s="48">
        <f>577159777.31-19410438</f>
        <v>557749339.30999994</v>
      </c>
      <c r="U40" s="36">
        <f t="shared" si="9"/>
        <v>0</v>
      </c>
      <c r="V40" s="37"/>
      <c r="W40" s="36">
        <f t="shared" si="10"/>
        <v>0</v>
      </c>
      <c r="X40" s="37"/>
      <c r="Y40" s="37"/>
      <c r="Z40" s="37"/>
      <c r="AA40" s="36">
        <f t="shared" si="11"/>
        <v>0</v>
      </c>
      <c r="AB40" s="37"/>
      <c r="AC40" s="36">
        <f t="shared" si="12"/>
        <v>0</v>
      </c>
      <c r="AD40" s="37"/>
      <c r="AE40" s="36">
        <f>168223200-6576000-98053000+44866900+16726300-8029700</f>
        <v>117157700</v>
      </c>
      <c r="AF40" s="37"/>
      <c r="AG40" s="36">
        <v>115791390.95999999</v>
      </c>
      <c r="AH40" s="37"/>
      <c r="AI40" s="41">
        <v>18669.349999999999</v>
      </c>
    </row>
    <row r="41" spans="1:35" s="6" customFormat="1" ht="98.25" hidden="1" customHeight="1">
      <c r="A41" s="39" t="s">
        <v>209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48"/>
      <c r="M41" s="48"/>
      <c r="N41" s="37"/>
      <c r="O41" s="37"/>
      <c r="P41" s="37"/>
      <c r="Q41" s="37"/>
      <c r="R41" s="37"/>
      <c r="S41" s="37"/>
      <c r="T41" s="48"/>
      <c r="U41" s="36"/>
      <c r="V41" s="37"/>
      <c r="W41" s="36"/>
      <c r="X41" s="37"/>
      <c r="Y41" s="37"/>
      <c r="Z41" s="37"/>
      <c r="AA41" s="36"/>
      <c r="AB41" s="37"/>
      <c r="AC41" s="36">
        <f t="shared" si="12"/>
        <v>0</v>
      </c>
      <c r="AD41" s="37"/>
      <c r="AE41" s="36">
        <f>3000000+7000000+8536100</f>
        <v>18536100</v>
      </c>
      <c r="AF41" s="37"/>
      <c r="AG41" s="36">
        <v>18536100</v>
      </c>
      <c r="AH41" s="37"/>
      <c r="AI41" s="41">
        <v>0</v>
      </c>
    </row>
    <row r="42" spans="1:35" ht="51" hidden="1" customHeight="1" thickBot="1">
      <c r="A42" s="35" t="s">
        <v>41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48"/>
      <c r="M42" s="48"/>
      <c r="N42" s="37"/>
      <c r="O42" s="37"/>
      <c r="P42" s="37"/>
      <c r="Q42" s="37"/>
      <c r="R42" s="37"/>
      <c r="S42" s="37"/>
      <c r="T42" s="48"/>
      <c r="U42" s="36"/>
      <c r="V42" s="37"/>
      <c r="W42" s="36"/>
      <c r="X42" s="37"/>
      <c r="Y42" s="37"/>
      <c r="Z42" s="37"/>
      <c r="AA42" s="36"/>
      <c r="AB42" s="37"/>
      <c r="AC42" s="36">
        <f t="shared" si="12"/>
        <v>0</v>
      </c>
      <c r="AD42" s="37"/>
      <c r="AE42" s="36">
        <f>5711956.5+2447981.36</f>
        <v>8159937.8599999994</v>
      </c>
      <c r="AF42" s="37"/>
      <c r="AG42" s="36">
        <v>8140475</v>
      </c>
      <c r="AH42" s="37"/>
      <c r="AI42" s="41"/>
    </row>
    <row r="43" spans="1:35" ht="33.75" customHeight="1">
      <c r="A43" s="42" t="s">
        <v>42</v>
      </c>
      <c r="B43" s="43">
        <f t="shared" ref="B43:AF43" si="13">SUM(B28:B40)</f>
        <v>1385893.6500000001</v>
      </c>
      <c r="C43" s="43">
        <f t="shared" si="13"/>
        <v>0</v>
      </c>
      <c r="D43" s="43">
        <f t="shared" si="13"/>
        <v>1385893.6500000001</v>
      </c>
      <c r="E43" s="43">
        <f t="shared" si="13"/>
        <v>1426217.4500000002</v>
      </c>
      <c r="F43" s="43">
        <f t="shared" si="13"/>
        <v>0</v>
      </c>
      <c r="G43" s="43">
        <f t="shared" si="13"/>
        <v>0</v>
      </c>
      <c r="H43" s="43">
        <f t="shared" si="13"/>
        <v>-40323.800000000047</v>
      </c>
      <c r="I43" s="43">
        <f t="shared" si="13"/>
        <v>1383762.25</v>
      </c>
      <c r="J43" s="43">
        <f t="shared" si="13"/>
        <v>0</v>
      </c>
      <c r="K43" s="43">
        <f t="shared" si="13"/>
        <v>0</v>
      </c>
      <c r="L43" s="43">
        <f t="shared" si="13"/>
        <v>595866700</v>
      </c>
      <c r="M43" s="43">
        <f t="shared" si="13"/>
        <v>40323.799999999996</v>
      </c>
      <c r="N43" s="43">
        <f t="shared" si="13"/>
        <v>0</v>
      </c>
      <c r="O43" s="43">
        <f t="shared" si="13"/>
        <v>0</v>
      </c>
      <c r="P43" s="43">
        <f t="shared" si="13"/>
        <v>0</v>
      </c>
      <c r="Q43" s="43">
        <f t="shared" si="13"/>
        <v>0</v>
      </c>
      <c r="R43" s="43">
        <f t="shared" si="13"/>
        <v>0</v>
      </c>
      <c r="S43" s="43">
        <f t="shared" si="13"/>
        <v>0</v>
      </c>
      <c r="T43" s="43">
        <f t="shared" si="13"/>
        <v>591547544.54999995</v>
      </c>
      <c r="U43" s="43">
        <f t="shared" si="13"/>
        <v>7824336.3300000001</v>
      </c>
      <c r="V43" s="43">
        <f t="shared" si="13"/>
        <v>0</v>
      </c>
      <c r="W43" s="43">
        <f t="shared" si="13"/>
        <v>7824336.3300000001</v>
      </c>
      <c r="X43" s="43">
        <f t="shared" si="13"/>
        <v>8056043.6200000001</v>
      </c>
      <c r="Y43" s="43">
        <f t="shared" si="13"/>
        <v>2121418.63</v>
      </c>
      <c r="Z43" s="43">
        <f t="shared" si="13"/>
        <v>2121418.63</v>
      </c>
      <c r="AA43" s="43">
        <f t="shared" si="13"/>
        <v>-38842.709999999941</v>
      </c>
      <c r="AB43" s="43">
        <f t="shared" si="13"/>
        <v>0</v>
      </c>
      <c r="AC43" s="43">
        <f t="shared" si="13"/>
        <v>2121418.63</v>
      </c>
      <c r="AD43" s="43">
        <f t="shared" si="13"/>
        <v>0</v>
      </c>
      <c r="AE43" s="43">
        <f>SUM(AE28:AE42)</f>
        <v>674255237.86000001</v>
      </c>
      <c r="AF43" s="44">
        <f t="shared" si="13"/>
        <v>231707.28999999998</v>
      </c>
      <c r="AG43" s="43">
        <f t="shared" ref="AG43" si="14">SUM(AG28:AG42)</f>
        <v>655431450.98000002</v>
      </c>
      <c r="AH43" s="37"/>
      <c r="AI43" s="43">
        <f t="shared" ref="AI43" si="15">SUM(AI28:AI42)</f>
        <v>18669.349999999999</v>
      </c>
    </row>
    <row r="44" spans="1:35" ht="36" hidden="1" customHeight="1">
      <c r="A44" s="50" t="s">
        <v>43</v>
      </c>
      <c r="B44" s="36">
        <v>200</v>
      </c>
      <c r="C44" s="36"/>
      <c r="D44" s="36">
        <f>B44</f>
        <v>200</v>
      </c>
      <c r="E44" s="36">
        <v>200</v>
      </c>
      <c r="F44" s="36"/>
      <c r="G44" s="36"/>
      <c r="H44" s="36">
        <f>B44-E44</f>
        <v>0</v>
      </c>
      <c r="I44" s="36"/>
      <c r="J44" s="36"/>
      <c r="K44" s="36"/>
      <c r="L44" s="48">
        <f>1818000+1818000</f>
        <v>3636000</v>
      </c>
      <c r="M44" s="48"/>
      <c r="N44" s="37"/>
      <c r="O44" s="37"/>
      <c r="P44" s="37"/>
      <c r="Q44" s="37"/>
      <c r="R44" s="37"/>
      <c r="S44" s="37"/>
      <c r="T44" s="48">
        <v>3621643.14</v>
      </c>
      <c r="U44" s="36">
        <f t="shared" ref="U44:U67" si="16">H44+I44+L44+M44-T44</f>
        <v>14356.85999999987</v>
      </c>
      <c r="V44" s="37"/>
      <c r="W44" s="36">
        <f t="shared" ref="W44:W67" si="17">U44</f>
        <v>14356.85999999987</v>
      </c>
      <c r="X44" s="36">
        <v>14356.86</v>
      </c>
      <c r="Y44" s="36">
        <v>14356.86</v>
      </c>
      <c r="Z44" s="36"/>
      <c r="AA44" s="36">
        <f t="shared" ref="AA44:AA67" si="18">W44-X44</f>
        <v>-1.3096723705530167E-10</v>
      </c>
      <c r="AB44" s="37"/>
      <c r="AC44" s="36">
        <f t="shared" ref="AC44:AC90" si="19">Z44-AB44</f>
        <v>0</v>
      </c>
      <c r="AD44" s="37"/>
      <c r="AE44" s="36"/>
      <c r="AF44" s="37"/>
      <c r="AG44" s="37"/>
      <c r="AH44" s="37"/>
      <c r="AI44" s="41"/>
    </row>
    <row r="45" spans="1:35" ht="48" hidden="1" customHeight="1">
      <c r="A45" s="35" t="s">
        <v>44</v>
      </c>
      <c r="B45" s="36">
        <v>21436</v>
      </c>
      <c r="C45" s="36"/>
      <c r="D45" s="36">
        <f>B45</f>
        <v>21436</v>
      </c>
      <c r="E45" s="36">
        <v>21436</v>
      </c>
      <c r="F45" s="36"/>
      <c r="G45" s="36"/>
      <c r="H45" s="36">
        <f>B45-E45</f>
        <v>0</v>
      </c>
      <c r="I45" s="36">
        <v>21436</v>
      </c>
      <c r="J45" s="36"/>
      <c r="K45" s="36"/>
      <c r="L45" s="48">
        <v>4886500</v>
      </c>
      <c r="M45" s="48"/>
      <c r="N45" s="37"/>
      <c r="O45" s="37"/>
      <c r="P45" s="37"/>
      <c r="Q45" s="37"/>
      <c r="R45" s="37"/>
      <c r="S45" s="37"/>
      <c r="T45" s="48">
        <v>4907936</v>
      </c>
      <c r="U45" s="36">
        <f t="shared" si="16"/>
        <v>0</v>
      </c>
      <c r="V45" s="37"/>
      <c r="W45" s="36">
        <f t="shared" si="17"/>
        <v>0</v>
      </c>
      <c r="X45" s="37"/>
      <c r="Y45" s="37"/>
      <c r="Z45" s="37"/>
      <c r="AA45" s="36">
        <f t="shared" si="18"/>
        <v>0</v>
      </c>
      <c r="AB45" s="37"/>
      <c r="AC45" s="36">
        <f t="shared" si="19"/>
        <v>0</v>
      </c>
      <c r="AD45" s="37"/>
      <c r="AE45" s="36">
        <v>4886500</v>
      </c>
      <c r="AF45" s="37"/>
      <c r="AG45" s="36">
        <v>4886500</v>
      </c>
      <c r="AH45" s="37"/>
      <c r="AI45" s="38"/>
    </row>
    <row r="46" spans="1:35" ht="37.5" hidden="1" customHeight="1">
      <c r="A46" s="35" t="s">
        <v>45</v>
      </c>
      <c r="B46" s="36">
        <v>138887.5</v>
      </c>
      <c r="C46" s="36"/>
      <c r="D46" s="36">
        <f>B46</f>
        <v>138887.5</v>
      </c>
      <c r="E46" s="36">
        <v>138887.5</v>
      </c>
      <c r="F46" s="36"/>
      <c r="G46" s="36"/>
      <c r="H46" s="36">
        <f>B46-E46</f>
        <v>0</v>
      </c>
      <c r="I46" s="36">
        <v>138887.5</v>
      </c>
      <c r="J46" s="36"/>
      <c r="K46" s="36"/>
      <c r="L46" s="48">
        <v>5370000</v>
      </c>
      <c r="M46" s="48"/>
      <c r="N46" s="37"/>
      <c r="O46" s="37"/>
      <c r="P46" s="37"/>
      <c r="Q46" s="37"/>
      <c r="R46" s="37"/>
      <c r="S46" s="37"/>
      <c r="T46" s="48">
        <v>5508887.5</v>
      </c>
      <c r="U46" s="36">
        <f t="shared" si="16"/>
        <v>0</v>
      </c>
      <c r="V46" s="37"/>
      <c r="W46" s="36">
        <f t="shared" si="17"/>
        <v>0</v>
      </c>
      <c r="X46" s="37"/>
      <c r="Y46" s="37"/>
      <c r="Z46" s="37"/>
      <c r="AA46" s="36">
        <f t="shared" si="18"/>
        <v>0</v>
      </c>
      <c r="AB46" s="37"/>
      <c r="AC46" s="36">
        <f t="shared" si="19"/>
        <v>0</v>
      </c>
      <c r="AD46" s="37"/>
      <c r="AE46" s="36">
        <v>6268400</v>
      </c>
      <c r="AF46" s="37"/>
      <c r="AG46" s="36">
        <v>6268400</v>
      </c>
      <c r="AH46" s="37"/>
      <c r="AI46" s="38"/>
    </row>
    <row r="47" spans="1:35" ht="94.5" hidden="1" customHeight="1">
      <c r="A47" s="39" t="s">
        <v>46</v>
      </c>
      <c r="B47" s="36">
        <v>2203392</v>
      </c>
      <c r="C47" s="36"/>
      <c r="D47" s="36">
        <f>B47</f>
        <v>2203392</v>
      </c>
      <c r="E47" s="36">
        <v>2203392</v>
      </c>
      <c r="F47" s="36"/>
      <c r="G47" s="36"/>
      <c r="H47" s="36">
        <f>B47-E47</f>
        <v>0</v>
      </c>
      <c r="I47" s="36">
        <v>2203392</v>
      </c>
      <c r="J47" s="36"/>
      <c r="K47" s="36"/>
      <c r="L47" s="48">
        <f>312288200+36697200</f>
        <v>348985400</v>
      </c>
      <c r="M47" s="37"/>
      <c r="N47" s="37"/>
      <c r="O47" s="37"/>
      <c r="P47" s="37"/>
      <c r="Q47" s="37"/>
      <c r="R47" s="37"/>
      <c r="S47" s="37"/>
      <c r="T47" s="48">
        <v>351188792</v>
      </c>
      <c r="U47" s="36">
        <f>H47+I47+L47+M47-T47</f>
        <v>0</v>
      </c>
      <c r="V47" s="37"/>
      <c r="W47" s="36">
        <f t="shared" si="17"/>
        <v>0</v>
      </c>
      <c r="X47" s="36">
        <v>8555.7000000000007</v>
      </c>
      <c r="Y47" s="37"/>
      <c r="Z47" s="37"/>
      <c r="AA47" s="36">
        <f t="shared" si="18"/>
        <v>-8555.7000000000007</v>
      </c>
      <c r="AB47" s="37"/>
      <c r="AC47" s="36">
        <f t="shared" si="19"/>
        <v>0</v>
      </c>
      <c r="AD47" s="37"/>
      <c r="AE47" s="36">
        <v>362507700</v>
      </c>
      <c r="AF47" s="36">
        <v>8555.7000000000007</v>
      </c>
      <c r="AG47" s="36">
        <v>362507700</v>
      </c>
      <c r="AH47" s="37"/>
      <c r="AI47" s="41"/>
    </row>
    <row r="48" spans="1:35" ht="95.25" hidden="1" customHeight="1">
      <c r="A48" s="51" t="s">
        <v>47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48"/>
      <c r="M48" s="37"/>
      <c r="N48" s="37"/>
      <c r="O48" s="37"/>
      <c r="P48" s="37"/>
      <c r="Q48" s="37"/>
      <c r="R48" s="37"/>
      <c r="S48" s="37"/>
      <c r="T48" s="48"/>
      <c r="U48" s="36">
        <f>H48+I48+L48+M48-T48</f>
        <v>0</v>
      </c>
      <c r="V48" s="37"/>
      <c r="W48" s="36">
        <v>0</v>
      </c>
      <c r="X48" s="37"/>
      <c r="Y48" s="37"/>
      <c r="Z48" s="37"/>
      <c r="AA48" s="36">
        <v>0</v>
      </c>
      <c r="AB48" s="37"/>
      <c r="AC48" s="36">
        <f t="shared" si="19"/>
        <v>0</v>
      </c>
      <c r="AD48" s="37"/>
      <c r="AE48" s="36">
        <v>164251500</v>
      </c>
      <c r="AF48" s="37"/>
      <c r="AG48" s="36">
        <v>164251500</v>
      </c>
      <c r="AH48" s="37"/>
      <c r="AI48" s="41"/>
    </row>
    <row r="49" spans="1:35" ht="60" hidden="1" customHeight="1">
      <c r="A49" s="51" t="s">
        <v>48</v>
      </c>
      <c r="B49" s="36">
        <v>17393267.940000001</v>
      </c>
      <c r="C49" s="36"/>
      <c r="D49" s="36">
        <f>B49</f>
        <v>17393267.940000001</v>
      </c>
      <c r="E49" s="36">
        <f>D49+263593.25</f>
        <v>17656861.190000001</v>
      </c>
      <c r="F49" s="36"/>
      <c r="G49" s="36"/>
      <c r="H49" s="36">
        <f>B49-E49</f>
        <v>-263593.25</v>
      </c>
      <c r="I49" s="36"/>
      <c r="J49" s="36"/>
      <c r="K49" s="36"/>
      <c r="L49" s="48"/>
      <c r="M49" s="48">
        <v>263593.25</v>
      </c>
      <c r="N49" s="37"/>
      <c r="O49" s="37"/>
      <c r="P49" s="37"/>
      <c r="Q49" s="37"/>
      <c r="R49" s="37"/>
      <c r="S49" s="37"/>
      <c r="T49" s="48"/>
      <c r="U49" s="36">
        <f t="shared" si="16"/>
        <v>0</v>
      </c>
      <c r="V49" s="37"/>
      <c r="W49" s="36">
        <f t="shared" si="17"/>
        <v>0</v>
      </c>
      <c r="X49" s="37"/>
      <c r="Y49" s="37"/>
      <c r="Z49" s="37"/>
      <c r="AA49" s="36">
        <f t="shared" si="18"/>
        <v>0</v>
      </c>
      <c r="AB49" s="36">
        <f>6613.51-6613.51</f>
        <v>0</v>
      </c>
      <c r="AC49" s="36">
        <f t="shared" si="19"/>
        <v>0</v>
      </c>
      <c r="AD49" s="37"/>
      <c r="AE49" s="37"/>
      <c r="AF49" s="37"/>
      <c r="AG49" s="36"/>
      <c r="AH49" s="37"/>
      <c r="AI49" s="41"/>
    </row>
    <row r="50" spans="1:35" ht="126.75" hidden="1" customHeight="1">
      <c r="A50" s="35" t="s">
        <v>49</v>
      </c>
      <c r="B50" s="36">
        <f>2557036.56+7436.15</f>
        <v>2564472.71</v>
      </c>
      <c r="C50" s="36">
        <v>25169127.989999998</v>
      </c>
      <c r="D50" s="36">
        <f>B50+C50</f>
        <v>27733600.699999999</v>
      </c>
      <c r="E50" s="36">
        <f>27726164.55+7436.15+4009.46+23862.71+80.57+16165.47+28525.65</f>
        <v>27806244.559999999</v>
      </c>
      <c r="F50" s="36"/>
      <c r="G50" s="36"/>
      <c r="H50" s="36">
        <f>B50+C50-E50</f>
        <v>-72643.859999999404</v>
      </c>
      <c r="I50" s="36"/>
      <c r="J50" s="36"/>
      <c r="K50" s="36"/>
      <c r="L50" s="48"/>
      <c r="M50" s="48">
        <f>4009.46+23862.71+80.57+16165.47+28525.65</f>
        <v>72643.86</v>
      </c>
      <c r="N50" s="37"/>
      <c r="O50" s="37"/>
      <c r="P50" s="37"/>
      <c r="Q50" s="37"/>
      <c r="R50" s="37"/>
      <c r="S50" s="37"/>
      <c r="T50" s="48"/>
      <c r="U50" s="36">
        <f t="shared" si="16"/>
        <v>5.9662852436304092E-10</v>
      </c>
      <c r="V50" s="37"/>
      <c r="W50" s="36">
        <f t="shared" si="17"/>
        <v>5.9662852436304092E-10</v>
      </c>
      <c r="X50" s="36">
        <f>1054+10652.04+27992.38</f>
        <v>39698.42</v>
      </c>
      <c r="Y50" s="37"/>
      <c r="Z50" s="37"/>
      <c r="AA50" s="36">
        <f t="shared" si="18"/>
        <v>-39698.419999999402</v>
      </c>
      <c r="AB50" s="37"/>
      <c r="AC50" s="36">
        <f t="shared" si="19"/>
        <v>0</v>
      </c>
      <c r="AD50" s="37"/>
      <c r="AE50" s="37"/>
      <c r="AF50" s="36">
        <f>1054+10652.04+27992.38</f>
        <v>39698.42</v>
      </c>
      <c r="AG50" s="36"/>
      <c r="AH50" s="37"/>
      <c r="AI50" s="41"/>
    </row>
    <row r="51" spans="1:35" ht="46.15" hidden="1" customHeight="1">
      <c r="A51" s="35" t="s">
        <v>50</v>
      </c>
      <c r="B51" s="36">
        <v>25962734.5</v>
      </c>
      <c r="C51" s="36"/>
      <c r="D51" s="36">
        <f>B51</f>
        <v>25962734.5</v>
      </c>
      <c r="E51" s="36">
        <f>D51</f>
        <v>25962734.5</v>
      </c>
      <c r="F51" s="36"/>
      <c r="G51" s="36"/>
      <c r="H51" s="36">
        <f>B51-E51</f>
        <v>0</v>
      </c>
      <c r="I51" s="36">
        <v>25962734.5</v>
      </c>
      <c r="J51" s="36"/>
      <c r="K51" s="36"/>
      <c r="L51" s="48"/>
      <c r="M51" s="48"/>
      <c r="N51" s="37"/>
      <c r="O51" s="37"/>
      <c r="P51" s="37"/>
      <c r="Q51" s="37"/>
      <c r="R51" s="37"/>
      <c r="S51" s="37"/>
      <c r="T51" s="48">
        <v>25962734.5</v>
      </c>
      <c r="U51" s="36">
        <f t="shared" si="16"/>
        <v>0</v>
      </c>
      <c r="V51" s="37"/>
      <c r="W51" s="36">
        <f t="shared" si="17"/>
        <v>0</v>
      </c>
      <c r="X51" s="37"/>
      <c r="Y51" s="37"/>
      <c r="Z51" s="37"/>
      <c r="AA51" s="36">
        <f t="shared" si="18"/>
        <v>0</v>
      </c>
      <c r="AB51" s="37"/>
      <c r="AC51" s="36">
        <f t="shared" si="19"/>
        <v>0</v>
      </c>
      <c r="AD51" s="37"/>
      <c r="AE51" s="37"/>
      <c r="AF51" s="37"/>
      <c r="AG51" s="37"/>
      <c r="AH51" s="37"/>
      <c r="AI51" s="38"/>
    </row>
    <row r="52" spans="1:35" ht="169.5" hidden="1" customHeight="1">
      <c r="A52" s="39" t="s">
        <v>51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48"/>
      <c r="M52" s="48"/>
      <c r="N52" s="37"/>
      <c r="O52" s="37"/>
      <c r="P52" s="37"/>
      <c r="Q52" s="37"/>
      <c r="R52" s="37"/>
      <c r="S52" s="37"/>
      <c r="T52" s="48"/>
      <c r="U52" s="36">
        <f t="shared" si="16"/>
        <v>0</v>
      </c>
      <c r="V52" s="37"/>
      <c r="W52" s="36"/>
      <c r="X52" s="37"/>
      <c r="Y52" s="37"/>
      <c r="Z52" s="37"/>
      <c r="AA52" s="36"/>
      <c r="AB52" s="37"/>
      <c r="AC52" s="36"/>
      <c r="AD52" s="37"/>
      <c r="AE52" s="36">
        <v>10750000</v>
      </c>
      <c r="AF52" s="36">
        <v>0</v>
      </c>
      <c r="AG52" s="36">
        <v>0</v>
      </c>
      <c r="AH52" s="37"/>
      <c r="AI52" s="41"/>
    </row>
    <row r="53" spans="1:35" ht="81.75" hidden="1" customHeight="1">
      <c r="A53" s="35" t="s">
        <v>52</v>
      </c>
      <c r="B53" s="36">
        <v>11233680</v>
      </c>
      <c r="C53" s="36"/>
      <c r="D53" s="36">
        <f>B53</f>
        <v>11233680</v>
      </c>
      <c r="E53" s="36">
        <f>D53</f>
        <v>11233680</v>
      </c>
      <c r="F53" s="36"/>
      <c r="G53" s="36"/>
      <c r="H53" s="36">
        <f t="shared" ref="H53:H58" si="20">B53-E53</f>
        <v>0</v>
      </c>
      <c r="I53" s="36">
        <v>11233680</v>
      </c>
      <c r="J53" s="36"/>
      <c r="K53" s="36"/>
      <c r="L53" s="48">
        <v>10750000</v>
      </c>
      <c r="M53" s="48"/>
      <c r="N53" s="37"/>
      <c r="O53" s="37"/>
      <c r="P53" s="37"/>
      <c r="Q53" s="37"/>
      <c r="R53" s="37"/>
      <c r="S53" s="37"/>
      <c r="T53" s="48">
        <v>9712952.5</v>
      </c>
      <c r="U53" s="36">
        <f t="shared" si="16"/>
        <v>12270727.5</v>
      </c>
      <c r="V53" s="37"/>
      <c r="W53" s="36">
        <f t="shared" si="17"/>
        <v>12270727.5</v>
      </c>
      <c r="X53" s="36">
        <v>12270727.5</v>
      </c>
      <c r="Y53" s="36">
        <v>12270727.5</v>
      </c>
      <c r="Z53" s="36">
        <v>12270727.5</v>
      </c>
      <c r="AA53" s="36">
        <f t="shared" si="18"/>
        <v>0</v>
      </c>
      <c r="AB53" s="36">
        <v>12270727.5</v>
      </c>
      <c r="AC53" s="36">
        <f t="shared" si="19"/>
        <v>0</v>
      </c>
      <c r="AD53" s="37"/>
      <c r="AE53" s="37"/>
      <c r="AF53" s="37"/>
      <c r="AG53" s="36">
        <v>10750000</v>
      </c>
      <c r="AH53" s="37"/>
      <c r="AI53" s="41"/>
    </row>
    <row r="54" spans="1:35" ht="67.900000000000006" hidden="1" customHeight="1">
      <c r="A54" s="40" t="s">
        <v>53</v>
      </c>
      <c r="B54" s="36">
        <v>1656417.5</v>
      </c>
      <c r="C54" s="36"/>
      <c r="D54" s="36">
        <f>B54</f>
        <v>1656417.5</v>
      </c>
      <c r="E54" s="36">
        <f>D54</f>
        <v>1656417.5</v>
      </c>
      <c r="F54" s="36"/>
      <c r="G54" s="36"/>
      <c r="H54" s="36">
        <f t="shared" si="20"/>
        <v>0</v>
      </c>
      <c r="I54" s="36">
        <v>1656417.5</v>
      </c>
      <c r="J54" s="36"/>
      <c r="K54" s="36"/>
      <c r="L54" s="48"/>
      <c r="M54" s="48"/>
      <c r="N54" s="37"/>
      <c r="O54" s="37"/>
      <c r="P54" s="37"/>
      <c r="Q54" s="37"/>
      <c r="R54" s="37"/>
      <c r="S54" s="37"/>
      <c r="T54" s="48">
        <v>1656417.5</v>
      </c>
      <c r="U54" s="36">
        <f t="shared" si="16"/>
        <v>0</v>
      </c>
      <c r="V54" s="52"/>
      <c r="W54" s="36">
        <f t="shared" si="17"/>
        <v>0</v>
      </c>
      <c r="X54" s="36"/>
      <c r="Y54" s="36"/>
      <c r="Z54" s="36"/>
      <c r="AA54" s="36">
        <f t="shared" si="18"/>
        <v>0</v>
      </c>
      <c r="AB54" s="37"/>
      <c r="AC54" s="36">
        <f t="shared" si="19"/>
        <v>0</v>
      </c>
      <c r="AD54" s="37"/>
      <c r="AE54" s="37"/>
      <c r="AF54" s="37"/>
      <c r="AG54" s="37"/>
      <c r="AH54" s="37"/>
      <c r="AI54" s="41"/>
    </row>
    <row r="55" spans="1:35" ht="66" hidden="1" customHeight="1">
      <c r="A55" s="40" t="s">
        <v>54</v>
      </c>
      <c r="B55" s="36">
        <v>4861300</v>
      </c>
      <c r="C55" s="36"/>
      <c r="D55" s="36"/>
      <c r="E55" s="36"/>
      <c r="F55" s="36"/>
      <c r="G55" s="36"/>
      <c r="H55" s="36">
        <f t="shared" si="20"/>
        <v>4861300</v>
      </c>
      <c r="I55" s="36"/>
      <c r="J55" s="36"/>
      <c r="K55" s="36"/>
      <c r="L55" s="48"/>
      <c r="M55" s="37"/>
      <c r="N55" s="37"/>
      <c r="O55" s="37"/>
      <c r="P55" s="37"/>
      <c r="Q55" s="37"/>
      <c r="R55" s="37"/>
      <c r="S55" s="37"/>
      <c r="T55" s="48">
        <v>4861300</v>
      </c>
      <c r="U55" s="36">
        <f t="shared" si="16"/>
        <v>0</v>
      </c>
      <c r="V55" s="37"/>
      <c r="W55" s="36">
        <f t="shared" si="17"/>
        <v>0</v>
      </c>
      <c r="X55" s="36"/>
      <c r="Y55" s="36"/>
      <c r="Z55" s="36"/>
      <c r="AA55" s="36">
        <f t="shared" si="18"/>
        <v>0</v>
      </c>
      <c r="AB55" s="37"/>
      <c r="AC55" s="36">
        <f t="shared" si="19"/>
        <v>0</v>
      </c>
      <c r="AD55" s="37"/>
      <c r="AE55" s="37"/>
      <c r="AF55" s="37"/>
      <c r="AG55" s="37"/>
      <c r="AH55" s="37"/>
      <c r="AI55" s="41"/>
    </row>
    <row r="56" spans="1:35" ht="81.75" hidden="1" customHeight="1">
      <c r="A56" s="40" t="s">
        <v>55</v>
      </c>
      <c r="B56" s="36">
        <v>39087.339999999997</v>
      </c>
      <c r="C56" s="36"/>
      <c r="D56" s="36">
        <f>B56</f>
        <v>39087.339999999997</v>
      </c>
      <c r="E56" s="36">
        <v>39087.339999999997</v>
      </c>
      <c r="F56" s="36"/>
      <c r="G56" s="36"/>
      <c r="H56" s="36">
        <f t="shared" si="20"/>
        <v>0</v>
      </c>
      <c r="I56" s="36">
        <v>39087.339999999997</v>
      </c>
      <c r="J56" s="36"/>
      <c r="K56" s="36"/>
      <c r="L56" s="48"/>
      <c r="M56" s="37"/>
      <c r="N56" s="37"/>
      <c r="O56" s="37"/>
      <c r="P56" s="37"/>
      <c r="Q56" s="37"/>
      <c r="R56" s="37"/>
      <c r="S56" s="37"/>
      <c r="T56" s="48">
        <v>39087.339999999997</v>
      </c>
      <c r="U56" s="36">
        <f t="shared" si="16"/>
        <v>0</v>
      </c>
      <c r="V56" s="37"/>
      <c r="W56" s="36">
        <f t="shared" si="17"/>
        <v>0</v>
      </c>
      <c r="X56" s="37"/>
      <c r="Y56" s="37"/>
      <c r="Z56" s="37"/>
      <c r="AA56" s="36">
        <f t="shared" si="18"/>
        <v>0</v>
      </c>
      <c r="AB56" s="37"/>
      <c r="AC56" s="36">
        <f t="shared" si="19"/>
        <v>0</v>
      </c>
      <c r="AD56" s="37"/>
      <c r="AE56" s="37"/>
      <c r="AF56" s="37"/>
      <c r="AG56" s="37"/>
      <c r="AH56" s="37"/>
      <c r="AI56" s="38"/>
    </row>
    <row r="57" spans="1:35" ht="81.75" hidden="1" customHeight="1">
      <c r="A57" s="40" t="s">
        <v>56</v>
      </c>
      <c r="B57" s="36">
        <v>1577900</v>
      </c>
      <c r="C57" s="36"/>
      <c r="D57" s="36"/>
      <c r="E57" s="36"/>
      <c r="F57" s="36"/>
      <c r="G57" s="36"/>
      <c r="H57" s="36">
        <f t="shared" si="20"/>
        <v>1577900</v>
      </c>
      <c r="I57" s="36"/>
      <c r="J57" s="36"/>
      <c r="K57" s="36"/>
      <c r="L57" s="48"/>
      <c r="M57" s="37"/>
      <c r="N57" s="37"/>
      <c r="O57" s="37"/>
      <c r="P57" s="37"/>
      <c r="Q57" s="37"/>
      <c r="R57" s="37"/>
      <c r="S57" s="37"/>
      <c r="T57" s="48">
        <v>1577900</v>
      </c>
      <c r="U57" s="36">
        <f t="shared" si="16"/>
        <v>0</v>
      </c>
      <c r="V57" s="37"/>
      <c r="W57" s="36">
        <f t="shared" si="17"/>
        <v>0</v>
      </c>
      <c r="X57" s="37"/>
      <c r="Y57" s="37"/>
      <c r="Z57" s="37"/>
      <c r="AA57" s="36">
        <f t="shared" si="18"/>
        <v>0</v>
      </c>
      <c r="AB57" s="37"/>
      <c r="AC57" s="36">
        <f t="shared" si="19"/>
        <v>0</v>
      </c>
      <c r="AD57" s="37"/>
      <c r="AE57" s="37"/>
      <c r="AF57" s="37"/>
      <c r="AG57" s="37"/>
      <c r="AH57" s="37"/>
      <c r="AI57" s="38"/>
    </row>
    <row r="58" spans="1:35" ht="76.5" hidden="1" customHeight="1">
      <c r="A58" s="40" t="s">
        <v>57</v>
      </c>
      <c r="B58" s="36">
        <v>609000</v>
      </c>
      <c r="C58" s="36"/>
      <c r="D58" s="36">
        <f>B58</f>
        <v>609000</v>
      </c>
      <c r="E58" s="36">
        <f>D58</f>
        <v>609000</v>
      </c>
      <c r="F58" s="36"/>
      <c r="G58" s="36"/>
      <c r="H58" s="36">
        <f t="shared" si="20"/>
        <v>0</v>
      </c>
      <c r="I58" s="36">
        <v>609000</v>
      </c>
      <c r="J58" s="36"/>
      <c r="K58" s="36"/>
      <c r="L58" s="48"/>
      <c r="M58" s="37"/>
      <c r="N58" s="37"/>
      <c r="O58" s="37"/>
      <c r="P58" s="37"/>
      <c r="Q58" s="37"/>
      <c r="R58" s="37"/>
      <c r="S58" s="37"/>
      <c r="T58" s="48">
        <v>609000</v>
      </c>
      <c r="U58" s="36">
        <f t="shared" si="16"/>
        <v>0</v>
      </c>
      <c r="V58" s="37"/>
      <c r="W58" s="36">
        <f t="shared" si="17"/>
        <v>0</v>
      </c>
      <c r="X58" s="37"/>
      <c r="Y58" s="37"/>
      <c r="Z58" s="37"/>
      <c r="AA58" s="36">
        <f t="shared" si="18"/>
        <v>0</v>
      </c>
      <c r="AB58" s="37"/>
      <c r="AC58" s="36">
        <f t="shared" si="19"/>
        <v>0</v>
      </c>
      <c r="AD58" s="37"/>
      <c r="AE58" s="37"/>
      <c r="AF58" s="37"/>
      <c r="AG58" s="37"/>
      <c r="AH58" s="37"/>
      <c r="AI58" s="38"/>
    </row>
    <row r="59" spans="1:35" ht="132.75" hidden="1" customHeight="1">
      <c r="A59" s="53" t="s">
        <v>58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48"/>
      <c r="M59" s="37"/>
      <c r="N59" s="37"/>
      <c r="O59" s="37"/>
      <c r="P59" s="37"/>
      <c r="Q59" s="37"/>
      <c r="R59" s="37"/>
      <c r="S59" s="37"/>
      <c r="T59" s="48"/>
      <c r="U59" s="36"/>
      <c r="V59" s="37"/>
      <c r="W59" s="36"/>
      <c r="X59" s="37"/>
      <c r="Y59" s="37"/>
      <c r="Z59" s="37"/>
      <c r="AA59" s="36"/>
      <c r="AB59" s="37"/>
      <c r="AC59" s="36"/>
      <c r="AD59" s="37"/>
      <c r="AE59" s="36">
        <v>4438000</v>
      </c>
      <c r="AF59" s="37"/>
      <c r="AG59" s="36">
        <v>4438000</v>
      </c>
      <c r="AH59" s="37"/>
      <c r="AI59" s="38"/>
    </row>
    <row r="60" spans="1:35" ht="79.5" hidden="1" customHeight="1">
      <c r="A60" s="53" t="s">
        <v>59</v>
      </c>
      <c r="B60" s="36">
        <v>0</v>
      </c>
      <c r="C60" s="36"/>
      <c r="D60" s="36">
        <v>0</v>
      </c>
      <c r="E60" s="36"/>
      <c r="F60" s="36"/>
      <c r="G60" s="36"/>
      <c r="H60" s="36">
        <v>0</v>
      </c>
      <c r="I60" s="36"/>
      <c r="J60" s="36"/>
      <c r="K60" s="36"/>
      <c r="L60" s="48">
        <v>12854800</v>
      </c>
      <c r="M60" s="37"/>
      <c r="N60" s="37"/>
      <c r="O60" s="37"/>
      <c r="P60" s="37"/>
      <c r="Q60" s="37"/>
      <c r="R60" s="37"/>
      <c r="S60" s="37"/>
      <c r="T60" s="48"/>
      <c r="U60" s="36">
        <f t="shared" si="16"/>
        <v>12854800</v>
      </c>
      <c r="V60" s="37"/>
      <c r="W60" s="36">
        <f t="shared" si="17"/>
        <v>12854800</v>
      </c>
      <c r="X60" s="36">
        <v>12854800</v>
      </c>
      <c r="Y60" s="36">
        <v>12854800</v>
      </c>
      <c r="Z60" s="36">
        <v>12854800</v>
      </c>
      <c r="AA60" s="36">
        <f t="shared" si="18"/>
        <v>0</v>
      </c>
      <c r="AB60" s="36">
        <v>12854800</v>
      </c>
      <c r="AC60" s="36">
        <f t="shared" si="19"/>
        <v>0</v>
      </c>
      <c r="AD60" s="37"/>
      <c r="AE60" s="37"/>
      <c r="AF60" s="37"/>
      <c r="AG60" s="36">
        <v>12008003.83</v>
      </c>
      <c r="AH60" s="37"/>
      <c r="AI60" s="41"/>
    </row>
    <row r="61" spans="1:35" ht="36.75" hidden="1" customHeight="1">
      <c r="A61" s="53" t="s">
        <v>60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48"/>
      <c r="M61" s="37"/>
      <c r="N61" s="37"/>
      <c r="O61" s="37"/>
      <c r="P61" s="37"/>
      <c r="Q61" s="37"/>
      <c r="R61" s="37"/>
      <c r="S61" s="37"/>
      <c r="T61" s="48"/>
      <c r="U61" s="36">
        <v>0</v>
      </c>
      <c r="V61" s="37">
        <v>0</v>
      </c>
      <c r="W61" s="36">
        <v>0</v>
      </c>
      <c r="X61" s="36">
        <v>0</v>
      </c>
      <c r="Y61" s="36">
        <v>0</v>
      </c>
      <c r="Z61" s="36"/>
      <c r="AA61" s="36">
        <f t="shared" si="18"/>
        <v>0</v>
      </c>
      <c r="AB61" s="37"/>
      <c r="AC61" s="36">
        <f t="shared" si="19"/>
        <v>0</v>
      </c>
      <c r="AD61" s="37"/>
      <c r="AE61" s="36">
        <v>1280400</v>
      </c>
      <c r="AF61" s="37"/>
      <c r="AG61" s="36">
        <v>1280400</v>
      </c>
      <c r="AH61" s="37"/>
      <c r="AI61" s="41"/>
    </row>
    <row r="62" spans="1:35" ht="69.75" hidden="1" customHeight="1">
      <c r="A62" s="53" t="s">
        <v>61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48">
        <v>5965200</v>
      </c>
      <c r="M62" s="37"/>
      <c r="N62" s="37"/>
      <c r="O62" s="37"/>
      <c r="P62" s="37"/>
      <c r="Q62" s="37"/>
      <c r="R62" s="37"/>
      <c r="S62" s="37"/>
      <c r="T62" s="48">
        <v>5965200</v>
      </c>
      <c r="U62" s="36">
        <f t="shared" si="16"/>
        <v>0</v>
      </c>
      <c r="V62" s="37"/>
      <c r="W62" s="36">
        <f t="shared" si="17"/>
        <v>0</v>
      </c>
      <c r="X62" s="36"/>
      <c r="Y62" s="36"/>
      <c r="Z62" s="36"/>
      <c r="AA62" s="36">
        <f t="shared" si="18"/>
        <v>0</v>
      </c>
      <c r="AB62" s="37"/>
      <c r="AC62" s="36">
        <f t="shared" si="19"/>
        <v>0</v>
      </c>
      <c r="AD62" s="37"/>
      <c r="AE62" s="37"/>
      <c r="AF62" s="37"/>
      <c r="AG62" s="36"/>
      <c r="AH62" s="37"/>
      <c r="AI62" s="41"/>
    </row>
    <row r="63" spans="1:35" ht="81.599999999999994" hidden="1" customHeight="1">
      <c r="A63" s="53" t="s">
        <v>62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48">
        <f>27997400</f>
        <v>27997400</v>
      </c>
      <c r="M63" s="37"/>
      <c r="N63" s="37"/>
      <c r="O63" s="37"/>
      <c r="P63" s="37"/>
      <c r="Q63" s="37"/>
      <c r="R63" s="37"/>
      <c r="S63" s="37"/>
      <c r="T63" s="48">
        <v>27983863.329999998</v>
      </c>
      <c r="U63" s="36">
        <f t="shared" si="16"/>
        <v>13536.670000001788</v>
      </c>
      <c r="V63" s="37"/>
      <c r="W63" s="36">
        <f t="shared" si="17"/>
        <v>13536.670000001788</v>
      </c>
      <c r="X63" s="36">
        <v>13536.67</v>
      </c>
      <c r="Y63" s="36">
        <v>13536.67</v>
      </c>
      <c r="Z63" s="36"/>
      <c r="AA63" s="36">
        <f t="shared" si="18"/>
        <v>1.7880665836855769E-9</v>
      </c>
      <c r="AB63" s="37"/>
      <c r="AC63" s="36">
        <f t="shared" si="19"/>
        <v>0</v>
      </c>
      <c r="AD63" s="37"/>
      <c r="AE63" s="36">
        <v>30026700</v>
      </c>
      <c r="AF63" s="37"/>
      <c r="AG63" s="36">
        <v>30026700</v>
      </c>
      <c r="AH63" s="37"/>
      <c r="AI63" s="41"/>
    </row>
    <row r="64" spans="1:35" ht="56.25" hidden="1" customHeight="1">
      <c r="A64" s="53" t="s">
        <v>63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48">
        <v>8174400</v>
      </c>
      <c r="M64" s="37"/>
      <c r="N64" s="37"/>
      <c r="O64" s="37"/>
      <c r="P64" s="37"/>
      <c r="Q64" s="37"/>
      <c r="R64" s="37"/>
      <c r="S64" s="37"/>
      <c r="T64" s="48">
        <v>6562012.9800000004</v>
      </c>
      <c r="U64" s="36">
        <f t="shared" si="16"/>
        <v>1612387.0199999996</v>
      </c>
      <c r="V64" s="37"/>
      <c r="W64" s="36">
        <f t="shared" si="17"/>
        <v>1612387.0199999996</v>
      </c>
      <c r="X64" s="36">
        <v>1612387.02</v>
      </c>
      <c r="Y64" s="36">
        <v>1612387.02</v>
      </c>
      <c r="Z64" s="36">
        <v>1612387.02</v>
      </c>
      <c r="AA64" s="36">
        <f t="shared" si="18"/>
        <v>0</v>
      </c>
      <c r="AB64" s="36"/>
      <c r="AC64" s="36">
        <f t="shared" si="19"/>
        <v>1612387.02</v>
      </c>
      <c r="AD64" s="36"/>
      <c r="AE64" s="36"/>
      <c r="AF64" s="36"/>
      <c r="AG64" s="36"/>
      <c r="AH64" s="37"/>
      <c r="AI64" s="41"/>
    </row>
    <row r="65" spans="1:35" ht="56.25" hidden="1" customHeight="1">
      <c r="A65" s="53" t="s">
        <v>64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48"/>
      <c r="M65" s="37"/>
      <c r="N65" s="37"/>
      <c r="O65" s="37"/>
      <c r="P65" s="37"/>
      <c r="Q65" s="37"/>
      <c r="R65" s="37"/>
      <c r="S65" s="37"/>
      <c r="T65" s="48"/>
      <c r="U65" s="36"/>
      <c r="V65" s="37"/>
      <c r="W65" s="36"/>
      <c r="X65" s="36"/>
      <c r="Y65" s="36"/>
      <c r="Z65" s="36"/>
      <c r="AA65" s="36"/>
      <c r="AB65" s="36"/>
      <c r="AC65" s="36">
        <f t="shared" si="19"/>
        <v>0</v>
      </c>
      <c r="AD65" s="36"/>
      <c r="AE65" s="36"/>
      <c r="AF65" s="36"/>
      <c r="AG65" s="36"/>
      <c r="AH65" s="37"/>
      <c r="AI65" s="41"/>
    </row>
    <row r="66" spans="1:35" ht="38.25" hidden="1" customHeight="1">
      <c r="A66" s="53" t="s">
        <v>65</v>
      </c>
      <c r="B66" s="36">
        <v>0</v>
      </c>
      <c r="C66" s="36">
        <v>0</v>
      </c>
      <c r="D66" s="36">
        <v>0</v>
      </c>
      <c r="E66" s="36">
        <v>0</v>
      </c>
      <c r="F66" s="36"/>
      <c r="G66" s="36"/>
      <c r="H66" s="36">
        <v>0</v>
      </c>
      <c r="I66" s="36">
        <v>0</v>
      </c>
      <c r="J66" s="36"/>
      <c r="K66" s="36"/>
      <c r="L66" s="48">
        <f>40061800+40061800</f>
        <v>80123600</v>
      </c>
      <c r="M66" s="37"/>
      <c r="N66" s="37"/>
      <c r="O66" s="37"/>
      <c r="P66" s="37"/>
      <c r="Q66" s="37"/>
      <c r="R66" s="37"/>
      <c r="S66" s="37"/>
      <c r="T66" s="48">
        <v>80123600</v>
      </c>
      <c r="U66" s="36">
        <f t="shared" si="16"/>
        <v>0</v>
      </c>
      <c r="V66" s="37"/>
      <c r="W66" s="36">
        <f t="shared" si="17"/>
        <v>0</v>
      </c>
      <c r="X66" s="36"/>
      <c r="Y66" s="36"/>
      <c r="Z66" s="36"/>
      <c r="AA66" s="36">
        <f t="shared" si="18"/>
        <v>0</v>
      </c>
      <c r="AB66" s="37"/>
      <c r="AC66" s="36">
        <f t="shared" si="19"/>
        <v>0</v>
      </c>
      <c r="AD66" s="37"/>
      <c r="AE66" s="36">
        <f>19429000+19428500</f>
        <v>38857500</v>
      </c>
      <c r="AF66" s="37"/>
      <c r="AG66" s="36">
        <v>38857500</v>
      </c>
      <c r="AH66" s="37"/>
      <c r="AI66" s="41"/>
    </row>
    <row r="67" spans="1:35" ht="36" hidden="1" customHeight="1">
      <c r="A67" s="40" t="s">
        <v>66</v>
      </c>
      <c r="B67" s="36">
        <v>0</v>
      </c>
      <c r="C67" s="36"/>
      <c r="D67" s="36">
        <v>0</v>
      </c>
      <c r="E67" s="36"/>
      <c r="F67" s="36"/>
      <c r="G67" s="36"/>
      <c r="H67" s="36">
        <v>0</v>
      </c>
      <c r="I67" s="36"/>
      <c r="J67" s="36"/>
      <c r="K67" s="36"/>
      <c r="L67" s="48">
        <f>167603100</f>
        <v>167603100</v>
      </c>
      <c r="M67" s="37"/>
      <c r="N67" s="37"/>
      <c r="O67" s="37"/>
      <c r="P67" s="37"/>
      <c r="Q67" s="37"/>
      <c r="R67" s="37"/>
      <c r="S67" s="37"/>
      <c r="T67" s="48">
        <v>167603100</v>
      </c>
      <c r="U67" s="36">
        <f t="shared" si="16"/>
        <v>0</v>
      </c>
      <c r="V67" s="37"/>
      <c r="W67" s="36">
        <f t="shared" si="17"/>
        <v>0</v>
      </c>
      <c r="X67" s="37"/>
      <c r="Y67" s="37"/>
      <c r="Z67" s="37"/>
      <c r="AA67" s="36">
        <f t="shared" si="18"/>
        <v>0</v>
      </c>
      <c r="AB67" s="37"/>
      <c r="AC67" s="36">
        <f t="shared" si="19"/>
        <v>0</v>
      </c>
      <c r="AD67" s="37"/>
      <c r="AE67" s="37"/>
      <c r="AF67" s="37"/>
      <c r="AG67" s="36"/>
      <c r="AH67" s="37"/>
      <c r="AI67" s="38"/>
    </row>
    <row r="68" spans="1:35" ht="142.5" hidden="1" customHeight="1">
      <c r="A68" s="53" t="s">
        <v>67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48"/>
      <c r="M68" s="37"/>
      <c r="N68" s="37"/>
      <c r="O68" s="37"/>
      <c r="P68" s="37"/>
      <c r="Q68" s="37"/>
      <c r="R68" s="37"/>
      <c r="S68" s="37"/>
      <c r="T68" s="48"/>
      <c r="U68" s="36">
        <f>H68+I68+L68+M68-T68</f>
        <v>0</v>
      </c>
      <c r="V68" s="37"/>
      <c r="W68" s="36">
        <f>U68</f>
        <v>0</v>
      </c>
      <c r="X68" s="37"/>
      <c r="Y68" s="37"/>
      <c r="Z68" s="37"/>
      <c r="AA68" s="36">
        <f>W68-X68</f>
        <v>0</v>
      </c>
      <c r="AB68" s="36">
        <v>1612387.02</v>
      </c>
      <c r="AC68" s="36">
        <f t="shared" si="19"/>
        <v>-1612387.02</v>
      </c>
      <c r="AD68" s="37"/>
      <c r="AE68" s="36">
        <v>8536400</v>
      </c>
      <c r="AF68" s="36"/>
      <c r="AG68" s="36">
        <v>10148787.02</v>
      </c>
      <c r="AH68" s="37"/>
      <c r="AI68" s="38"/>
    </row>
    <row r="69" spans="1:35" ht="44.25" hidden="1" customHeight="1">
      <c r="A69" s="49" t="s">
        <v>69</v>
      </c>
      <c r="B69" s="44"/>
      <c r="C69" s="44"/>
      <c r="D69" s="44"/>
      <c r="E69" s="54"/>
      <c r="F69" s="44"/>
      <c r="G69" s="44"/>
      <c r="H69" s="44"/>
      <c r="I69" s="44"/>
      <c r="J69" s="44"/>
      <c r="K69" s="44"/>
      <c r="L69" s="54">
        <v>900000</v>
      </c>
      <c r="M69" s="54"/>
      <c r="N69" s="44"/>
      <c r="O69" s="44"/>
      <c r="P69" s="44"/>
      <c r="Q69" s="44"/>
      <c r="R69" s="44"/>
      <c r="S69" s="44"/>
      <c r="T69" s="54">
        <v>900000</v>
      </c>
      <c r="U69" s="36">
        <f>H69+I69+L69+M69-T69-E69</f>
        <v>0</v>
      </c>
      <c r="V69" s="36">
        <v>100000</v>
      </c>
      <c r="W69" s="36">
        <f>U69+V69</f>
        <v>100000</v>
      </c>
      <c r="X69" s="36">
        <v>100000</v>
      </c>
      <c r="Y69" s="36">
        <v>100000</v>
      </c>
      <c r="Z69" s="36">
        <v>100000</v>
      </c>
      <c r="AA69" s="36">
        <f t="shared" ref="AA69:AA72" si="21">W69-X69</f>
        <v>0</v>
      </c>
      <c r="AB69" s="36">
        <v>100000</v>
      </c>
      <c r="AC69" s="36">
        <f t="shared" si="19"/>
        <v>0</v>
      </c>
      <c r="AD69" s="36">
        <v>100000</v>
      </c>
      <c r="AE69" s="36">
        <v>900000</v>
      </c>
      <c r="AF69" s="36"/>
      <c r="AG69" s="36">
        <v>900000</v>
      </c>
      <c r="AH69" s="37"/>
      <c r="AI69" s="41"/>
    </row>
    <row r="70" spans="1:35" ht="87.75" hidden="1" customHeight="1">
      <c r="A70" s="55" t="s">
        <v>70</v>
      </c>
      <c r="B70" s="44"/>
      <c r="C70" s="44"/>
      <c r="D70" s="44"/>
      <c r="E70" s="54"/>
      <c r="F70" s="44"/>
      <c r="G70" s="44"/>
      <c r="H70" s="44"/>
      <c r="I70" s="44"/>
      <c r="J70" s="44"/>
      <c r="K70" s="44"/>
      <c r="L70" s="54"/>
      <c r="M70" s="54"/>
      <c r="N70" s="44"/>
      <c r="O70" s="44"/>
      <c r="P70" s="44"/>
      <c r="Q70" s="44"/>
      <c r="R70" s="44"/>
      <c r="S70" s="44"/>
      <c r="T70" s="54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>
        <v>14800000</v>
      </c>
      <c r="AF70" s="36"/>
      <c r="AG70" s="36">
        <v>14800000</v>
      </c>
      <c r="AH70" s="37"/>
      <c r="AI70" s="41"/>
    </row>
    <row r="71" spans="1:35" ht="48.75" hidden="1" customHeight="1">
      <c r="A71" s="49" t="s">
        <v>71</v>
      </c>
      <c r="B71" s="44"/>
      <c r="C71" s="44"/>
      <c r="D71" s="44"/>
      <c r="E71" s="54"/>
      <c r="F71" s="44"/>
      <c r="G71" s="44"/>
      <c r="H71" s="44"/>
      <c r="I71" s="44"/>
      <c r="J71" s="44"/>
      <c r="K71" s="44"/>
      <c r="L71" s="54">
        <v>400000</v>
      </c>
      <c r="M71" s="54"/>
      <c r="N71" s="44"/>
      <c r="O71" s="44"/>
      <c r="P71" s="44"/>
      <c r="Q71" s="44"/>
      <c r="R71" s="44"/>
      <c r="S71" s="44"/>
      <c r="T71" s="54">
        <v>400000</v>
      </c>
      <c r="U71" s="36">
        <f>H71+I71+L71+M71-T71-E71</f>
        <v>0</v>
      </c>
      <c r="V71" s="36"/>
      <c r="W71" s="36">
        <f>U71+V71</f>
        <v>0</v>
      </c>
      <c r="X71" s="36"/>
      <c r="Y71" s="36"/>
      <c r="Z71" s="36"/>
      <c r="AA71" s="36">
        <f t="shared" si="21"/>
        <v>0</v>
      </c>
      <c r="AB71" s="37"/>
      <c r="AC71" s="36">
        <f t="shared" si="19"/>
        <v>0</v>
      </c>
      <c r="AD71" s="37"/>
      <c r="AE71" s="36">
        <v>450000</v>
      </c>
      <c r="AF71" s="37"/>
      <c r="AG71" s="36">
        <v>450000</v>
      </c>
      <c r="AH71" s="37"/>
      <c r="AI71" s="41"/>
    </row>
    <row r="72" spans="1:35" s="4" customFormat="1" ht="62.45" hidden="1" customHeight="1" thickBot="1">
      <c r="A72" s="40" t="s">
        <v>72</v>
      </c>
      <c r="B72" s="44">
        <v>0</v>
      </c>
      <c r="C72" s="54">
        <v>10000</v>
      </c>
      <c r="D72" s="54">
        <v>10000</v>
      </c>
      <c r="E72" s="54">
        <v>10000</v>
      </c>
      <c r="F72" s="44"/>
      <c r="G72" s="44"/>
      <c r="H72" s="44">
        <v>0</v>
      </c>
      <c r="I72" s="44"/>
      <c r="J72" s="44"/>
      <c r="K72" s="44"/>
      <c r="L72" s="54">
        <v>380000</v>
      </c>
      <c r="M72" s="37"/>
      <c r="N72" s="37"/>
      <c r="O72" s="37"/>
      <c r="P72" s="37"/>
      <c r="Q72" s="37"/>
      <c r="R72" s="37"/>
      <c r="S72" s="37"/>
      <c r="T72" s="54">
        <v>380000</v>
      </c>
      <c r="U72" s="36">
        <f>H72+I72+L72+M72-T72</f>
        <v>0</v>
      </c>
      <c r="V72" s="36">
        <v>40</v>
      </c>
      <c r="W72" s="36">
        <v>40</v>
      </c>
      <c r="X72" s="36">
        <v>40</v>
      </c>
      <c r="Y72" s="36"/>
      <c r="Z72" s="36"/>
      <c r="AA72" s="36">
        <f t="shared" si="21"/>
        <v>0</v>
      </c>
      <c r="AB72" s="37"/>
      <c r="AC72" s="36">
        <f t="shared" si="19"/>
        <v>0</v>
      </c>
      <c r="AD72" s="36"/>
      <c r="AE72" s="36">
        <v>439540</v>
      </c>
      <c r="AF72" s="37"/>
      <c r="AG72" s="36">
        <v>439540</v>
      </c>
      <c r="AH72" s="37"/>
      <c r="AI72" s="41"/>
    </row>
    <row r="73" spans="1:35" ht="75" hidden="1" customHeight="1">
      <c r="A73" s="35" t="s">
        <v>73</v>
      </c>
      <c r="B73" s="36">
        <v>7290000</v>
      </c>
      <c r="C73" s="36"/>
      <c r="D73" s="36"/>
      <c r="E73" s="36"/>
      <c r="F73" s="36"/>
      <c r="G73" s="36"/>
      <c r="H73" s="36">
        <f>B73-E73</f>
        <v>7290000</v>
      </c>
      <c r="I73" s="36"/>
      <c r="J73" s="36"/>
      <c r="K73" s="36"/>
      <c r="L73" s="48"/>
      <c r="M73" s="48"/>
      <c r="N73" s="37"/>
      <c r="O73" s="37"/>
      <c r="P73" s="37"/>
      <c r="Q73" s="37"/>
      <c r="R73" s="37"/>
      <c r="S73" s="37"/>
      <c r="T73" s="48">
        <v>7290000</v>
      </c>
      <c r="U73" s="36">
        <f t="shared" ref="U73:U90" si="22">H73+I73+L73+M73-T73</f>
        <v>0</v>
      </c>
      <c r="V73" s="37"/>
      <c r="W73" s="36">
        <f t="shared" ref="W73:W87" si="23">U73</f>
        <v>0</v>
      </c>
      <c r="X73" s="36"/>
      <c r="Y73" s="36"/>
      <c r="Z73" s="37"/>
      <c r="AA73" s="36">
        <f t="shared" ref="AA73:AA90" si="24">W73-X73</f>
        <v>0</v>
      </c>
      <c r="AB73" s="37"/>
      <c r="AC73" s="36">
        <f t="shared" si="19"/>
        <v>0</v>
      </c>
      <c r="AD73" s="37"/>
      <c r="AE73" s="37"/>
      <c r="AF73" s="37"/>
      <c r="AG73" s="36"/>
      <c r="AH73" s="37"/>
      <c r="AI73" s="41"/>
    </row>
    <row r="74" spans="1:35" ht="68.25" hidden="1" customHeight="1">
      <c r="A74" s="40" t="s">
        <v>74</v>
      </c>
      <c r="B74" s="36"/>
      <c r="C74" s="36">
        <v>381718.95</v>
      </c>
      <c r="D74" s="36"/>
      <c r="E74" s="36"/>
      <c r="F74" s="36"/>
      <c r="G74" s="36"/>
      <c r="H74" s="36">
        <f t="shared" ref="H74:H79" si="25">B74-E74</f>
        <v>0</v>
      </c>
      <c r="I74" s="36"/>
      <c r="J74" s="36"/>
      <c r="K74" s="36"/>
      <c r="L74" s="48"/>
      <c r="M74" s="48"/>
      <c r="N74" s="37"/>
      <c r="O74" s="37"/>
      <c r="P74" s="37"/>
      <c r="Q74" s="37"/>
      <c r="R74" s="37"/>
      <c r="S74" s="37"/>
      <c r="T74" s="48"/>
      <c r="U74" s="36">
        <f t="shared" si="22"/>
        <v>0</v>
      </c>
      <c r="V74" s="36">
        <v>484.5</v>
      </c>
      <c r="W74" s="36">
        <v>484.5</v>
      </c>
      <c r="X74" s="36">
        <v>484.5</v>
      </c>
      <c r="Y74" s="36"/>
      <c r="Z74" s="37"/>
      <c r="AA74" s="36">
        <f t="shared" si="24"/>
        <v>0</v>
      </c>
      <c r="AB74" s="37"/>
      <c r="AC74" s="36">
        <f t="shared" si="19"/>
        <v>0</v>
      </c>
      <c r="AD74" s="37"/>
      <c r="AE74" s="37"/>
      <c r="AF74" s="37"/>
      <c r="AG74" s="36"/>
      <c r="AH74" s="37"/>
      <c r="AI74" s="41"/>
    </row>
    <row r="75" spans="1:35" ht="71.25" hidden="1" customHeight="1">
      <c r="A75" s="56" t="s">
        <v>75</v>
      </c>
      <c r="B75" s="36">
        <v>176406.04</v>
      </c>
      <c r="C75" s="36"/>
      <c r="D75" s="36">
        <v>176406.04</v>
      </c>
      <c r="E75" s="36">
        <f>176406.04+3800</f>
        <v>180206.04</v>
      </c>
      <c r="F75" s="36">
        <v>176406.04</v>
      </c>
      <c r="G75" s="36"/>
      <c r="H75" s="36">
        <f t="shared" si="25"/>
        <v>-3800</v>
      </c>
      <c r="I75" s="36"/>
      <c r="J75" s="36">
        <f>F75-I75</f>
        <v>176406.04</v>
      </c>
      <c r="K75" s="36"/>
      <c r="L75" s="48">
        <f>2034200+2034200+2034200+2034200</f>
        <v>8136800</v>
      </c>
      <c r="M75" s="48">
        <v>3800</v>
      </c>
      <c r="N75" s="37"/>
      <c r="O75" s="37"/>
      <c r="P75" s="37"/>
      <c r="Q75" s="37"/>
      <c r="R75" s="37"/>
      <c r="S75" s="37"/>
      <c r="T75" s="48">
        <v>8136800</v>
      </c>
      <c r="U75" s="36">
        <f t="shared" si="22"/>
        <v>0</v>
      </c>
      <c r="V75" s="36"/>
      <c r="W75" s="36">
        <f t="shared" si="23"/>
        <v>0</v>
      </c>
      <c r="X75" s="36"/>
      <c r="Y75" s="36"/>
      <c r="Z75" s="37"/>
      <c r="AA75" s="36">
        <f t="shared" si="24"/>
        <v>0</v>
      </c>
      <c r="AB75" s="37"/>
      <c r="AC75" s="36">
        <f t="shared" si="19"/>
        <v>0</v>
      </c>
      <c r="AD75" s="37"/>
      <c r="AE75" s="37"/>
      <c r="AF75" s="37"/>
      <c r="AG75" s="36"/>
      <c r="AH75" s="37"/>
      <c r="AI75" s="41"/>
    </row>
    <row r="76" spans="1:35" ht="67.5" hidden="1" customHeight="1">
      <c r="A76" s="35" t="s">
        <v>76</v>
      </c>
      <c r="B76" s="36">
        <v>27200</v>
      </c>
      <c r="C76" s="36"/>
      <c r="D76" s="36">
        <v>27200</v>
      </c>
      <c r="E76" s="36">
        <v>27200</v>
      </c>
      <c r="F76" s="36"/>
      <c r="G76" s="36"/>
      <c r="H76" s="36">
        <f t="shared" si="25"/>
        <v>0</v>
      </c>
      <c r="I76" s="36"/>
      <c r="J76" s="36"/>
      <c r="K76" s="36"/>
      <c r="L76" s="48"/>
      <c r="M76" s="48"/>
      <c r="N76" s="37"/>
      <c r="O76" s="37"/>
      <c r="P76" s="37"/>
      <c r="Q76" s="37"/>
      <c r="R76" s="37"/>
      <c r="S76" s="37"/>
      <c r="T76" s="48"/>
      <c r="U76" s="36">
        <f t="shared" si="22"/>
        <v>0</v>
      </c>
      <c r="V76" s="36"/>
      <c r="W76" s="36">
        <f t="shared" si="23"/>
        <v>0</v>
      </c>
      <c r="X76" s="36"/>
      <c r="Y76" s="36"/>
      <c r="Z76" s="36"/>
      <c r="AA76" s="36">
        <f t="shared" si="24"/>
        <v>0</v>
      </c>
      <c r="AB76" s="37"/>
      <c r="AC76" s="36">
        <f t="shared" si="19"/>
        <v>0</v>
      </c>
      <c r="AD76" s="37"/>
      <c r="AE76" s="36">
        <f>470400+323200</f>
        <v>793600</v>
      </c>
      <c r="AF76" s="37"/>
      <c r="AG76" s="36">
        <v>793600</v>
      </c>
      <c r="AH76" s="37"/>
      <c r="AI76" s="41"/>
    </row>
    <row r="77" spans="1:35" ht="46.9" hidden="1" customHeight="1">
      <c r="A77" s="40" t="s">
        <v>199</v>
      </c>
      <c r="B77" s="36"/>
      <c r="C77" s="36">
        <v>171846.95</v>
      </c>
      <c r="D77" s="36">
        <v>172995.95</v>
      </c>
      <c r="E77" s="36">
        <f>171846.95+1149</f>
        <v>172995.95</v>
      </c>
      <c r="F77" s="36"/>
      <c r="G77" s="36"/>
      <c r="H77" s="36">
        <f>B77+C77-E77</f>
        <v>-1149</v>
      </c>
      <c r="I77" s="36"/>
      <c r="J77" s="36"/>
      <c r="K77" s="36"/>
      <c r="L77" s="48">
        <f>211978500+211978500</f>
        <v>423957000</v>
      </c>
      <c r="M77" s="48">
        <v>1149</v>
      </c>
      <c r="N77" s="37"/>
      <c r="O77" s="37"/>
      <c r="P77" s="37"/>
      <c r="Q77" s="37"/>
      <c r="R77" s="37"/>
      <c r="S77" s="37"/>
      <c r="T77" s="48">
        <v>423951804.52999997</v>
      </c>
      <c r="U77" s="36">
        <f>H77+I77+L77+M77-T77-K77</f>
        <v>5195.4700000286102</v>
      </c>
      <c r="V77" s="36">
        <f>170431.87+5866.4</f>
        <v>176298.27</v>
      </c>
      <c r="W77" s="36">
        <f>U77+V77</f>
        <v>181493.7400000286</v>
      </c>
      <c r="X77" s="36">
        <v>181493.74</v>
      </c>
      <c r="Y77" s="36">
        <v>120572.09</v>
      </c>
      <c r="Z77" s="36">
        <v>120572.09</v>
      </c>
      <c r="AA77" s="36">
        <f t="shared" si="24"/>
        <v>2.8609065338969231E-8</v>
      </c>
      <c r="AB77" s="36">
        <v>120572.09</v>
      </c>
      <c r="AC77" s="36">
        <f t="shared" si="19"/>
        <v>0</v>
      </c>
      <c r="AD77" s="36">
        <v>31094.06</v>
      </c>
      <c r="AE77" s="37"/>
      <c r="AF77" s="36">
        <f>2.5+87222.42+13488.12</f>
        <v>100713.04</v>
      </c>
      <c r="AG77" s="37"/>
      <c r="AH77" s="37"/>
      <c r="AI77" s="41"/>
    </row>
    <row r="78" spans="1:35" ht="35.25" hidden="1" customHeight="1">
      <c r="A78" s="35" t="s">
        <v>77</v>
      </c>
      <c r="B78" s="36">
        <v>3338446</v>
      </c>
      <c r="C78" s="36"/>
      <c r="D78" s="36">
        <v>3338446</v>
      </c>
      <c r="E78" s="36">
        <v>3338446</v>
      </c>
      <c r="F78" s="36"/>
      <c r="G78" s="36"/>
      <c r="H78" s="36">
        <f t="shared" si="25"/>
        <v>0</v>
      </c>
      <c r="I78" s="36">
        <v>2304300</v>
      </c>
      <c r="J78" s="36"/>
      <c r="K78" s="36"/>
      <c r="L78" s="48"/>
      <c r="M78" s="48"/>
      <c r="N78" s="37"/>
      <c r="O78" s="37"/>
      <c r="P78" s="37"/>
      <c r="Q78" s="37"/>
      <c r="R78" s="37"/>
      <c r="S78" s="37"/>
      <c r="T78" s="48">
        <v>2304300</v>
      </c>
      <c r="U78" s="36">
        <f t="shared" si="22"/>
        <v>0</v>
      </c>
      <c r="V78" s="36"/>
      <c r="W78" s="36">
        <f t="shared" si="23"/>
        <v>0</v>
      </c>
      <c r="X78" s="36"/>
      <c r="Y78" s="37"/>
      <c r="Z78" s="36"/>
      <c r="AA78" s="36">
        <f t="shared" si="24"/>
        <v>0</v>
      </c>
      <c r="AB78" s="37"/>
      <c r="AC78" s="36">
        <f t="shared" si="19"/>
        <v>0</v>
      </c>
      <c r="AD78" s="37"/>
      <c r="AE78" s="37"/>
      <c r="AF78" s="37"/>
      <c r="AG78" s="37"/>
      <c r="AH78" s="37"/>
      <c r="AI78" s="41"/>
    </row>
    <row r="79" spans="1:35" ht="49.5" hidden="1" customHeight="1">
      <c r="A79" s="57" t="s">
        <v>78</v>
      </c>
      <c r="B79" s="36">
        <v>1704200.53</v>
      </c>
      <c r="C79" s="36"/>
      <c r="D79" s="36">
        <v>1704200.53</v>
      </c>
      <c r="E79" s="36">
        <v>1704200.53</v>
      </c>
      <c r="F79" s="36"/>
      <c r="G79" s="36"/>
      <c r="H79" s="36">
        <f t="shared" si="25"/>
        <v>0</v>
      </c>
      <c r="I79" s="36"/>
      <c r="J79" s="36"/>
      <c r="K79" s="36"/>
      <c r="L79" s="48">
        <f>12909700+1047100+7460800</f>
        <v>21417600</v>
      </c>
      <c r="M79" s="48"/>
      <c r="N79" s="37"/>
      <c r="O79" s="37"/>
      <c r="P79" s="37"/>
      <c r="Q79" s="37"/>
      <c r="R79" s="37"/>
      <c r="S79" s="37"/>
      <c r="T79" s="48">
        <v>7925963.2000000002</v>
      </c>
      <c r="U79" s="36">
        <f t="shared" si="22"/>
        <v>13491636.800000001</v>
      </c>
      <c r="V79" s="36"/>
      <c r="W79" s="36">
        <f t="shared" si="23"/>
        <v>13491636.800000001</v>
      </c>
      <c r="X79" s="36">
        <v>13491636.800000001</v>
      </c>
      <c r="Y79" s="37"/>
      <c r="Z79" s="36"/>
      <c r="AA79" s="36">
        <f t="shared" si="24"/>
        <v>0</v>
      </c>
      <c r="AB79" s="37"/>
      <c r="AC79" s="36">
        <f t="shared" si="19"/>
        <v>0</v>
      </c>
      <c r="AD79" s="37"/>
      <c r="AE79" s="36">
        <v>12848331.630000001</v>
      </c>
      <c r="AF79" s="36">
        <v>15705.13</v>
      </c>
      <c r="AG79" s="36">
        <v>12864036.76</v>
      </c>
      <c r="AH79" s="37"/>
      <c r="AI79" s="41"/>
    </row>
    <row r="80" spans="1:35" ht="94.5" hidden="1" customHeight="1">
      <c r="A80" s="57" t="s">
        <v>79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48">
        <f>86400+33600</f>
        <v>120000</v>
      </c>
      <c r="M80" s="48"/>
      <c r="N80" s="37"/>
      <c r="O80" s="37"/>
      <c r="P80" s="37"/>
      <c r="Q80" s="37"/>
      <c r="R80" s="37"/>
      <c r="S80" s="37"/>
      <c r="T80" s="48">
        <v>120000</v>
      </c>
      <c r="U80" s="36">
        <f t="shared" si="22"/>
        <v>0</v>
      </c>
      <c r="V80" s="37"/>
      <c r="W80" s="36">
        <f t="shared" si="23"/>
        <v>0</v>
      </c>
      <c r="X80" s="36"/>
      <c r="Y80" s="36"/>
      <c r="Z80" s="36"/>
      <c r="AA80" s="36">
        <f t="shared" si="24"/>
        <v>0</v>
      </c>
      <c r="AB80" s="37"/>
      <c r="AC80" s="36">
        <f t="shared" si="19"/>
        <v>0</v>
      </c>
      <c r="AD80" s="37"/>
      <c r="AE80" s="37"/>
      <c r="AF80" s="36"/>
      <c r="AG80" s="37"/>
      <c r="AH80" s="37"/>
      <c r="AI80" s="41"/>
    </row>
    <row r="81" spans="1:37" ht="93" hidden="1" customHeight="1">
      <c r="A81" s="57" t="s">
        <v>80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48">
        <f>96000+201600</f>
        <v>297600</v>
      </c>
      <c r="M81" s="48"/>
      <c r="N81" s="37"/>
      <c r="O81" s="37"/>
      <c r="P81" s="37"/>
      <c r="Q81" s="37"/>
      <c r="R81" s="37"/>
      <c r="S81" s="37"/>
      <c r="T81" s="48">
        <v>297600</v>
      </c>
      <c r="U81" s="36">
        <f t="shared" si="22"/>
        <v>0</v>
      </c>
      <c r="V81" s="37"/>
      <c r="W81" s="36">
        <f t="shared" si="23"/>
        <v>0</v>
      </c>
      <c r="X81" s="36"/>
      <c r="Y81" s="36"/>
      <c r="Z81" s="36"/>
      <c r="AA81" s="36">
        <f t="shared" si="24"/>
        <v>0</v>
      </c>
      <c r="AB81" s="37"/>
      <c r="AC81" s="36">
        <f t="shared" si="19"/>
        <v>0</v>
      </c>
      <c r="AD81" s="37"/>
      <c r="AE81" s="37"/>
      <c r="AF81" s="36"/>
      <c r="AG81" s="37"/>
      <c r="AH81" s="37"/>
      <c r="AI81" s="41"/>
    </row>
    <row r="82" spans="1:37" ht="72" hidden="1" customHeight="1">
      <c r="A82" s="57" t="s">
        <v>81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48">
        <v>18543700</v>
      </c>
      <c r="M82" s="48"/>
      <c r="N82" s="37"/>
      <c r="O82" s="37"/>
      <c r="P82" s="37"/>
      <c r="Q82" s="37"/>
      <c r="R82" s="37"/>
      <c r="S82" s="37"/>
      <c r="T82" s="48"/>
      <c r="U82" s="36">
        <f t="shared" si="22"/>
        <v>18543700</v>
      </c>
      <c r="V82" s="37"/>
      <c r="W82" s="36">
        <f t="shared" si="23"/>
        <v>18543700</v>
      </c>
      <c r="X82" s="36">
        <v>18543700</v>
      </c>
      <c r="Y82" s="36">
        <v>18543700</v>
      </c>
      <c r="Z82" s="36">
        <v>18543700</v>
      </c>
      <c r="AA82" s="36">
        <f t="shared" si="24"/>
        <v>0</v>
      </c>
      <c r="AB82" s="36">
        <v>18543700</v>
      </c>
      <c r="AC82" s="36">
        <f t="shared" si="19"/>
        <v>0</v>
      </c>
      <c r="AD82" s="36"/>
      <c r="AE82" s="36"/>
      <c r="AF82" s="36"/>
      <c r="AG82" s="36">
        <v>12409610</v>
      </c>
      <c r="AH82" s="37"/>
      <c r="AI82" s="41"/>
    </row>
    <row r="83" spans="1:37" ht="129" hidden="1" customHeight="1">
      <c r="A83" s="57" t="s">
        <v>82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48"/>
      <c r="M83" s="48"/>
      <c r="N83" s="37"/>
      <c r="O83" s="37"/>
      <c r="P83" s="37"/>
      <c r="Q83" s="37"/>
      <c r="R83" s="37"/>
      <c r="S83" s="37"/>
      <c r="T83" s="48"/>
      <c r="U83" s="36"/>
      <c r="V83" s="37"/>
      <c r="W83" s="36"/>
      <c r="X83" s="36"/>
      <c r="Y83" s="36"/>
      <c r="Z83" s="36"/>
      <c r="AA83" s="36"/>
      <c r="AB83" s="36"/>
      <c r="AC83" s="36"/>
      <c r="AD83" s="36"/>
      <c r="AE83" s="36"/>
      <c r="AF83" s="36">
        <v>2703857.32</v>
      </c>
      <c r="AG83" s="36"/>
      <c r="AH83" s="37"/>
      <c r="AI83" s="41"/>
    </row>
    <row r="84" spans="1:37" ht="39.75" hidden="1" customHeight="1">
      <c r="A84" s="57" t="s">
        <v>83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48">
        <v>1800000</v>
      </c>
      <c r="M84" s="48"/>
      <c r="N84" s="37"/>
      <c r="O84" s="37"/>
      <c r="P84" s="37"/>
      <c r="Q84" s="37"/>
      <c r="R84" s="37"/>
      <c r="S84" s="37"/>
      <c r="T84" s="48">
        <v>1800000</v>
      </c>
      <c r="U84" s="36">
        <f t="shared" si="22"/>
        <v>0</v>
      </c>
      <c r="V84" s="36"/>
      <c r="W84" s="36">
        <f t="shared" si="23"/>
        <v>0</v>
      </c>
      <c r="X84" s="36"/>
      <c r="Y84" s="36"/>
      <c r="Z84" s="36"/>
      <c r="AA84" s="36">
        <f t="shared" si="24"/>
        <v>0</v>
      </c>
      <c r="AB84" s="37"/>
      <c r="AC84" s="36">
        <f t="shared" si="19"/>
        <v>0</v>
      </c>
      <c r="AD84" s="37"/>
      <c r="AE84" s="36">
        <v>1800000</v>
      </c>
      <c r="AF84" s="37"/>
      <c r="AG84" s="36">
        <v>1800000</v>
      </c>
      <c r="AH84" s="37"/>
      <c r="AI84" s="41"/>
    </row>
    <row r="85" spans="1:37" ht="122.25" customHeight="1">
      <c r="A85" s="57" t="s">
        <v>211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48"/>
      <c r="M85" s="48"/>
      <c r="N85" s="37"/>
      <c r="O85" s="37"/>
      <c r="P85" s="37"/>
      <c r="Q85" s="37"/>
      <c r="R85" s="37"/>
      <c r="S85" s="37"/>
      <c r="T85" s="48"/>
      <c r="U85" s="36"/>
      <c r="V85" s="36"/>
      <c r="W85" s="36"/>
      <c r="X85" s="36"/>
      <c r="Y85" s="36"/>
      <c r="Z85" s="36"/>
      <c r="AA85" s="36"/>
      <c r="AB85" s="37"/>
      <c r="AC85" s="36"/>
      <c r="AD85" s="37"/>
      <c r="AE85" s="36">
        <v>33741800</v>
      </c>
      <c r="AF85" s="37"/>
      <c r="AG85" s="36">
        <v>21031674</v>
      </c>
      <c r="AH85" s="37"/>
      <c r="AI85" s="41">
        <v>110974.09</v>
      </c>
      <c r="AK85" s="5"/>
    </row>
    <row r="86" spans="1:37" ht="33.75" hidden="1" customHeight="1">
      <c r="A86" s="40" t="s">
        <v>84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48"/>
      <c r="M86" s="48"/>
      <c r="N86" s="37"/>
      <c r="O86" s="37"/>
      <c r="P86" s="37"/>
      <c r="Q86" s="37"/>
      <c r="R86" s="37"/>
      <c r="S86" s="37"/>
      <c r="T86" s="48"/>
      <c r="U86" s="36">
        <f>H86+I86+L86+M86-T86</f>
        <v>0</v>
      </c>
      <c r="V86" s="36"/>
      <c r="W86" s="36">
        <f>U86</f>
        <v>0</v>
      </c>
      <c r="X86" s="36"/>
      <c r="Y86" s="36"/>
      <c r="Z86" s="36"/>
      <c r="AA86" s="36">
        <f>W86-X86</f>
        <v>0</v>
      </c>
      <c r="AB86" s="37"/>
      <c r="AC86" s="36">
        <f t="shared" si="19"/>
        <v>0</v>
      </c>
      <c r="AD86" s="37"/>
      <c r="AE86" s="36">
        <v>18867200</v>
      </c>
      <c r="AF86" s="37"/>
      <c r="AG86" s="36">
        <v>18867200</v>
      </c>
      <c r="AH86" s="37"/>
      <c r="AI86" s="41"/>
    </row>
    <row r="87" spans="1:37" ht="36.75" hidden="1" customHeight="1">
      <c r="A87" s="40" t="s">
        <v>85</v>
      </c>
      <c r="B87" s="36">
        <v>13724000</v>
      </c>
      <c r="C87" s="36"/>
      <c r="D87" s="36">
        <v>13724000</v>
      </c>
      <c r="E87" s="36">
        <f>13724000+6118</f>
        <v>13730118</v>
      </c>
      <c r="F87" s="36"/>
      <c r="G87" s="36"/>
      <c r="H87" s="36">
        <v>-6118</v>
      </c>
      <c r="I87" s="36">
        <v>13724000</v>
      </c>
      <c r="J87" s="36"/>
      <c r="K87" s="36"/>
      <c r="L87" s="48"/>
      <c r="M87" s="48"/>
      <c r="N87" s="37"/>
      <c r="O87" s="37"/>
      <c r="P87" s="37"/>
      <c r="Q87" s="37"/>
      <c r="R87" s="37"/>
      <c r="S87" s="37"/>
      <c r="T87" s="48">
        <v>13724000</v>
      </c>
      <c r="U87" s="36">
        <f>H87+I87+L87+M87-T87-K87</f>
        <v>-6118</v>
      </c>
      <c r="V87" s="36"/>
      <c r="W87" s="36">
        <f t="shared" si="23"/>
        <v>-6118</v>
      </c>
      <c r="X87" s="36"/>
      <c r="Y87" s="36"/>
      <c r="Z87" s="36"/>
      <c r="AA87" s="36">
        <f t="shared" si="24"/>
        <v>-6118</v>
      </c>
      <c r="AB87" s="37"/>
      <c r="AC87" s="36">
        <f t="shared" si="19"/>
        <v>0</v>
      </c>
      <c r="AD87" s="37"/>
      <c r="AE87" s="37"/>
      <c r="AF87" s="37"/>
      <c r="AG87" s="37"/>
      <c r="AH87" s="37"/>
      <c r="AI87" s="41"/>
    </row>
    <row r="88" spans="1:37" ht="37.9" hidden="1" customHeight="1">
      <c r="A88" s="40" t="s">
        <v>86</v>
      </c>
      <c r="B88" s="36"/>
      <c r="C88" s="36">
        <v>1541660</v>
      </c>
      <c r="D88" s="36">
        <f>C88</f>
        <v>1541660</v>
      </c>
      <c r="E88" s="36">
        <f>1541660</f>
        <v>1541660</v>
      </c>
      <c r="F88" s="36">
        <v>13724000</v>
      </c>
      <c r="G88" s="36"/>
      <c r="H88" s="36"/>
      <c r="I88" s="36">
        <f>1541660</f>
        <v>1541660</v>
      </c>
      <c r="J88" s="36">
        <f>F88-I88</f>
        <v>12182340</v>
      </c>
      <c r="K88" s="36">
        <v>1541660</v>
      </c>
      <c r="L88" s="48">
        <v>7722000</v>
      </c>
      <c r="M88" s="48">
        <v>6118</v>
      </c>
      <c r="N88" s="37"/>
      <c r="O88" s="37"/>
      <c r="P88" s="37"/>
      <c r="Q88" s="37"/>
      <c r="R88" s="37"/>
      <c r="S88" s="37"/>
      <c r="T88" s="48">
        <v>7722000</v>
      </c>
      <c r="U88" s="36">
        <f>H88+I88+L88+M88-T88-K88</f>
        <v>6118</v>
      </c>
      <c r="V88" s="36">
        <v>130797</v>
      </c>
      <c r="W88" s="36">
        <f>U88+V88</f>
        <v>136915</v>
      </c>
      <c r="X88" s="36">
        <v>130797</v>
      </c>
      <c r="Y88" s="36">
        <v>130797</v>
      </c>
      <c r="Z88" s="36">
        <v>130797</v>
      </c>
      <c r="AA88" s="36">
        <f t="shared" si="24"/>
        <v>6118</v>
      </c>
      <c r="AB88" s="36">
        <v>130797</v>
      </c>
      <c r="AC88" s="36">
        <f t="shared" si="19"/>
        <v>0</v>
      </c>
      <c r="AD88" s="37"/>
      <c r="AE88" s="37"/>
      <c r="AF88" s="37"/>
      <c r="AG88" s="37"/>
      <c r="AH88" s="37"/>
      <c r="AI88" s="41"/>
    </row>
    <row r="89" spans="1:37" ht="54.75" hidden="1" customHeight="1">
      <c r="A89" s="58" t="s">
        <v>192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48"/>
      <c r="M89" s="48"/>
      <c r="N89" s="37"/>
      <c r="O89" s="37"/>
      <c r="P89" s="37"/>
      <c r="Q89" s="37"/>
      <c r="R89" s="37"/>
      <c r="S89" s="37"/>
      <c r="T89" s="48"/>
      <c r="U89" s="36"/>
      <c r="V89" s="36"/>
      <c r="W89" s="36"/>
      <c r="X89" s="36"/>
      <c r="Y89" s="36"/>
      <c r="Z89" s="36"/>
      <c r="AA89" s="36"/>
      <c r="AB89" s="36"/>
      <c r="AC89" s="36"/>
      <c r="AD89" s="37"/>
      <c r="AE89" s="37"/>
      <c r="AF89" s="37"/>
      <c r="AG89" s="37"/>
      <c r="AH89" s="37"/>
      <c r="AI89" s="41"/>
    </row>
    <row r="90" spans="1:37" ht="39.75" hidden="1" customHeight="1" thickBot="1">
      <c r="A90" s="57" t="s">
        <v>87</v>
      </c>
      <c r="B90" s="36">
        <f>3003461.73-0.1</f>
        <v>3003461.63</v>
      </c>
      <c r="C90" s="36">
        <f>2852591.83+0.1</f>
        <v>2852591.93</v>
      </c>
      <c r="D90" s="36">
        <f>B90+C90</f>
        <v>5856053.5600000005</v>
      </c>
      <c r="E90" s="36">
        <f>5856053.56+180682.16</f>
        <v>6036735.7199999997</v>
      </c>
      <c r="F90" s="36"/>
      <c r="G90" s="36"/>
      <c r="H90" s="36">
        <f>B90+C90-E90</f>
        <v>-180682.15999999922</v>
      </c>
      <c r="I90" s="36"/>
      <c r="J90" s="36"/>
      <c r="K90" s="36"/>
      <c r="L90" s="48">
        <f>39251000+78502000+24814100</f>
        <v>142567100</v>
      </c>
      <c r="M90" s="48">
        <f>171899.27+1361.71+5860.95+567.12+946.5+46.61</f>
        <v>180682.15999999997</v>
      </c>
      <c r="N90" s="37"/>
      <c r="O90" s="37"/>
      <c r="P90" s="37"/>
      <c r="Q90" s="37"/>
      <c r="R90" s="37"/>
      <c r="S90" s="37"/>
      <c r="T90" s="48">
        <v>142564901.21000001</v>
      </c>
      <c r="U90" s="59">
        <f t="shared" si="22"/>
        <v>2198.7899999916553</v>
      </c>
      <c r="V90" s="36">
        <v>99329.91</v>
      </c>
      <c r="W90" s="36">
        <f>U90+V90</f>
        <v>101528.69999999166</v>
      </c>
      <c r="X90" s="36">
        <v>101528.7</v>
      </c>
      <c r="Y90" s="37"/>
      <c r="Z90" s="36"/>
      <c r="AA90" s="36">
        <f t="shared" si="24"/>
        <v>-8.3382474258542061E-9</v>
      </c>
      <c r="AB90" s="37"/>
      <c r="AC90" s="36">
        <f t="shared" si="19"/>
        <v>0</v>
      </c>
      <c r="AD90" s="37"/>
      <c r="AE90" s="37"/>
      <c r="AF90" s="59">
        <f>82.41+1029.5+1326.05+512.57+21252.01</f>
        <v>24202.539999999997</v>
      </c>
      <c r="AG90" s="37"/>
      <c r="AH90" s="37"/>
      <c r="AI90" s="41"/>
    </row>
    <row r="91" spans="1:37" ht="18.75" customHeight="1">
      <c r="A91" s="42" t="s">
        <v>88</v>
      </c>
      <c r="B91" s="60">
        <f>SUM(B73:B90)</f>
        <v>29263714.199999999</v>
      </c>
      <c r="C91" s="60">
        <f>SUM(C73:C90)</f>
        <v>4947817.83</v>
      </c>
      <c r="D91" s="60">
        <f>SUM(D73:D90)</f>
        <v>26540962.079999998</v>
      </c>
      <c r="E91" s="60">
        <f>SUM(E73:E90)</f>
        <v>26731562.239999998</v>
      </c>
      <c r="F91" s="60">
        <f>SUM(F73:F90)</f>
        <v>13900406.039999999</v>
      </c>
      <c r="G91" s="60">
        <f>SUM(G73:G90)</f>
        <v>0</v>
      </c>
      <c r="H91" s="60">
        <f>SUM(H73:H90)</f>
        <v>7098250.8400000008</v>
      </c>
      <c r="I91" s="60">
        <f>SUM(I73:I90)</f>
        <v>17569960</v>
      </c>
      <c r="J91" s="60">
        <f>SUM(J73:J90)</f>
        <v>12358746.039999999</v>
      </c>
      <c r="K91" s="60">
        <f>SUM(K73:K90)</f>
        <v>1541660</v>
      </c>
      <c r="L91" s="60">
        <f>SUM(L73:L90)</f>
        <v>624561800</v>
      </c>
      <c r="M91" s="60">
        <f>SUM(M73:M90)</f>
        <v>191749.15999999997</v>
      </c>
      <c r="N91" s="60">
        <f>SUM(N73:N90)</f>
        <v>0</v>
      </c>
      <c r="O91" s="60">
        <f>SUM(O73:O90)</f>
        <v>0</v>
      </c>
      <c r="P91" s="60">
        <f>SUM(P73:P90)</f>
        <v>0</v>
      </c>
      <c r="Q91" s="60">
        <f>SUM(Q73:Q90)</f>
        <v>0</v>
      </c>
      <c r="R91" s="60">
        <f>SUM(R73:R90)</f>
        <v>0</v>
      </c>
      <c r="S91" s="60">
        <f>SUM(S73:S90)</f>
        <v>0</v>
      </c>
      <c r="T91" s="60">
        <f>SUM(T73:T90)</f>
        <v>615837368.93999994</v>
      </c>
      <c r="U91" s="60">
        <f>SUM(U73:U90)</f>
        <v>32042731.060000021</v>
      </c>
      <c r="V91" s="60">
        <f>SUM(V73:V90)</f>
        <v>406909.68000000005</v>
      </c>
      <c r="W91" s="60">
        <f>SUM(W73:W90)</f>
        <v>32449640.740000021</v>
      </c>
      <c r="X91" s="60">
        <f>SUM(X73:X90)</f>
        <v>32449640.739999998</v>
      </c>
      <c r="Y91" s="60">
        <f>SUM(Y73:Y90)</f>
        <v>18795069.09</v>
      </c>
      <c r="Z91" s="60">
        <f>SUM(Z73:Z90)</f>
        <v>18795069.09</v>
      </c>
      <c r="AA91" s="60">
        <f>SUM(AA73:AA90)</f>
        <v>2.0270817913115025E-8</v>
      </c>
      <c r="AB91" s="60">
        <f>SUM(AB73:AB90)</f>
        <v>18795069.09</v>
      </c>
      <c r="AC91" s="60">
        <f>SUM(AC73:AC90)</f>
        <v>0</v>
      </c>
      <c r="AD91" s="60">
        <f>SUM(AD73:AD90)</f>
        <v>31094.06</v>
      </c>
      <c r="AE91" s="60">
        <f>SUM(AE73:AE90)</f>
        <v>68050931.629999995</v>
      </c>
      <c r="AF91" s="60">
        <f>SUM(AF73:AF90)</f>
        <v>2844478.03</v>
      </c>
      <c r="AG91" s="60">
        <f>SUM(AG73:AG90)</f>
        <v>67766120.75999999</v>
      </c>
      <c r="AH91" s="37"/>
      <c r="AI91" s="60">
        <f t="shared" ref="AI91" si="26">SUM(AI73:AI90)</f>
        <v>110974.09</v>
      </c>
      <c r="AJ91" s="2"/>
    </row>
    <row r="92" spans="1:37" ht="47.25" hidden="1" customHeight="1" thickBot="1">
      <c r="A92" s="57" t="s">
        <v>89</v>
      </c>
      <c r="B92" s="36">
        <v>594500</v>
      </c>
      <c r="C92" s="36">
        <v>0</v>
      </c>
      <c r="D92" s="36">
        <v>594500</v>
      </c>
      <c r="E92" s="36">
        <v>594500</v>
      </c>
      <c r="F92" s="36"/>
      <c r="G92" s="36"/>
      <c r="H92" s="36">
        <v>0</v>
      </c>
      <c r="I92" s="36"/>
      <c r="J92" s="36"/>
      <c r="K92" s="36"/>
      <c r="L92" s="48">
        <v>594500</v>
      </c>
      <c r="M92" s="37"/>
      <c r="N92" s="37"/>
      <c r="O92" s="37"/>
      <c r="P92" s="37"/>
      <c r="Q92" s="37"/>
      <c r="R92" s="37"/>
      <c r="S92" s="37"/>
      <c r="T92" s="37"/>
      <c r="U92" s="36">
        <f>H92+I92+L92+M92-T92</f>
        <v>594500</v>
      </c>
      <c r="V92" s="37"/>
      <c r="W92" s="36">
        <f>U92</f>
        <v>594500</v>
      </c>
      <c r="X92" s="36">
        <v>594500</v>
      </c>
      <c r="Y92" s="37"/>
      <c r="Z92" s="37"/>
      <c r="AA92" s="36">
        <f>W92-X92</f>
        <v>0</v>
      </c>
      <c r="AB92" s="37"/>
      <c r="AC92" s="37"/>
      <c r="AD92" s="37"/>
      <c r="AE92" s="37"/>
      <c r="AF92" s="37"/>
      <c r="AG92" s="37"/>
      <c r="AH92" s="37"/>
      <c r="AI92" s="41"/>
    </row>
    <row r="93" spans="1:37" ht="16.5" hidden="1" customHeight="1" thickBot="1">
      <c r="A93" s="42" t="s">
        <v>90</v>
      </c>
      <c r="B93" s="60">
        <f t="shared" ref="B93:AG93" si="27">SUM(B92:B92)</f>
        <v>594500</v>
      </c>
      <c r="C93" s="60">
        <f t="shared" si="27"/>
        <v>0</v>
      </c>
      <c r="D93" s="60">
        <f t="shared" si="27"/>
        <v>594500</v>
      </c>
      <c r="E93" s="60">
        <f t="shared" si="27"/>
        <v>594500</v>
      </c>
      <c r="F93" s="60">
        <f t="shared" si="27"/>
        <v>0</v>
      </c>
      <c r="G93" s="60">
        <f t="shared" si="27"/>
        <v>0</v>
      </c>
      <c r="H93" s="60">
        <f t="shared" si="27"/>
        <v>0</v>
      </c>
      <c r="I93" s="60">
        <f t="shared" si="27"/>
        <v>0</v>
      </c>
      <c r="J93" s="60">
        <f t="shared" si="27"/>
        <v>0</v>
      </c>
      <c r="K93" s="60">
        <f t="shared" si="27"/>
        <v>0</v>
      </c>
      <c r="L93" s="60">
        <f t="shared" si="27"/>
        <v>594500</v>
      </c>
      <c r="M93" s="60">
        <f t="shared" si="27"/>
        <v>0</v>
      </c>
      <c r="N93" s="60">
        <f t="shared" si="27"/>
        <v>0</v>
      </c>
      <c r="O93" s="60">
        <f t="shared" si="27"/>
        <v>0</v>
      </c>
      <c r="P93" s="60">
        <f t="shared" si="27"/>
        <v>0</v>
      </c>
      <c r="Q93" s="60">
        <f t="shared" si="27"/>
        <v>0</v>
      </c>
      <c r="R93" s="60">
        <f t="shared" si="27"/>
        <v>0</v>
      </c>
      <c r="S93" s="60">
        <f t="shared" si="27"/>
        <v>0</v>
      </c>
      <c r="T93" s="60">
        <f t="shared" si="27"/>
        <v>0</v>
      </c>
      <c r="U93" s="60">
        <f t="shared" si="27"/>
        <v>594500</v>
      </c>
      <c r="V93" s="60">
        <f t="shared" si="27"/>
        <v>0</v>
      </c>
      <c r="W93" s="60">
        <f t="shared" si="27"/>
        <v>594500</v>
      </c>
      <c r="X93" s="60">
        <f t="shared" si="27"/>
        <v>594500</v>
      </c>
      <c r="Y93" s="60">
        <f t="shared" si="27"/>
        <v>0</v>
      </c>
      <c r="Z93" s="60">
        <f t="shared" si="27"/>
        <v>0</v>
      </c>
      <c r="AA93" s="60">
        <f t="shared" si="27"/>
        <v>0</v>
      </c>
      <c r="AB93" s="60">
        <f t="shared" si="27"/>
        <v>0</v>
      </c>
      <c r="AC93" s="60">
        <f t="shared" si="27"/>
        <v>0</v>
      </c>
      <c r="AD93" s="60">
        <f t="shared" si="27"/>
        <v>0</v>
      </c>
      <c r="AE93" s="60">
        <f t="shared" si="27"/>
        <v>0</v>
      </c>
      <c r="AF93" s="60">
        <f t="shared" si="27"/>
        <v>0</v>
      </c>
      <c r="AG93" s="60">
        <f t="shared" si="27"/>
        <v>0</v>
      </c>
      <c r="AH93" s="37"/>
      <c r="AI93" s="60">
        <f t="shared" ref="AI93" si="28">SUM(AI92:AI92)</f>
        <v>0</v>
      </c>
    </row>
    <row r="94" spans="1:37" ht="39.75" hidden="1" customHeight="1" thickBot="1">
      <c r="A94" s="40" t="s">
        <v>91</v>
      </c>
      <c r="B94" s="42"/>
      <c r="C94" s="61">
        <v>6500000</v>
      </c>
      <c r="D94" s="60"/>
      <c r="E94" s="60"/>
      <c r="F94" s="60"/>
      <c r="G94" s="60"/>
      <c r="H94" s="36">
        <f>B94-E94</f>
        <v>0</v>
      </c>
      <c r="I94" s="60"/>
      <c r="J94" s="60"/>
      <c r="K94" s="60"/>
      <c r="L94" s="48">
        <f>15000000+18470000</f>
        <v>33470000</v>
      </c>
      <c r="M94" s="48">
        <v>109574</v>
      </c>
      <c r="N94" s="37"/>
      <c r="O94" s="37"/>
      <c r="P94" s="37"/>
      <c r="Q94" s="37"/>
      <c r="R94" s="37"/>
      <c r="S94" s="37"/>
      <c r="T94" s="36">
        <v>33470000</v>
      </c>
      <c r="U94" s="36">
        <f t="shared" ref="U94:U126" si="29">H94+I94+L94+M94-T94</f>
        <v>109574</v>
      </c>
      <c r="V94" s="36">
        <v>163770</v>
      </c>
      <c r="W94" s="36">
        <f t="shared" ref="W94:W116" si="30">U94+V94</f>
        <v>273344</v>
      </c>
      <c r="X94" s="36">
        <v>273344</v>
      </c>
      <c r="Y94" s="37"/>
      <c r="Z94" s="37"/>
      <c r="AA94" s="36">
        <f t="shared" ref="AA94:AA126" si="31">W94-X94</f>
        <v>0</v>
      </c>
      <c r="AB94" s="37"/>
      <c r="AC94" s="36">
        <f t="shared" ref="AC94:AC162" si="32">Z94-AB94</f>
        <v>0</v>
      </c>
      <c r="AD94" s="37"/>
      <c r="AE94" s="36"/>
      <c r="AF94" s="37"/>
      <c r="AG94" s="37"/>
      <c r="AH94" s="37"/>
      <c r="AI94" s="41"/>
    </row>
    <row r="95" spans="1:37" ht="48.6" hidden="1" customHeight="1" thickBot="1">
      <c r="A95" s="40" t="s">
        <v>92</v>
      </c>
      <c r="B95" s="42"/>
      <c r="C95" s="61"/>
      <c r="D95" s="60"/>
      <c r="E95" s="60"/>
      <c r="F95" s="60"/>
      <c r="G95" s="60"/>
      <c r="H95" s="36"/>
      <c r="I95" s="60"/>
      <c r="J95" s="60"/>
      <c r="K95" s="60"/>
      <c r="L95" s="48">
        <f>19500000+20300000</f>
        <v>39800000</v>
      </c>
      <c r="M95" s="48"/>
      <c r="N95" s="37"/>
      <c r="O95" s="37"/>
      <c r="P95" s="37"/>
      <c r="Q95" s="37"/>
      <c r="R95" s="37"/>
      <c r="S95" s="37"/>
      <c r="T95" s="36">
        <f>16500000+23300000</f>
        <v>39800000</v>
      </c>
      <c r="U95" s="36">
        <f t="shared" si="29"/>
        <v>0</v>
      </c>
      <c r="V95" s="36"/>
      <c r="W95" s="36">
        <f t="shared" si="30"/>
        <v>0</v>
      </c>
      <c r="X95" s="37"/>
      <c r="Y95" s="37"/>
      <c r="Z95" s="37"/>
      <c r="AA95" s="36">
        <f t="shared" si="31"/>
        <v>0</v>
      </c>
      <c r="AB95" s="37"/>
      <c r="AC95" s="36">
        <f t="shared" si="32"/>
        <v>0</v>
      </c>
      <c r="AD95" s="37"/>
      <c r="AE95" s="36"/>
      <c r="AF95" s="37"/>
      <c r="AG95" s="37"/>
      <c r="AH95" s="37"/>
      <c r="AI95" s="38"/>
    </row>
    <row r="96" spans="1:37" ht="48.6" hidden="1" customHeight="1" thickBot="1">
      <c r="A96" s="40" t="s">
        <v>93</v>
      </c>
      <c r="B96" s="42"/>
      <c r="C96" s="61"/>
      <c r="D96" s="60"/>
      <c r="E96" s="60"/>
      <c r="F96" s="60"/>
      <c r="G96" s="60"/>
      <c r="H96" s="36"/>
      <c r="I96" s="60"/>
      <c r="J96" s="60"/>
      <c r="K96" s="60"/>
      <c r="L96" s="48">
        <f>800000+800000</f>
        <v>1600000</v>
      </c>
      <c r="M96" s="48"/>
      <c r="N96" s="37"/>
      <c r="O96" s="37"/>
      <c r="P96" s="37"/>
      <c r="Q96" s="37"/>
      <c r="R96" s="37"/>
      <c r="S96" s="37"/>
      <c r="T96" s="36">
        <v>1600000</v>
      </c>
      <c r="U96" s="36">
        <f t="shared" si="29"/>
        <v>0</v>
      </c>
      <c r="V96" s="36"/>
      <c r="W96" s="36">
        <f t="shared" si="30"/>
        <v>0</v>
      </c>
      <c r="X96" s="37"/>
      <c r="Y96" s="37"/>
      <c r="Z96" s="37"/>
      <c r="AA96" s="36">
        <f t="shared" si="31"/>
        <v>0</v>
      </c>
      <c r="AB96" s="37"/>
      <c r="AC96" s="36">
        <f t="shared" si="32"/>
        <v>0</v>
      </c>
      <c r="AD96" s="37"/>
      <c r="AE96" s="36"/>
      <c r="AF96" s="37"/>
      <c r="AG96" s="36"/>
      <c r="AH96" s="37"/>
      <c r="AI96" s="38"/>
    </row>
    <row r="97" spans="1:35" ht="48.6" hidden="1" customHeight="1" thickBot="1">
      <c r="A97" s="40" t="s">
        <v>94</v>
      </c>
      <c r="B97" s="42"/>
      <c r="C97" s="61"/>
      <c r="D97" s="60"/>
      <c r="E97" s="60"/>
      <c r="F97" s="60"/>
      <c r="G97" s="60"/>
      <c r="H97" s="36"/>
      <c r="I97" s="60"/>
      <c r="J97" s="60"/>
      <c r="K97" s="60"/>
      <c r="L97" s="48">
        <f>12500000+12900000</f>
        <v>25400000</v>
      </c>
      <c r="M97" s="48"/>
      <c r="N97" s="37"/>
      <c r="O97" s="37"/>
      <c r="P97" s="37"/>
      <c r="Q97" s="37"/>
      <c r="R97" s="37"/>
      <c r="S97" s="37"/>
      <c r="T97" s="36">
        <v>25400000</v>
      </c>
      <c r="U97" s="36">
        <f t="shared" si="29"/>
        <v>0</v>
      </c>
      <c r="V97" s="36">
        <v>14856509.609999999</v>
      </c>
      <c r="W97" s="36">
        <f t="shared" si="30"/>
        <v>14856509.609999999</v>
      </c>
      <c r="X97" s="36">
        <v>14856509.609999999</v>
      </c>
      <c r="Y97" s="36">
        <v>14856509.609999999</v>
      </c>
      <c r="Z97" s="36">
        <v>14856509.609999999</v>
      </c>
      <c r="AA97" s="36">
        <f t="shared" si="31"/>
        <v>0</v>
      </c>
      <c r="AB97" s="36">
        <v>14856509.609999999</v>
      </c>
      <c r="AC97" s="36">
        <f t="shared" si="32"/>
        <v>0</v>
      </c>
      <c r="AD97" s="36">
        <v>14856509.609999999</v>
      </c>
      <c r="AE97" s="36"/>
      <c r="AF97" s="37"/>
      <c r="AG97" s="36"/>
      <c r="AH97" s="37"/>
      <c r="AI97" s="41"/>
    </row>
    <row r="98" spans="1:35" ht="48.6" hidden="1" customHeight="1" thickBot="1">
      <c r="A98" s="40" t="s">
        <v>95</v>
      </c>
      <c r="B98" s="42"/>
      <c r="C98" s="61"/>
      <c r="D98" s="60"/>
      <c r="E98" s="60"/>
      <c r="F98" s="60"/>
      <c r="G98" s="60"/>
      <c r="H98" s="36"/>
      <c r="I98" s="60"/>
      <c r="J98" s="60"/>
      <c r="K98" s="60"/>
      <c r="L98" s="48">
        <f>20000000+5925400-274645+45</f>
        <v>25650800</v>
      </c>
      <c r="M98" s="37"/>
      <c r="N98" s="37"/>
      <c r="O98" s="37"/>
      <c r="P98" s="37"/>
      <c r="Q98" s="37"/>
      <c r="R98" s="37"/>
      <c r="S98" s="37"/>
      <c r="T98" s="36">
        <v>25650800</v>
      </c>
      <c r="U98" s="36">
        <f t="shared" si="29"/>
        <v>0</v>
      </c>
      <c r="V98" s="36"/>
      <c r="W98" s="36">
        <f t="shared" si="30"/>
        <v>0</v>
      </c>
      <c r="X98" s="37"/>
      <c r="Y98" s="37"/>
      <c r="Z98" s="37"/>
      <c r="AA98" s="36">
        <f t="shared" si="31"/>
        <v>0</v>
      </c>
      <c r="AB98" s="37"/>
      <c r="AC98" s="36">
        <f t="shared" si="32"/>
        <v>0</v>
      </c>
      <c r="AD98" s="37"/>
      <c r="AE98" s="36">
        <v>38124200</v>
      </c>
      <c r="AF98" s="37"/>
      <c r="AG98" s="36">
        <v>38124200</v>
      </c>
      <c r="AH98" s="37"/>
      <c r="AI98" s="38"/>
    </row>
    <row r="99" spans="1:35" ht="58.5" hidden="1" customHeight="1" thickBot="1">
      <c r="A99" s="40" t="s">
        <v>96</v>
      </c>
      <c r="B99" s="42"/>
      <c r="C99" s="61"/>
      <c r="D99" s="60"/>
      <c r="E99" s="60"/>
      <c r="F99" s="60"/>
      <c r="G99" s="60"/>
      <c r="H99" s="36"/>
      <c r="I99" s="60"/>
      <c r="J99" s="60"/>
      <c r="K99" s="60"/>
      <c r="L99" s="48">
        <f>925000+162800+1019000</f>
        <v>2106800</v>
      </c>
      <c r="M99" s="37"/>
      <c r="N99" s="37"/>
      <c r="O99" s="37"/>
      <c r="P99" s="37"/>
      <c r="Q99" s="37"/>
      <c r="R99" s="37"/>
      <c r="S99" s="37"/>
      <c r="T99" s="36">
        <v>1348673</v>
      </c>
      <c r="U99" s="36">
        <f t="shared" si="29"/>
        <v>758127</v>
      </c>
      <c r="V99" s="36"/>
      <c r="W99" s="36">
        <f t="shared" si="30"/>
        <v>758127</v>
      </c>
      <c r="X99" s="36">
        <v>758127</v>
      </c>
      <c r="Y99" s="37"/>
      <c r="Z99" s="37"/>
      <c r="AA99" s="36">
        <f t="shared" si="31"/>
        <v>0</v>
      </c>
      <c r="AB99" s="37"/>
      <c r="AC99" s="36">
        <f t="shared" si="32"/>
        <v>0</v>
      </c>
      <c r="AD99" s="37"/>
      <c r="AE99" s="36">
        <v>2257500</v>
      </c>
      <c r="AF99" s="37"/>
      <c r="AG99" s="36">
        <v>1716600</v>
      </c>
      <c r="AH99" s="37"/>
      <c r="AI99" s="41"/>
    </row>
    <row r="100" spans="1:35" ht="66.75" hidden="1" customHeight="1" thickBot="1">
      <c r="A100" s="53" t="s">
        <v>97</v>
      </c>
      <c r="B100" s="42"/>
      <c r="C100" s="61"/>
      <c r="D100" s="60"/>
      <c r="E100" s="60"/>
      <c r="F100" s="60"/>
      <c r="G100" s="60"/>
      <c r="H100" s="36"/>
      <c r="I100" s="60"/>
      <c r="J100" s="60"/>
      <c r="K100" s="60"/>
      <c r="L100" s="48">
        <f>22577400+3426500+20016400+6414200</f>
        <v>52434500</v>
      </c>
      <c r="M100" s="37"/>
      <c r="N100" s="37"/>
      <c r="O100" s="37"/>
      <c r="P100" s="37"/>
      <c r="Q100" s="37"/>
      <c r="R100" s="37"/>
      <c r="S100" s="37"/>
      <c r="T100" s="36">
        <v>52434500</v>
      </c>
      <c r="U100" s="36">
        <f t="shared" si="29"/>
        <v>0</v>
      </c>
      <c r="V100" s="36"/>
      <c r="W100" s="36">
        <f t="shared" si="30"/>
        <v>0</v>
      </c>
      <c r="X100" s="37"/>
      <c r="Y100" s="37"/>
      <c r="Z100" s="37"/>
      <c r="AA100" s="36">
        <f t="shared" si="31"/>
        <v>0</v>
      </c>
      <c r="AB100" s="37"/>
      <c r="AC100" s="36">
        <f t="shared" si="32"/>
        <v>0</v>
      </c>
      <c r="AD100" s="37"/>
      <c r="AE100" s="36">
        <v>70455909</v>
      </c>
      <c r="AF100" s="37"/>
      <c r="AG100" s="36">
        <v>70455909</v>
      </c>
      <c r="AH100" s="37"/>
      <c r="AI100" s="38"/>
    </row>
    <row r="101" spans="1:35" ht="112.5" hidden="1" customHeight="1" thickBot="1">
      <c r="A101" s="53" t="s">
        <v>193</v>
      </c>
      <c r="B101" s="42"/>
      <c r="C101" s="61"/>
      <c r="D101" s="60"/>
      <c r="E101" s="60"/>
      <c r="F101" s="60"/>
      <c r="G101" s="60"/>
      <c r="H101" s="36"/>
      <c r="I101" s="60"/>
      <c r="J101" s="60"/>
      <c r="K101" s="60"/>
      <c r="L101" s="48"/>
      <c r="M101" s="37"/>
      <c r="N101" s="37"/>
      <c r="O101" s="37"/>
      <c r="P101" s="37"/>
      <c r="Q101" s="37"/>
      <c r="R101" s="37"/>
      <c r="S101" s="37"/>
      <c r="T101" s="36"/>
      <c r="U101" s="36"/>
      <c r="V101" s="36"/>
      <c r="W101" s="36"/>
      <c r="X101" s="37"/>
      <c r="Y101" s="37"/>
      <c r="Z101" s="37"/>
      <c r="AA101" s="36"/>
      <c r="AB101" s="37"/>
      <c r="AC101" s="36"/>
      <c r="AD101" s="37"/>
      <c r="AE101" s="36"/>
      <c r="AF101" s="37"/>
      <c r="AG101" s="36"/>
      <c r="AH101" s="37"/>
      <c r="AI101" s="38"/>
    </row>
    <row r="102" spans="1:35" ht="70.5" hidden="1" customHeight="1" thickBot="1">
      <c r="A102" s="53" t="s">
        <v>98</v>
      </c>
      <c r="B102" s="42"/>
      <c r="C102" s="61"/>
      <c r="D102" s="60"/>
      <c r="E102" s="60"/>
      <c r="F102" s="60"/>
      <c r="G102" s="60"/>
      <c r="H102" s="36"/>
      <c r="I102" s="60"/>
      <c r="J102" s="60"/>
      <c r="K102" s="60"/>
      <c r="L102" s="48"/>
      <c r="M102" s="37"/>
      <c r="N102" s="37"/>
      <c r="O102" s="37"/>
      <c r="P102" s="37"/>
      <c r="Q102" s="37"/>
      <c r="R102" s="37"/>
      <c r="S102" s="37"/>
      <c r="T102" s="36"/>
      <c r="U102" s="36"/>
      <c r="V102" s="36"/>
      <c r="W102" s="36"/>
      <c r="X102" s="37"/>
      <c r="Y102" s="37"/>
      <c r="Z102" s="37"/>
      <c r="AA102" s="36"/>
      <c r="AB102" s="37"/>
      <c r="AC102" s="36"/>
      <c r="AD102" s="37"/>
      <c r="AE102" s="36">
        <v>16222000</v>
      </c>
      <c r="AF102" s="37"/>
      <c r="AG102" s="36">
        <v>16222000</v>
      </c>
      <c r="AH102" s="37"/>
      <c r="AI102" s="41"/>
    </row>
    <row r="103" spans="1:35" ht="70.5" hidden="1" customHeight="1" thickBot="1">
      <c r="A103" s="53" t="s">
        <v>186</v>
      </c>
      <c r="B103" s="42"/>
      <c r="C103" s="61"/>
      <c r="D103" s="60"/>
      <c r="E103" s="60"/>
      <c r="F103" s="60"/>
      <c r="G103" s="60"/>
      <c r="H103" s="36"/>
      <c r="I103" s="60"/>
      <c r="J103" s="60"/>
      <c r="K103" s="60"/>
      <c r="L103" s="48"/>
      <c r="M103" s="37"/>
      <c r="N103" s="37"/>
      <c r="O103" s="37"/>
      <c r="P103" s="37"/>
      <c r="Q103" s="37"/>
      <c r="R103" s="37"/>
      <c r="S103" s="37"/>
      <c r="T103" s="36"/>
      <c r="U103" s="36"/>
      <c r="V103" s="36"/>
      <c r="W103" s="36"/>
      <c r="X103" s="37"/>
      <c r="Y103" s="37"/>
      <c r="Z103" s="37"/>
      <c r="AA103" s="36"/>
      <c r="AB103" s="37"/>
      <c r="AC103" s="36"/>
      <c r="AD103" s="37"/>
      <c r="AE103" s="36"/>
      <c r="AF103" s="37"/>
      <c r="AG103" s="36"/>
      <c r="AH103" s="37"/>
      <c r="AI103" s="38"/>
    </row>
    <row r="104" spans="1:35" ht="48.6" hidden="1" customHeight="1" thickBot="1">
      <c r="A104" s="40" t="s">
        <v>99</v>
      </c>
      <c r="B104" s="42"/>
      <c r="C104" s="61"/>
      <c r="D104" s="60"/>
      <c r="E104" s="60"/>
      <c r="F104" s="60"/>
      <c r="G104" s="60"/>
      <c r="H104" s="36"/>
      <c r="I104" s="60"/>
      <c r="J104" s="60"/>
      <c r="K104" s="60"/>
      <c r="L104" s="48">
        <f>14776300+4080700+5641500</f>
        <v>24498500</v>
      </c>
      <c r="M104" s="37"/>
      <c r="N104" s="37"/>
      <c r="O104" s="37"/>
      <c r="P104" s="37"/>
      <c r="Q104" s="37"/>
      <c r="R104" s="37"/>
      <c r="S104" s="37"/>
      <c r="T104" s="36">
        <v>24498500</v>
      </c>
      <c r="U104" s="36">
        <v>0</v>
      </c>
      <c r="V104" s="36"/>
      <c r="W104" s="36">
        <f t="shared" si="30"/>
        <v>0</v>
      </c>
      <c r="X104" s="36">
        <v>2037</v>
      </c>
      <c r="Y104" s="37"/>
      <c r="Z104" s="37"/>
      <c r="AA104" s="36">
        <f t="shared" si="31"/>
        <v>-2037</v>
      </c>
      <c r="AB104" s="37"/>
      <c r="AC104" s="36">
        <f t="shared" si="32"/>
        <v>0</v>
      </c>
      <c r="AD104" s="37"/>
      <c r="AE104" s="36">
        <v>19263500</v>
      </c>
      <c r="AF104" s="36">
        <v>2037</v>
      </c>
      <c r="AG104" s="36">
        <v>19263500</v>
      </c>
      <c r="AH104" s="37"/>
      <c r="AI104" s="41"/>
    </row>
    <row r="105" spans="1:35" ht="29.25" hidden="1" customHeight="1" thickBot="1">
      <c r="A105" s="40" t="s">
        <v>100</v>
      </c>
      <c r="B105" s="42"/>
      <c r="C105" s="61"/>
      <c r="D105" s="60"/>
      <c r="E105" s="60"/>
      <c r="F105" s="60"/>
      <c r="G105" s="60"/>
      <c r="H105" s="36"/>
      <c r="I105" s="60"/>
      <c r="J105" s="60"/>
      <c r="K105" s="60"/>
      <c r="L105" s="48">
        <f>65636000+33000000+47379000</f>
        <v>146015000</v>
      </c>
      <c r="M105" s="37"/>
      <c r="N105" s="37"/>
      <c r="O105" s="37"/>
      <c r="P105" s="37"/>
      <c r="Q105" s="37"/>
      <c r="R105" s="37"/>
      <c r="S105" s="37"/>
      <c r="T105" s="36">
        <v>146015000</v>
      </c>
      <c r="U105" s="36">
        <f t="shared" si="29"/>
        <v>0</v>
      </c>
      <c r="V105" s="36"/>
      <c r="W105" s="36">
        <f t="shared" si="30"/>
        <v>0</v>
      </c>
      <c r="X105" s="37"/>
      <c r="Y105" s="37"/>
      <c r="Z105" s="37"/>
      <c r="AA105" s="36">
        <f t="shared" si="31"/>
        <v>0</v>
      </c>
      <c r="AB105" s="37"/>
      <c r="AC105" s="36">
        <f t="shared" si="32"/>
        <v>0</v>
      </c>
      <c r="AD105" s="37"/>
      <c r="AE105" s="36">
        <v>86871500</v>
      </c>
      <c r="AF105" s="37"/>
      <c r="AG105" s="36">
        <v>86871500</v>
      </c>
      <c r="AH105" s="37"/>
      <c r="AI105" s="41"/>
    </row>
    <row r="106" spans="1:35" ht="48.6" hidden="1" customHeight="1" thickBot="1">
      <c r="A106" s="40" t="s">
        <v>101</v>
      </c>
      <c r="B106" s="42"/>
      <c r="C106" s="61"/>
      <c r="D106" s="60"/>
      <c r="E106" s="60"/>
      <c r="F106" s="60"/>
      <c r="G106" s="60"/>
      <c r="H106" s="36"/>
      <c r="I106" s="60"/>
      <c r="J106" s="60"/>
      <c r="K106" s="60"/>
      <c r="L106" s="48">
        <f>21029200+17643000</f>
        <v>38672200</v>
      </c>
      <c r="M106" s="37"/>
      <c r="N106" s="37"/>
      <c r="O106" s="37"/>
      <c r="P106" s="37"/>
      <c r="Q106" s="37"/>
      <c r="R106" s="37"/>
      <c r="S106" s="37"/>
      <c r="T106" s="36">
        <v>38672200</v>
      </c>
      <c r="U106" s="36">
        <f t="shared" si="29"/>
        <v>0</v>
      </c>
      <c r="V106" s="36"/>
      <c r="W106" s="36">
        <f t="shared" si="30"/>
        <v>0</v>
      </c>
      <c r="X106" s="37"/>
      <c r="Y106" s="37"/>
      <c r="Z106" s="37"/>
      <c r="AA106" s="36">
        <f t="shared" si="31"/>
        <v>0</v>
      </c>
      <c r="AB106" s="37"/>
      <c r="AC106" s="36">
        <f t="shared" si="32"/>
        <v>0</v>
      </c>
      <c r="AD106" s="37"/>
      <c r="AE106" s="36">
        <v>280000</v>
      </c>
      <c r="AF106" s="37"/>
      <c r="AG106" s="36">
        <v>280000</v>
      </c>
      <c r="AH106" s="37"/>
      <c r="AI106" s="38"/>
    </row>
    <row r="107" spans="1:35" ht="36.75" hidden="1" customHeight="1" thickBot="1">
      <c r="A107" s="40" t="s">
        <v>190</v>
      </c>
      <c r="B107" s="42"/>
      <c r="C107" s="61"/>
      <c r="D107" s="60"/>
      <c r="E107" s="60"/>
      <c r="F107" s="60"/>
      <c r="G107" s="60"/>
      <c r="H107" s="36"/>
      <c r="I107" s="60"/>
      <c r="J107" s="60"/>
      <c r="K107" s="60"/>
      <c r="L107" s="48"/>
      <c r="M107" s="37"/>
      <c r="N107" s="37"/>
      <c r="O107" s="37"/>
      <c r="P107" s="37"/>
      <c r="Q107" s="37"/>
      <c r="R107" s="37"/>
      <c r="S107" s="37"/>
      <c r="T107" s="36"/>
      <c r="U107" s="36"/>
      <c r="V107" s="36"/>
      <c r="W107" s="36"/>
      <c r="X107" s="37"/>
      <c r="Y107" s="37"/>
      <c r="Z107" s="37"/>
      <c r="AA107" s="36"/>
      <c r="AB107" s="37"/>
      <c r="AC107" s="36"/>
      <c r="AD107" s="37"/>
      <c r="AE107" s="36"/>
      <c r="AF107" s="37"/>
      <c r="AG107" s="36"/>
      <c r="AH107" s="37"/>
      <c r="AI107" s="38"/>
    </row>
    <row r="108" spans="1:35" ht="57" hidden="1" customHeight="1" thickBot="1">
      <c r="A108" s="40" t="s">
        <v>102</v>
      </c>
      <c r="B108" s="42"/>
      <c r="C108" s="61"/>
      <c r="D108" s="60"/>
      <c r="E108" s="60"/>
      <c r="F108" s="60"/>
      <c r="G108" s="60"/>
      <c r="H108" s="36"/>
      <c r="I108" s="60"/>
      <c r="J108" s="60"/>
      <c r="K108" s="60"/>
      <c r="L108" s="48">
        <f>4983700+2571800+373300</f>
        <v>7928800</v>
      </c>
      <c r="M108" s="37"/>
      <c r="N108" s="37"/>
      <c r="O108" s="37"/>
      <c r="P108" s="37"/>
      <c r="Q108" s="37"/>
      <c r="R108" s="37"/>
      <c r="S108" s="37"/>
      <c r="T108" s="36">
        <v>7928800</v>
      </c>
      <c r="U108" s="36">
        <f t="shared" si="29"/>
        <v>0</v>
      </c>
      <c r="V108" s="36"/>
      <c r="W108" s="36">
        <f t="shared" si="30"/>
        <v>0</v>
      </c>
      <c r="X108" s="37"/>
      <c r="Y108" s="37"/>
      <c r="Z108" s="37"/>
      <c r="AA108" s="36">
        <f t="shared" si="31"/>
        <v>0</v>
      </c>
      <c r="AB108" s="37"/>
      <c r="AC108" s="36">
        <f t="shared" si="32"/>
        <v>0</v>
      </c>
      <c r="AD108" s="37"/>
      <c r="AE108" s="36">
        <v>66482946</v>
      </c>
      <c r="AF108" s="37"/>
      <c r="AG108" s="36">
        <v>66482946</v>
      </c>
      <c r="AH108" s="37"/>
      <c r="AI108" s="38"/>
    </row>
    <row r="109" spans="1:35" ht="70.150000000000006" hidden="1" customHeight="1" thickBot="1">
      <c r="A109" s="53" t="s">
        <v>103</v>
      </c>
      <c r="B109" s="42"/>
      <c r="C109" s="61"/>
      <c r="D109" s="60"/>
      <c r="E109" s="60"/>
      <c r="F109" s="60"/>
      <c r="G109" s="60"/>
      <c r="H109" s="36"/>
      <c r="I109" s="60"/>
      <c r="J109" s="60"/>
      <c r="K109" s="60"/>
      <c r="L109" s="48">
        <f>153734000+51244700+31131000+18289100</f>
        <v>254398800</v>
      </c>
      <c r="M109" s="37"/>
      <c r="N109" s="37"/>
      <c r="O109" s="37"/>
      <c r="P109" s="37"/>
      <c r="Q109" s="37"/>
      <c r="R109" s="37"/>
      <c r="S109" s="37"/>
      <c r="T109" s="36">
        <v>254398800</v>
      </c>
      <c r="U109" s="36">
        <f t="shared" si="29"/>
        <v>0</v>
      </c>
      <c r="V109" s="36"/>
      <c r="W109" s="36">
        <f t="shared" si="30"/>
        <v>0</v>
      </c>
      <c r="X109" s="37"/>
      <c r="Y109" s="37"/>
      <c r="Z109" s="37"/>
      <c r="AA109" s="36">
        <f t="shared" si="31"/>
        <v>0</v>
      </c>
      <c r="AB109" s="37"/>
      <c r="AC109" s="36">
        <f t="shared" si="32"/>
        <v>0</v>
      </c>
      <c r="AD109" s="37"/>
      <c r="AE109" s="36">
        <v>249540700</v>
      </c>
      <c r="AF109" s="37"/>
      <c r="AG109" s="36">
        <v>243840700</v>
      </c>
      <c r="AH109" s="37"/>
      <c r="AI109" s="41"/>
    </row>
    <row r="110" spans="1:35" ht="33.75" hidden="1" customHeight="1" thickBot="1">
      <c r="A110" s="53" t="s">
        <v>104</v>
      </c>
      <c r="B110" s="42"/>
      <c r="C110" s="61"/>
      <c r="D110" s="60"/>
      <c r="E110" s="60"/>
      <c r="F110" s="60"/>
      <c r="G110" s="60"/>
      <c r="H110" s="36"/>
      <c r="I110" s="60"/>
      <c r="J110" s="60"/>
      <c r="K110" s="60"/>
      <c r="L110" s="48">
        <v>11707000</v>
      </c>
      <c r="M110" s="37"/>
      <c r="N110" s="37"/>
      <c r="O110" s="37"/>
      <c r="P110" s="37"/>
      <c r="Q110" s="37"/>
      <c r="R110" s="37"/>
      <c r="S110" s="37"/>
      <c r="T110" s="36">
        <v>11707000</v>
      </c>
      <c r="U110" s="36">
        <f t="shared" si="29"/>
        <v>0</v>
      </c>
      <c r="V110" s="36"/>
      <c r="W110" s="36">
        <f t="shared" si="30"/>
        <v>0</v>
      </c>
      <c r="X110" s="37"/>
      <c r="Y110" s="37"/>
      <c r="Z110" s="37"/>
      <c r="AA110" s="36">
        <f t="shared" si="31"/>
        <v>0</v>
      </c>
      <c r="AB110" s="37"/>
      <c r="AC110" s="36">
        <f t="shared" si="32"/>
        <v>0</v>
      </c>
      <c r="AD110" s="37"/>
      <c r="AE110" s="36"/>
      <c r="AF110" s="37"/>
      <c r="AG110" s="36"/>
      <c r="AH110" s="37"/>
      <c r="AI110" s="41"/>
    </row>
    <row r="111" spans="1:35" ht="60" hidden="1" customHeight="1" thickBot="1">
      <c r="A111" s="40" t="s">
        <v>105</v>
      </c>
      <c r="B111" s="42"/>
      <c r="C111" s="61"/>
      <c r="D111" s="60"/>
      <c r="E111" s="60"/>
      <c r="F111" s="60"/>
      <c r="G111" s="60"/>
      <c r="H111" s="36"/>
      <c r="I111" s="60"/>
      <c r="J111" s="60"/>
      <c r="K111" s="60"/>
      <c r="L111" s="48">
        <f>1790000+865900+251700</f>
        <v>2907600</v>
      </c>
      <c r="M111" s="37"/>
      <c r="N111" s="37"/>
      <c r="O111" s="37"/>
      <c r="P111" s="37"/>
      <c r="Q111" s="37"/>
      <c r="R111" s="37"/>
      <c r="S111" s="37"/>
      <c r="T111" s="36">
        <v>2631978</v>
      </c>
      <c r="U111" s="36">
        <f t="shared" si="29"/>
        <v>275622</v>
      </c>
      <c r="V111" s="36">
        <v>40128</v>
      </c>
      <c r="W111" s="36">
        <f t="shared" si="30"/>
        <v>315750</v>
      </c>
      <c r="X111" s="36">
        <f>50725+265025</f>
        <v>315750</v>
      </c>
      <c r="Y111" s="36"/>
      <c r="Z111" s="36"/>
      <c r="AA111" s="36">
        <f t="shared" si="31"/>
        <v>0</v>
      </c>
      <c r="AB111" s="37"/>
      <c r="AC111" s="36">
        <f t="shared" si="32"/>
        <v>0</v>
      </c>
      <c r="AD111" s="37"/>
      <c r="AE111" s="36">
        <v>2209965</v>
      </c>
      <c r="AF111" s="36">
        <v>68835</v>
      </c>
      <c r="AG111" s="36">
        <v>2189522.4300000002</v>
      </c>
      <c r="AH111" s="37"/>
      <c r="AI111" s="41"/>
    </row>
    <row r="112" spans="1:35" ht="45.75" hidden="1" customHeight="1" thickBot="1">
      <c r="A112" s="40" t="s">
        <v>106</v>
      </c>
      <c r="B112" s="42"/>
      <c r="C112" s="61"/>
      <c r="D112" s="60"/>
      <c r="E112" s="60"/>
      <c r="F112" s="60"/>
      <c r="G112" s="60"/>
      <c r="H112" s="36"/>
      <c r="I112" s="60"/>
      <c r="J112" s="60"/>
      <c r="K112" s="60"/>
      <c r="L112" s="48"/>
      <c r="M112" s="37"/>
      <c r="N112" s="37"/>
      <c r="O112" s="37"/>
      <c r="P112" s="37"/>
      <c r="Q112" s="37"/>
      <c r="R112" s="37"/>
      <c r="S112" s="37"/>
      <c r="T112" s="36"/>
      <c r="U112" s="36"/>
      <c r="V112" s="36"/>
      <c r="W112" s="36"/>
      <c r="X112" s="36"/>
      <c r="Y112" s="36"/>
      <c r="Z112" s="36"/>
      <c r="AA112" s="36"/>
      <c r="AB112" s="37"/>
      <c r="AC112" s="36"/>
      <c r="AD112" s="37"/>
      <c r="AE112" s="36">
        <v>559600</v>
      </c>
      <c r="AF112" s="36"/>
      <c r="AG112" s="36">
        <v>559600</v>
      </c>
      <c r="AH112" s="37"/>
      <c r="AI112" s="41"/>
    </row>
    <row r="113" spans="1:35" ht="36" hidden="1" customHeight="1">
      <c r="A113" s="35" t="s">
        <v>107</v>
      </c>
      <c r="B113" s="36">
        <v>3117361</v>
      </c>
      <c r="C113" s="36"/>
      <c r="D113" s="36">
        <v>3117361</v>
      </c>
      <c r="E113" s="36">
        <f>D113+272746</f>
        <v>3390107</v>
      </c>
      <c r="F113" s="36"/>
      <c r="G113" s="36"/>
      <c r="H113" s="36">
        <f>B113-E113</f>
        <v>-272746</v>
      </c>
      <c r="I113" s="36">
        <v>3117361</v>
      </c>
      <c r="J113" s="36"/>
      <c r="K113" s="36"/>
      <c r="L113" s="37"/>
      <c r="M113" s="37"/>
      <c r="N113" s="37"/>
      <c r="O113" s="37"/>
      <c r="P113" s="37"/>
      <c r="Q113" s="37"/>
      <c r="R113" s="37"/>
      <c r="S113" s="37"/>
      <c r="T113" s="36">
        <v>2844615</v>
      </c>
      <c r="U113" s="36">
        <f t="shared" si="29"/>
        <v>0</v>
      </c>
      <c r="V113" s="36"/>
      <c r="W113" s="36">
        <f t="shared" si="30"/>
        <v>0</v>
      </c>
      <c r="X113" s="37"/>
      <c r="Y113" s="37"/>
      <c r="Z113" s="37"/>
      <c r="AA113" s="36">
        <f t="shared" si="31"/>
        <v>0</v>
      </c>
      <c r="AB113" s="37"/>
      <c r="AC113" s="36">
        <f t="shared" si="32"/>
        <v>0</v>
      </c>
      <c r="AD113" s="37"/>
      <c r="AE113" s="36"/>
      <c r="AF113" s="37"/>
      <c r="AG113" s="36"/>
      <c r="AH113" s="37"/>
      <c r="AI113" s="41"/>
    </row>
    <row r="114" spans="1:35" ht="34.9" hidden="1" customHeight="1">
      <c r="A114" s="35" t="s">
        <v>108</v>
      </c>
      <c r="B114" s="36">
        <v>2249692</v>
      </c>
      <c r="C114" s="36"/>
      <c r="D114" s="36">
        <v>2249692</v>
      </c>
      <c r="E114" s="36">
        <v>2249692</v>
      </c>
      <c r="F114" s="36"/>
      <c r="G114" s="36"/>
      <c r="H114" s="36">
        <f>B114-E114</f>
        <v>0</v>
      </c>
      <c r="I114" s="36">
        <v>2249692</v>
      </c>
      <c r="J114" s="36"/>
      <c r="K114" s="36"/>
      <c r="L114" s="48">
        <v>70244600</v>
      </c>
      <c r="M114" s="37"/>
      <c r="N114" s="37"/>
      <c r="O114" s="37"/>
      <c r="P114" s="37"/>
      <c r="Q114" s="37"/>
      <c r="R114" s="37"/>
      <c r="S114" s="37"/>
      <c r="T114" s="36">
        <f>70244600+2249692</f>
        <v>72494292</v>
      </c>
      <c r="U114" s="36">
        <f>H114+I114+L114+M114-T114</f>
        <v>0</v>
      </c>
      <c r="V114" s="37"/>
      <c r="W114" s="36">
        <f t="shared" si="30"/>
        <v>0</v>
      </c>
      <c r="X114" s="37"/>
      <c r="Y114" s="37"/>
      <c r="Z114" s="37"/>
      <c r="AA114" s="36">
        <f t="shared" si="31"/>
        <v>0</v>
      </c>
      <c r="AB114" s="37"/>
      <c r="AC114" s="36">
        <f t="shared" si="32"/>
        <v>0</v>
      </c>
      <c r="AD114" s="37"/>
      <c r="AE114" s="36">
        <v>60724300</v>
      </c>
      <c r="AF114" s="36"/>
      <c r="AG114" s="36">
        <v>60724300</v>
      </c>
      <c r="AH114" s="37"/>
      <c r="AI114" s="38"/>
    </row>
    <row r="115" spans="1:35" ht="81" hidden="1" customHeight="1">
      <c r="A115" s="39" t="s">
        <v>109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48">
        <v>37910600</v>
      </c>
      <c r="M115" s="37"/>
      <c r="N115" s="37"/>
      <c r="O115" s="37"/>
      <c r="P115" s="37"/>
      <c r="Q115" s="37"/>
      <c r="R115" s="37"/>
      <c r="S115" s="37"/>
      <c r="T115" s="36">
        <v>37910600</v>
      </c>
      <c r="U115" s="36">
        <f>H115+I115+L115+M115-T115</f>
        <v>0</v>
      </c>
      <c r="V115" s="37"/>
      <c r="W115" s="36">
        <f t="shared" si="30"/>
        <v>0</v>
      </c>
      <c r="X115" s="37"/>
      <c r="Y115" s="37"/>
      <c r="Z115" s="37"/>
      <c r="AA115" s="36">
        <f t="shared" si="31"/>
        <v>0</v>
      </c>
      <c r="AB115" s="37"/>
      <c r="AC115" s="36">
        <f t="shared" si="32"/>
        <v>0</v>
      </c>
      <c r="AD115" s="37"/>
      <c r="AE115" s="36"/>
      <c r="AF115" s="37"/>
      <c r="AG115" s="36"/>
      <c r="AH115" s="37"/>
      <c r="AI115" s="38"/>
    </row>
    <row r="116" spans="1:35" ht="94.5" hidden="1" customHeight="1">
      <c r="A116" s="39" t="s">
        <v>110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48">
        <v>582623</v>
      </c>
      <c r="M116" s="37"/>
      <c r="N116" s="37"/>
      <c r="O116" s="37"/>
      <c r="P116" s="37"/>
      <c r="Q116" s="37"/>
      <c r="R116" s="37"/>
      <c r="S116" s="37"/>
      <c r="T116" s="36">
        <v>185410</v>
      </c>
      <c r="U116" s="36">
        <f>H116+I116+L116+M116-T116</f>
        <v>397213</v>
      </c>
      <c r="V116" s="37"/>
      <c r="W116" s="36">
        <f t="shared" si="30"/>
        <v>397213</v>
      </c>
      <c r="X116" s="36">
        <v>397213</v>
      </c>
      <c r="Y116" s="36"/>
      <c r="Z116" s="36"/>
      <c r="AA116" s="36">
        <v>0</v>
      </c>
      <c r="AB116" s="37"/>
      <c r="AC116" s="36">
        <f t="shared" si="32"/>
        <v>0</v>
      </c>
      <c r="AD116" s="37"/>
      <c r="AE116" s="36"/>
      <c r="AF116" s="37"/>
      <c r="AG116" s="36"/>
      <c r="AH116" s="37"/>
      <c r="AI116" s="41"/>
    </row>
    <row r="117" spans="1:35" ht="125.25" hidden="1" customHeight="1">
      <c r="A117" s="39" t="s">
        <v>111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48"/>
      <c r="M117" s="37"/>
      <c r="N117" s="37"/>
      <c r="O117" s="37"/>
      <c r="P117" s="37"/>
      <c r="Q117" s="37"/>
      <c r="R117" s="37"/>
      <c r="S117" s="37"/>
      <c r="T117" s="36"/>
      <c r="U117" s="36">
        <v>0</v>
      </c>
      <c r="V117" s="36">
        <v>0</v>
      </c>
      <c r="W117" s="36">
        <v>0</v>
      </c>
      <c r="X117" s="36"/>
      <c r="Y117" s="36"/>
      <c r="Z117" s="36"/>
      <c r="AA117" s="36">
        <v>0</v>
      </c>
      <c r="AB117" s="37"/>
      <c r="AC117" s="36">
        <f t="shared" si="32"/>
        <v>0</v>
      </c>
      <c r="AD117" s="37"/>
      <c r="AE117" s="36">
        <v>673500</v>
      </c>
      <c r="AF117" s="37"/>
      <c r="AG117" s="36">
        <v>673500</v>
      </c>
      <c r="AH117" s="37"/>
      <c r="AI117" s="41"/>
    </row>
    <row r="118" spans="1:35" ht="147.75" hidden="1" customHeight="1">
      <c r="A118" s="39" t="s">
        <v>112</v>
      </c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48"/>
      <c r="M118" s="37"/>
      <c r="N118" s="37"/>
      <c r="O118" s="37"/>
      <c r="P118" s="37"/>
      <c r="Q118" s="37"/>
      <c r="R118" s="37"/>
      <c r="S118" s="37"/>
      <c r="T118" s="36"/>
      <c r="U118" s="36"/>
      <c r="V118" s="36"/>
      <c r="W118" s="36"/>
      <c r="X118" s="36"/>
      <c r="Y118" s="36"/>
      <c r="Z118" s="36"/>
      <c r="AA118" s="36"/>
      <c r="AB118" s="37"/>
      <c r="AC118" s="36"/>
      <c r="AD118" s="37"/>
      <c r="AE118" s="36">
        <v>700000</v>
      </c>
      <c r="AF118" s="37"/>
      <c r="AG118" s="36"/>
      <c r="AH118" s="37"/>
      <c r="AI118" s="41"/>
    </row>
    <row r="119" spans="1:35" ht="80.25" hidden="1" customHeight="1">
      <c r="A119" s="35" t="s">
        <v>113</v>
      </c>
      <c r="B119" s="36">
        <v>4329843.3</v>
      </c>
      <c r="C119" s="36"/>
      <c r="D119" s="36">
        <v>4329843.3</v>
      </c>
      <c r="E119" s="36">
        <v>4329843.3</v>
      </c>
      <c r="F119" s="36"/>
      <c r="G119" s="36"/>
      <c r="H119" s="36">
        <f>B119-E119</f>
        <v>0</v>
      </c>
      <c r="I119" s="36"/>
      <c r="J119" s="36"/>
      <c r="K119" s="36"/>
      <c r="L119" s="48">
        <v>0</v>
      </c>
      <c r="M119" s="37"/>
      <c r="N119" s="37"/>
      <c r="O119" s="37"/>
      <c r="P119" s="37"/>
      <c r="Q119" s="37"/>
      <c r="R119" s="37"/>
      <c r="S119" s="37"/>
      <c r="T119" s="48">
        <v>0</v>
      </c>
      <c r="U119" s="36">
        <f>H119+I119+L119+M119-T119</f>
        <v>0</v>
      </c>
      <c r="V119" s="37"/>
      <c r="W119" s="36">
        <f>U119+V119</f>
        <v>0</v>
      </c>
      <c r="X119" s="37"/>
      <c r="Y119" s="37"/>
      <c r="Z119" s="37"/>
      <c r="AA119" s="36">
        <f t="shared" si="31"/>
        <v>0</v>
      </c>
      <c r="AB119" s="37"/>
      <c r="AC119" s="36">
        <f t="shared" si="32"/>
        <v>0</v>
      </c>
      <c r="AD119" s="37"/>
      <c r="AE119" s="37"/>
      <c r="AF119" s="37"/>
      <c r="AG119" s="36"/>
      <c r="AH119" s="37"/>
      <c r="AI119" s="38"/>
    </row>
    <row r="120" spans="1:35" ht="112.5" hidden="1" customHeight="1">
      <c r="A120" s="39" t="s">
        <v>114</v>
      </c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48"/>
      <c r="M120" s="37"/>
      <c r="N120" s="37"/>
      <c r="O120" s="37"/>
      <c r="P120" s="37"/>
      <c r="Q120" s="37"/>
      <c r="R120" s="37"/>
      <c r="S120" s="37"/>
      <c r="T120" s="48"/>
      <c r="U120" s="36"/>
      <c r="V120" s="37"/>
      <c r="W120" s="36"/>
      <c r="X120" s="37"/>
      <c r="Y120" s="37"/>
      <c r="Z120" s="37"/>
      <c r="AA120" s="36"/>
      <c r="AB120" s="37"/>
      <c r="AC120" s="36"/>
      <c r="AD120" s="37"/>
      <c r="AE120" s="36">
        <v>5000000</v>
      </c>
      <c r="AF120" s="37"/>
      <c r="AG120" s="36">
        <f>1000000+4000000</f>
        <v>5000000</v>
      </c>
      <c r="AH120" s="37"/>
      <c r="AI120" s="38"/>
    </row>
    <row r="121" spans="1:35" ht="112.5" hidden="1" customHeight="1">
      <c r="A121" s="39" t="s">
        <v>115</v>
      </c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48"/>
      <c r="M121" s="37"/>
      <c r="N121" s="37"/>
      <c r="O121" s="37"/>
      <c r="P121" s="37"/>
      <c r="Q121" s="37"/>
      <c r="R121" s="37"/>
      <c r="S121" s="37"/>
      <c r="T121" s="48"/>
      <c r="U121" s="36"/>
      <c r="V121" s="37"/>
      <c r="W121" s="36"/>
      <c r="X121" s="37"/>
      <c r="Y121" s="37"/>
      <c r="Z121" s="37"/>
      <c r="AA121" s="36"/>
      <c r="AB121" s="37"/>
      <c r="AC121" s="36"/>
      <c r="AD121" s="37"/>
      <c r="AE121" s="36">
        <v>5300000</v>
      </c>
      <c r="AF121" s="37"/>
      <c r="AG121" s="36">
        <v>5300000</v>
      </c>
      <c r="AH121" s="37"/>
      <c r="AI121" s="38"/>
    </row>
    <row r="122" spans="1:35" ht="112.5" hidden="1" customHeight="1">
      <c r="A122" s="39" t="s">
        <v>189</v>
      </c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48"/>
      <c r="M122" s="37"/>
      <c r="N122" s="37"/>
      <c r="O122" s="37"/>
      <c r="P122" s="37"/>
      <c r="Q122" s="37"/>
      <c r="R122" s="37"/>
      <c r="S122" s="37"/>
      <c r="T122" s="48"/>
      <c r="U122" s="36"/>
      <c r="V122" s="37"/>
      <c r="W122" s="36"/>
      <c r="X122" s="37"/>
      <c r="Y122" s="37"/>
      <c r="Z122" s="37"/>
      <c r="AA122" s="36"/>
      <c r="AB122" s="37"/>
      <c r="AC122" s="36"/>
      <c r="AD122" s="37"/>
      <c r="AE122" s="36"/>
      <c r="AF122" s="37"/>
      <c r="AG122" s="36"/>
      <c r="AH122" s="37"/>
      <c r="AI122" s="38"/>
    </row>
    <row r="123" spans="1:35" ht="111" hidden="1" customHeight="1">
      <c r="A123" s="39" t="s">
        <v>116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48"/>
      <c r="M123" s="37"/>
      <c r="N123" s="37"/>
      <c r="O123" s="37"/>
      <c r="P123" s="37"/>
      <c r="Q123" s="37"/>
      <c r="R123" s="37"/>
      <c r="S123" s="37"/>
      <c r="T123" s="48"/>
      <c r="U123" s="36"/>
      <c r="V123" s="37"/>
      <c r="W123" s="36"/>
      <c r="X123" s="37"/>
      <c r="Y123" s="37"/>
      <c r="Z123" s="37"/>
      <c r="AA123" s="36"/>
      <c r="AB123" s="37"/>
      <c r="AC123" s="36"/>
      <c r="AD123" s="37"/>
      <c r="AE123" s="36">
        <v>1500000</v>
      </c>
      <c r="AF123" s="37"/>
      <c r="AG123" s="36">
        <v>1500000</v>
      </c>
      <c r="AH123" s="37"/>
      <c r="AI123" s="38"/>
    </row>
    <row r="124" spans="1:35" ht="110.25" hidden="1" customHeight="1">
      <c r="A124" s="39" t="s">
        <v>117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48"/>
      <c r="M124" s="37"/>
      <c r="N124" s="37"/>
      <c r="O124" s="37"/>
      <c r="P124" s="37"/>
      <c r="Q124" s="37"/>
      <c r="R124" s="37"/>
      <c r="S124" s="37"/>
      <c r="T124" s="48"/>
      <c r="U124" s="36"/>
      <c r="V124" s="37"/>
      <c r="W124" s="36"/>
      <c r="X124" s="37"/>
      <c r="Y124" s="37"/>
      <c r="Z124" s="37"/>
      <c r="AA124" s="36"/>
      <c r="AB124" s="37"/>
      <c r="AC124" s="36">
        <f t="shared" si="32"/>
        <v>0</v>
      </c>
      <c r="AD124" s="37"/>
      <c r="AE124" s="36">
        <v>43500000</v>
      </c>
      <c r="AF124" s="37"/>
      <c r="AG124" s="36">
        <v>43500000</v>
      </c>
      <c r="AH124" s="37"/>
      <c r="AI124" s="41"/>
    </row>
    <row r="125" spans="1:35" ht="122.25" hidden="1" customHeight="1">
      <c r="A125" s="39" t="s">
        <v>118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48"/>
      <c r="M125" s="37"/>
      <c r="N125" s="37"/>
      <c r="O125" s="37"/>
      <c r="P125" s="37"/>
      <c r="Q125" s="37"/>
      <c r="R125" s="37"/>
      <c r="S125" s="37"/>
      <c r="T125" s="48"/>
      <c r="U125" s="36"/>
      <c r="V125" s="37"/>
      <c r="W125" s="36"/>
      <c r="X125" s="37"/>
      <c r="Y125" s="37"/>
      <c r="Z125" s="37"/>
      <c r="AA125" s="36"/>
      <c r="AB125" s="37"/>
      <c r="AC125" s="36"/>
      <c r="AD125" s="37"/>
      <c r="AE125" s="36">
        <v>1000000</v>
      </c>
      <c r="AF125" s="37"/>
      <c r="AG125" s="36">
        <v>1000000</v>
      </c>
      <c r="AH125" s="37"/>
      <c r="AI125" s="38"/>
    </row>
    <row r="126" spans="1:35" ht="158.25" hidden="1" customHeight="1">
      <c r="A126" s="40" t="s">
        <v>119</v>
      </c>
      <c r="B126" s="36">
        <v>75000</v>
      </c>
      <c r="C126" s="36"/>
      <c r="D126" s="36">
        <v>75000</v>
      </c>
      <c r="E126" s="36">
        <v>75000</v>
      </c>
      <c r="F126" s="36"/>
      <c r="G126" s="36"/>
      <c r="H126" s="36">
        <f>B126-E126</f>
        <v>0</v>
      </c>
      <c r="I126" s="36"/>
      <c r="J126" s="36"/>
      <c r="K126" s="36"/>
      <c r="L126" s="37"/>
      <c r="M126" s="37"/>
      <c r="N126" s="37"/>
      <c r="O126" s="37"/>
      <c r="P126" s="37"/>
      <c r="Q126" s="37"/>
      <c r="R126" s="37"/>
      <c r="S126" s="37"/>
      <c r="T126" s="37"/>
      <c r="U126" s="36">
        <f t="shared" si="29"/>
        <v>0</v>
      </c>
      <c r="V126" s="37"/>
      <c r="W126" s="36">
        <f>U126+V126</f>
        <v>0</v>
      </c>
      <c r="X126" s="37"/>
      <c r="Y126" s="62"/>
      <c r="Z126" s="37"/>
      <c r="AA126" s="36">
        <f t="shared" si="31"/>
        <v>0</v>
      </c>
      <c r="AB126" s="37"/>
      <c r="AC126" s="36">
        <f t="shared" si="32"/>
        <v>0</v>
      </c>
      <c r="AD126" s="37"/>
      <c r="AE126" s="37"/>
      <c r="AF126" s="37"/>
      <c r="AG126" s="36"/>
      <c r="AH126" s="37"/>
      <c r="AI126" s="38"/>
    </row>
    <row r="127" spans="1:35" ht="99.75" hidden="1" customHeight="1">
      <c r="A127" s="40" t="s">
        <v>191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7"/>
      <c r="M127" s="37"/>
      <c r="N127" s="37"/>
      <c r="O127" s="37"/>
      <c r="P127" s="37"/>
      <c r="Q127" s="37"/>
      <c r="R127" s="37"/>
      <c r="S127" s="37"/>
      <c r="T127" s="37"/>
      <c r="U127" s="36"/>
      <c r="V127" s="37"/>
      <c r="W127" s="36"/>
      <c r="X127" s="37"/>
      <c r="Y127" s="62"/>
      <c r="Z127" s="37"/>
      <c r="AA127" s="36"/>
      <c r="AB127" s="37"/>
      <c r="AC127" s="36"/>
      <c r="AD127" s="37"/>
      <c r="AE127" s="37"/>
      <c r="AF127" s="37"/>
      <c r="AG127" s="36"/>
      <c r="AH127" s="37"/>
      <c r="AI127" s="38"/>
    </row>
    <row r="128" spans="1:35" ht="96" hidden="1" customHeight="1">
      <c r="A128" s="53" t="s">
        <v>188</v>
      </c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7"/>
      <c r="M128" s="37"/>
      <c r="N128" s="37"/>
      <c r="O128" s="37"/>
      <c r="P128" s="37"/>
      <c r="Q128" s="37"/>
      <c r="R128" s="37"/>
      <c r="S128" s="37"/>
      <c r="T128" s="37"/>
      <c r="U128" s="36"/>
      <c r="V128" s="37"/>
      <c r="W128" s="36"/>
      <c r="X128" s="37"/>
      <c r="Y128" s="62"/>
      <c r="Z128" s="37"/>
      <c r="AA128" s="36"/>
      <c r="AB128" s="37"/>
      <c r="AC128" s="36"/>
      <c r="AD128" s="37"/>
      <c r="AE128" s="37"/>
      <c r="AF128" s="37"/>
      <c r="AG128" s="36"/>
      <c r="AH128" s="37"/>
      <c r="AI128" s="38"/>
    </row>
    <row r="129" spans="1:35" ht="103.5" hidden="1" customHeight="1">
      <c r="A129" s="53" t="s">
        <v>187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7"/>
      <c r="M129" s="37"/>
      <c r="N129" s="37"/>
      <c r="O129" s="37"/>
      <c r="P129" s="37"/>
      <c r="Q129" s="37"/>
      <c r="R129" s="37"/>
      <c r="S129" s="37"/>
      <c r="T129" s="37"/>
      <c r="U129" s="36"/>
      <c r="V129" s="37"/>
      <c r="W129" s="36"/>
      <c r="X129" s="37"/>
      <c r="Y129" s="62"/>
      <c r="Z129" s="37"/>
      <c r="AA129" s="36"/>
      <c r="AB129" s="37"/>
      <c r="AC129" s="36"/>
      <c r="AD129" s="37"/>
      <c r="AE129" s="37"/>
      <c r="AF129" s="37"/>
      <c r="AG129" s="36"/>
      <c r="AH129" s="37"/>
      <c r="AI129" s="38"/>
    </row>
    <row r="130" spans="1:35" ht="5.25" hidden="1" customHeight="1">
      <c r="A130" s="53" t="s">
        <v>196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7"/>
      <c r="M130" s="37"/>
      <c r="N130" s="37"/>
      <c r="O130" s="37"/>
      <c r="P130" s="37"/>
      <c r="Q130" s="37"/>
      <c r="R130" s="37"/>
      <c r="S130" s="37"/>
      <c r="T130" s="37"/>
      <c r="U130" s="36"/>
      <c r="V130" s="37"/>
      <c r="W130" s="36"/>
      <c r="X130" s="37"/>
      <c r="Y130" s="62"/>
      <c r="Z130" s="37"/>
      <c r="AA130" s="36"/>
      <c r="AB130" s="37"/>
      <c r="AC130" s="36"/>
      <c r="AD130" s="37"/>
      <c r="AE130" s="37"/>
      <c r="AF130" s="37"/>
      <c r="AG130" s="36"/>
      <c r="AH130" s="37"/>
      <c r="AI130" s="38"/>
    </row>
    <row r="131" spans="1:35" s="4" customFormat="1" ht="68.25" hidden="1" customHeight="1">
      <c r="A131" s="63"/>
      <c r="B131" s="64"/>
      <c r="C131" s="64"/>
      <c r="D131" s="64"/>
      <c r="E131" s="64"/>
      <c r="F131" s="65"/>
      <c r="G131" s="65"/>
      <c r="H131" s="64"/>
      <c r="I131" s="64"/>
      <c r="J131" s="64"/>
      <c r="K131" s="64"/>
      <c r="L131" s="48"/>
      <c r="M131" s="37"/>
      <c r="N131" s="37"/>
      <c r="O131" s="37"/>
      <c r="P131" s="37"/>
      <c r="Q131" s="37"/>
      <c r="R131" s="37"/>
      <c r="S131" s="37"/>
      <c r="T131" s="48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7"/>
      <c r="AI131" s="41"/>
    </row>
    <row r="132" spans="1:35" s="4" customFormat="1" ht="78" hidden="1" customHeight="1" thickBot="1">
      <c r="A132" s="66" t="s">
        <v>183</v>
      </c>
      <c r="B132" s="64"/>
      <c r="C132" s="64"/>
      <c r="D132" s="64"/>
      <c r="E132" s="64"/>
      <c r="F132" s="65"/>
      <c r="G132" s="65"/>
      <c r="H132" s="64"/>
      <c r="I132" s="64"/>
      <c r="J132" s="64"/>
      <c r="K132" s="64"/>
      <c r="L132" s="48"/>
      <c r="M132" s="37"/>
      <c r="N132" s="37"/>
      <c r="O132" s="37"/>
      <c r="P132" s="37"/>
      <c r="Q132" s="37"/>
      <c r="R132" s="37"/>
      <c r="S132" s="37"/>
      <c r="T132" s="48"/>
      <c r="U132" s="36"/>
      <c r="V132" s="36"/>
      <c r="W132" s="36"/>
      <c r="X132" s="36">
        <v>0</v>
      </c>
      <c r="Y132" s="67"/>
      <c r="Z132" s="37"/>
      <c r="AA132" s="36"/>
      <c r="AB132" s="37"/>
      <c r="AC132" s="36">
        <f t="shared" si="32"/>
        <v>0</v>
      </c>
      <c r="AD132" s="37"/>
      <c r="AE132" s="36">
        <v>136994700</v>
      </c>
      <c r="AF132" s="36">
        <f>38842.71-38842.71</f>
        <v>0</v>
      </c>
      <c r="AG132" s="36">
        <v>134576812.84999999</v>
      </c>
      <c r="AH132" s="37"/>
      <c r="AI132" s="41"/>
    </row>
    <row r="133" spans="1:35" ht="96.75" hidden="1" customHeight="1" thickBot="1">
      <c r="A133" s="66" t="s">
        <v>120</v>
      </c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7">
        <v>69260950</v>
      </c>
      <c r="AF133" s="43"/>
      <c r="AG133" s="47">
        <v>66524950</v>
      </c>
      <c r="AH133" s="37"/>
      <c r="AI133" s="47"/>
    </row>
    <row r="134" spans="1:35" ht="76.5" hidden="1" customHeight="1" thickBot="1">
      <c r="A134" s="66" t="s">
        <v>194</v>
      </c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7"/>
      <c r="AF134" s="43"/>
      <c r="AG134" s="47"/>
      <c r="AH134" s="37"/>
      <c r="AI134" s="47"/>
    </row>
    <row r="135" spans="1:35" ht="52.5" customHeight="1">
      <c r="A135" s="51" t="s">
        <v>212</v>
      </c>
      <c r="B135" s="36">
        <f>18900001.18+469865.69-695544</f>
        <v>18674322.870000001</v>
      </c>
      <c r="C135" s="36">
        <f>9951663.53-26058-7000-80000-221966.95-323005.6-347125-11726-6638-341790-87988.5-20865+695544-702173</f>
        <v>8470871.4800000004</v>
      </c>
      <c r="D135" s="36">
        <v>17400001.18</v>
      </c>
      <c r="E135" s="68">
        <f>17400001.18+818655.69</f>
        <v>18218656.870000001</v>
      </c>
      <c r="F135" s="36">
        <v>6872507.2800000003</v>
      </c>
      <c r="G135" s="36"/>
      <c r="H135" s="36">
        <f>B135-E135+1474163.05+702173</f>
        <v>2632002.0499999998</v>
      </c>
      <c r="I135" s="36"/>
      <c r="J135" s="36">
        <f>F135-I135</f>
        <v>6872507.2800000003</v>
      </c>
      <c r="K135" s="36"/>
      <c r="L135" s="47">
        <f>143989000+24447884</f>
        <v>168436884</v>
      </c>
      <c r="M135" s="36">
        <f>184800</f>
        <v>184800</v>
      </c>
      <c r="N135" s="37"/>
      <c r="O135" s="37"/>
      <c r="P135" s="37"/>
      <c r="Q135" s="37"/>
      <c r="R135" s="37"/>
      <c r="S135" s="37"/>
      <c r="T135" s="36">
        <f>164528742.82+5000000</f>
        <v>169528742.81999999</v>
      </c>
      <c r="U135" s="36">
        <f>H135+I135+L135+M135-T135-6629+150000</f>
        <v>1868314.2300000191</v>
      </c>
      <c r="V135" s="36">
        <v>3688325.79</v>
      </c>
      <c r="W135" s="36">
        <f>U135+V135</f>
        <v>5556640.0200000191</v>
      </c>
      <c r="X135" s="36">
        <f>5371840.02+34800+150000+250000</f>
        <v>5806640.0199999996</v>
      </c>
      <c r="Y135" s="36">
        <f>1808871.73+3597768.29+150000</f>
        <v>5556640.0199999996</v>
      </c>
      <c r="Z135" s="36">
        <f>1808871.73+3597768.29</f>
        <v>5406640.0199999996</v>
      </c>
      <c r="AA135" s="36">
        <f>W135-X135</f>
        <v>-249999.99999998044</v>
      </c>
      <c r="AB135" s="36">
        <v>5406640.0199999996</v>
      </c>
      <c r="AC135" s="36">
        <f t="shared" si="32"/>
        <v>0</v>
      </c>
      <c r="AD135" s="36">
        <f>190692.83+567948.58</f>
        <v>758641.40999999992</v>
      </c>
      <c r="AE135" s="36">
        <f>144317958+4882042</f>
        <v>149200000</v>
      </c>
      <c r="AF135" s="59">
        <f>250000+100000+300000+20000+180000+135507.43</f>
        <v>985507.42999999993</v>
      </c>
      <c r="AG135" s="36">
        <v>153148398.61000001</v>
      </c>
      <c r="AH135" s="37"/>
      <c r="AI135" s="41">
        <v>4000</v>
      </c>
    </row>
    <row r="136" spans="1:35" ht="34.5" customHeight="1">
      <c r="A136" s="42" t="s">
        <v>203</v>
      </c>
      <c r="B136" s="43">
        <f t="shared" ref="B136:AD136" si="33">SUM(B135:B135)</f>
        <v>18674322.870000001</v>
      </c>
      <c r="C136" s="43">
        <f t="shared" si="33"/>
        <v>8470871.4800000004</v>
      </c>
      <c r="D136" s="43">
        <f t="shared" si="33"/>
        <v>17400001.18</v>
      </c>
      <c r="E136" s="43">
        <f t="shared" si="33"/>
        <v>18218656.870000001</v>
      </c>
      <c r="F136" s="43">
        <f t="shared" si="33"/>
        <v>6872507.2800000003</v>
      </c>
      <c r="G136" s="43">
        <f t="shared" si="33"/>
        <v>0</v>
      </c>
      <c r="H136" s="43">
        <f t="shared" si="33"/>
        <v>2632002.0499999998</v>
      </c>
      <c r="I136" s="43">
        <f t="shared" si="33"/>
        <v>0</v>
      </c>
      <c r="J136" s="43">
        <f t="shared" si="33"/>
        <v>6872507.2800000003</v>
      </c>
      <c r="K136" s="43">
        <f t="shared" si="33"/>
        <v>0</v>
      </c>
      <c r="L136" s="43">
        <f t="shared" si="33"/>
        <v>168436884</v>
      </c>
      <c r="M136" s="43">
        <f t="shared" si="33"/>
        <v>184800</v>
      </c>
      <c r="N136" s="43">
        <f t="shared" si="33"/>
        <v>0</v>
      </c>
      <c r="O136" s="43">
        <f t="shared" si="33"/>
        <v>0</v>
      </c>
      <c r="P136" s="43">
        <f t="shared" si="33"/>
        <v>0</v>
      </c>
      <c r="Q136" s="43">
        <f t="shared" si="33"/>
        <v>0</v>
      </c>
      <c r="R136" s="43">
        <f t="shared" si="33"/>
        <v>0</v>
      </c>
      <c r="S136" s="43">
        <f t="shared" si="33"/>
        <v>0</v>
      </c>
      <c r="T136" s="43">
        <f t="shared" si="33"/>
        <v>169528742.81999999</v>
      </c>
      <c r="U136" s="43">
        <f t="shared" si="33"/>
        <v>1868314.2300000191</v>
      </c>
      <c r="V136" s="43">
        <f t="shared" si="33"/>
        <v>3688325.79</v>
      </c>
      <c r="W136" s="43">
        <f t="shared" si="33"/>
        <v>5556640.0200000191</v>
      </c>
      <c r="X136" s="43">
        <f t="shared" si="33"/>
        <v>5806640.0199999996</v>
      </c>
      <c r="Y136" s="43">
        <f t="shared" si="33"/>
        <v>5556640.0199999996</v>
      </c>
      <c r="Z136" s="43">
        <f t="shared" si="33"/>
        <v>5406640.0199999996</v>
      </c>
      <c r="AA136" s="43">
        <f t="shared" si="33"/>
        <v>-249999.99999998044</v>
      </c>
      <c r="AB136" s="43">
        <f t="shared" si="33"/>
        <v>5406640.0199999996</v>
      </c>
      <c r="AC136" s="43">
        <f t="shared" si="33"/>
        <v>0</v>
      </c>
      <c r="AD136" s="43">
        <f t="shared" si="33"/>
        <v>758641.40999999992</v>
      </c>
      <c r="AE136" s="43">
        <f>AE133+AE135</f>
        <v>218460950</v>
      </c>
      <c r="AF136" s="43">
        <f>AF133+AF135</f>
        <v>985507.42999999993</v>
      </c>
      <c r="AG136" s="43">
        <f>AG133+AG135</f>
        <v>219673348.61000001</v>
      </c>
      <c r="AH136" s="37"/>
      <c r="AI136" s="43">
        <f>AI133+AI135</f>
        <v>4000</v>
      </c>
    </row>
    <row r="137" spans="1:35" ht="36" hidden="1" customHeight="1">
      <c r="A137" s="51" t="s">
        <v>122</v>
      </c>
      <c r="B137" s="36">
        <v>186440.5</v>
      </c>
      <c r="C137" s="36"/>
      <c r="D137" s="36">
        <f>B137</f>
        <v>186440.5</v>
      </c>
      <c r="E137" s="36">
        <f>D137</f>
        <v>186440.5</v>
      </c>
      <c r="F137" s="36"/>
      <c r="G137" s="36"/>
      <c r="H137" s="36">
        <f>B137-E137</f>
        <v>0</v>
      </c>
      <c r="I137" s="36"/>
      <c r="J137" s="36"/>
      <c r="K137" s="36"/>
      <c r="L137" s="36">
        <v>78671400</v>
      </c>
      <c r="M137" s="36"/>
      <c r="N137" s="37"/>
      <c r="O137" s="37"/>
      <c r="P137" s="37"/>
      <c r="Q137" s="37"/>
      <c r="R137" s="37"/>
      <c r="S137" s="37"/>
      <c r="T137" s="36">
        <v>78671400</v>
      </c>
      <c r="U137" s="36">
        <f t="shared" ref="U137:U162" si="34">H137+I137+L137+M137-T137</f>
        <v>0</v>
      </c>
      <c r="V137" s="37"/>
      <c r="W137" s="36">
        <f>U137</f>
        <v>0</v>
      </c>
      <c r="X137" s="37"/>
      <c r="Y137" s="37"/>
      <c r="Z137" s="37"/>
      <c r="AA137" s="36">
        <f t="shared" ref="AA137:AA151" si="35">W137-X137</f>
        <v>0</v>
      </c>
      <c r="AB137" s="37"/>
      <c r="AC137" s="36">
        <f t="shared" si="32"/>
        <v>0</v>
      </c>
      <c r="AD137" s="37"/>
      <c r="AE137" s="36">
        <v>66994100</v>
      </c>
      <c r="AF137" s="37"/>
      <c r="AG137" s="36">
        <v>66994100</v>
      </c>
      <c r="AH137" s="37"/>
      <c r="AI137" s="41">
        <f>AH137</f>
        <v>0</v>
      </c>
    </row>
    <row r="138" spans="1:35" ht="111" hidden="1" customHeight="1">
      <c r="A138" s="51" t="s">
        <v>123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7"/>
      <c r="O138" s="37"/>
      <c r="P138" s="37"/>
      <c r="Q138" s="37"/>
      <c r="R138" s="37"/>
      <c r="S138" s="37"/>
      <c r="T138" s="36"/>
      <c r="U138" s="36">
        <f>H138+I138+L138+M138-T138</f>
        <v>0</v>
      </c>
      <c r="V138" s="37"/>
      <c r="W138" s="36">
        <f>U138</f>
        <v>0</v>
      </c>
      <c r="X138" s="37"/>
      <c r="Y138" s="37"/>
      <c r="Z138" s="37"/>
      <c r="AA138" s="36">
        <f>W138-X138</f>
        <v>0</v>
      </c>
      <c r="AB138" s="37"/>
      <c r="AC138" s="36">
        <f t="shared" si="32"/>
        <v>0</v>
      </c>
      <c r="AD138" s="37"/>
      <c r="AE138" s="36">
        <v>1800000</v>
      </c>
      <c r="AF138" s="37"/>
      <c r="AG138" s="36">
        <v>1800000</v>
      </c>
      <c r="AH138" s="37"/>
      <c r="AI138" s="41">
        <f t="shared" ref="AI138:AI154" si="36">AH138</f>
        <v>0</v>
      </c>
    </row>
    <row r="139" spans="1:35" ht="60" hidden="1" customHeight="1">
      <c r="A139" s="69" t="s">
        <v>124</v>
      </c>
      <c r="B139" s="36"/>
      <c r="C139" s="36"/>
      <c r="D139" s="36"/>
      <c r="E139" s="36"/>
      <c r="F139" s="36"/>
      <c r="G139" s="36"/>
      <c r="H139" s="36">
        <f>B139-E139</f>
        <v>0</v>
      </c>
      <c r="I139" s="36"/>
      <c r="J139" s="36"/>
      <c r="K139" s="36"/>
      <c r="L139" s="36">
        <f>6071900+3500000+4300000+10500000+6100000+7100000+8080400</f>
        <v>45652300</v>
      </c>
      <c r="M139" s="36"/>
      <c r="N139" s="37"/>
      <c r="O139" s="37"/>
      <c r="P139" s="37"/>
      <c r="Q139" s="37"/>
      <c r="R139" s="37"/>
      <c r="S139" s="37"/>
      <c r="T139" s="36">
        <v>45652300</v>
      </c>
      <c r="U139" s="36">
        <f t="shared" si="34"/>
        <v>0</v>
      </c>
      <c r="V139" s="37"/>
      <c r="W139" s="36">
        <f>U139</f>
        <v>0</v>
      </c>
      <c r="X139" s="37"/>
      <c r="Y139" s="37"/>
      <c r="Z139" s="37"/>
      <c r="AA139" s="36">
        <f t="shared" si="35"/>
        <v>0</v>
      </c>
      <c r="AB139" s="37"/>
      <c r="AC139" s="36">
        <f t="shared" si="32"/>
        <v>0</v>
      </c>
      <c r="AD139" s="37"/>
      <c r="AE139" s="36">
        <v>152068600</v>
      </c>
      <c r="AF139" s="37"/>
      <c r="AG139" s="36">
        <v>146216139</v>
      </c>
      <c r="AH139" s="37"/>
      <c r="AI139" s="41">
        <v>0</v>
      </c>
    </row>
    <row r="140" spans="1:35" ht="86.25" customHeight="1">
      <c r="A140" s="69" t="s">
        <v>213</v>
      </c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7"/>
      <c r="O140" s="37"/>
      <c r="P140" s="37"/>
      <c r="Q140" s="37"/>
      <c r="R140" s="37"/>
      <c r="S140" s="37"/>
      <c r="T140" s="36"/>
      <c r="U140" s="36"/>
      <c r="V140" s="37"/>
      <c r="W140" s="36"/>
      <c r="X140" s="37"/>
      <c r="Y140" s="37"/>
      <c r="Z140" s="37"/>
      <c r="AA140" s="36">
        <f t="shared" si="35"/>
        <v>0</v>
      </c>
      <c r="AB140" s="37"/>
      <c r="AC140" s="36">
        <f t="shared" si="32"/>
        <v>0</v>
      </c>
      <c r="AD140" s="37"/>
      <c r="AE140" s="36">
        <v>393014956.51999998</v>
      </c>
      <c r="AF140" s="36">
        <f>5370.99-5370.99+3435.5-3435.5</f>
        <v>0</v>
      </c>
      <c r="AG140" s="36">
        <v>392911012.83999997</v>
      </c>
      <c r="AH140" s="37"/>
      <c r="AI140" s="41">
        <v>11231.34</v>
      </c>
    </row>
    <row r="141" spans="1:35" ht="30.6" hidden="1" customHeight="1">
      <c r="A141" s="35" t="s">
        <v>125</v>
      </c>
      <c r="B141" s="36">
        <v>86270.36</v>
      </c>
      <c r="C141" s="36"/>
      <c r="D141" s="36">
        <f>B141</f>
        <v>86270.36</v>
      </c>
      <c r="E141" s="36">
        <f>D141</f>
        <v>86270.36</v>
      </c>
      <c r="F141" s="36"/>
      <c r="G141" s="36"/>
      <c r="H141" s="36">
        <f t="shared" ref="H141:H162" si="37">B141-E141</f>
        <v>0</v>
      </c>
      <c r="I141" s="36"/>
      <c r="J141" s="36"/>
      <c r="K141" s="36"/>
      <c r="L141" s="36">
        <f>82851100+82851000+82851100+82851000</f>
        <v>331404200</v>
      </c>
      <c r="M141" s="36">
        <f>965+37208.19+1300+297.1+2440.18+2073.44+400+195.3+276.29+504.35+430.75+5430.75+96.45+1227.85+300+1210.57+7266.84+2155.2+2774.49+3438.05+2202.13+8844.26+9091.8+10733.1</f>
        <v>100862.09000000001</v>
      </c>
      <c r="N141" s="37"/>
      <c r="O141" s="37"/>
      <c r="P141" s="37"/>
      <c r="Q141" s="37"/>
      <c r="R141" s="37"/>
      <c r="S141" s="37"/>
      <c r="T141" s="36">
        <v>331401566.81999999</v>
      </c>
      <c r="U141" s="36">
        <f t="shared" si="34"/>
        <v>103495.26999998093</v>
      </c>
      <c r="V141" s="37"/>
      <c r="W141" s="36">
        <f t="shared" ref="W141:W162" si="38">U141</f>
        <v>103495.26999998093</v>
      </c>
      <c r="X141" s="36">
        <v>103495.27</v>
      </c>
      <c r="Y141" s="37"/>
      <c r="Z141" s="37"/>
      <c r="AA141" s="36">
        <f t="shared" si="35"/>
        <v>-1.9077560864388943E-8</v>
      </c>
      <c r="AB141" s="37"/>
      <c r="AC141" s="36">
        <f t="shared" si="32"/>
        <v>0</v>
      </c>
      <c r="AD141" s="37"/>
      <c r="AE141" s="36">
        <f>77208275+77208275+77208275+77208275</f>
        <v>308833100</v>
      </c>
      <c r="AF141" s="36">
        <f>75391.46+500+1239.96+2757.44+500+3300+893.15+3058.09+76.75+5073.36+2446.61+500+3547.23+96.14+729.53+500+751.8+500+863.5+500+14494.92+250053.15+14559.34+727.9+2266.84</f>
        <v>385327.17000000004</v>
      </c>
      <c r="AG141" s="36">
        <v>306444150.73000002</v>
      </c>
      <c r="AH141" s="37"/>
      <c r="AI141" s="41"/>
    </row>
    <row r="142" spans="1:35" ht="120" hidden="1" customHeight="1">
      <c r="A142" s="39" t="s">
        <v>126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7"/>
      <c r="O142" s="37"/>
      <c r="P142" s="37"/>
      <c r="Q142" s="37"/>
      <c r="R142" s="37"/>
      <c r="S142" s="37"/>
      <c r="T142" s="36"/>
      <c r="U142" s="36"/>
      <c r="V142" s="37"/>
      <c r="W142" s="36"/>
      <c r="X142" s="36"/>
      <c r="Y142" s="37"/>
      <c r="Z142" s="37"/>
      <c r="AA142" s="36"/>
      <c r="AB142" s="37"/>
      <c r="AC142" s="36"/>
      <c r="AD142" s="37"/>
      <c r="AE142" s="36">
        <f>8656000-8656000</f>
        <v>0</v>
      </c>
      <c r="AF142" s="36"/>
      <c r="AG142" s="36">
        <f>1748800+2611200+4296000-8656000</f>
        <v>0</v>
      </c>
      <c r="AH142" s="37"/>
      <c r="AI142" s="41"/>
    </row>
    <row r="143" spans="1:35" ht="81.75" hidden="1" customHeight="1">
      <c r="A143" s="51" t="s">
        <v>127</v>
      </c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>
        <f>11623.87+0.01+25912.84</f>
        <v>37536.720000000001</v>
      </c>
      <c r="N143" s="37"/>
      <c r="O143" s="37"/>
      <c r="P143" s="37"/>
      <c r="Q143" s="37"/>
      <c r="R143" s="37"/>
      <c r="S143" s="37"/>
      <c r="T143" s="36"/>
      <c r="U143" s="36">
        <f>H143+I143+L143+M143-T143+0.04</f>
        <v>37536.76</v>
      </c>
      <c r="V143" s="37"/>
      <c r="W143" s="36">
        <f t="shared" si="38"/>
        <v>37536.76</v>
      </c>
      <c r="X143" s="36">
        <f>37536.72+0.04</f>
        <v>37536.76</v>
      </c>
      <c r="Y143" s="36"/>
      <c r="Z143" s="36"/>
      <c r="AA143" s="36">
        <f t="shared" si="35"/>
        <v>0</v>
      </c>
      <c r="AB143" s="37"/>
      <c r="AC143" s="36">
        <f t="shared" si="32"/>
        <v>0</v>
      </c>
      <c r="AD143" s="37"/>
      <c r="AE143" s="36"/>
      <c r="AF143" s="36"/>
      <c r="AG143" s="36"/>
      <c r="AH143" s="37"/>
      <c r="AI143" s="41"/>
    </row>
    <row r="144" spans="1:35" ht="76.5" hidden="1" customHeight="1">
      <c r="A144" s="51" t="s">
        <v>128</v>
      </c>
      <c r="B144" s="36">
        <v>24028324.850000001</v>
      </c>
      <c r="C144" s="36"/>
      <c r="D144" s="36">
        <f>B144</f>
        <v>24028324.850000001</v>
      </c>
      <c r="E144" s="36">
        <f>D144</f>
        <v>24028324.850000001</v>
      </c>
      <c r="F144" s="36"/>
      <c r="G144" s="36"/>
      <c r="H144" s="36">
        <f t="shared" si="37"/>
        <v>0</v>
      </c>
      <c r="I144" s="36"/>
      <c r="J144" s="36"/>
      <c r="K144" s="36"/>
      <c r="L144" s="36">
        <f>6023600+4002600+1444800+1359800+1357900+4497500</f>
        <v>18686200</v>
      </c>
      <c r="M144" s="36">
        <f>4216.27+2000+814.8+1629.8+1353+610+1000-11623.87</f>
        <v>0</v>
      </c>
      <c r="N144" s="37"/>
      <c r="O144" s="37"/>
      <c r="P144" s="37"/>
      <c r="Q144" s="37"/>
      <c r="R144" s="37"/>
      <c r="S144" s="37"/>
      <c r="T144" s="36">
        <v>14701518.18</v>
      </c>
      <c r="U144" s="36">
        <f t="shared" si="34"/>
        <v>3984681.8200000003</v>
      </c>
      <c r="V144" s="37"/>
      <c r="W144" s="36">
        <f t="shared" si="38"/>
        <v>3984681.8200000003</v>
      </c>
      <c r="X144" s="36">
        <v>3984681.82</v>
      </c>
      <c r="Y144" s="36"/>
      <c r="Z144" s="36"/>
      <c r="AA144" s="36">
        <f t="shared" si="35"/>
        <v>0</v>
      </c>
      <c r="AB144" s="37"/>
      <c r="AC144" s="36">
        <f t="shared" si="32"/>
        <v>0</v>
      </c>
      <c r="AD144" s="37"/>
      <c r="AE144" s="36">
        <v>10590538.02</v>
      </c>
      <c r="AF144" s="36">
        <f>12900+3000+2000+1835.32</f>
        <v>19735.32</v>
      </c>
      <c r="AG144" s="36">
        <v>10608509.34</v>
      </c>
      <c r="AH144" s="37"/>
      <c r="AI144" s="41"/>
    </row>
    <row r="145" spans="1:35" ht="49.5" hidden="1" customHeight="1">
      <c r="A145" s="51" t="s">
        <v>130</v>
      </c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7"/>
      <c r="O145" s="37"/>
      <c r="P145" s="37"/>
      <c r="Q145" s="37"/>
      <c r="R145" s="37"/>
      <c r="S145" s="37"/>
      <c r="T145" s="36"/>
      <c r="U145" s="36"/>
      <c r="V145" s="37"/>
      <c r="W145" s="36"/>
      <c r="X145" s="36">
        <v>0</v>
      </c>
      <c r="Y145" s="36"/>
      <c r="Z145" s="36"/>
      <c r="AA145" s="36">
        <v>0</v>
      </c>
      <c r="AB145" s="37"/>
      <c r="AC145" s="36">
        <f t="shared" si="32"/>
        <v>0</v>
      </c>
      <c r="AD145" s="37"/>
      <c r="AE145" s="36">
        <v>97233193</v>
      </c>
      <c r="AF145" s="36">
        <f>25651.26</f>
        <v>25651.26</v>
      </c>
      <c r="AG145" s="36">
        <v>97233191.659999996</v>
      </c>
      <c r="AH145" s="37"/>
      <c r="AI145" s="41"/>
    </row>
    <row r="146" spans="1:35" ht="55.5" hidden="1" customHeight="1">
      <c r="A146" s="51" t="s">
        <v>129</v>
      </c>
      <c r="B146" s="36">
        <v>10838.7</v>
      </c>
      <c r="C146" s="36"/>
      <c r="D146" s="36">
        <f>B146</f>
        <v>10838.7</v>
      </c>
      <c r="E146" s="36">
        <f>D146</f>
        <v>10838.7</v>
      </c>
      <c r="F146" s="36"/>
      <c r="G146" s="36"/>
      <c r="H146" s="36">
        <f t="shared" si="37"/>
        <v>0</v>
      </c>
      <c r="I146" s="36"/>
      <c r="J146" s="36"/>
      <c r="K146" s="36"/>
      <c r="L146" s="36">
        <f>23144150+7714716.67+7714716.67+7714716.67+7714716.67+7714716.67+7714716.67+7714716.67+7714716.67+7714716.64</f>
        <v>92576600.000000015</v>
      </c>
      <c r="M146" s="36">
        <f>42128.9+ 35617.38+113673+56034</f>
        <v>247453.28</v>
      </c>
      <c r="N146" s="37"/>
      <c r="O146" s="37"/>
      <c r="P146" s="37"/>
      <c r="Q146" s="37"/>
      <c r="R146" s="37"/>
      <c r="S146" s="37"/>
      <c r="T146" s="36">
        <v>91192529.849999994</v>
      </c>
      <c r="U146" s="36">
        <f t="shared" si="34"/>
        <v>1631523.4300000221</v>
      </c>
      <c r="V146" s="37"/>
      <c r="W146" s="36">
        <f t="shared" si="38"/>
        <v>1631523.4300000221</v>
      </c>
      <c r="X146" s="36">
        <v>1631523.43</v>
      </c>
      <c r="Y146" s="36"/>
      <c r="Z146" s="36"/>
      <c r="AA146" s="36">
        <f t="shared" si="35"/>
        <v>2.2118911147117615E-8</v>
      </c>
      <c r="AB146" s="37"/>
      <c r="AC146" s="36">
        <f t="shared" si="32"/>
        <v>0</v>
      </c>
      <c r="AD146" s="37"/>
      <c r="AE146" s="36"/>
      <c r="AF146" s="36"/>
      <c r="AG146" s="36"/>
      <c r="AH146" s="37"/>
      <c r="AI146" s="41"/>
    </row>
    <row r="147" spans="1:35" ht="61.5" hidden="1" customHeight="1">
      <c r="A147" s="51" t="s">
        <v>131</v>
      </c>
      <c r="B147" s="36">
        <v>95410</v>
      </c>
      <c r="C147" s="36"/>
      <c r="D147" s="36">
        <v>95410</v>
      </c>
      <c r="E147" s="36">
        <f t="shared" ref="E147:E153" si="39">D147</f>
        <v>95410</v>
      </c>
      <c r="F147" s="36"/>
      <c r="G147" s="36"/>
      <c r="H147" s="36">
        <f t="shared" si="37"/>
        <v>0</v>
      </c>
      <c r="I147" s="36"/>
      <c r="J147" s="36"/>
      <c r="K147" s="36"/>
      <c r="L147" s="36">
        <f>40430+18990+18990+63690</f>
        <v>142100</v>
      </c>
      <c r="M147" s="36"/>
      <c r="N147" s="37"/>
      <c r="O147" s="37"/>
      <c r="P147" s="37"/>
      <c r="Q147" s="37"/>
      <c r="R147" s="37"/>
      <c r="S147" s="37"/>
      <c r="T147" s="36">
        <v>38423.15</v>
      </c>
      <c r="U147" s="36">
        <f t="shared" si="34"/>
        <v>103676.85</v>
      </c>
      <c r="V147" s="37"/>
      <c r="W147" s="36">
        <f t="shared" si="38"/>
        <v>103676.85</v>
      </c>
      <c r="X147" s="36">
        <v>103676.85</v>
      </c>
      <c r="Y147" s="36"/>
      <c r="Z147" s="36"/>
      <c r="AA147" s="36">
        <f t="shared" si="35"/>
        <v>0</v>
      </c>
      <c r="AB147" s="37"/>
      <c r="AC147" s="36">
        <f t="shared" si="32"/>
        <v>0</v>
      </c>
      <c r="AD147" s="37"/>
      <c r="AE147" s="36">
        <v>40344.36</v>
      </c>
      <c r="AF147" s="36"/>
      <c r="AG147" s="36">
        <v>40343.800000000003</v>
      </c>
      <c r="AH147" s="37"/>
      <c r="AI147" s="41"/>
    </row>
    <row r="148" spans="1:35" ht="68.25" hidden="1" customHeight="1">
      <c r="A148" s="51" t="s">
        <v>132</v>
      </c>
      <c r="B148" s="36">
        <v>423961.96</v>
      </c>
      <c r="C148" s="36"/>
      <c r="D148" s="36">
        <v>423961.96</v>
      </c>
      <c r="E148" s="36">
        <f t="shared" si="39"/>
        <v>423961.96</v>
      </c>
      <c r="F148" s="36"/>
      <c r="G148" s="36"/>
      <c r="H148" s="36">
        <f t="shared" si="37"/>
        <v>0</v>
      </c>
      <c r="I148" s="36"/>
      <c r="J148" s="36"/>
      <c r="K148" s="36"/>
      <c r="L148" s="36">
        <f>154675+154675+50</f>
        <v>309400</v>
      </c>
      <c r="M148" s="36"/>
      <c r="N148" s="37"/>
      <c r="O148" s="37"/>
      <c r="P148" s="37"/>
      <c r="Q148" s="37"/>
      <c r="R148" s="37"/>
      <c r="S148" s="37"/>
      <c r="T148" s="36">
        <v>26771.29</v>
      </c>
      <c r="U148" s="36">
        <f t="shared" si="34"/>
        <v>282628.71000000002</v>
      </c>
      <c r="V148" s="37"/>
      <c r="W148" s="36">
        <f t="shared" si="38"/>
        <v>282628.71000000002</v>
      </c>
      <c r="X148" s="36">
        <v>282628.71000000002</v>
      </c>
      <c r="Y148" s="36"/>
      <c r="Z148" s="36"/>
      <c r="AA148" s="36">
        <f t="shared" si="35"/>
        <v>0</v>
      </c>
      <c r="AB148" s="37"/>
      <c r="AC148" s="36">
        <f t="shared" si="32"/>
        <v>0</v>
      </c>
      <c r="AD148" s="37"/>
      <c r="AE148" s="36">
        <f>14930.24+7972.99+1501.58+940.54</f>
        <v>25345.35</v>
      </c>
      <c r="AF148" s="36"/>
      <c r="AG148" s="36">
        <f>24404.81+940.54</f>
        <v>25345.350000000002</v>
      </c>
      <c r="AH148" s="37"/>
      <c r="AI148" s="41"/>
    </row>
    <row r="149" spans="1:35" ht="98.25" hidden="1" customHeight="1">
      <c r="A149" s="35" t="s">
        <v>133</v>
      </c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7"/>
      <c r="O149" s="37"/>
      <c r="P149" s="37"/>
      <c r="Q149" s="37"/>
      <c r="R149" s="37"/>
      <c r="S149" s="37"/>
      <c r="T149" s="36"/>
      <c r="U149" s="36"/>
      <c r="V149" s="37"/>
      <c r="W149" s="36"/>
      <c r="X149" s="36"/>
      <c r="Y149" s="36"/>
      <c r="Z149" s="36"/>
      <c r="AA149" s="36"/>
      <c r="AB149" s="37"/>
      <c r="AC149" s="36">
        <f t="shared" si="32"/>
        <v>0</v>
      </c>
      <c r="AD149" s="37"/>
      <c r="AE149" s="36">
        <v>666200</v>
      </c>
      <c r="AF149" s="36"/>
      <c r="AG149" s="36">
        <v>561085</v>
      </c>
      <c r="AH149" s="37"/>
      <c r="AI149" s="41"/>
    </row>
    <row r="150" spans="1:35" ht="93" hidden="1" customHeight="1">
      <c r="A150" s="35" t="s">
        <v>134</v>
      </c>
      <c r="B150" s="36">
        <v>10900</v>
      </c>
      <c r="C150" s="36"/>
      <c r="D150" s="36">
        <v>10900</v>
      </c>
      <c r="E150" s="36">
        <f t="shared" si="39"/>
        <v>10900</v>
      </c>
      <c r="F150" s="36"/>
      <c r="G150" s="36"/>
      <c r="H150" s="36">
        <f t="shared" si="37"/>
        <v>0</v>
      </c>
      <c r="I150" s="36"/>
      <c r="J150" s="36"/>
      <c r="K150" s="36"/>
      <c r="L150" s="36">
        <v>650500</v>
      </c>
      <c r="M150" s="36"/>
      <c r="N150" s="37"/>
      <c r="O150" s="37"/>
      <c r="P150" s="37"/>
      <c r="Q150" s="37"/>
      <c r="R150" s="37"/>
      <c r="S150" s="37"/>
      <c r="T150" s="36">
        <v>319200</v>
      </c>
      <c r="U150" s="36">
        <f t="shared" si="34"/>
        <v>331300</v>
      </c>
      <c r="V150" s="37"/>
      <c r="W150" s="36">
        <f t="shared" si="38"/>
        <v>331300</v>
      </c>
      <c r="X150" s="36">
        <v>331300</v>
      </c>
      <c r="Y150" s="36"/>
      <c r="Z150" s="36"/>
      <c r="AA150" s="36">
        <f t="shared" si="35"/>
        <v>0</v>
      </c>
      <c r="AB150" s="37"/>
      <c r="AC150" s="36">
        <f t="shared" si="32"/>
        <v>0</v>
      </c>
      <c r="AD150" s="37"/>
      <c r="AE150" s="37"/>
      <c r="AF150" s="37"/>
      <c r="AG150" s="37"/>
      <c r="AH150" s="37"/>
      <c r="AI150" s="41"/>
    </row>
    <row r="151" spans="1:35" ht="54.75" hidden="1" customHeight="1">
      <c r="A151" s="35" t="s">
        <v>135</v>
      </c>
      <c r="B151" s="36">
        <v>97.5</v>
      </c>
      <c r="C151" s="36"/>
      <c r="D151" s="36">
        <v>97.5</v>
      </c>
      <c r="E151" s="36">
        <f t="shared" si="39"/>
        <v>97.5</v>
      </c>
      <c r="F151" s="36"/>
      <c r="G151" s="36"/>
      <c r="H151" s="36">
        <f t="shared" si="37"/>
        <v>0</v>
      </c>
      <c r="I151" s="36"/>
      <c r="J151" s="36"/>
      <c r="K151" s="36"/>
      <c r="L151" s="36">
        <v>101305</v>
      </c>
      <c r="M151" s="36"/>
      <c r="N151" s="37"/>
      <c r="O151" s="37"/>
      <c r="P151" s="37"/>
      <c r="Q151" s="37"/>
      <c r="R151" s="37"/>
      <c r="S151" s="37"/>
      <c r="T151" s="36">
        <v>101305</v>
      </c>
      <c r="U151" s="36">
        <f t="shared" si="34"/>
        <v>0</v>
      </c>
      <c r="V151" s="37"/>
      <c r="W151" s="36">
        <f t="shared" si="38"/>
        <v>0</v>
      </c>
      <c r="X151" s="37"/>
      <c r="Y151" s="37"/>
      <c r="Z151" s="37"/>
      <c r="AA151" s="36">
        <f t="shared" si="35"/>
        <v>0</v>
      </c>
      <c r="AB151" s="37"/>
      <c r="AC151" s="36">
        <f t="shared" si="32"/>
        <v>0</v>
      </c>
      <c r="AD151" s="37"/>
      <c r="AE151" s="37"/>
      <c r="AF151" s="37"/>
      <c r="AG151" s="37"/>
      <c r="AH151" s="37"/>
      <c r="AI151" s="41"/>
    </row>
    <row r="152" spans="1:35" ht="60" hidden="1" customHeight="1">
      <c r="A152" s="51" t="s">
        <v>136</v>
      </c>
      <c r="B152" s="36">
        <v>174000</v>
      </c>
      <c r="C152" s="36"/>
      <c r="D152" s="36">
        <v>174000</v>
      </c>
      <c r="E152" s="36">
        <f t="shared" si="39"/>
        <v>174000</v>
      </c>
      <c r="F152" s="36"/>
      <c r="G152" s="36"/>
      <c r="H152" s="36">
        <f t="shared" si="37"/>
        <v>0</v>
      </c>
      <c r="I152" s="36"/>
      <c r="J152" s="36"/>
      <c r="K152" s="36"/>
      <c r="L152" s="36">
        <f>46000+46500+57000+58000</f>
        <v>207500</v>
      </c>
      <c r="M152" s="36"/>
      <c r="N152" s="37"/>
      <c r="O152" s="37"/>
      <c r="P152" s="37"/>
      <c r="Q152" s="37"/>
      <c r="R152" s="37"/>
      <c r="S152" s="37"/>
      <c r="T152" s="36">
        <v>63060</v>
      </c>
      <c r="U152" s="36">
        <f t="shared" si="34"/>
        <v>144440</v>
      </c>
      <c r="V152" s="37"/>
      <c r="W152" s="36">
        <f t="shared" si="38"/>
        <v>144440</v>
      </c>
      <c r="X152" s="36">
        <v>144440</v>
      </c>
      <c r="Y152" s="36"/>
      <c r="Z152" s="36"/>
      <c r="AA152" s="36">
        <f t="shared" ref="AA152:AA162" si="40">W152-X152</f>
        <v>0</v>
      </c>
      <c r="AB152" s="37"/>
      <c r="AC152" s="36">
        <f t="shared" si="32"/>
        <v>0</v>
      </c>
      <c r="AD152" s="37"/>
      <c r="AE152" s="37"/>
      <c r="AF152" s="37"/>
      <c r="AG152" s="37"/>
      <c r="AH152" s="37"/>
      <c r="AI152" s="41">
        <v>0</v>
      </c>
    </row>
    <row r="153" spans="1:35" ht="65.25" hidden="1" customHeight="1">
      <c r="A153" s="57" t="s">
        <v>137</v>
      </c>
      <c r="B153" s="36"/>
      <c r="C153" s="36"/>
      <c r="D153" s="36">
        <f>B153</f>
        <v>0</v>
      </c>
      <c r="E153" s="36">
        <f t="shared" si="39"/>
        <v>0</v>
      </c>
      <c r="F153" s="36"/>
      <c r="G153" s="36"/>
      <c r="H153" s="36">
        <f t="shared" si="37"/>
        <v>0</v>
      </c>
      <c r="I153" s="36"/>
      <c r="J153" s="36"/>
      <c r="K153" s="36"/>
      <c r="L153" s="36"/>
      <c r="M153" s="36"/>
      <c r="N153" s="37"/>
      <c r="O153" s="37"/>
      <c r="P153" s="37"/>
      <c r="Q153" s="37"/>
      <c r="R153" s="37"/>
      <c r="S153" s="37"/>
      <c r="T153" s="36"/>
      <c r="U153" s="36">
        <f t="shared" si="34"/>
        <v>0</v>
      </c>
      <c r="V153" s="37"/>
      <c r="W153" s="36">
        <f t="shared" si="38"/>
        <v>0</v>
      </c>
      <c r="X153" s="36"/>
      <c r="Y153" s="36"/>
      <c r="Z153" s="36"/>
      <c r="AA153" s="36">
        <f t="shared" si="40"/>
        <v>0</v>
      </c>
      <c r="AB153" s="37"/>
      <c r="AC153" s="36">
        <f t="shared" si="32"/>
        <v>0</v>
      </c>
      <c r="AD153" s="37"/>
      <c r="AE153" s="37"/>
      <c r="AF153" s="36"/>
      <c r="AG153" s="37"/>
      <c r="AH153" s="37"/>
      <c r="AI153" s="41">
        <v>0</v>
      </c>
    </row>
    <row r="154" spans="1:35" ht="36.75" hidden="1" customHeight="1">
      <c r="A154" s="35" t="s">
        <v>138</v>
      </c>
      <c r="B154" s="36"/>
      <c r="C154" s="36"/>
      <c r="D154" s="36"/>
      <c r="E154" s="36"/>
      <c r="F154" s="36"/>
      <c r="G154" s="36"/>
      <c r="H154" s="36">
        <f t="shared" si="37"/>
        <v>0</v>
      </c>
      <c r="I154" s="36"/>
      <c r="J154" s="36"/>
      <c r="K154" s="36"/>
      <c r="L154" s="36"/>
      <c r="M154" s="36"/>
      <c r="N154" s="37"/>
      <c r="O154" s="37"/>
      <c r="P154" s="37"/>
      <c r="Q154" s="37"/>
      <c r="R154" s="37"/>
      <c r="S154" s="37"/>
      <c r="T154" s="36"/>
      <c r="U154" s="36">
        <f t="shared" si="34"/>
        <v>0</v>
      </c>
      <c r="V154" s="37"/>
      <c r="W154" s="36">
        <f t="shared" si="38"/>
        <v>0</v>
      </c>
      <c r="X154" s="37"/>
      <c r="Y154" s="37"/>
      <c r="Z154" s="37"/>
      <c r="AA154" s="36">
        <f t="shared" si="40"/>
        <v>0</v>
      </c>
      <c r="AB154" s="37"/>
      <c r="AC154" s="36">
        <f t="shared" si="32"/>
        <v>0</v>
      </c>
      <c r="AD154" s="37"/>
      <c r="AE154" s="37"/>
      <c r="AF154" s="36"/>
      <c r="AG154" s="37"/>
      <c r="AH154" s="37"/>
      <c r="AI154" s="41">
        <f t="shared" si="36"/>
        <v>0</v>
      </c>
    </row>
    <row r="155" spans="1:35" ht="36.75" customHeight="1">
      <c r="A155" s="35" t="s">
        <v>214</v>
      </c>
      <c r="B155" s="36">
        <v>40297779.560000002</v>
      </c>
      <c r="C155" s="36"/>
      <c r="D155" s="36">
        <f>B155</f>
        <v>40297779.560000002</v>
      </c>
      <c r="E155" s="36">
        <v>40297779.560000002</v>
      </c>
      <c r="F155" s="36"/>
      <c r="G155" s="36"/>
      <c r="H155" s="36"/>
      <c r="I155" s="36"/>
      <c r="J155" s="36"/>
      <c r="K155" s="36"/>
      <c r="L155" s="36">
        <f>24833600+31810800+35198600+110981200+40153200+34060000+34395300+28728000+30056500+32707600</f>
        <v>402924800</v>
      </c>
      <c r="M155" s="36">
        <f>308722.54+2238.08</f>
        <v>310960.62</v>
      </c>
      <c r="N155" s="36"/>
      <c r="O155" s="36"/>
      <c r="P155" s="36"/>
      <c r="Q155" s="36"/>
      <c r="R155" s="36"/>
      <c r="S155" s="36"/>
      <c r="T155" s="36">
        <v>391066310.94999999</v>
      </c>
      <c r="U155" s="36">
        <f>H155+I155+L155+M155-T155</f>
        <v>12169449.670000017</v>
      </c>
      <c r="V155" s="36"/>
      <c r="W155" s="36">
        <f t="shared" si="38"/>
        <v>12169449.670000017</v>
      </c>
      <c r="X155" s="59">
        <f>W155+290.7</f>
        <v>12169740.370000016</v>
      </c>
      <c r="Y155" s="36"/>
      <c r="Z155" s="36"/>
      <c r="AA155" s="36">
        <f t="shared" si="40"/>
        <v>-290.69999999925494</v>
      </c>
      <c r="AB155" s="37"/>
      <c r="AC155" s="36">
        <f t="shared" si="32"/>
        <v>0</v>
      </c>
      <c r="AD155" s="37"/>
      <c r="AE155" s="36">
        <f>191209300+34500+34465500+39200000+36600000+34000000+33000000+30000000</f>
        <v>398509300</v>
      </c>
      <c r="AF155" s="36">
        <f>475554.12+16238.8+83.61+194.03+546.57+11621.41+375.85+5352.3+2069.93+16298.23+32.9+196+1583.38+189.67+17007.72+112.1+5427.58+1466.84+1154.35+408+752.78+935.4+21183.56+341.8+9443.1+6681.64+6.84+700+200</f>
        <v>596158.51</v>
      </c>
      <c r="AG155" s="36">
        <v>389214667.81999999</v>
      </c>
      <c r="AH155" s="37"/>
      <c r="AI155" s="41">
        <v>19363.259999999998</v>
      </c>
    </row>
    <row r="156" spans="1:35" ht="36.75" hidden="1" customHeight="1">
      <c r="A156" s="35" t="s">
        <v>139</v>
      </c>
      <c r="B156" s="36">
        <v>823916.03</v>
      </c>
      <c r="C156" s="36"/>
      <c r="D156" s="36">
        <v>823916.03</v>
      </c>
      <c r="E156" s="36">
        <v>823916.03</v>
      </c>
      <c r="F156" s="36"/>
      <c r="G156" s="36"/>
      <c r="H156" s="36"/>
      <c r="I156" s="36"/>
      <c r="J156" s="36"/>
      <c r="K156" s="36"/>
      <c r="L156" s="36">
        <v>0</v>
      </c>
      <c r="M156" s="36">
        <f>5211.93+3862.67</f>
        <v>9074.6</v>
      </c>
      <c r="N156" s="36"/>
      <c r="O156" s="36"/>
      <c r="P156" s="36"/>
      <c r="Q156" s="36"/>
      <c r="R156" s="36"/>
      <c r="S156" s="36"/>
      <c r="T156" s="36">
        <v>0</v>
      </c>
      <c r="U156" s="36">
        <f t="shared" si="34"/>
        <v>9074.6</v>
      </c>
      <c r="V156" s="37"/>
      <c r="W156" s="36">
        <f t="shared" si="38"/>
        <v>9074.6</v>
      </c>
      <c r="X156" s="36">
        <v>9074.6</v>
      </c>
      <c r="Y156" s="37"/>
      <c r="Z156" s="37"/>
      <c r="AA156" s="36">
        <f t="shared" si="40"/>
        <v>0</v>
      </c>
      <c r="AB156" s="37"/>
      <c r="AC156" s="36">
        <f t="shared" si="32"/>
        <v>0</v>
      </c>
      <c r="AD156" s="37"/>
      <c r="AE156" s="36">
        <v>0</v>
      </c>
      <c r="AF156" s="36">
        <v>0</v>
      </c>
      <c r="AG156" s="36">
        <v>0</v>
      </c>
      <c r="AH156" s="37"/>
      <c r="AI156" s="41">
        <v>0</v>
      </c>
    </row>
    <row r="157" spans="1:35" ht="63" hidden="1" customHeight="1">
      <c r="A157" s="35" t="s">
        <v>140</v>
      </c>
      <c r="B157" s="36">
        <v>456</v>
      </c>
      <c r="C157" s="36"/>
      <c r="D157" s="36">
        <f>B157</f>
        <v>456</v>
      </c>
      <c r="E157" s="36">
        <v>456</v>
      </c>
      <c r="F157" s="36"/>
      <c r="G157" s="36"/>
      <c r="H157" s="36">
        <f t="shared" si="37"/>
        <v>0</v>
      </c>
      <c r="I157" s="36"/>
      <c r="J157" s="36"/>
      <c r="K157" s="36"/>
      <c r="L157" s="36"/>
      <c r="M157" s="36"/>
      <c r="N157" s="37"/>
      <c r="O157" s="37"/>
      <c r="P157" s="37"/>
      <c r="Q157" s="37"/>
      <c r="R157" s="37"/>
      <c r="S157" s="37"/>
      <c r="T157" s="36"/>
      <c r="U157" s="36">
        <f t="shared" si="34"/>
        <v>0</v>
      </c>
      <c r="V157" s="37"/>
      <c r="W157" s="36">
        <f t="shared" si="38"/>
        <v>0</v>
      </c>
      <c r="X157" s="37"/>
      <c r="Y157" s="37"/>
      <c r="Z157" s="37"/>
      <c r="AA157" s="36">
        <f t="shared" si="40"/>
        <v>0</v>
      </c>
      <c r="AB157" s="37"/>
      <c r="AC157" s="36">
        <f t="shared" si="32"/>
        <v>0</v>
      </c>
      <c r="AD157" s="37"/>
      <c r="AE157" s="37"/>
      <c r="AF157" s="36"/>
      <c r="AG157" s="37"/>
      <c r="AH157" s="37"/>
      <c r="AI157" s="41">
        <v>0</v>
      </c>
    </row>
    <row r="158" spans="1:35" ht="123.75" hidden="1" customHeight="1">
      <c r="A158" s="39" t="s">
        <v>141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7"/>
      <c r="O158" s="37"/>
      <c r="P158" s="37"/>
      <c r="Q158" s="37"/>
      <c r="R158" s="37"/>
      <c r="S158" s="37"/>
      <c r="T158" s="36"/>
      <c r="U158" s="36"/>
      <c r="V158" s="37"/>
      <c r="W158" s="36"/>
      <c r="X158" s="37"/>
      <c r="Y158" s="37"/>
      <c r="Z158" s="37"/>
      <c r="AA158" s="36"/>
      <c r="AB158" s="37"/>
      <c r="AC158" s="36"/>
      <c r="AD158" s="37"/>
      <c r="AE158" s="36">
        <v>4800000</v>
      </c>
      <c r="AF158" s="36"/>
      <c r="AG158" s="70">
        <v>4039250</v>
      </c>
      <c r="AH158" s="37"/>
      <c r="AI158" s="41">
        <v>0</v>
      </c>
    </row>
    <row r="159" spans="1:35" ht="111" hidden="1" customHeight="1">
      <c r="A159" s="39" t="s">
        <v>215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7"/>
      <c r="O159" s="37"/>
      <c r="P159" s="37"/>
      <c r="Q159" s="37"/>
      <c r="R159" s="37"/>
      <c r="S159" s="37"/>
      <c r="T159" s="36"/>
      <c r="U159" s="36"/>
      <c r="V159" s="37"/>
      <c r="W159" s="36"/>
      <c r="X159" s="37"/>
      <c r="Y159" s="37"/>
      <c r="Z159" s="37"/>
      <c r="AA159" s="36"/>
      <c r="AB159" s="37"/>
      <c r="AC159" s="36"/>
      <c r="AD159" s="37"/>
      <c r="AE159" s="36">
        <f>294000+70600</f>
        <v>364600</v>
      </c>
      <c r="AF159" s="36"/>
      <c r="AG159" s="70">
        <v>364600</v>
      </c>
      <c r="AH159" s="37"/>
      <c r="AI159" s="41">
        <v>0</v>
      </c>
    </row>
    <row r="160" spans="1:35" ht="78.75" hidden="1" customHeight="1">
      <c r="A160" s="35" t="s">
        <v>216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7"/>
      <c r="O160" s="37"/>
      <c r="P160" s="37"/>
      <c r="Q160" s="37"/>
      <c r="R160" s="37"/>
      <c r="S160" s="37"/>
      <c r="T160" s="36"/>
      <c r="U160" s="36"/>
      <c r="V160" s="37"/>
      <c r="W160" s="36"/>
      <c r="X160" s="37"/>
      <c r="Y160" s="37"/>
      <c r="Z160" s="37"/>
      <c r="AA160" s="36">
        <f t="shared" si="40"/>
        <v>0</v>
      </c>
      <c r="AB160" s="37"/>
      <c r="AC160" s="36">
        <f t="shared" si="32"/>
        <v>0</v>
      </c>
      <c r="AD160" s="37"/>
      <c r="AE160" s="70">
        <f>871200+8656000</f>
        <v>9527200</v>
      </c>
      <c r="AF160" s="36"/>
      <c r="AG160" s="70">
        <f>381600+280800+184000+8656000</f>
        <v>9502400</v>
      </c>
      <c r="AH160" s="37"/>
      <c r="AI160" s="41">
        <v>0</v>
      </c>
    </row>
    <row r="161" spans="1:35" ht="35.25" customHeight="1">
      <c r="A161" s="35" t="s">
        <v>227</v>
      </c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7"/>
      <c r="O161" s="37"/>
      <c r="P161" s="37"/>
      <c r="Q161" s="37"/>
      <c r="R161" s="37"/>
      <c r="S161" s="37"/>
      <c r="T161" s="36"/>
      <c r="U161" s="36"/>
      <c r="V161" s="37"/>
      <c r="W161" s="36"/>
      <c r="X161" s="37"/>
      <c r="Y161" s="37"/>
      <c r="Z161" s="37"/>
      <c r="AA161" s="36"/>
      <c r="AB161" s="37"/>
      <c r="AC161" s="36"/>
      <c r="AD161" s="37"/>
      <c r="AE161" s="70"/>
      <c r="AF161" s="36"/>
      <c r="AG161" s="70"/>
      <c r="AH161" s="37"/>
      <c r="AI161" s="41">
        <v>300</v>
      </c>
    </row>
    <row r="162" spans="1:35" ht="51.75" customHeight="1">
      <c r="A162" s="51" t="s">
        <v>229</v>
      </c>
      <c r="B162" s="36">
        <v>255774.67</v>
      </c>
      <c r="C162" s="36"/>
      <c r="D162" s="36">
        <f>B162</f>
        <v>255774.67</v>
      </c>
      <c r="E162" s="36">
        <f>D162</f>
        <v>255774.67</v>
      </c>
      <c r="F162" s="36"/>
      <c r="G162" s="36"/>
      <c r="H162" s="36">
        <f t="shared" si="37"/>
        <v>0</v>
      </c>
      <c r="I162" s="36"/>
      <c r="J162" s="36"/>
      <c r="K162" s="36"/>
      <c r="L162" s="36">
        <f>1962200+2943200</f>
        <v>4905400</v>
      </c>
      <c r="M162" s="36">
        <f>25927.76+4000+2000+80+1057.1+2496.38+1118.28+2000+2254.15+2410.89</f>
        <v>43344.56</v>
      </c>
      <c r="N162" s="37"/>
      <c r="O162" s="37"/>
      <c r="P162" s="37"/>
      <c r="Q162" s="37"/>
      <c r="R162" s="37"/>
      <c r="S162" s="37"/>
      <c r="T162" s="36">
        <v>4905400</v>
      </c>
      <c r="U162" s="36">
        <f t="shared" si="34"/>
        <v>43344.55999999959</v>
      </c>
      <c r="V162" s="37"/>
      <c r="W162" s="36">
        <f t="shared" si="38"/>
        <v>43344.55999999959</v>
      </c>
      <c r="X162" s="36">
        <v>43344.56</v>
      </c>
      <c r="Y162" s="37"/>
      <c r="Z162" s="37"/>
      <c r="AA162" s="36">
        <f t="shared" si="40"/>
        <v>-4.0745362639427185E-10</v>
      </c>
      <c r="AB162" s="37"/>
      <c r="AC162" s="36">
        <f t="shared" si="32"/>
        <v>0</v>
      </c>
      <c r="AD162" s="37"/>
      <c r="AE162" s="36">
        <f>3680000+1652600+2412900</f>
        <v>7745500</v>
      </c>
      <c r="AF162" s="36">
        <f>180818.21+14000+1000+4573.09+493.74+2000+3000+3000+2719.21+1171.27+650</f>
        <v>213425.51999999996</v>
      </c>
      <c r="AG162" s="36">
        <v>7745500</v>
      </c>
      <c r="AH162" s="37"/>
      <c r="AI162" s="41">
        <v>3497.78</v>
      </c>
    </row>
    <row r="163" spans="1:35" ht="35.25" customHeight="1">
      <c r="A163" s="42" t="s">
        <v>142</v>
      </c>
      <c r="B163" s="65">
        <f>SUM(B137:B162)</f>
        <v>66394170.13000001</v>
      </c>
      <c r="C163" s="65">
        <f>SUM(C137:C162)</f>
        <v>0</v>
      </c>
      <c r="D163" s="65">
        <f>SUM(D137:D162)</f>
        <v>66394170.13000001</v>
      </c>
      <c r="E163" s="65">
        <f>SUM(E137:E162)</f>
        <v>66394170.13000001</v>
      </c>
      <c r="F163" s="65">
        <f>SUM(F137:F162)</f>
        <v>0</v>
      </c>
      <c r="G163" s="65">
        <f>SUM(G137:G162)</f>
        <v>0</v>
      </c>
      <c r="H163" s="65">
        <f>SUM(H137:H162)</f>
        <v>0</v>
      </c>
      <c r="I163" s="65">
        <f>SUM(I137:I162)</f>
        <v>0</v>
      </c>
      <c r="J163" s="65">
        <f>SUM(J137:J162)</f>
        <v>0</v>
      </c>
      <c r="K163" s="65">
        <f>SUM(K137:K162)</f>
        <v>0</v>
      </c>
      <c r="L163" s="65">
        <f>SUM(L137:L162)</f>
        <v>976231705</v>
      </c>
      <c r="M163" s="65">
        <f>SUM(M137:M162)</f>
        <v>749231.86999999988</v>
      </c>
      <c r="N163" s="65">
        <f>SUM(N137:N162)</f>
        <v>0</v>
      </c>
      <c r="O163" s="65">
        <f>SUM(O137:O162)</f>
        <v>0</v>
      </c>
      <c r="P163" s="65">
        <f>SUM(P137:P162)</f>
        <v>0</v>
      </c>
      <c r="Q163" s="65">
        <f>SUM(Q137:Q162)</f>
        <v>0</v>
      </c>
      <c r="R163" s="65">
        <f>SUM(R137:R162)</f>
        <v>0</v>
      </c>
      <c r="S163" s="65">
        <f>SUM(S137:S162)</f>
        <v>0</v>
      </c>
      <c r="T163" s="65">
        <f>SUM(T137:T162)</f>
        <v>958139785.24000001</v>
      </c>
      <c r="U163" s="65">
        <f>SUM(U137:U162)</f>
        <v>18841151.67000002</v>
      </c>
      <c r="V163" s="65">
        <f>SUM(V137:V162)</f>
        <v>0</v>
      </c>
      <c r="W163" s="65">
        <f>SUM(W137:W162)</f>
        <v>18841151.67000002</v>
      </c>
      <c r="X163" s="65">
        <f>SUM(X137:X162)</f>
        <v>18841442.370000016</v>
      </c>
      <c r="Y163" s="65">
        <f>SUM(Y137:Y162)</f>
        <v>0</v>
      </c>
      <c r="Z163" s="65">
        <f>SUM(Z137:Z162)</f>
        <v>0</v>
      </c>
      <c r="AA163" s="65">
        <f>SUM(AA137:AA162)</f>
        <v>-290.69999999662105</v>
      </c>
      <c r="AB163" s="65">
        <f>SUM(AB137:AB162)</f>
        <v>0</v>
      </c>
      <c r="AC163" s="65">
        <f>SUM(AC137:AC162)</f>
        <v>0</v>
      </c>
      <c r="AD163" s="65">
        <f>SUM(AD137:AD162)</f>
        <v>0</v>
      </c>
      <c r="AE163" s="65">
        <f>SUM(AE137:AE162)</f>
        <v>1452212977.25</v>
      </c>
      <c r="AF163" s="65">
        <f>SUM(AF137:AF162)</f>
        <v>1240297.78</v>
      </c>
      <c r="AG163" s="65">
        <f>SUM(AG137:AG162)</f>
        <v>1433700295.54</v>
      </c>
      <c r="AH163" s="62" t="e">
        <f>#REF!-18149588.53</f>
        <v>#REF!</v>
      </c>
      <c r="AI163" s="65">
        <f>SUM(AI137:AI162)</f>
        <v>34392.379999999997</v>
      </c>
    </row>
    <row r="164" spans="1:35" s="3" customFormat="1" ht="96.75" hidden="1" customHeight="1">
      <c r="A164" s="66" t="s">
        <v>143</v>
      </c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4">
        <v>4000000</v>
      </c>
      <c r="AF164" s="65"/>
      <c r="AG164" s="64">
        <v>4000000</v>
      </c>
      <c r="AH164" s="37"/>
      <c r="AI164" s="65"/>
    </row>
    <row r="165" spans="1:35" s="3" customFormat="1" ht="14.25" hidden="1" customHeight="1" thickBot="1">
      <c r="A165" s="42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37"/>
      <c r="AI165" s="65"/>
    </row>
    <row r="166" spans="1:35" ht="32.25" hidden="1" customHeight="1" thickBot="1">
      <c r="A166" s="42" t="s">
        <v>144</v>
      </c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>
        <f t="shared" ref="U166:AG166" si="41">U164+U165</f>
        <v>0</v>
      </c>
      <c r="V166" s="65">
        <f t="shared" si="41"/>
        <v>0</v>
      </c>
      <c r="W166" s="65">
        <f t="shared" si="41"/>
        <v>0</v>
      </c>
      <c r="X166" s="65">
        <f t="shared" si="41"/>
        <v>0</v>
      </c>
      <c r="Y166" s="65">
        <f t="shared" si="41"/>
        <v>0</v>
      </c>
      <c r="Z166" s="65">
        <f t="shared" si="41"/>
        <v>0</v>
      </c>
      <c r="AA166" s="65">
        <f t="shared" si="41"/>
        <v>0</v>
      </c>
      <c r="AB166" s="65">
        <f t="shared" si="41"/>
        <v>0</v>
      </c>
      <c r="AC166" s="65">
        <f t="shared" si="41"/>
        <v>0</v>
      </c>
      <c r="AD166" s="65">
        <f t="shared" si="41"/>
        <v>0</v>
      </c>
      <c r="AE166" s="65">
        <f t="shared" si="41"/>
        <v>4000000</v>
      </c>
      <c r="AF166" s="65">
        <f t="shared" si="41"/>
        <v>0</v>
      </c>
      <c r="AG166" s="65">
        <f t="shared" si="41"/>
        <v>4000000</v>
      </c>
      <c r="AH166" s="37"/>
      <c r="AI166" s="65">
        <f t="shared" ref="AI166" si="42">AI164+AI165</f>
        <v>0</v>
      </c>
    </row>
    <row r="167" spans="1:35" ht="54.75" hidden="1" customHeight="1">
      <c r="A167" s="51" t="s">
        <v>121</v>
      </c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4">
        <v>150000</v>
      </c>
      <c r="N167" s="65"/>
      <c r="O167" s="65"/>
      <c r="P167" s="65"/>
      <c r="Q167" s="65"/>
      <c r="R167" s="65"/>
      <c r="S167" s="65"/>
      <c r="T167" s="64">
        <v>0</v>
      </c>
      <c r="U167" s="36"/>
      <c r="V167" s="36"/>
      <c r="W167" s="36"/>
      <c r="X167" s="36"/>
      <c r="Y167" s="37"/>
      <c r="Z167" s="37"/>
      <c r="AA167" s="36">
        <f>W167-X167</f>
        <v>0</v>
      </c>
      <c r="AB167" s="37"/>
      <c r="AC167" s="36"/>
      <c r="AD167" s="37"/>
      <c r="AE167" s="36"/>
      <c r="AF167" s="37"/>
      <c r="AG167" s="37"/>
      <c r="AH167" s="37"/>
      <c r="AI167" s="41"/>
    </row>
    <row r="168" spans="1:35" ht="111" hidden="1" customHeight="1">
      <c r="A168" s="51" t="s">
        <v>145</v>
      </c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4"/>
      <c r="N168" s="65"/>
      <c r="O168" s="65"/>
      <c r="P168" s="65"/>
      <c r="Q168" s="65"/>
      <c r="R168" s="65"/>
      <c r="S168" s="65"/>
      <c r="T168" s="64"/>
      <c r="U168" s="36"/>
      <c r="V168" s="36"/>
      <c r="W168" s="36"/>
      <c r="X168" s="36"/>
      <c r="Y168" s="37"/>
      <c r="Z168" s="37"/>
      <c r="AA168" s="36"/>
      <c r="AB168" s="37"/>
      <c r="AC168" s="36"/>
      <c r="AD168" s="37"/>
      <c r="AE168" s="36">
        <v>29037612</v>
      </c>
      <c r="AF168" s="37"/>
      <c r="AG168" s="36">
        <v>29037612</v>
      </c>
      <c r="AH168" s="37"/>
      <c r="AI168" s="41"/>
    </row>
    <row r="169" spans="1:35" ht="61.5" hidden="1" customHeight="1">
      <c r="A169" s="51" t="s">
        <v>146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4">
        <v>4083278</v>
      </c>
      <c r="M169" s="64"/>
      <c r="N169" s="65"/>
      <c r="O169" s="65"/>
      <c r="P169" s="65"/>
      <c r="Q169" s="65"/>
      <c r="R169" s="65"/>
      <c r="S169" s="65"/>
      <c r="T169" s="64">
        <v>4083278</v>
      </c>
      <c r="U169" s="36">
        <f t="shared" ref="U169:U186" si="43">H169+I169+L169+M169-T169</f>
        <v>0</v>
      </c>
      <c r="V169" s="36"/>
      <c r="W169" s="36">
        <f>U169</f>
        <v>0</v>
      </c>
      <c r="X169" s="36"/>
      <c r="Y169" s="36"/>
      <c r="Z169" s="36"/>
      <c r="AA169" s="36">
        <f>W169-X169</f>
        <v>0</v>
      </c>
      <c r="AB169" s="37"/>
      <c r="AC169" s="36"/>
      <c r="AD169" s="37"/>
      <c r="AE169" s="36">
        <v>7174858</v>
      </c>
      <c r="AF169" s="37"/>
      <c r="AG169" s="36">
        <v>7174858</v>
      </c>
      <c r="AH169" s="37"/>
      <c r="AI169" s="41"/>
    </row>
    <row r="170" spans="1:35" ht="135" hidden="1" customHeight="1">
      <c r="A170" s="51" t="s">
        <v>147</v>
      </c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4"/>
      <c r="M170" s="64"/>
      <c r="N170" s="65"/>
      <c r="O170" s="65"/>
      <c r="P170" s="65"/>
      <c r="Q170" s="65"/>
      <c r="R170" s="65"/>
      <c r="S170" s="65"/>
      <c r="T170" s="64"/>
      <c r="U170" s="36"/>
      <c r="V170" s="36"/>
      <c r="W170" s="36"/>
      <c r="X170" s="36"/>
      <c r="Y170" s="36"/>
      <c r="Z170" s="36"/>
      <c r="AA170" s="36"/>
      <c r="AB170" s="37"/>
      <c r="AC170" s="36"/>
      <c r="AD170" s="37"/>
      <c r="AE170" s="36">
        <v>2771776</v>
      </c>
      <c r="AF170" s="37"/>
      <c r="AG170" s="36">
        <v>2771776</v>
      </c>
      <c r="AH170" s="37"/>
      <c r="AI170" s="41"/>
    </row>
    <row r="171" spans="1:35" ht="115.5" hidden="1" customHeight="1">
      <c r="A171" s="51" t="s">
        <v>148</v>
      </c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4"/>
      <c r="M171" s="64"/>
      <c r="N171" s="65"/>
      <c r="O171" s="65"/>
      <c r="P171" s="65"/>
      <c r="Q171" s="65"/>
      <c r="R171" s="65"/>
      <c r="S171" s="65"/>
      <c r="T171" s="64"/>
      <c r="U171" s="36"/>
      <c r="V171" s="36"/>
      <c r="W171" s="36"/>
      <c r="X171" s="36"/>
      <c r="Y171" s="36"/>
      <c r="Z171" s="36"/>
      <c r="AA171" s="36"/>
      <c r="AB171" s="37"/>
      <c r="AC171" s="36"/>
      <c r="AD171" s="37"/>
      <c r="AE171" s="36">
        <v>8421000</v>
      </c>
      <c r="AF171" s="37"/>
      <c r="AG171" s="36">
        <v>8421000</v>
      </c>
      <c r="AH171" s="37"/>
      <c r="AI171" s="41"/>
    </row>
    <row r="172" spans="1:35" ht="64.5" hidden="1" customHeight="1">
      <c r="A172" s="51" t="s">
        <v>149</v>
      </c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4">
        <v>59684656</v>
      </c>
      <c r="M172" s="64"/>
      <c r="N172" s="65"/>
      <c r="O172" s="65"/>
      <c r="P172" s="65"/>
      <c r="Q172" s="65"/>
      <c r="R172" s="65"/>
      <c r="S172" s="65"/>
      <c r="T172" s="64">
        <v>56400000</v>
      </c>
      <c r="U172" s="36">
        <f t="shared" si="43"/>
        <v>3284656</v>
      </c>
      <c r="V172" s="36">
        <v>1370471.89</v>
      </c>
      <c r="W172" s="36">
        <f>U172+V172</f>
        <v>4655127.8899999997</v>
      </c>
      <c r="X172" s="36">
        <v>4655127.8899999997</v>
      </c>
      <c r="Y172" s="36">
        <v>1370471.89</v>
      </c>
      <c r="Z172" s="36">
        <v>1370471.89</v>
      </c>
      <c r="AA172" s="36">
        <f>W172-X172</f>
        <v>0</v>
      </c>
      <c r="AB172" s="36">
        <v>1370471.89</v>
      </c>
      <c r="AC172" s="36">
        <f>Y172-AB172</f>
        <v>0</v>
      </c>
      <c r="AD172" s="36">
        <v>1370471.89</v>
      </c>
      <c r="AE172" s="37"/>
      <c r="AF172" s="37"/>
      <c r="AG172" s="36"/>
      <c r="AH172" s="37"/>
      <c r="AI172" s="41"/>
    </row>
    <row r="173" spans="1:35" ht="54" customHeight="1">
      <c r="A173" s="40" t="s">
        <v>217</v>
      </c>
      <c r="B173" s="64">
        <v>29560</v>
      </c>
      <c r="C173" s="64">
        <v>293983.83</v>
      </c>
      <c r="D173" s="65"/>
      <c r="E173" s="64">
        <v>29560</v>
      </c>
      <c r="F173" s="65"/>
      <c r="G173" s="65"/>
      <c r="H173" s="65"/>
      <c r="I173" s="65"/>
      <c r="J173" s="65"/>
      <c r="K173" s="65"/>
      <c r="L173" s="64"/>
      <c r="M173" s="64">
        <f>256862.53+37121.3</f>
        <v>293983.83</v>
      </c>
      <c r="N173" s="65"/>
      <c r="O173" s="65"/>
      <c r="P173" s="65"/>
      <c r="Q173" s="65"/>
      <c r="R173" s="65"/>
      <c r="S173" s="65"/>
      <c r="T173" s="64"/>
      <c r="U173" s="36">
        <f t="shared" si="43"/>
        <v>293983.83</v>
      </c>
      <c r="V173" s="36"/>
      <c r="W173" s="36">
        <f>U173</f>
        <v>293983.83</v>
      </c>
      <c r="X173" s="36">
        <v>293983.83</v>
      </c>
      <c r="Y173" s="36"/>
      <c r="Z173" s="36"/>
      <c r="AA173" s="36">
        <f>W173-X173</f>
        <v>0</v>
      </c>
      <c r="AB173" s="37"/>
      <c r="AC173" s="36"/>
      <c r="AD173" s="36"/>
      <c r="AE173" s="36"/>
      <c r="AF173" s="36">
        <v>70000</v>
      </c>
      <c r="AG173" s="36"/>
      <c r="AH173" s="37"/>
      <c r="AI173" s="41">
        <v>14521679.939999999</v>
      </c>
    </row>
    <row r="174" spans="1:35" ht="12.75" hidden="1" customHeight="1">
      <c r="A174" s="53" t="s">
        <v>184</v>
      </c>
      <c r="B174" s="64"/>
      <c r="C174" s="64"/>
      <c r="D174" s="65"/>
      <c r="E174" s="64"/>
      <c r="F174" s="65"/>
      <c r="G174" s="65"/>
      <c r="H174" s="65"/>
      <c r="I174" s="65"/>
      <c r="J174" s="65"/>
      <c r="K174" s="65"/>
      <c r="L174" s="64"/>
      <c r="M174" s="64"/>
      <c r="N174" s="65"/>
      <c r="O174" s="65"/>
      <c r="P174" s="65"/>
      <c r="Q174" s="65"/>
      <c r="R174" s="65"/>
      <c r="S174" s="65"/>
      <c r="T174" s="64"/>
      <c r="U174" s="36"/>
      <c r="V174" s="36"/>
      <c r="W174" s="36"/>
      <c r="X174" s="36"/>
      <c r="Y174" s="36"/>
      <c r="Z174" s="36"/>
      <c r="AA174" s="36"/>
      <c r="AB174" s="37"/>
      <c r="AC174" s="36"/>
      <c r="AD174" s="36"/>
      <c r="AE174" s="36"/>
      <c r="AF174" s="36"/>
      <c r="AG174" s="36"/>
      <c r="AH174" s="37"/>
      <c r="AI174" s="41"/>
    </row>
    <row r="175" spans="1:35" s="4" customFormat="1" ht="50.25" hidden="1" customHeight="1">
      <c r="A175" s="49" t="s">
        <v>150</v>
      </c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48">
        <f>1380888.32+227556.03+43642.4+376631.06+1855.9+70107.75+3070.95+386015.38+6066.1+18795+478726.81+20601.9+374326.6+34572.96+20601.9+782389.96+15970.7+20601.9+374326.58+37931.31+383445.33+116247.95+7609.34+73299.05+493497.87+41203.8+50263.6+63233.8+275500+347534.61</f>
        <v>6526514.8599999994</v>
      </c>
      <c r="M175" s="65"/>
      <c r="N175" s="65"/>
      <c r="O175" s="65"/>
      <c r="P175" s="65"/>
      <c r="Q175" s="65"/>
      <c r="R175" s="65"/>
      <c r="S175" s="65"/>
      <c r="T175" s="64">
        <v>6526514.8600000003</v>
      </c>
      <c r="U175" s="36">
        <f t="shared" si="43"/>
        <v>0</v>
      </c>
      <c r="V175" s="37"/>
      <c r="W175" s="36">
        <f>U175</f>
        <v>0</v>
      </c>
      <c r="X175" s="37"/>
      <c r="Y175" s="37"/>
      <c r="Z175" s="37"/>
      <c r="AA175" s="36">
        <f>W175-X175</f>
        <v>0</v>
      </c>
      <c r="AB175" s="37"/>
      <c r="AC175" s="36">
        <f>Z175-AB175</f>
        <v>0</v>
      </c>
      <c r="AD175" s="37"/>
      <c r="AE175" s="36">
        <v>8051255.21</v>
      </c>
      <c r="AF175" s="37"/>
      <c r="AG175" s="36">
        <v>8051255.21</v>
      </c>
      <c r="AH175" s="37"/>
      <c r="AI175" s="38"/>
    </row>
    <row r="176" spans="1:35" s="4" customFormat="1" ht="127.5" hidden="1" customHeight="1">
      <c r="A176" s="55" t="s">
        <v>151</v>
      </c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48"/>
      <c r="M176" s="65"/>
      <c r="N176" s="65"/>
      <c r="O176" s="65"/>
      <c r="P176" s="65"/>
      <c r="Q176" s="65"/>
      <c r="R176" s="65"/>
      <c r="S176" s="65"/>
      <c r="T176" s="64"/>
      <c r="U176" s="36"/>
      <c r="V176" s="37"/>
      <c r="W176" s="36"/>
      <c r="X176" s="37"/>
      <c r="Y176" s="37"/>
      <c r="Z176" s="37"/>
      <c r="AA176" s="36"/>
      <c r="AB176" s="37"/>
      <c r="AC176" s="36"/>
      <c r="AD176" s="37"/>
      <c r="AE176" s="36">
        <v>2771776</v>
      </c>
      <c r="AF176" s="37"/>
      <c r="AG176" s="36">
        <v>2771776</v>
      </c>
      <c r="AH176" s="37"/>
      <c r="AI176" s="38"/>
    </row>
    <row r="177" spans="1:35" s="4" customFormat="1" ht="50.25" hidden="1" customHeight="1">
      <c r="A177" s="49" t="s">
        <v>152</v>
      </c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48"/>
      <c r="M177" s="65"/>
      <c r="N177" s="65"/>
      <c r="O177" s="65"/>
      <c r="P177" s="65"/>
      <c r="Q177" s="65"/>
      <c r="R177" s="65"/>
      <c r="S177" s="65"/>
      <c r="T177" s="64"/>
      <c r="U177" s="36"/>
      <c r="V177" s="37"/>
      <c r="W177" s="36"/>
      <c r="X177" s="37"/>
      <c r="Y177" s="37"/>
      <c r="Z177" s="37"/>
      <c r="AA177" s="36"/>
      <c r="AB177" s="37"/>
      <c r="AC177" s="36">
        <f>Z177-AB177</f>
        <v>0</v>
      </c>
      <c r="AD177" s="37"/>
      <c r="AE177" s="36">
        <v>20000000</v>
      </c>
      <c r="AF177" s="37"/>
      <c r="AG177" s="36">
        <v>11475000</v>
      </c>
      <c r="AH177" s="37"/>
      <c r="AI177" s="41"/>
    </row>
    <row r="178" spans="1:35" s="4" customFormat="1" ht="96.75" hidden="1" customHeight="1">
      <c r="A178" s="55" t="s">
        <v>153</v>
      </c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48"/>
      <c r="M178" s="65"/>
      <c r="N178" s="65"/>
      <c r="O178" s="65"/>
      <c r="P178" s="65"/>
      <c r="Q178" s="65"/>
      <c r="R178" s="65"/>
      <c r="S178" s="65"/>
      <c r="T178" s="64"/>
      <c r="U178" s="36"/>
      <c r="V178" s="37"/>
      <c r="W178" s="36"/>
      <c r="X178" s="37"/>
      <c r="Y178" s="37"/>
      <c r="Z178" s="37"/>
      <c r="AA178" s="36"/>
      <c r="AB178" s="37"/>
      <c r="AC178" s="36"/>
      <c r="AD178" s="37"/>
      <c r="AE178" s="36">
        <v>25414900</v>
      </c>
      <c r="AF178" s="37"/>
      <c r="AG178" s="36">
        <v>25414900</v>
      </c>
      <c r="AH178" s="37"/>
      <c r="AI178" s="38"/>
    </row>
    <row r="179" spans="1:35" s="4" customFormat="1" ht="96.75" hidden="1" customHeight="1">
      <c r="A179" s="55" t="s">
        <v>198</v>
      </c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48"/>
      <c r="M179" s="65"/>
      <c r="N179" s="65"/>
      <c r="O179" s="65"/>
      <c r="P179" s="65"/>
      <c r="Q179" s="65"/>
      <c r="R179" s="65"/>
      <c r="S179" s="65"/>
      <c r="T179" s="64"/>
      <c r="U179" s="36"/>
      <c r="V179" s="37"/>
      <c r="W179" s="36"/>
      <c r="X179" s="37"/>
      <c r="Y179" s="37"/>
      <c r="Z179" s="37"/>
      <c r="AA179" s="36"/>
      <c r="AB179" s="37"/>
      <c r="AC179" s="36"/>
      <c r="AD179" s="37"/>
      <c r="AE179" s="36"/>
      <c r="AF179" s="37"/>
      <c r="AG179" s="36"/>
      <c r="AH179" s="37"/>
      <c r="AI179" s="38"/>
    </row>
    <row r="180" spans="1:35" s="4" customFormat="1" ht="48.75" hidden="1" customHeight="1">
      <c r="A180" s="49" t="s">
        <v>154</v>
      </c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48">
        <f>172374.98+68615.4+9694.88+68615.4+9481.95+2213.09+10127.87+68615.4+66408.07+5699.77+76427.4+8294.22+76427.4+3576.08+35080.33+10207.36+26876.99+35414.4+9440.83+457445.86+5633.82+264566.4</f>
        <v>1491237.9</v>
      </c>
      <c r="M180" s="65"/>
      <c r="N180" s="65"/>
      <c r="O180" s="65"/>
      <c r="P180" s="65"/>
      <c r="Q180" s="65"/>
      <c r="R180" s="65"/>
      <c r="S180" s="65"/>
      <c r="T180" s="64">
        <v>1491237.9</v>
      </c>
      <c r="U180" s="36">
        <f t="shared" si="43"/>
        <v>0</v>
      </c>
      <c r="V180" s="37"/>
      <c r="W180" s="36">
        <f>U180</f>
        <v>0</v>
      </c>
      <c r="X180" s="37"/>
      <c r="Y180" s="37"/>
      <c r="Z180" s="37"/>
      <c r="AA180" s="36">
        <f>W180-X180</f>
        <v>0</v>
      </c>
      <c r="AB180" s="37"/>
      <c r="AC180" s="36">
        <f>Z180-AB180</f>
        <v>0</v>
      </c>
      <c r="AD180" s="37"/>
      <c r="AE180" s="36">
        <v>3348530.4</v>
      </c>
      <c r="AF180" s="37"/>
      <c r="AG180" s="36">
        <v>3348530.4</v>
      </c>
      <c r="AH180" s="45"/>
      <c r="AI180" s="38"/>
    </row>
    <row r="181" spans="1:35" s="4" customFormat="1" ht="32.25" customHeight="1">
      <c r="A181" s="71" t="s">
        <v>155</v>
      </c>
      <c r="B181" s="65"/>
      <c r="C181" s="65"/>
      <c r="D181" s="65"/>
      <c r="E181" s="65"/>
      <c r="F181" s="65"/>
      <c r="G181" s="65"/>
      <c r="H181" s="65">
        <f>H175+H180</f>
        <v>0</v>
      </c>
      <c r="I181" s="65">
        <f>I175+I180</f>
        <v>0</v>
      </c>
      <c r="J181" s="65">
        <f>J175+J180</f>
        <v>0</v>
      </c>
      <c r="K181" s="65">
        <f>K175+K180</f>
        <v>0</v>
      </c>
      <c r="L181" s="65" t="e">
        <f>L175+#REF!+L180</f>
        <v>#REF!</v>
      </c>
      <c r="M181" s="65" t="e">
        <f>M175+#REF!+M180</f>
        <v>#REF!</v>
      </c>
      <c r="N181" s="65" t="e">
        <f>N175+#REF!+N180</f>
        <v>#REF!</v>
      </c>
      <c r="O181" s="65" t="e">
        <f>O175+#REF!+O180</f>
        <v>#REF!</v>
      </c>
      <c r="P181" s="65" t="e">
        <f>P175+#REF!+P180</f>
        <v>#REF!</v>
      </c>
      <c r="Q181" s="65" t="e">
        <f>Q175+#REF!+Q180</f>
        <v>#REF!</v>
      </c>
      <c r="R181" s="65" t="e">
        <f>R175+#REF!+R180</f>
        <v>#REF!</v>
      </c>
      <c r="S181" s="65" t="e">
        <f>S175+#REF!+S180</f>
        <v>#REF!</v>
      </c>
      <c r="T181" s="65" t="e">
        <f>T175+#REF!+T180</f>
        <v>#REF!</v>
      </c>
      <c r="U181" s="65" t="e">
        <f>U175+#REF!+U180</f>
        <v>#REF!</v>
      </c>
      <c r="V181" s="65" t="e">
        <f>V175+#REF!+V180</f>
        <v>#REF!</v>
      </c>
      <c r="W181" s="65" t="e">
        <f>W175+#REF!+W180</f>
        <v>#REF!</v>
      </c>
      <c r="X181" s="65" t="e">
        <f>X175+#REF!+X180</f>
        <v>#REF!</v>
      </c>
      <c r="Y181" s="65" t="e">
        <f>Y175+#REF!+Y180</f>
        <v>#REF!</v>
      </c>
      <c r="Z181" s="65" t="e">
        <f>Z175+#REF!+Z180</f>
        <v>#REF!</v>
      </c>
      <c r="AA181" s="65" t="e">
        <f>AA175+#REF!+AA180</f>
        <v>#REF!</v>
      </c>
      <c r="AB181" s="65" t="e">
        <f>AB175+#REF!+AB180</f>
        <v>#REF!</v>
      </c>
      <c r="AC181" s="65" t="e">
        <f>AC175+#REF!+AC180</f>
        <v>#REF!</v>
      </c>
      <c r="AD181" s="65" t="e">
        <f>AD175+#REF!+AD180</f>
        <v>#REF!</v>
      </c>
      <c r="AE181" s="65" t="e">
        <f>AE175+AE177+AE178+#REF!+AE180</f>
        <v>#REF!</v>
      </c>
      <c r="AF181" s="65" t="e">
        <f>AF175+AF177+AF178+#REF!+AF180</f>
        <v>#REF!</v>
      </c>
      <c r="AG181" s="65" t="e">
        <f>AG175+AG177+AG178+#REF!+AG180</f>
        <v>#REF!</v>
      </c>
      <c r="AH181" s="45"/>
      <c r="AI181" s="65">
        <f>AI173</f>
        <v>14521679.939999999</v>
      </c>
    </row>
    <row r="182" spans="1:35" s="4" customFormat="1" ht="78.75" hidden="1" customHeight="1">
      <c r="A182" s="55" t="s">
        <v>156</v>
      </c>
      <c r="B182" s="65"/>
      <c r="C182" s="65"/>
      <c r="D182" s="65"/>
      <c r="E182" s="65"/>
      <c r="F182" s="65"/>
      <c r="G182" s="65"/>
      <c r="H182" s="65">
        <v>0</v>
      </c>
      <c r="I182" s="65"/>
      <c r="J182" s="65"/>
      <c r="K182" s="65"/>
      <c r="L182" s="64">
        <v>20407000</v>
      </c>
      <c r="M182" s="64"/>
      <c r="N182" s="65"/>
      <c r="O182" s="65"/>
      <c r="P182" s="65"/>
      <c r="Q182" s="65"/>
      <c r="R182" s="65"/>
      <c r="S182" s="65"/>
      <c r="T182" s="64">
        <v>20407000</v>
      </c>
      <c r="U182" s="36">
        <f>H182+I182+L182+M182-T182</f>
        <v>0</v>
      </c>
      <c r="V182" s="37"/>
      <c r="W182" s="36">
        <f>U182</f>
        <v>0</v>
      </c>
      <c r="X182" s="37"/>
      <c r="Y182" s="37"/>
      <c r="Z182" s="37"/>
      <c r="AA182" s="36">
        <f>W182-X182</f>
        <v>0</v>
      </c>
      <c r="AB182" s="37"/>
      <c r="AC182" s="37"/>
      <c r="AD182" s="37"/>
      <c r="AE182" s="36">
        <v>15896000</v>
      </c>
      <c r="AF182" s="37"/>
      <c r="AG182" s="36">
        <v>15896000</v>
      </c>
      <c r="AH182" s="45"/>
      <c r="AI182" s="38"/>
    </row>
    <row r="183" spans="1:35" s="4" customFormat="1" ht="32.25" hidden="1" customHeight="1">
      <c r="A183" s="72" t="s">
        <v>157</v>
      </c>
      <c r="B183" s="65">
        <f t="shared" ref="B183:AG183" si="44">B182</f>
        <v>0</v>
      </c>
      <c r="C183" s="65">
        <f t="shared" si="44"/>
        <v>0</v>
      </c>
      <c r="D183" s="65">
        <f t="shared" si="44"/>
        <v>0</v>
      </c>
      <c r="E183" s="65">
        <f t="shared" si="44"/>
        <v>0</v>
      </c>
      <c r="F183" s="65">
        <f t="shared" si="44"/>
        <v>0</v>
      </c>
      <c r="G183" s="65">
        <f t="shared" si="44"/>
        <v>0</v>
      </c>
      <c r="H183" s="65">
        <f t="shared" si="44"/>
        <v>0</v>
      </c>
      <c r="I183" s="65">
        <f t="shared" si="44"/>
        <v>0</v>
      </c>
      <c r="J183" s="65">
        <f t="shared" si="44"/>
        <v>0</v>
      </c>
      <c r="K183" s="65">
        <f t="shared" si="44"/>
        <v>0</v>
      </c>
      <c r="L183" s="65">
        <f t="shared" si="44"/>
        <v>20407000</v>
      </c>
      <c r="M183" s="65">
        <f t="shared" si="44"/>
        <v>0</v>
      </c>
      <c r="N183" s="65">
        <f t="shared" si="44"/>
        <v>0</v>
      </c>
      <c r="O183" s="65">
        <f t="shared" si="44"/>
        <v>0</v>
      </c>
      <c r="P183" s="65">
        <f t="shared" si="44"/>
        <v>0</v>
      </c>
      <c r="Q183" s="65">
        <f t="shared" si="44"/>
        <v>0</v>
      </c>
      <c r="R183" s="65">
        <f t="shared" si="44"/>
        <v>0</v>
      </c>
      <c r="S183" s="65">
        <f t="shared" si="44"/>
        <v>0</v>
      </c>
      <c r="T183" s="65">
        <f t="shared" si="44"/>
        <v>20407000</v>
      </c>
      <c r="U183" s="65">
        <f t="shared" si="44"/>
        <v>0</v>
      </c>
      <c r="V183" s="65">
        <f t="shared" si="44"/>
        <v>0</v>
      </c>
      <c r="W183" s="65">
        <f t="shared" si="44"/>
        <v>0</v>
      </c>
      <c r="X183" s="65">
        <f t="shared" si="44"/>
        <v>0</v>
      </c>
      <c r="Y183" s="65">
        <f t="shared" si="44"/>
        <v>0</v>
      </c>
      <c r="Z183" s="65">
        <f t="shared" si="44"/>
        <v>0</v>
      </c>
      <c r="AA183" s="65">
        <f t="shared" si="44"/>
        <v>0</v>
      </c>
      <c r="AB183" s="65">
        <f t="shared" si="44"/>
        <v>0</v>
      </c>
      <c r="AC183" s="65">
        <f t="shared" si="44"/>
        <v>0</v>
      </c>
      <c r="AD183" s="65">
        <f t="shared" si="44"/>
        <v>0</v>
      </c>
      <c r="AE183" s="65">
        <f>AE182</f>
        <v>15896000</v>
      </c>
      <c r="AF183" s="65">
        <f t="shared" si="44"/>
        <v>0</v>
      </c>
      <c r="AG183" s="65">
        <f t="shared" si="44"/>
        <v>15896000</v>
      </c>
      <c r="AH183" s="45"/>
      <c r="AI183" s="65">
        <f t="shared" ref="AI183" si="45">AI182</f>
        <v>0</v>
      </c>
    </row>
    <row r="184" spans="1:35" s="4" customFormat="1" ht="95.25" customHeight="1">
      <c r="A184" s="63" t="s">
        <v>218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45"/>
      <c r="AI184" s="64">
        <v>137180352.12</v>
      </c>
    </row>
    <row r="185" spans="1:35" s="4" customFormat="1" ht="35.25" customHeight="1">
      <c r="A185" s="71" t="s">
        <v>219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45"/>
      <c r="AI185" s="65">
        <f t="shared" ref="AI185" si="46">AI184</f>
        <v>137180352.12</v>
      </c>
    </row>
    <row r="186" spans="1:35" s="4" customFormat="1" ht="32.25" hidden="1" customHeight="1">
      <c r="A186" s="49" t="s">
        <v>158</v>
      </c>
      <c r="B186" s="65"/>
      <c r="C186" s="65"/>
      <c r="D186" s="65"/>
      <c r="E186" s="65"/>
      <c r="F186" s="65"/>
      <c r="G186" s="65"/>
      <c r="H186" s="65">
        <v>0</v>
      </c>
      <c r="I186" s="65"/>
      <c r="J186" s="65"/>
      <c r="K186" s="65"/>
      <c r="L186" s="64">
        <f>80889700+4756000</f>
        <v>85645700</v>
      </c>
      <c r="M186" s="64"/>
      <c r="N186" s="65"/>
      <c r="O186" s="65"/>
      <c r="P186" s="65"/>
      <c r="Q186" s="65"/>
      <c r="R186" s="65"/>
      <c r="S186" s="65"/>
      <c r="T186" s="64">
        <v>85645700</v>
      </c>
      <c r="U186" s="36">
        <f t="shared" si="43"/>
        <v>0</v>
      </c>
      <c r="V186" s="37"/>
      <c r="W186" s="36">
        <f>U186</f>
        <v>0</v>
      </c>
      <c r="X186" s="37"/>
      <c r="Y186" s="37"/>
      <c r="Z186" s="37"/>
      <c r="AA186" s="36">
        <f>W186-X186</f>
        <v>0</v>
      </c>
      <c r="AB186" s="37"/>
      <c r="AC186" s="37"/>
      <c r="AD186" s="37"/>
      <c r="AE186" s="37"/>
      <c r="AF186" s="37"/>
      <c r="AG186" s="37"/>
      <c r="AH186" s="45"/>
      <c r="AI186" s="38"/>
    </row>
    <row r="187" spans="1:35" s="4" customFormat="1" ht="19.899999999999999" hidden="1" customHeight="1">
      <c r="A187" s="71" t="s">
        <v>159</v>
      </c>
      <c r="B187" s="65">
        <f>B186</f>
        <v>0</v>
      </c>
      <c r="C187" s="65">
        <f t="shared" ref="C187:AG187" si="47">C186</f>
        <v>0</v>
      </c>
      <c r="D187" s="65">
        <f t="shared" si="47"/>
        <v>0</v>
      </c>
      <c r="E187" s="65">
        <f t="shared" si="47"/>
        <v>0</v>
      </c>
      <c r="F187" s="65">
        <f t="shared" si="47"/>
        <v>0</v>
      </c>
      <c r="G187" s="65">
        <f t="shared" si="47"/>
        <v>0</v>
      </c>
      <c r="H187" s="65">
        <f t="shared" si="47"/>
        <v>0</v>
      </c>
      <c r="I187" s="65">
        <f t="shared" si="47"/>
        <v>0</v>
      </c>
      <c r="J187" s="65">
        <f t="shared" si="47"/>
        <v>0</v>
      </c>
      <c r="K187" s="65">
        <f t="shared" si="47"/>
        <v>0</v>
      </c>
      <c r="L187" s="65">
        <f t="shared" si="47"/>
        <v>85645700</v>
      </c>
      <c r="M187" s="65">
        <f t="shared" si="47"/>
        <v>0</v>
      </c>
      <c r="N187" s="65">
        <f t="shared" si="47"/>
        <v>0</v>
      </c>
      <c r="O187" s="65">
        <f t="shared" si="47"/>
        <v>0</v>
      </c>
      <c r="P187" s="65">
        <f t="shared" si="47"/>
        <v>0</v>
      </c>
      <c r="Q187" s="65">
        <f t="shared" si="47"/>
        <v>0</v>
      </c>
      <c r="R187" s="65">
        <f t="shared" si="47"/>
        <v>0</v>
      </c>
      <c r="S187" s="65">
        <f t="shared" si="47"/>
        <v>0</v>
      </c>
      <c r="T187" s="65">
        <f t="shared" si="47"/>
        <v>85645700</v>
      </c>
      <c r="U187" s="65">
        <f t="shared" si="47"/>
        <v>0</v>
      </c>
      <c r="V187" s="65">
        <f t="shared" si="47"/>
        <v>0</v>
      </c>
      <c r="W187" s="65">
        <f t="shared" si="47"/>
        <v>0</v>
      </c>
      <c r="X187" s="65">
        <f t="shared" si="47"/>
        <v>0</v>
      </c>
      <c r="Y187" s="65">
        <f t="shared" si="47"/>
        <v>0</v>
      </c>
      <c r="Z187" s="65">
        <f t="shared" si="47"/>
        <v>0</v>
      </c>
      <c r="AA187" s="65">
        <f t="shared" si="47"/>
        <v>0</v>
      </c>
      <c r="AB187" s="65">
        <f t="shared" si="47"/>
        <v>0</v>
      </c>
      <c r="AC187" s="65">
        <f t="shared" si="47"/>
        <v>0</v>
      </c>
      <c r="AD187" s="65">
        <f t="shared" si="47"/>
        <v>0</v>
      </c>
      <c r="AE187" s="65">
        <f t="shared" si="47"/>
        <v>0</v>
      </c>
      <c r="AF187" s="65">
        <f t="shared" si="47"/>
        <v>0</v>
      </c>
      <c r="AG187" s="65">
        <f t="shared" si="47"/>
        <v>0</v>
      </c>
      <c r="AH187" s="45"/>
      <c r="AI187" s="65">
        <f t="shared" ref="AI187" si="48">AI186</f>
        <v>0</v>
      </c>
    </row>
    <row r="188" spans="1:35" s="4" customFormat="1" ht="32.25" hidden="1" customHeight="1">
      <c r="A188" s="40" t="s">
        <v>160</v>
      </c>
      <c r="B188" s="64">
        <v>0</v>
      </c>
      <c r="C188" s="64">
        <v>5884600</v>
      </c>
      <c r="D188" s="64">
        <v>5884600</v>
      </c>
      <c r="E188" s="64">
        <v>5884600</v>
      </c>
      <c r="F188" s="64">
        <v>5884600</v>
      </c>
      <c r="G188" s="64"/>
      <c r="H188" s="64">
        <f>B188+C188-E188</f>
        <v>0</v>
      </c>
      <c r="I188" s="64">
        <v>5884600</v>
      </c>
      <c r="J188" s="64">
        <f>F188-I188</f>
        <v>0</v>
      </c>
      <c r="K188" s="64">
        <v>5884600</v>
      </c>
      <c r="L188" s="37"/>
      <c r="M188" s="37"/>
      <c r="N188" s="37"/>
      <c r="O188" s="37"/>
      <c r="P188" s="37"/>
      <c r="Q188" s="37"/>
      <c r="R188" s="37"/>
      <c r="S188" s="37"/>
      <c r="T188" s="36">
        <v>0</v>
      </c>
      <c r="U188" s="36">
        <f>H188+L188+M188-T188+I188-K188</f>
        <v>0</v>
      </c>
      <c r="V188" s="37"/>
      <c r="W188" s="36">
        <f>U188</f>
        <v>0</v>
      </c>
      <c r="X188" s="37"/>
      <c r="Y188" s="37"/>
      <c r="Z188" s="37"/>
      <c r="AA188" s="36">
        <f>W188-X188</f>
        <v>0</v>
      </c>
      <c r="AB188" s="37"/>
      <c r="AC188" s="37"/>
      <c r="AD188" s="37"/>
      <c r="AE188" s="36"/>
      <c r="AF188" s="37"/>
      <c r="AG188" s="37"/>
      <c r="AH188" s="45"/>
      <c r="AI188" s="38"/>
    </row>
    <row r="189" spans="1:35" ht="55.5" hidden="1" customHeight="1" thickBot="1">
      <c r="A189" s="51" t="s">
        <v>161</v>
      </c>
      <c r="B189" s="36">
        <v>12115070.789999999</v>
      </c>
      <c r="C189" s="36"/>
      <c r="D189" s="36">
        <v>12115070.789999999</v>
      </c>
      <c r="E189" s="36">
        <v>12115070.789999999</v>
      </c>
      <c r="F189" s="36">
        <v>12115070.789999999</v>
      </c>
      <c r="G189" s="36"/>
      <c r="H189" s="64">
        <f>B189+C189-E189</f>
        <v>0</v>
      </c>
      <c r="I189" s="36">
        <v>12115070.789999999</v>
      </c>
      <c r="J189" s="64">
        <f>F189-I189</f>
        <v>0</v>
      </c>
      <c r="K189" s="64"/>
      <c r="L189" s="48">
        <f>6493800+6493800+7710900+7710900</f>
        <v>28409400</v>
      </c>
      <c r="M189" s="37"/>
      <c r="N189" s="37"/>
      <c r="O189" s="37"/>
      <c r="P189" s="37"/>
      <c r="Q189" s="37"/>
      <c r="R189" s="37"/>
      <c r="S189" s="37"/>
      <c r="T189" s="36">
        <v>38403052.159999996</v>
      </c>
      <c r="U189" s="36"/>
      <c r="V189" s="37"/>
      <c r="W189" s="36"/>
      <c r="X189" s="36"/>
      <c r="Y189" s="36"/>
      <c r="Z189" s="36"/>
      <c r="AA189" s="36">
        <f>U189-X189</f>
        <v>0</v>
      </c>
      <c r="AB189" s="36">
        <v>0</v>
      </c>
      <c r="AC189" s="36"/>
      <c r="AD189" s="36"/>
      <c r="AE189" s="36">
        <f>14037000-14037000</f>
        <v>0</v>
      </c>
      <c r="AF189" s="37"/>
      <c r="AG189" s="37"/>
      <c r="AH189" s="24"/>
      <c r="AI189" s="41"/>
    </row>
    <row r="190" spans="1:35" ht="30.75" hidden="1" customHeight="1" thickBot="1">
      <c r="A190" s="42" t="s">
        <v>162</v>
      </c>
      <c r="B190" s="73">
        <f>SUM(B189:B189)</f>
        <v>12115070.789999999</v>
      </c>
      <c r="C190" s="73">
        <f t="shared" ref="C190:AG190" si="49">C188+C189</f>
        <v>5884600</v>
      </c>
      <c r="D190" s="73">
        <f t="shared" si="49"/>
        <v>17999670.789999999</v>
      </c>
      <c r="E190" s="73">
        <f t="shared" si="49"/>
        <v>17999670.789999999</v>
      </c>
      <c r="F190" s="73">
        <f t="shared" si="49"/>
        <v>17999670.789999999</v>
      </c>
      <c r="G190" s="73">
        <f t="shared" si="49"/>
        <v>0</v>
      </c>
      <c r="H190" s="73">
        <f t="shared" si="49"/>
        <v>0</v>
      </c>
      <c r="I190" s="73">
        <f t="shared" si="49"/>
        <v>17999670.789999999</v>
      </c>
      <c r="J190" s="73">
        <f t="shared" si="49"/>
        <v>0</v>
      </c>
      <c r="K190" s="73">
        <f t="shared" si="49"/>
        <v>5884600</v>
      </c>
      <c r="L190" s="73">
        <f t="shared" si="49"/>
        <v>28409400</v>
      </c>
      <c r="M190" s="73">
        <f t="shared" si="49"/>
        <v>0</v>
      </c>
      <c r="N190" s="73">
        <f t="shared" si="49"/>
        <v>0</v>
      </c>
      <c r="O190" s="73">
        <f t="shared" si="49"/>
        <v>0</v>
      </c>
      <c r="P190" s="73">
        <f t="shared" si="49"/>
        <v>0</v>
      </c>
      <c r="Q190" s="73">
        <f t="shared" si="49"/>
        <v>0</v>
      </c>
      <c r="R190" s="73">
        <f t="shared" si="49"/>
        <v>0</v>
      </c>
      <c r="S190" s="73">
        <f t="shared" si="49"/>
        <v>0</v>
      </c>
      <c r="T190" s="73">
        <f t="shared" si="49"/>
        <v>38403052.159999996</v>
      </c>
      <c r="U190" s="73">
        <f t="shared" si="49"/>
        <v>0</v>
      </c>
      <c r="V190" s="73">
        <f t="shared" si="49"/>
        <v>0</v>
      </c>
      <c r="W190" s="73">
        <f t="shared" si="49"/>
        <v>0</v>
      </c>
      <c r="X190" s="73">
        <f t="shared" si="49"/>
        <v>0</v>
      </c>
      <c r="Y190" s="73">
        <f t="shared" si="49"/>
        <v>0</v>
      </c>
      <c r="Z190" s="73">
        <f t="shared" si="49"/>
        <v>0</v>
      </c>
      <c r="AA190" s="73">
        <f t="shared" si="49"/>
        <v>0</v>
      </c>
      <c r="AB190" s="73">
        <f t="shared" si="49"/>
        <v>0</v>
      </c>
      <c r="AC190" s="73">
        <f t="shared" si="49"/>
        <v>0</v>
      </c>
      <c r="AD190" s="73">
        <f t="shared" si="49"/>
        <v>0</v>
      </c>
      <c r="AE190" s="73">
        <f t="shared" si="49"/>
        <v>0</v>
      </c>
      <c r="AF190" s="65">
        <f t="shared" si="49"/>
        <v>0</v>
      </c>
      <c r="AG190" s="73">
        <f t="shared" si="49"/>
        <v>0</v>
      </c>
      <c r="AH190" s="24"/>
      <c r="AI190" s="73">
        <f t="shared" ref="AI190" si="50">AI188+AI189</f>
        <v>0</v>
      </c>
    </row>
    <row r="191" spans="1:35" ht="25.5" hidden="1" customHeight="1" thickBot="1">
      <c r="A191" s="74" t="s">
        <v>163</v>
      </c>
      <c r="B191" s="75" t="e">
        <f>B24+B27+B43+#REF!+B91+B93+#REF!+#REF!+B163+B190+B136</f>
        <v>#REF!</v>
      </c>
      <c r="C191" s="75" t="e">
        <f>C24+C27+C43+#REF!+C91+C93+#REF!+#REF!+C163+C190+C136</f>
        <v>#REF!</v>
      </c>
      <c r="D191" s="75" t="e">
        <f>D24+D27+D43+#REF!+D91+D93+#REF!+#REF!+D163+D190+D136</f>
        <v>#REF!</v>
      </c>
      <c r="E191" s="75" t="e">
        <f>E24+E27+E43+#REF!+E91+E93+#REF!+#REF!+E163+E190+E136</f>
        <v>#REF!</v>
      </c>
      <c r="F191" s="75" t="e">
        <f>F24+F27+F43+#REF!+F91+F93+#REF!+#REF!+F163+F190+F136</f>
        <v>#REF!</v>
      </c>
      <c r="G191" s="75" t="e">
        <f>G24+G27+G43+#REF!+G91+G93+#REF!+#REF!+G163+G190+G136</f>
        <v>#REF!</v>
      </c>
      <c r="H191" s="75"/>
      <c r="I191" s="75" t="e">
        <f>I24+I27+I43+#REF!+I91+I93+#REF!+#REF!+I163+I190+I136</f>
        <v>#REF!</v>
      </c>
      <c r="J191" s="75" t="e">
        <f>J24+J27+J43+#REF!+J91+J93+#REF!+#REF!+J163+J190+J136</f>
        <v>#REF!</v>
      </c>
      <c r="K191" s="75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24"/>
      <c r="AI191" s="38"/>
    </row>
    <row r="192" spans="1:35" ht="109.5" hidden="1" customHeight="1">
      <c r="A192" s="76" t="s">
        <v>164</v>
      </c>
      <c r="B192" s="77">
        <f>B198</f>
        <v>34469154.590000004</v>
      </c>
      <c r="C192" s="77">
        <f t="shared" ref="C192:AG192" si="51">C198</f>
        <v>105129613.78</v>
      </c>
      <c r="D192" s="77">
        <f t="shared" si="51"/>
        <v>0</v>
      </c>
      <c r="E192" s="77">
        <f t="shared" si="51"/>
        <v>155782185.93000001</v>
      </c>
      <c r="F192" s="77">
        <f t="shared" si="51"/>
        <v>0</v>
      </c>
      <c r="G192" s="77">
        <f t="shared" si="51"/>
        <v>0</v>
      </c>
      <c r="H192" s="77">
        <f t="shared" si="51"/>
        <v>-121101086.34</v>
      </c>
      <c r="I192" s="77">
        <f t="shared" si="51"/>
        <v>0</v>
      </c>
      <c r="J192" s="77">
        <f t="shared" si="51"/>
        <v>0</v>
      </c>
      <c r="K192" s="77">
        <f t="shared" si="51"/>
        <v>0</v>
      </c>
      <c r="L192" s="77">
        <f t="shared" si="51"/>
        <v>1130211123.8499999</v>
      </c>
      <c r="M192" s="77">
        <f t="shared" si="51"/>
        <v>150547226.63999999</v>
      </c>
      <c r="N192" s="77">
        <f t="shared" si="51"/>
        <v>0</v>
      </c>
      <c r="O192" s="77">
        <f t="shared" si="51"/>
        <v>0</v>
      </c>
      <c r="P192" s="77">
        <f t="shared" si="51"/>
        <v>0</v>
      </c>
      <c r="Q192" s="77">
        <f t="shared" si="51"/>
        <v>0</v>
      </c>
      <c r="R192" s="77">
        <f t="shared" si="51"/>
        <v>0</v>
      </c>
      <c r="S192" s="77">
        <f t="shared" si="51"/>
        <v>0</v>
      </c>
      <c r="T192" s="77">
        <f t="shared" si="51"/>
        <v>1152160742.71</v>
      </c>
      <c r="U192" s="77">
        <f t="shared" si="51"/>
        <v>13538225.539999994</v>
      </c>
      <c r="V192" s="77">
        <f t="shared" si="51"/>
        <v>816887552.35000002</v>
      </c>
      <c r="W192" s="77">
        <f t="shared" si="51"/>
        <v>0</v>
      </c>
      <c r="X192" s="77">
        <f t="shared" si="51"/>
        <v>33965821.32</v>
      </c>
      <c r="Y192" s="77">
        <f t="shared" si="51"/>
        <v>0</v>
      </c>
      <c r="Z192" s="77">
        <f t="shared" si="51"/>
        <v>0</v>
      </c>
      <c r="AA192" s="77">
        <f t="shared" si="51"/>
        <v>-20427595.780000005</v>
      </c>
      <c r="AB192" s="77">
        <f t="shared" si="51"/>
        <v>0</v>
      </c>
      <c r="AC192" s="77">
        <f t="shared" si="51"/>
        <v>0</v>
      </c>
      <c r="AD192" s="77">
        <f t="shared" si="51"/>
        <v>0</v>
      </c>
      <c r="AE192" s="77">
        <f t="shared" si="51"/>
        <v>1297883410.7</v>
      </c>
      <c r="AF192" s="77">
        <f t="shared" si="51"/>
        <v>20764409.050000001</v>
      </c>
      <c r="AG192" s="77">
        <f t="shared" si="51"/>
        <v>996093191.91999996</v>
      </c>
      <c r="AH192" s="24"/>
      <c r="AI192" s="65">
        <f t="shared" ref="AI192" si="52">AI198</f>
        <v>0</v>
      </c>
    </row>
    <row r="193" spans="1:35" ht="83.25" hidden="1" customHeight="1">
      <c r="A193" s="35" t="s">
        <v>204</v>
      </c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7"/>
      <c r="O193" s="37"/>
      <c r="P193" s="37"/>
      <c r="Q193" s="37"/>
      <c r="R193" s="37"/>
      <c r="S193" s="37"/>
      <c r="T193" s="36"/>
      <c r="U193" s="36"/>
      <c r="V193" s="36"/>
      <c r="W193" s="37"/>
      <c r="X193" s="36"/>
      <c r="Y193" s="37"/>
      <c r="Z193" s="37"/>
      <c r="AA193" s="36"/>
      <c r="AB193" s="37"/>
      <c r="AC193" s="37"/>
      <c r="AD193" s="37"/>
      <c r="AE193" s="36"/>
      <c r="AF193" s="36"/>
      <c r="AG193" s="36"/>
      <c r="AH193" s="24"/>
      <c r="AI193" s="41"/>
    </row>
    <row r="194" spans="1:35" ht="28.5" hidden="1" customHeight="1">
      <c r="A194" s="71" t="s">
        <v>201</v>
      </c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7"/>
      <c r="O194" s="37"/>
      <c r="P194" s="37"/>
      <c r="Q194" s="37"/>
      <c r="R194" s="37"/>
      <c r="S194" s="37"/>
      <c r="T194" s="36"/>
      <c r="U194" s="36"/>
      <c r="V194" s="36"/>
      <c r="W194" s="37"/>
      <c r="X194" s="36"/>
      <c r="Y194" s="37"/>
      <c r="Z194" s="37"/>
      <c r="AA194" s="36"/>
      <c r="AB194" s="37"/>
      <c r="AC194" s="37"/>
      <c r="AD194" s="37"/>
      <c r="AE194" s="36"/>
      <c r="AF194" s="36"/>
      <c r="AG194" s="36"/>
      <c r="AH194" s="78"/>
      <c r="AI194" s="79">
        <f t="shared" ref="AI194" si="53">AI193</f>
        <v>0</v>
      </c>
    </row>
    <row r="195" spans="1:35" ht="101.25" hidden="1" customHeight="1">
      <c r="A195" s="35" t="s">
        <v>221</v>
      </c>
      <c r="B195" s="36">
        <f>33310068.78-5394454.9</f>
        <v>27915613.880000003</v>
      </c>
      <c r="C195" s="36">
        <v>57461811.109999999</v>
      </c>
      <c r="D195" s="36"/>
      <c r="E195" s="36">
        <v>211945</v>
      </c>
      <c r="F195" s="36"/>
      <c r="G195" s="36"/>
      <c r="H195" s="36">
        <f>B195</f>
        <v>27915613.880000003</v>
      </c>
      <c r="I195" s="36"/>
      <c r="J195" s="36"/>
      <c r="K195" s="36"/>
      <c r="L195" s="36">
        <f>18268664.18+184707.26+450428562.54+242662937.41+194054700.91</f>
        <v>905599572.29999995</v>
      </c>
      <c r="M195" s="36">
        <v>211945</v>
      </c>
      <c r="N195" s="37"/>
      <c r="O195" s="37"/>
      <c r="P195" s="37"/>
      <c r="Q195" s="37"/>
      <c r="R195" s="37"/>
      <c r="S195" s="37"/>
      <c r="T195" s="36">
        <v>926525447.13999999</v>
      </c>
      <c r="U195" s="36">
        <f>H195+I195+L195+M195-T195-E195+3819628.1+730206.3+1703814.7</f>
        <v>13243388.139999961</v>
      </c>
      <c r="V195" s="36">
        <f>767112259.07-17848-1907535.38-16912049.89</f>
        <v>748274825.80000007</v>
      </c>
      <c r="W195" s="37"/>
      <c r="X195" s="36">
        <f>13261236.14+1907535.38+16870074.02</f>
        <v>32038845.539999999</v>
      </c>
      <c r="Y195" s="37"/>
      <c r="Z195" s="37"/>
      <c r="AA195" s="36">
        <f>U195-X195</f>
        <v>-18795457.400000036</v>
      </c>
      <c r="AB195" s="37"/>
      <c r="AC195" s="37"/>
      <c r="AD195" s="37"/>
      <c r="AE195" s="36">
        <f>180218117.84+77310502.92+27417655.85+292869409.23+301783575.17-12149181.6-1342885.39+12628421.34+48651837.45</f>
        <v>927387452.81000006</v>
      </c>
      <c r="AF195" s="36">
        <f>17848+1907535.38+16870074.02+41975.87</f>
        <v>18837433.27</v>
      </c>
      <c r="AG195" s="36">
        <v>625597234.02999997</v>
      </c>
      <c r="AH195" s="24"/>
      <c r="AI195" s="41"/>
    </row>
    <row r="196" spans="1:35" ht="80.25" hidden="1" customHeight="1">
      <c r="A196" s="35" t="s">
        <v>220</v>
      </c>
      <c r="B196" s="36"/>
      <c r="C196" s="36">
        <v>404902.64</v>
      </c>
      <c r="D196" s="36"/>
      <c r="E196" s="36"/>
      <c r="F196" s="36"/>
      <c r="G196" s="36"/>
      <c r="H196" s="36">
        <v>0</v>
      </c>
      <c r="I196" s="36"/>
      <c r="J196" s="36"/>
      <c r="K196" s="36"/>
      <c r="L196" s="36">
        <v>71710702.950000003</v>
      </c>
      <c r="M196" s="36">
        <f>401865.43+1485.8+207424.5</f>
        <v>610775.73</v>
      </c>
      <c r="N196" s="36"/>
      <c r="O196" s="36"/>
      <c r="P196" s="36"/>
      <c r="Q196" s="36"/>
      <c r="R196" s="36"/>
      <c r="S196" s="36"/>
      <c r="T196" s="36">
        <v>72321478.680000007</v>
      </c>
      <c r="U196" s="36">
        <f>L196-T196+M196</f>
        <v>-4.1909515857696533E-9</v>
      </c>
      <c r="V196" s="36">
        <f>864751.92-458691.81-235935.32</f>
        <v>170124.79000000004</v>
      </c>
      <c r="W196" s="37"/>
      <c r="X196" s="36">
        <f>694617.13+1232358.65</f>
        <v>1926975.7799999998</v>
      </c>
      <c r="Y196" s="37"/>
      <c r="Z196" s="37"/>
      <c r="AA196" s="36">
        <f>U196-X196</f>
        <v>-1926975.780000004</v>
      </c>
      <c r="AB196" s="37"/>
      <c r="AC196" s="37"/>
      <c r="AD196" s="37"/>
      <c r="AE196" s="36">
        <f>22604039.63+49886545.12</f>
        <v>72490584.75</v>
      </c>
      <c r="AF196" s="36">
        <f>458691.81+235925.32+1232358.65</f>
        <v>1926975.7799999998</v>
      </c>
      <c r="AG196" s="36">
        <v>72490584.75</v>
      </c>
      <c r="AH196" s="24"/>
      <c r="AI196" s="41"/>
    </row>
    <row r="197" spans="1:35" ht="84" hidden="1" customHeight="1">
      <c r="A197" s="35" t="s">
        <v>222</v>
      </c>
      <c r="B197" s="36">
        <f>56138.15+1102947.66+5394454.9</f>
        <v>6553540.71</v>
      </c>
      <c r="C197" s="36">
        <v>47262900.030000001</v>
      </c>
      <c r="D197" s="36"/>
      <c r="E197" s="36">
        <f>8874685.22+32416755.31+114232766.64+46033.76</f>
        <v>155570240.93000001</v>
      </c>
      <c r="F197" s="36"/>
      <c r="G197" s="36"/>
      <c r="H197" s="36">
        <f>B197-E197</f>
        <v>-149016700.22</v>
      </c>
      <c r="I197" s="36"/>
      <c r="J197" s="36"/>
      <c r="K197" s="36"/>
      <c r="L197" s="36">
        <f>103354009.43+23192281.7+26354557.47</f>
        <v>152900848.60000002</v>
      </c>
      <c r="M197" s="36">
        <f>46033.76+323713.38+1046830.26+1487640+170766.56+32416755.31+114232766.64</f>
        <v>149724505.91</v>
      </c>
      <c r="N197" s="37"/>
      <c r="O197" s="37"/>
      <c r="P197" s="37"/>
      <c r="Q197" s="37"/>
      <c r="R197" s="37"/>
      <c r="S197" s="37"/>
      <c r="T197" s="36">
        <v>153313816.88999999</v>
      </c>
      <c r="U197" s="36">
        <f>B197-E197+L197+M197-T197</f>
        <v>294837.40000003576</v>
      </c>
      <c r="V197" s="36">
        <v>68442601.760000005</v>
      </c>
      <c r="W197" s="37"/>
      <c r="X197" s="37"/>
      <c r="Y197" s="37"/>
      <c r="Z197" s="37"/>
      <c r="AA197" s="36">
        <f>U197-X197</f>
        <v>294837.40000003576</v>
      </c>
      <c r="AB197" s="37"/>
      <c r="AC197" s="37"/>
      <c r="AD197" s="37"/>
      <c r="AE197" s="36">
        <f>112916790.91+78519018.94+61854790.77-596876.81+45311649.33</f>
        <v>298005373.13999999</v>
      </c>
      <c r="AF197" s="36"/>
      <c r="AG197" s="36">
        <v>298005373.13999999</v>
      </c>
      <c r="AH197" s="24"/>
      <c r="AI197" s="41"/>
    </row>
    <row r="198" spans="1:35" ht="39.75" hidden="1" customHeight="1">
      <c r="A198" s="42" t="s">
        <v>223</v>
      </c>
      <c r="B198" s="73">
        <f>SUM(B195:B197)</f>
        <v>34469154.590000004</v>
      </c>
      <c r="C198" s="73">
        <f t="shared" ref="C198:AG198" si="54">SUM(C195:C197)</f>
        <v>105129613.78</v>
      </c>
      <c r="D198" s="73">
        <f t="shared" si="54"/>
        <v>0</v>
      </c>
      <c r="E198" s="73">
        <f t="shared" si="54"/>
        <v>155782185.93000001</v>
      </c>
      <c r="F198" s="73">
        <f t="shared" si="54"/>
        <v>0</v>
      </c>
      <c r="G198" s="73">
        <f t="shared" si="54"/>
        <v>0</v>
      </c>
      <c r="H198" s="73">
        <f t="shared" si="54"/>
        <v>-121101086.34</v>
      </c>
      <c r="I198" s="73">
        <f t="shared" si="54"/>
        <v>0</v>
      </c>
      <c r="J198" s="73">
        <f t="shared" si="54"/>
        <v>0</v>
      </c>
      <c r="K198" s="73">
        <f t="shared" si="54"/>
        <v>0</v>
      </c>
      <c r="L198" s="73">
        <f t="shared" si="54"/>
        <v>1130211123.8499999</v>
      </c>
      <c r="M198" s="73">
        <f t="shared" si="54"/>
        <v>150547226.63999999</v>
      </c>
      <c r="N198" s="73">
        <f t="shared" si="54"/>
        <v>0</v>
      </c>
      <c r="O198" s="73">
        <f t="shared" si="54"/>
        <v>0</v>
      </c>
      <c r="P198" s="73">
        <f t="shared" si="54"/>
        <v>0</v>
      </c>
      <c r="Q198" s="73">
        <f t="shared" si="54"/>
        <v>0</v>
      </c>
      <c r="R198" s="73">
        <f t="shared" si="54"/>
        <v>0</v>
      </c>
      <c r="S198" s="73">
        <f t="shared" si="54"/>
        <v>0</v>
      </c>
      <c r="T198" s="73">
        <f t="shared" si="54"/>
        <v>1152160742.71</v>
      </c>
      <c r="U198" s="73">
        <f t="shared" si="54"/>
        <v>13538225.539999994</v>
      </c>
      <c r="V198" s="73">
        <f t="shared" si="54"/>
        <v>816887552.35000002</v>
      </c>
      <c r="W198" s="73">
        <f t="shared" si="54"/>
        <v>0</v>
      </c>
      <c r="X198" s="73">
        <f t="shared" si="54"/>
        <v>33965821.32</v>
      </c>
      <c r="Y198" s="73">
        <f t="shared" si="54"/>
        <v>0</v>
      </c>
      <c r="Z198" s="73">
        <f t="shared" si="54"/>
        <v>0</v>
      </c>
      <c r="AA198" s="73">
        <f t="shared" si="54"/>
        <v>-20427595.780000005</v>
      </c>
      <c r="AB198" s="73">
        <f t="shared" si="54"/>
        <v>0</v>
      </c>
      <c r="AC198" s="73">
        <f t="shared" si="54"/>
        <v>0</v>
      </c>
      <c r="AD198" s="73">
        <f t="shared" si="54"/>
        <v>0</v>
      </c>
      <c r="AE198" s="73">
        <f t="shared" si="54"/>
        <v>1297883410.7</v>
      </c>
      <c r="AF198" s="73">
        <f t="shared" si="54"/>
        <v>20764409.050000001</v>
      </c>
      <c r="AG198" s="73">
        <f t="shared" si="54"/>
        <v>996093191.91999996</v>
      </c>
      <c r="AH198" s="24"/>
      <c r="AI198" s="73">
        <f t="shared" ref="AI198" si="55">SUM(AI195:AI197)</f>
        <v>0</v>
      </c>
    </row>
    <row r="199" spans="1:35" ht="33" hidden="1">
      <c r="A199" s="76" t="s">
        <v>165</v>
      </c>
      <c r="B199" s="77">
        <f>B204</f>
        <v>484746350.65000004</v>
      </c>
      <c r="C199" s="77">
        <f t="shared" ref="C199:AG199" si="56">C204</f>
        <v>0</v>
      </c>
      <c r="D199" s="77">
        <f t="shared" si="56"/>
        <v>0</v>
      </c>
      <c r="E199" s="77">
        <f t="shared" si="56"/>
        <v>0</v>
      </c>
      <c r="F199" s="77">
        <f t="shared" si="56"/>
        <v>0</v>
      </c>
      <c r="G199" s="77">
        <f t="shared" si="56"/>
        <v>0</v>
      </c>
      <c r="H199" s="77">
        <f t="shared" si="56"/>
        <v>484746350.65000004</v>
      </c>
      <c r="I199" s="77">
        <f t="shared" si="56"/>
        <v>0</v>
      </c>
      <c r="J199" s="77">
        <f t="shared" si="56"/>
        <v>0</v>
      </c>
      <c r="K199" s="77">
        <f t="shared" si="56"/>
        <v>0</v>
      </c>
      <c r="L199" s="77">
        <f t="shared" si="56"/>
        <v>21509036.149999999</v>
      </c>
      <c r="M199" s="77">
        <f t="shared" si="56"/>
        <v>2076813.24</v>
      </c>
      <c r="N199" s="77">
        <f t="shared" si="56"/>
        <v>0</v>
      </c>
      <c r="O199" s="77">
        <f t="shared" si="56"/>
        <v>0</v>
      </c>
      <c r="P199" s="77">
        <f t="shared" si="56"/>
        <v>0</v>
      </c>
      <c r="Q199" s="77">
        <f t="shared" si="56"/>
        <v>0</v>
      </c>
      <c r="R199" s="77">
        <f t="shared" si="56"/>
        <v>0</v>
      </c>
      <c r="S199" s="77">
        <f t="shared" si="56"/>
        <v>0</v>
      </c>
      <c r="T199" s="77">
        <f t="shared" si="56"/>
        <v>506766076.82999998</v>
      </c>
      <c r="U199" s="77">
        <f t="shared" si="56"/>
        <v>1020.3100000023842</v>
      </c>
      <c r="V199" s="77">
        <f t="shared" si="56"/>
        <v>0</v>
      </c>
      <c r="W199" s="77">
        <f t="shared" si="56"/>
        <v>0</v>
      </c>
      <c r="X199" s="77">
        <f t="shared" si="56"/>
        <v>1368187.08</v>
      </c>
      <c r="Y199" s="77">
        <f t="shared" si="56"/>
        <v>0</v>
      </c>
      <c r="Z199" s="77">
        <f t="shared" si="56"/>
        <v>0</v>
      </c>
      <c r="AA199" s="77">
        <f t="shared" si="56"/>
        <v>-1367166.7699999977</v>
      </c>
      <c r="AB199" s="77">
        <f t="shared" si="56"/>
        <v>0</v>
      </c>
      <c r="AC199" s="77">
        <f t="shared" si="56"/>
        <v>0</v>
      </c>
      <c r="AD199" s="77">
        <f t="shared" si="56"/>
        <v>0</v>
      </c>
      <c r="AE199" s="77">
        <f t="shared" si="56"/>
        <v>1130371100</v>
      </c>
      <c r="AF199" s="77">
        <f>AF204</f>
        <v>1367166.77</v>
      </c>
      <c r="AG199" s="77">
        <f t="shared" si="56"/>
        <v>1130371100</v>
      </c>
      <c r="AH199" s="24"/>
      <c r="AI199" s="77">
        <f t="shared" ref="AI199" si="57">AI204</f>
        <v>0</v>
      </c>
    </row>
    <row r="200" spans="1:35" ht="33" hidden="1">
      <c r="A200" s="35" t="s">
        <v>166</v>
      </c>
      <c r="B200" s="77"/>
      <c r="C200" s="77"/>
      <c r="D200" s="77"/>
      <c r="E200" s="36">
        <f>801638.65+763464.25</f>
        <v>1565102.9</v>
      </c>
      <c r="F200" s="77"/>
      <c r="G200" s="77"/>
      <c r="H200" s="77"/>
      <c r="I200" s="77"/>
      <c r="J200" s="77"/>
      <c r="K200" s="77"/>
      <c r="L200" s="36">
        <f>1500000+500000+5500000+9500000-490963.85+5000000</f>
        <v>21509036.149999999</v>
      </c>
      <c r="M200" s="36">
        <f>801638.65+763464.25</f>
        <v>1565102.9</v>
      </c>
      <c r="N200" s="77"/>
      <c r="O200" s="77"/>
      <c r="P200" s="77"/>
      <c r="Q200" s="77"/>
      <c r="R200" s="77"/>
      <c r="S200" s="77"/>
      <c r="T200" s="36">
        <v>21509036.149999999</v>
      </c>
      <c r="U200" s="36">
        <f>H200+I200+L200+M200-T200-E200</f>
        <v>0</v>
      </c>
      <c r="V200" s="37"/>
      <c r="W200" s="37"/>
      <c r="X200" s="36">
        <f>30057.32+398959.48+540229.88+397920.09</f>
        <v>1367166.77</v>
      </c>
      <c r="Y200" s="37"/>
      <c r="Z200" s="37"/>
      <c r="AA200" s="36">
        <f>U200-X200</f>
        <v>-1367166.77</v>
      </c>
      <c r="AB200" s="37"/>
      <c r="AC200" s="37"/>
      <c r="AD200" s="37"/>
      <c r="AE200" s="36">
        <f>1500000+500000+500000+1500000+5000000+10500000+4000000</f>
        <v>23500000</v>
      </c>
      <c r="AF200" s="36">
        <f>30057.32+398959.48+540229.88+397920.09</f>
        <v>1367166.77</v>
      </c>
      <c r="AG200" s="36">
        <v>23500000</v>
      </c>
      <c r="AH200" s="24"/>
      <c r="AI200" s="41">
        <v>0</v>
      </c>
    </row>
    <row r="201" spans="1:35" ht="82.5" hidden="1">
      <c r="A201" s="35" t="s">
        <v>167</v>
      </c>
      <c r="B201" s="36">
        <f>383545151.81+61750519.17</f>
        <v>445295670.98000002</v>
      </c>
      <c r="C201" s="36"/>
      <c r="D201" s="36"/>
      <c r="E201" s="36"/>
      <c r="F201" s="36"/>
      <c r="G201" s="36"/>
      <c r="H201" s="36">
        <f>B201</f>
        <v>445295670.98000002</v>
      </c>
      <c r="I201" s="36"/>
      <c r="J201" s="36"/>
      <c r="K201" s="36"/>
      <c r="L201" s="36"/>
      <c r="M201" s="37"/>
      <c r="N201" s="37"/>
      <c r="O201" s="37"/>
      <c r="P201" s="37"/>
      <c r="Q201" s="37"/>
      <c r="R201" s="37"/>
      <c r="S201" s="37"/>
      <c r="T201" s="36">
        <v>445294650.67000002</v>
      </c>
      <c r="U201" s="36">
        <f>H201+I201+L201+M201-T201</f>
        <v>1020.3100000023842</v>
      </c>
      <c r="V201" s="37"/>
      <c r="W201" s="37"/>
      <c r="X201" s="36">
        <v>1020.31</v>
      </c>
      <c r="Y201" s="37"/>
      <c r="Z201" s="37"/>
      <c r="AA201" s="36">
        <f>U201-X201</f>
        <v>2.3842403606977314E-9</v>
      </c>
      <c r="AB201" s="37"/>
      <c r="AC201" s="37"/>
      <c r="AD201" s="37"/>
      <c r="AE201" s="37"/>
      <c r="AF201" s="37"/>
      <c r="AG201" s="36"/>
      <c r="AH201" s="24"/>
      <c r="AI201" s="41"/>
    </row>
    <row r="202" spans="1:35" ht="33" hidden="1">
      <c r="A202" s="35" t="s">
        <v>168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7"/>
      <c r="N202" s="37"/>
      <c r="O202" s="37"/>
      <c r="P202" s="37"/>
      <c r="Q202" s="37"/>
      <c r="R202" s="37"/>
      <c r="S202" s="37"/>
      <c r="T202" s="36"/>
      <c r="U202" s="36"/>
      <c r="V202" s="37"/>
      <c r="W202" s="37"/>
      <c r="X202" s="37"/>
      <c r="Y202" s="37"/>
      <c r="Z202" s="37"/>
      <c r="AA202" s="36"/>
      <c r="AB202" s="37"/>
      <c r="AC202" s="37"/>
      <c r="AD202" s="37"/>
      <c r="AE202" s="36">
        <v>1106871100</v>
      </c>
      <c r="AF202" s="37"/>
      <c r="AG202" s="36">
        <v>1106871100</v>
      </c>
      <c r="AH202" s="24"/>
      <c r="AI202" s="38"/>
    </row>
    <row r="203" spans="1:35" ht="64.900000000000006" hidden="1" customHeight="1" thickBot="1">
      <c r="A203" s="35" t="s">
        <v>169</v>
      </c>
      <c r="B203" s="36">
        <f>21386175.74+18064503.93</f>
        <v>39450679.670000002</v>
      </c>
      <c r="C203" s="36"/>
      <c r="D203" s="36"/>
      <c r="E203" s="36"/>
      <c r="F203" s="36"/>
      <c r="G203" s="36"/>
      <c r="H203" s="36">
        <f>B203</f>
        <v>39450679.670000002</v>
      </c>
      <c r="I203" s="36"/>
      <c r="J203" s="36"/>
      <c r="K203" s="36"/>
      <c r="L203" s="36"/>
      <c r="M203" s="36">
        <f>503710.34+8000</f>
        <v>511710.34</v>
      </c>
      <c r="N203" s="37"/>
      <c r="O203" s="37"/>
      <c r="P203" s="37"/>
      <c r="Q203" s="37"/>
      <c r="R203" s="37"/>
      <c r="S203" s="37"/>
      <c r="T203" s="36">
        <v>39962390.009999998</v>
      </c>
      <c r="U203" s="36">
        <f>H203+I203+L203+M203-T203</f>
        <v>0</v>
      </c>
      <c r="V203" s="37"/>
      <c r="W203" s="37"/>
      <c r="X203" s="37"/>
      <c r="Y203" s="37"/>
      <c r="Z203" s="37"/>
      <c r="AA203" s="36">
        <f>U203</f>
        <v>0</v>
      </c>
      <c r="AB203" s="37"/>
      <c r="AC203" s="37"/>
      <c r="AD203" s="37"/>
      <c r="AE203" s="37"/>
      <c r="AF203" s="37"/>
      <c r="AG203" s="36"/>
      <c r="AH203" s="24"/>
      <c r="AI203" s="38"/>
    </row>
    <row r="204" spans="1:35" ht="31.5" hidden="1" customHeight="1" thickBot="1">
      <c r="A204" s="42" t="s">
        <v>68</v>
      </c>
      <c r="B204" s="73">
        <f t="shared" ref="B204:G204" si="58">SUM(B201:B203)</f>
        <v>484746350.65000004</v>
      </c>
      <c r="C204" s="73">
        <f t="shared" si="58"/>
        <v>0</v>
      </c>
      <c r="D204" s="73">
        <f t="shared" si="58"/>
        <v>0</v>
      </c>
      <c r="E204" s="73">
        <f t="shared" si="58"/>
        <v>0</v>
      </c>
      <c r="F204" s="73">
        <f t="shared" si="58"/>
        <v>0</v>
      </c>
      <c r="G204" s="73">
        <f t="shared" si="58"/>
        <v>0</v>
      </c>
      <c r="H204" s="73">
        <f>SUM(H200:H203)</f>
        <v>484746350.65000004</v>
      </c>
      <c r="I204" s="73">
        <f t="shared" ref="I204:AE204" si="59">SUM(I200:I203)</f>
        <v>0</v>
      </c>
      <c r="J204" s="73">
        <f t="shared" si="59"/>
        <v>0</v>
      </c>
      <c r="K204" s="73">
        <f t="shared" si="59"/>
        <v>0</v>
      </c>
      <c r="L204" s="73">
        <f t="shared" si="59"/>
        <v>21509036.149999999</v>
      </c>
      <c r="M204" s="73">
        <f t="shared" si="59"/>
        <v>2076813.24</v>
      </c>
      <c r="N204" s="73">
        <f t="shared" si="59"/>
        <v>0</v>
      </c>
      <c r="O204" s="73">
        <f t="shared" si="59"/>
        <v>0</v>
      </c>
      <c r="P204" s="73">
        <f t="shared" si="59"/>
        <v>0</v>
      </c>
      <c r="Q204" s="73">
        <f t="shared" si="59"/>
        <v>0</v>
      </c>
      <c r="R204" s="73">
        <f t="shared" si="59"/>
        <v>0</v>
      </c>
      <c r="S204" s="73">
        <f t="shared" si="59"/>
        <v>0</v>
      </c>
      <c r="T204" s="73">
        <f t="shared" si="59"/>
        <v>506766076.82999998</v>
      </c>
      <c r="U204" s="73">
        <f t="shared" si="59"/>
        <v>1020.3100000023842</v>
      </c>
      <c r="V204" s="73">
        <f t="shared" si="59"/>
        <v>0</v>
      </c>
      <c r="W204" s="73">
        <f t="shared" si="59"/>
        <v>0</v>
      </c>
      <c r="X204" s="73">
        <f t="shared" si="59"/>
        <v>1368187.08</v>
      </c>
      <c r="Y204" s="73">
        <f t="shared" si="59"/>
        <v>0</v>
      </c>
      <c r="Z204" s="73">
        <f t="shared" si="59"/>
        <v>0</v>
      </c>
      <c r="AA204" s="73">
        <f t="shared" si="59"/>
        <v>-1367166.7699999977</v>
      </c>
      <c r="AB204" s="73">
        <f t="shared" si="59"/>
        <v>0</v>
      </c>
      <c r="AC204" s="73">
        <f t="shared" si="59"/>
        <v>0</v>
      </c>
      <c r="AD204" s="73">
        <f t="shared" si="59"/>
        <v>0</v>
      </c>
      <c r="AE204" s="73">
        <f t="shared" si="59"/>
        <v>1130371100</v>
      </c>
      <c r="AF204" s="73">
        <f>SUM(AF200:AF203)</f>
        <v>1367166.77</v>
      </c>
      <c r="AG204" s="73">
        <f>SUM(AG200:AG203)</f>
        <v>1130371100</v>
      </c>
      <c r="AH204" s="24"/>
      <c r="AI204" s="73">
        <f t="shared" ref="AI204" si="60">SUM(AI200:AI203)</f>
        <v>0</v>
      </c>
    </row>
    <row r="205" spans="1:35" ht="58.9" hidden="1" customHeight="1">
      <c r="A205" s="76" t="s">
        <v>205</v>
      </c>
      <c r="B205" s="80">
        <f>B214+B216</f>
        <v>330603915.64000005</v>
      </c>
      <c r="C205" s="80">
        <f t="shared" ref="C205:AG205" si="61">C214+C216</f>
        <v>0</v>
      </c>
      <c r="D205" s="80">
        <f t="shared" si="61"/>
        <v>0</v>
      </c>
      <c r="E205" s="80">
        <f t="shared" si="61"/>
        <v>0</v>
      </c>
      <c r="F205" s="80">
        <f t="shared" si="61"/>
        <v>0</v>
      </c>
      <c r="G205" s="80">
        <f t="shared" si="61"/>
        <v>0</v>
      </c>
      <c r="H205" s="80">
        <f t="shared" si="61"/>
        <v>330603888.64000005</v>
      </c>
      <c r="I205" s="80">
        <f t="shared" si="61"/>
        <v>0</v>
      </c>
      <c r="J205" s="80">
        <f t="shared" si="61"/>
        <v>0</v>
      </c>
      <c r="K205" s="80">
        <f t="shared" si="61"/>
        <v>0</v>
      </c>
      <c r="L205" s="80">
        <f t="shared" si="61"/>
        <v>94093000</v>
      </c>
      <c r="M205" s="80">
        <f t="shared" si="61"/>
        <v>0</v>
      </c>
      <c r="N205" s="80">
        <f t="shared" si="61"/>
        <v>0</v>
      </c>
      <c r="O205" s="80">
        <f t="shared" si="61"/>
        <v>0</v>
      </c>
      <c r="P205" s="80">
        <f t="shared" si="61"/>
        <v>0</v>
      </c>
      <c r="Q205" s="80">
        <f t="shared" si="61"/>
        <v>0</v>
      </c>
      <c r="R205" s="80">
        <f t="shared" si="61"/>
        <v>0</v>
      </c>
      <c r="S205" s="80">
        <f t="shared" si="61"/>
        <v>0</v>
      </c>
      <c r="T205" s="80">
        <f t="shared" si="61"/>
        <v>257919292.30999997</v>
      </c>
      <c r="U205" s="80">
        <f t="shared" si="61"/>
        <v>166777596.33000004</v>
      </c>
      <c r="V205" s="80">
        <f t="shared" si="61"/>
        <v>0</v>
      </c>
      <c r="W205" s="80">
        <f t="shared" si="61"/>
        <v>0</v>
      </c>
      <c r="X205" s="80">
        <f t="shared" si="61"/>
        <v>0</v>
      </c>
      <c r="Y205" s="80">
        <f t="shared" si="61"/>
        <v>0</v>
      </c>
      <c r="Z205" s="80">
        <f t="shared" si="61"/>
        <v>0</v>
      </c>
      <c r="AA205" s="80">
        <f t="shared" si="61"/>
        <v>95967762.280000016</v>
      </c>
      <c r="AB205" s="80">
        <f t="shared" si="61"/>
        <v>0</v>
      </c>
      <c r="AC205" s="80">
        <f t="shared" si="61"/>
        <v>0</v>
      </c>
      <c r="AD205" s="80">
        <f t="shared" si="61"/>
        <v>0</v>
      </c>
      <c r="AE205" s="80">
        <f t="shared" si="61"/>
        <v>0</v>
      </c>
      <c r="AF205" s="77">
        <f t="shared" si="61"/>
        <v>0</v>
      </c>
      <c r="AG205" s="80">
        <f t="shared" si="61"/>
        <v>70459292.170000002</v>
      </c>
      <c r="AH205" s="24"/>
      <c r="AI205" s="81">
        <f t="shared" ref="AI205" si="62">AI214+AI216</f>
        <v>0</v>
      </c>
    </row>
    <row r="206" spans="1:35" s="4" customFormat="1" ht="24" hidden="1" customHeight="1">
      <c r="A206" s="40"/>
      <c r="B206" s="36"/>
      <c r="C206" s="76"/>
      <c r="D206" s="76"/>
      <c r="E206" s="76"/>
      <c r="F206" s="76"/>
      <c r="G206" s="76"/>
      <c r="H206" s="76"/>
      <c r="I206" s="76"/>
      <c r="J206" s="76"/>
      <c r="K206" s="76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45"/>
      <c r="AI206" s="38"/>
    </row>
    <row r="207" spans="1:35" s="4" customFormat="1" ht="36.75" hidden="1" customHeight="1" thickBot="1">
      <c r="A207" s="40" t="s">
        <v>224</v>
      </c>
      <c r="B207" s="36">
        <v>642.49</v>
      </c>
      <c r="C207" s="76"/>
      <c r="D207" s="76"/>
      <c r="E207" s="76"/>
      <c r="F207" s="76"/>
      <c r="G207" s="76"/>
      <c r="H207" s="36">
        <f>B207-30</f>
        <v>612.49</v>
      </c>
      <c r="I207" s="76"/>
      <c r="J207" s="76"/>
      <c r="K207" s="76"/>
      <c r="L207" s="37"/>
      <c r="M207" s="37"/>
      <c r="N207" s="37"/>
      <c r="O207" s="37"/>
      <c r="P207" s="37"/>
      <c r="Q207" s="37"/>
      <c r="R207" s="37"/>
      <c r="S207" s="37"/>
      <c r="T207" s="36"/>
      <c r="U207" s="36">
        <f>H207+I207+L207+M207-T207</f>
        <v>612.49</v>
      </c>
      <c r="V207" s="37"/>
      <c r="W207" s="37"/>
      <c r="X207" s="37"/>
      <c r="Y207" s="37"/>
      <c r="Z207" s="37"/>
      <c r="AA207" s="36">
        <v>0</v>
      </c>
      <c r="AB207" s="37"/>
      <c r="AC207" s="37"/>
      <c r="AD207" s="37"/>
      <c r="AE207" s="37"/>
      <c r="AF207" s="37"/>
      <c r="AG207" s="36"/>
      <c r="AH207" s="45"/>
      <c r="AI207" s="38"/>
    </row>
    <row r="208" spans="1:35" s="4" customFormat="1" ht="32.25" hidden="1" customHeight="1">
      <c r="A208" s="40" t="s">
        <v>170</v>
      </c>
      <c r="B208" s="36">
        <f>210682916.65+18226500</f>
        <v>228909416.65000001</v>
      </c>
      <c r="C208" s="76"/>
      <c r="D208" s="76"/>
      <c r="E208" s="76"/>
      <c r="F208" s="76"/>
      <c r="G208" s="76"/>
      <c r="H208" s="36">
        <f>B208-18226500</f>
        <v>210682916.65000001</v>
      </c>
      <c r="I208" s="76"/>
      <c r="J208" s="76"/>
      <c r="K208" s="76"/>
      <c r="L208" s="37"/>
      <c r="M208" s="37"/>
      <c r="N208" s="37"/>
      <c r="O208" s="37"/>
      <c r="P208" s="37"/>
      <c r="Q208" s="37"/>
      <c r="R208" s="37"/>
      <c r="S208" s="37"/>
      <c r="T208" s="36">
        <v>153116619.41999999</v>
      </c>
      <c r="U208" s="36">
        <f>H208+I208+L208+M208-T208</f>
        <v>57566297.230000019</v>
      </c>
      <c r="V208" s="62"/>
      <c r="W208" s="37"/>
      <c r="X208" s="37"/>
      <c r="Y208" s="37"/>
      <c r="Z208" s="37"/>
      <c r="AA208" s="36">
        <f>U208-57566297.23</f>
        <v>0</v>
      </c>
      <c r="AB208" s="37"/>
      <c r="AC208" s="37"/>
      <c r="AD208" s="37"/>
      <c r="AE208" s="37"/>
      <c r="AF208" s="37"/>
      <c r="AG208" s="36"/>
      <c r="AH208" s="45"/>
      <c r="AI208" s="38"/>
    </row>
    <row r="209" spans="1:35" s="4" customFormat="1" ht="68.25" hidden="1" customHeight="1">
      <c r="A209" s="40" t="s">
        <v>171</v>
      </c>
      <c r="B209" s="36"/>
      <c r="C209" s="76"/>
      <c r="D209" s="76"/>
      <c r="E209" s="76"/>
      <c r="F209" s="76"/>
      <c r="G209" s="76"/>
      <c r="H209" s="36">
        <v>18226500</v>
      </c>
      <c r="I209" s="76"/>
      <c r="J209" s="76"/>
      <c r="K209" s="76"/>
      <c r="L209" s="37"/>
      <c r="M209" s="37"/>
      <c r="N209" s="37"/>
      <c r="O209" s="37"/>
      <c r="P209" s="37"/>
      <c r="Q209" s="37"/>
      <c r="R209" s="37"/>
      <c r="S209" s="37"/>
      <c r="T209" s="36">
        <v>18226500</v>
      </c>
      <c r="U209" s="36">
        <f>H209+I209+L209+M209-T209</f>
        <v>0</v>
      </c>
      <c r="V209" s="37"/>
      <c r="W209" s="37"/>
      <c r="X209" s="37"/>
      <c r="Y209" s="37"/>
      <c r="Z209" s="37"/>
      <c r="AA209" s="36">
        <f>U209</f>
        <v>0</v>
      </c>
      <c r="AB209" s="37"/>
      <c r="AC209" s="62"/>
      <c r="AD209" s="37"/>
      <c r="AE209" s="37"/>
      <c r="AF209" s="37"/>
      <c r="AG209" s="36"/>
      <c r="AH209" s="45"/>
      <c r="AI209" s="38"/>
    </row>
    <row r="210" spans="1:35" s="4" customFormat="1" ht="19.5" hidden="1" customHeight="1" thickBot="1">
      <c r="A210" s="42" t="s">
        <v>223</v>
      </c>
      <c r="B210" s="36"/>
      <c r="C210" s="76"/>
      <c r="D210" s="76"/>
      <c r="E210" s="76"/>
      <c r="F210" s="76"/>
      <c r="G210" s="76"/>
      <c r="H210" s="36"/>
      <c r="I210" s="76"/>
      <c r="J210" s="76"/>
      <c r="K210" s="76"/>
      <c r="L210" s="37"/>
      <c r="M210" s="37"/>
      <c r="N210" s="37"/>
      <c r="O210" s="37"/>
      <c r="P210" s="37"/>
      <c r="Q210" s="37"/>
      <c r="R210" s="37"/>
      <c r="S210" s="37"/>
      <c r="T210" s="36"/>
      <c r="U210" s="36"/>
      <c r="V210" s="37"/>
      <c r="W210" s="37"/>
      <c r="X210" s="37"/>
      <c r="Y210" s="37"/>
      <c r="Z210" s="37"/>
      <c r="AA210" s="36"/>
      <c r="AB210" s="37"/>
      <c r="AC210" s="62"/>
      <c r="AD210" s="37"/>
      <c r="AE210" s="37"/>
      <c r="AF210" s="37"/>
      <c r="AG210" s="36"/>
      <c r="AH210" s="45"/>
      <c r="AI210" s="73">
        <f t="shared" ref="AI210" si="63">AI207</f>
        <v>0</v>
      </c>
    </row>
    <row r="211" spans="1:35" s="4" customFormat="1" ht="52.5" hidden="1" customHeight="1">
      <c r="A211" s="40" t="s">
        <v>225</v>
      </c>
      <c r="B211" s="36">
        <f>49312030.09+8979748</f>
        <v>58291778.090000004</v>
      </c>
      <c r="C211" s="76"/>
      <c r="D211" s="76"/>
      <c r="E211" s="76"/>
      <c r="F211" s="76"/>
      <c r="G211" s="76"/>
      <c r="H211" s="36">
        <f>B211+3</f>
        <v>58291781.090000004</v>
      </c>
      <c r="I211" s="77"/>
      <c r="J211" s="76"/>
      <c r="K211" s="76"/>
      <c r="L211" s="36">
        <v>94093000</v>
      </c>
      <c r="M211" s="37"/>
      <c r="N211" s="37"/>
      <c r="O211" s="37"/>
      <c r="P211" s="37"/>
      <c r="Q211" s="37"/>
      <c r="R211" s="37"/>
      <c r="S211" s="37"/>
      <c r="T211" s="36">
        <v>57716310.979999997</v>
      </c>
      <c r="U211" s="36">
        <f>H211+I211+L211+M211-T211</f>
        <v>94668470.110000014</v>
      </c>
      <c r="V211" s="62"/>
      <c r="W211" s="37"/>
      <c r="X211" s="37"/>
      <c r="Y211" s="37"/>
      <c r="Z211" s="37"/>
      <c r="AA211" s="59">
        <f>U211</f>
        <v>94668470.110000014</v>
      </c>
      <c r="AB211" s="62"/>
      <c r="AC211" s="62"/>
      <c r="AD211" s="37"/>
      <c r="AE211" s="37"/>
      <c r="AF211" s="37"/>
      <c r="AG211" s="36">
        <v>69160000</v>
      </c>
      <c r="AH211" s="82"/>
      <c r="AI211" s="38"/>
    </row>
    <row r="212" spans="1:35" s="4" customFormat="1" ht="45.75" hidden="1" customHeight="1" thickBot="1">
      <c r="A212" s="40" t="s">
        <v>172</v>
      </c>
      <c r="B212" s="36">
        <v>27592396.559999999</v>
      </c>
      <c r="C212" s="76"/>
      <c r="D212" s="76"/>
      <c r="E212" s="76"/>
      <c r="F212" s="76"/>
      <c r="G212" s="76"/>
      <c r="H212" s="36">
        <f>B212</f>
        <v>27592396.559999999</v>
      </c>
      <c r="I212" s="76"/>
      <c r="J212" s="76"/>
      <c r="K212" s="76"/>
      <c r="L212" s="37"/>
      <c r="M212" s="37"/>
      <c r="N212" s="37"/>
      <c r="O212" s="37"/>
      <c r="P212" s="37"/>
      <c r="Q212" s="37"/>
      <c r="R212" s="37"/>
      <c r="S212" s="37"/>
      <c r="T212" s="36">
        <v>24974261.91</v>
      </c>
      <c r="U212" s="36">
        <f>H212+I212+L212+M212-T212</f>
        <v>2618134.6499999985</v>
      </c>
      <c r="V212" s="37"/>
      <c r="W212" s="37"/>
      <c r="X212" s="37"/>
      <c r="Y212" s="37"/>
      <c r="Z212" s="37"/>
      <c r="AA212" s="36">
        <f>U212-1318842.48</f>
        <v>1299292.1699999985</v>
      </c>
      <c r="AB212" s="37" t="s">
        <v>173</v>
      </c>
      <c r="AC212" s="37"/>
      <c r="AD212" s="37"/>
      <c r="AE212" s="37"/>
      <c r="AF212" s="37"/>
      <c r="AG212" s="36">
        <v>1299292.17</v>
      </c>
      <c r="AH212" s="45"/>
      <c r="AI212" s="38"/>
    </row>
    <row r="213" spans="1:35" s="4" customFormat="1" ht="33" hidden="1" customHeight="1" thickBot="1">
      <c r="A213" s="40" t="s">
        <v>174</v>
      </c>
      <c r="B213" s="36"/>
      <c r="C213" s="76"/>
      <c r="D213" s="76"/>
      <c r="E213" s="76"/>
      <c r="F213" s="76"/>
      <c r="G213" s="76"/>
      <c r="H213" s="76"/>
      <c r="I213" s="76"/>
      <c r="J213" s="76"/>
      <c r="K213" s="76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45"/>
      <c r="AI213" s="38"/>
    </row>
    <row r="214" spans="1:35" s="4" customFormat="1" ht="32.25" hidden="1" customHeight="1">
      <c r="A214" s="71" t="s">
        <v>201</v>
      </c>
      <c r="B214" s="73">
        <f>SUM(B206:B213)</f>
        <v>314794233.79000002</v>
      </c>
      <c r="C214" s="73">
        <f t="shared" ref="C214:AG214" si="64">SUM(C206:C213)</f>
        <v>0</v>
      </c>
      <c r="D214" s="73">
        <f t="shared" si="64"/>
        <v>0</v>
      </c>
      <c r="E214" s="73">
        <f t="shared" si="64"/>
        <v>0</v>
      </c>
      <c r="F214" s="73">
        <f t="shared" si="64"/>
        <v>0</v>
      </c>
      <c r="G214" s="73">
        <f t="shared" si="64"/>
        <v>0</v>
      </c>
      <c r="H214" s="73">
        <f t="shared" si="64"/>
        <v>314794206.79000002</v>
      </c>
      <c r="I214" s="73">
        <f t="shared" si="64"/>
        <v>0</v>
      </c>
      <c r="J214" s="73">
        <f t="shared" si="64"/>
        <v>0</v>
      </c>
      <c r="K214" s="73">
        <f t="shared" si="64"/>
        <v>0</v>
      </c>
      <c r="L214" s="73">
        <f t="shared" si="64"/>
        <v>94093000</v>
      </c>
      <c r="M214" s="73">
        <f t="shared" si="64"/>
        <v>0</v>
      </c>
      <c r="N214" s="73">
        <f t="shared" si="64"/>
        <v>0</v>
      </c>
      <c r="O214" s="73">
        <f t="shared" si="64"/>
        <v>0</v>
      </c>
      <c r="P214" s="73">
        <f t="shared" si="64"/>
        <v>0</v>
      </c>
      <c r="Q214" s="73">
        <f t="shared" si="64"/>
        <v>0</v>
      </c>
      <c r="R214" s="73">
        <f t="shared" si="64"/>
        <v>0</v>
      </c>
      <c r="S214" s="73">
        <f t="shared" si="64"/>
        <v>0</v>
      </c>
      <c r="T214" s="73">
        <f t="shared" si="64"/>
        <v>254033692.30999997</v>
      </c>
      <c r="U214" s="73">
        <f t="shared" si="64"/>
        <v>154853514.48000005</v>
      </c>
      <c r="V214" s="73">
        <f t="shared" si="64"/>
        <v>0</v>
      </c>
      <c r="W214" s="73">
        <f t="shared" si="64"/>
        <v>0</v>
      </c>
      <c r="X214" s="73">
        <f t="shared" si="64"/>
        <v>0</v>
      </c>
      <c r="Y214" s="73">
        <f t="shared" si="64"/>
        <v>0</v>
      </c>
      <c r="Z214" s="73">
        <f t="shared" si="64"/>
        <v>0</v>
      </c>
      <c r="AA214" s="73">
        <f t="shared" si="64"/>
        <v>95967762.280000016</v>
      </c>
      <c r="AB214" s="73">
        <f t="shared" si="64"/>
        <v>0</v>
      </c>
      <c r="AC214" s="73">
        <f t="shared" si="64"/>
        <v>0</v>
      </c>
      <c r="AD214" s="73">
        <f t="shared" si="64"/>
        <v>0</v>
      </c>
      <c r="AE214" s="73">
        <f t="shared" si="64"/>
        <v>0</v>
      </c>
      <c r="AF214" s="73">
        <f t="shared" si="64"/>
        <v>0</v>
      </c>
      <c r="AG214" s="73">
        <f t="shared" si="64"/>
        <v>70459292.170000002</v>
      </c>
      <c r="AH214" s="45"/>
      <c r="AI214" s="73"/>
    </row>
    <row r="215" spans="1:35" ht="33" hidden="1">
      <c r="A215" s="35" t="s">
        <v>175</v>
      </c>
      <c r="B215" s="36">
        <v>15809681.85</v>
      </c>
      <c r="C215" s="36"/>
      <c r="D215" s="36"/>
      <c r="E215" s="36"/>
      <c r="F215" s="36"/>
      <c r="G215" s="36"/>
      <c r="H215" s="36">
        <f>B215</f>
        <v>15809681.85</v>
      </c>
      <c r="I215" s="36"/>
      <c r="J215" s="36"/>
      <c r="K215" s="36"/>
      <c r="L215" s="37"/>
      <c r="M215" s="37"/>
      <c r="N215" s="37"/>
      <c r="O215" s="37"/>
      <c r="P215" s="37"/>
      <c r="Q215" s="37"/>
      <c r="R215" s="37"/>
      <c r="S215" s="83"/>
      <c r="T215" s="36">
        <v>3885600</v>
      </c>
      <c r="U215" s="36">
        <f>H215+I215+L215+M215-T215</f>
        <v>11924081.85</v>
      </c>
      <c r="V215" s="37"/>
      <c r="W215" s="37"/>
      <c r="X215" s="37"/>
      <c r="Y215" s="37"/>
      <c r="Z215" s="37"/>
      <c r="AA215" s="36">
        <v>0</v>
      </c>
      <c r="AB215" s="37"/>
      <c r="AC215" s="37"/>
      <c r="AD215" s="37"/>
      <c r="AE215" s="37"/>
      <c r="AF215" s="37"/>
      <c r="AG215" s="37"/>
      <c r="AH215" s="24"/>
      <c r="AI215" s="38"/>
    </row>
    <row r="216" spans="1:35" ht="33" hidden="1">
      <c r="A216" s="42" t="s">
        <v>142</v>
      </c>
      <c r="B216" s="73">
        <f>SUM(B215:B215)</f>
        <v>15809681.85</v>
      </c>
      <c r="C216" s="73">
        <f t="shared" ref="C216:AG217" si="65">SUM(C215:C215)</f>
        <v>0</v>
      </c>
      <c r="D216" s="73">
        <f t="shared" si="65"/>
        <v>0</v>
      </c>
      <c r="E216" s="73">
        <f t="shared" si="65"/>
        <v>0</v>
      </c>
      <c r="F216" s="73">
        <f t="shared" si="65"/>
        <v>0</v>
      </c>
      <c r="G216" s="73">
        <f t="shared" si="65"/>
        <v>0</v>
      </c>
      <c r="H216" s="73">
        <f t="shared" si="65"/>
        <v>15809681.85</v>
      </c>
      <c r="I216" s="73">
        <f t="shared" si="65"/>
        <v>0</v>
      </c>
      <c r="J216" s="73">
        <f t="shared" si="65"/>
        <v>0</v>
      </c>
      <c r="K216" s="73">
        <f t="shared" si="65"/>
        <v>0</v>
      </c>
      <c r="L216" s="73">
        <f t="shared" si="65"/>
        <v>0</v>
      </c>
      <c r="M216" s="73">
        <f t="shared" si="65"/>
        <v>0</v>
      </c>
      <c r="N216" s="73">
        <f t="shared" si="65"/>
        <v>0</v>
      </c>
      <c r="O216" s="73">
        <f t="shared" si="65"/>
        <v>0</v>
      </c>
      <c r="P216" s="73">
        <f t="shared" si="65"/>
        <v>0</v>
      </c>
      <c r="Q216" s="73">
        <f t="shared" si="65"/>
        <v>0</v>
      </c>
      <c r="R216" s="73">
        <f t="shared" si="65"/>
        <v>0</v>
      </c>
      <c r="S216" s="73">
        <f t="shared" si="65"/>
        <v>0</v>
      </c>
      <c r="T216" s="73">
        <f t="shared" si="65"/>
        <v>3885600</v>
      </c>
      <c r="U216" s="73">
        <f t="shared" si="65"/>
        <v>11924081.85</v>
      </c>
      <c r="V216" s="73">
        <f t="shared" si="65"/>
        <v>0</v>
      </c>
      <c r="W216" s="73">
        <f t="shared" si="65"/>
        <v>0</v>
      </c>
      <c r="X216" s="73">
        <f t="shared" si="65"/>
        <v>0</v>
      </c>
      <c r="Y216" s="73">
        <f t="shared" si="65"/>
        <v>0</v>
      </c>
      <c r="Z216" s="73">
        <f t="shared" si="65"/>
        <v>0</v>
      </c>
      <c r="AA216" s="73">
        <f t="shared" si="65"/>
        <v>0</v>
      </c>
      <c r="AB216" s="73">
        <f t="shared" si="65"/>
        <v>0</v>
      </c>
      <c r="AC216" s="73">
        <f t="shared" si="65"/>
        <v>0</v>
      </c>
      <c r="AD216" s="73">
        <f t="shared" si="65"/>
        <v>0</v>
      </c>
      <c r="AE216" s="73">
        <f t="shared" si="65"/>
        <v>0</v>
      </c>
      <c r="AF216" s="73">
        <f t="shared" si="65"/>
        <v>0</v>
      </c>
      <c r="AG216" s="73">
        <f t="shared" si="65"/>
        <v>0</v>
      </c>
      <c r="AH216" s="24"/>
      <c r="AI216" s="73">
        <f t="shared" ref="AI216" si="66">SUM(AI215:AI215)</f>
        <v>0</v>
      </c>
    </row>
    <row r="217" spans="1:35" s="4" customFormat="1" ht="51" hidden="1" customHeight="1">
      <c r="A217" s="76" t="s">
        <v>206</v>
      </c>
      <c r="B217" s="73">
        <f>B220+B222</f>
        <v>135842263.27000001</v>
      </c>
      <c r="C217" s="73">
        <f t="shared" ref="C217:AG217" si="67">C220+C222</f>
        <v>0</v>
      </c>
      <c r="D217" s="73">
        <f t="shared" si="67"/>
        <v>0</v>
      </c>
      <c r="E217" s="73">
        <f t="shared" si="67"/>
        <v>0</v>
      </c>
      <c r="F217" s="73">
        <f t="shared" si="67"/>
        <v>0</v>
      </c>
      <c r="G217" s="73">
        <f t="shared" si="67"/>
        <v>0</v>
      </c>
      <c r="H217" s="73">
        <f t="shared" si="67"/>
        <v>135842263.27000001</v>
      </c>
      <c r="I217" s="73">
        <f t="shared" si="65"/>
        <v>0</v>
      </c>
      <c r="J217" s="73">
        <f t="shared" si="67"/>
        <v>0</v>
      </c>
      <c r="K217" s="73">
        <f t="shared" si="65"/>
        <v>0</v>
      </c>
      <c r="L217" s="73">
        <f>L220+L222</f>
        <v>0</v>
      </c>
      <c r="M217" s="73">
        <f t="shared" si="67"/>
        <v>0</v>
      </c>
      <c r="N217" s="73">
        <f t="shared" si="67"/>
        <v>0</v>
      </c>
      <c r="O217" s="73">
        <f t="shared" si="67"/>
        <v>0</v>
      </c>
      <c r="P217" s="73">
        <f t="shared" si="67"/>
        <v>0</v>
      </c>
      <c r="Q217" s="73">
        <f t="shared" si="67"/>
        <v>0</v>
      </c>
      <c r="R217" s="73">
        <f t="shared" si="67"/>
        <v>0</v>
      </c>
      <c r="S217" s="73">
        <f t="shared" si="67"/>
        <v>0</v>
      </c>
      <c r="T217" s="73">
        <f t="shared" si="67"/>
        <v>53467104.210000001</v>
      </c>
      <c r="U217" s="73">
        <f t="shared" si="67"/>
        <v>79509790.99000001</v>
      </c>
      <c r="V217" s="73">
        <f t="shared" si="67"/>
        <v>0</v>
      </c>
      <c r="W217" s="73">
        <f t="shared" si="67"/>
        <v>0</v>
      </c>
      <c r="X217" s="73">
        <f t="shared" si="67"/>
        <v>0</v>
      </c>
      <c r="Y217" s="73">
        <f t="shared" si="67"/>
        <v>0</v>
      </c>
      <c r="Z217" s="73">
        <f t="shared" si="67"/>
        <v>0</v>
      </c>
      <c r="AA217" s="73">
        <f t="shared" si="67"/>
        <v>79509790.99000001</v>
      </c>
      <c r="AB217" s="73">
        <f t="shared" si="67"/>
        <v>0</v>
      </c>
      <c r="AC217" s="73">
        <f t="shared" si="67"/>
        <v>0</v>
      </c>
      <c r="AD217" s="73">
        <f t="shared" si="67"/>
        <v>0</v>
      </c>
      <c r="AE217" s="73">
        <f t="shared" si="67"/>
        <v>0</v>
      </c>
      <c r="AF217" s="77">
        <f t="shared" si="67"/>
        <v>0</v>
      </c>
      <c r="AG217" s="73">
        <f t="shared" si="67"/>
        <v>39502448.5</v>
      </c>
      <c r="AH217" s="45"/>
      <c r="AI217" s="73">
        <f t="shared" ref="AI217" si="68">AI220+AI222</f>
        <v>0</v>
      </c>
    </row>
    <row r="218" spans="1:35" s="4" customFormat="1" ht="33" hidden="1" customHeight="1">
      <c r="A218" s="40" t="s">
        <v>226</v>
      </c>
      <c r="B218" s="84">
        <v>80430525.120000005</v>
      </c>
      <c r="C218" s="73"/>
      <c r="D218" s="73"/>
      <c r="E218" s="73"/>
      <c r="F218" s="73"/>
      <c r="G218" s="73"/>
      <c r="H218" s="84">
        <f>B218</f>
        <v>80430525.120000005</v>
      </c>
      <c r="I218" s="73"/>
      <c r="J218" s="73"/>
      <c r="K218" s="73"/>
      <c r="L218" s="37"/>
      <c r="M218" s="37"/>
      <c r="N218" s="37"/>
      <c r="O218" s="37"/>
      <c r="P218" s="37"/>
      <c r="Q218" s="37"/>
      <c r="R218" s="37"/>
      <c r="S218" s="83"/>
      <c r="T218" s="36">
        <v>45378012.350000001</v>
      </c>
      <c r="U218" s="36">
        <f>H218+I218+L218+M218-T218</f>
        <v>35052512.770000003</v>
      </c>
      <c r="V218" s="37"/>
      <c r="W218" s="37"/>
      <c r="X218" s="37"/>
      <c r="Y218" s="37"/>
      <c r="Z218" s="37"/>
      <c r="AA218" s="36">
        <f>U218</f>
        <v>35052512.770000003</v>
      </c>
      <c r="AB218" s="37"/>
      <c r="AC218" s="37"/>
      <c r="AD218" s="37"/>
      <c r="AE218" s="37"/>
      <c r="AF218" s="37"/>
      <c r="AG218" s="36">
        <v>34845170.600000001</v>
      </c>
      <c r="AH218" s="45"/>
      <c r="AI218" s="38"/>
    </row>
    <row r="219" spans="1:35" s="4" customFormat="1" ht="51" hidden="1" customHeight="1">
      <c r="A219" s="40" t="s">
        <v>228</v>
      </c>
      <c r="B219" s="84">
        <v>55326694.859999999</v>
      </c>
      <c r="C219" s="73"/>
      <c r="D219" s="73"/>
      <c r="E219" s="73"/>
      <c r="F219" s="73"/>
      <c r="G219" s="73"/>
      <c r="H219" s="84">
        <f>B219+H221+B221</f>
        <v>55411738.149999999</v>
      </c>
      <c r="I219" s="73"/>
      <c r="J219" s="73"/>
      <c r="K219" s="73"/>
      <c r="L219" s="37"/>
      <c r="M219" s="37"/>
      <c r="N219" s="37"/>
      <c r="O219" s="37"/>
      <c r="P219" s="37"/>
      <c r="Q219" s="37"/>
      <c r="R219" s="37"/>
      <c r="S219" s="83"/>
      <c r="T219" s="36">
        <v>8089091.8600000003</v>
      </c>
      <c r="U219" s="36">
        <v>44457278.219999999</v>
      </c>
      <c r="V219" s="37"/>
      <c r="W219" s="37"/>
      <c r="X219" s="37"/>
      <c r="Y219" s="37"/>
      <c r="Z219" s="37"/>
      <c r="AA219" s="36">
        <f>U219</f>
        <v>44457278.219999999</v>
      </c>
      <c r="AB219" s="37"/>
      <c r="AC219" s="37"/>
      <c r="AD219" s="37"/>
      <c r="AE219" s="37"/>
      <c r="AF219" s="37"/>
      <c r="AG219" s="36">
        <v>4657277.9000000004</v>
      </c>
      <c r="AH219" s="45"/>
      <c r="AI219" s="38"/>
    </row>
    <row r="220" spans="1:35" s="4" customFormat="1" ht="33.6" hidden="1" customHeight="1">
      <c r="A220" s="71" t="s">
        <v>201</v>
      </c>
      <c r="B220" s="73">
        <f>B218+B219</f>
        <v>135757219.98000002</v>
      </c>
      <c r="C220" s="73">
        <f t="shared" ref="C220:AG220" si="69">C218+C219</f>
        <v>0</v>
      </c>
      <c r="D220" s="73">
        <f t="shared" si="69"/>
        <v>0</v>
      </c>
      <c r="E220" s="73">
        <f t="shared" si="69"/>
        <v>0</v>
      </c>
      <c r="F220" s="73">
        <f t="shared" si="69"/>
        <v>0</v>
      </c>
      <c r="G220" s="73">
        <f t="shared" si="69"/>
        <v>0</v>
      </c>
      <c r="H220" s="73">
        <f t="shared" si="69"/>
        <v>135842263.27000001</v>
      </c>
      <c r="I220" s="73">
        <f t="shared" si="69"/>
        <v>0</v>
      </c>
      <c r="J220" s="73">
        <f t="shared" si="69"/>
        <v>0</v>
      </c>
      <c r="K220" s="73">
        <f t="shared" si="69"/>
        <v>0</v>
      </c>
      <c r="L220" s="73">
        <f t="shared" si="69"/>
        <v>0</v>
      </c>
      <c r="M220" s="73">
        <f t="shared" si="69"/>
        <v>0</v>
      </c>
      <c r="N220" s="73">
        <f t="shared" si="69"/>
        <v>0</v>
      </c>
      <c r="O220" s="73">
        <f t="shared" si="69"/>
        <v>0</v>
      </c>
      <c r="P220" s="73">
        <f t="shared" si="69"/>
        <v>0</v>
      </c>
      <c r="Q220" s="73">
        <f t="shared" si="69"/>
        <v>0</v>
      </c>
      <c r="R220" s="73">
        <f t="shared" si="69"/>
        <v>0</v>
      </c>
      <c r="S220" s="73">
        <f t="shared" si="69"/>
        <v>0</v>
      </c>
      <c r="T220" s="73">
        <f t="shared" si="69"/>
        <v>53467104.210000001</v>
      </c>
      <c r="U220" s="73">
        <f t="shared" si="69"/>
        <v>79509790.99000001</v>
      </c>
      <c r="V220" s="73">
        <f t="shared" si="69"/>
        <v>0</v>
      </c>
      <c r="W220" s="73">
        <f t="shared" si="69"/>
        <v>0</v>
      </c>
      <c r="X220" s="73">
        <f t="shared" si="69"/>
        <v>0</v>
      </c>
      <c r="Y220" s="73">
        <f t="shared" si="69"/>
        <v>0</v>
      </c>
      <c r="Z220" s="73">
        <f t="shared" si="69"/>
        <v>0</v>
      </c>
      <c r="AA220" s="73">
        <f t="shared" si="69"/>
        <v>79509790.99000001</v>
      </c>
      <c r="AB220" s="73">
        <f t="shared" si="69"/>
        <v>0</v>
      </c>
      <c r="AC220" s="73">
        <f t="shared" si="69"/>
        <v>0</v>
      </c>
      <c r="AD220" s="73">
        <f t="shared" si="69"/>
        <v>0</v>
      </c>
      <c r="AE220" s="73">
        <f t="shared" si="69"/>
        <v>0</v>
      </c>
      <c r="AF220" s="73">
        <f t="shared" si="69"/>
        <v>0</v>
      </c>
      <c r="AG220" s="73">
        <f t="shared" si="69"/>
        <v>39502448.5</v>
      </c>
      <c r="AH220" s="85" t="e">
        <f>#REF!+#REF!</f>
        <v>#REF!</v>
      </c>
      <c r="AI220" s="73">
        <f t="shared" ref="AI220" si="70">AI218+AI219</f>
        <v>0</v>
      </c>
    </row>
    <row r="221" spans="1:35" s="4" customFormat="1" ht="42.6" hidden="1" customHeight="1" thickBot="1">
      <c r="A221" s="40" t="s">
        <v>176</v>
      </c>
      <c r="B221" s="84">
        <v>85043.29</v>
      </c>
      <c r="C221" s="73"/>
      <c r="D221" s="73"/>
      <c r="E221" s="73"/>
      <c r="F221" s="73"/>
      <c r="G221" s="73"/>
      <c r="H221" s="73">
        <v>0</v>
      </c>
      <c r="I221" s="73"/>
      <c r="J221" s="73"/>
      <c r="K221" s="73"/>
      <c r="L221" s="37"/>
      <c r="M221" s="37"/>
      <c r="N221" s="37"/>
      <c r="O221" s="37"/>
      <c r="P221" s="37"/>
      <c r="Q221" s="37"/>
      <c r="R221" s="37"/>
      <c r="S221" s="83"/>
      <c r="T221" s="37"/>
      <c r="U221" s="36">
        <f>H221+I221+L221+M221-T221</f>
        <v>0</v>
      </c>
      <c r="V221" s="37"/>
      <c r="W221" s="37"/>
      <c r="X221" s="37"/>
      <c r="Y221" s="37"/>
      <c r="Z221" s="37"/>
      <c r="AA221" s="36">
        <f>U221</f>
        <v>0</v>
      </c>
      <c r="AB221" s="37"/>
      <c r="AC221" s="37"/>
      <c r="AD221" s="37"/>
      <c r="AE221" s="37"/>
      <c r="AF221" s="37"/>
      <c r="AG221" s="37"/>
      <c r="AH221" s="45"/>
      <c r="AI221" s="38"/>
    </row>
    <row r="222" spans="1:35" s="4" customFormat="1" ht="66" hidden="1">
      <c r="A222" s="71" t="s">
        <v>177</v>
      </c>
      <c r="B222" s="73">
        <f>B221</f>
        <v>85043.29</v>
      </c>
      <c r="C222" s="73">
        <f t="shared" ref="C222:AG222" si="71">C221</f>
        <v>0</v>
      </c>
      <c r="D222" s="73">
        <f t="shared" si="71"/>
        <v>0</v>
      </c>
      <c r="E222" s="73">
        <f t="shared" si="71"/>
        <v>0</v>
      </c>
      <c r="F222" s="73">
        <f t="shared" si="71"/>
        <v>0</v>
      </c>
      <c r="G222" s="73">
        <f t="shared" si="71"/>
        <v>0</v>
      </c>
      <c r="H222" s="73">
        <f t="shared" si="71"/>
        <v>0</v>
      </c>
      <c r="I222" s="73">
        <f t="shared" si="71"/>
        <v>0</v>
      </c>
      <c r="J222" s="73">
        <f t="shared" si="71"/>
        <v>0</v>
      </c>
      <c r="K222" s="73">
        <f t="shared" si="71"/>
        <v>0</v>
      </c>
      <c r="L222" s="73">
        <f t="shared" si="71"/>
        <v>0</v>
      </c>
      <c r="M222" s="73">
        <f t="shared" si="71"/>
        <v>0</v>
      </c>
      <c r="N222" s="73">
        <f t="shared" si="71"/>
        <v>0</v>
      </c>
      <c r="O222" s="73">
        <f t="shared" si="71"/>
        <v>0</v>
      </c>
      <c r="P222" s="73">
        <f t="shared" si="71"/>
        <v>0</v>
      </c>
      <c r="Q222" s="73">
        <f t="shared" si="71"/>
        <v>0</v>
      </c>
      <c r="R222" s="73">
        <f t="shared" si="71"/>
        <v>0</v>
      </c>
      <c r="S222" s="73">
        <f t="shared" si="71"/>
        <v>0</v>
      </c>
      <c r="T222" s="73">
        <f t="shared" si="71"/>
        <v>0</v>
      </c>
      <c r="U222" s="73">
        <f t="shared" si="71"/>
        <v>0</v>
      </c>
      <c r="V222" s="73">
        <f t="shared" si="71"/>
        <v>0</v>
      </c>
      <c r="W222" s="73">
        <f t="shared" si="71"/>
        <v>0</v>
      </c>
      <c r="X222" s="73">
        <f t="shared" si="71"/>
        <v>0</v>
      </c>
      <c r="Y222" s="73">
        <f t="shared" si="71"/>
        <v>0</v>
      </c>
      <c r="Z222" s="73">
        <f t="shared" si="71"/>
        <v>0</v>
      </c>
      <c r="AA222" s="73">
        <f t="shared" si="71"/>
        <v>0</v>
      </c>
      <c r="AB222" s="73">
        <f t="shared" si="71"/>
        <v>0</v>
      </c>
      <c r="AC222" s="73">
        <f t="shared" si="71"/>
        <v>0</v>
      </c>
      <c r="AD222" s="73">
        <f t="shared" si="71"/>
        <v>0</v>
      </c>
      <c r="AE222" s="73">
        <f t="shared" si="71"/>
        <v>0</v>
      </c>
      <c r="AF222" s="73">
        <f t="shared" si="71"/>
        <v>0</v>
      </c>
      <c r="AG222" s="73">
        <f t="shared" si="71"/>
        <v>0</v>
      </c>
      <c r="AH222" s="45"/>
      <c r="AI222" s="73">
        <f t="shared" ref="AI222" si="72">AI221</f>
        <v>0</v>
      </c>
    </row>
    <row r="223" spans="1:35" s="4" customFormat="1" hidden="1">
      <c r="A223" s="76" t="s">
        <v>178</v>
      </c>
      <c r="B223" s="73">
        <f>B226</f>
        <v>0</v>
      </c>
      <c r="C223" s="73">
        <f t="shared" ref="C223:K223" si="73">C226</f>
        <v>0</v>
      </c>
      <c r="D223" s="73">
        <f t="shared" si="73"/>
        <v>0</v>
      </c>
      <c r="E223" s="73">
        <f t="shared" si="73"/>
        <v>52005</v>
      </c>
      <c r="F223" s="73">
        <f t="shared" si="73"/>
        <v>0</v>
      </c>
      <c r="G223" s="73">
        <f t="shared" si="73"/>
        <v>0</v>
      </c>
      <c r="H223" s="73">
        <f t="shared" si="73"/>
        <v>0</v>
      </c>
      <c r="I223" s="73">
        <f t="shared" si="73"/>
        <v>0</v>
      </c>
      <c r="J223" s="73">
        <f t="shared" si="73"/>
        <v>0</v>
      </c>
      <c r="K223" s="73">
        <f t="shared" si="73"/>
        <v>0</v>
      </c>
      <c r="L223" s="73">
        <f>L226+L224</f>
        <v>4921275.0699999994</v>
      </c>
      <c r="M223" s="73">
        <f t="shared" ref="M223:AD223" si="74">M226+M224</f>
        <v>52005</v>
      </c>
      <c r="N223" s="73">
        <f t="shared" si="74"/>
        <v>0</v>
      </c>
      <c r="O223" s="73">
        <f t="shared" si="74"/>
        <v>0</v>
      </c>
      <c r="P223" s="73">
        <f t="shared" si="74"/>
        <v>0</v>
      </c>
      <c r="Q223" s="73">
        <f t="shared" si="74"/>
        <v>0</v>
      </c>
      <c r="R223" s="73">
        <f t="shared" si="74"/>
        <v>0</v>
      </c>
      <c r="S223" s="73">
        <f t="shared" si="74"/>
        <v>0</v>
      </c>
      <c r="T223" s="73">
        <f t="shared" si="74"/>
        <v>4921275.07</v>
      </c>
      <c r="U223" s="73">
        <f t="shared" si="74"/>
        <v>0</v>
      </c>
      <c r="V223" s="73">
        <f t="shared" si="74"/>
        <v>0</v>
      </c>
      <c r="W223" s="73">
        <f t="shared" si="74"/>
        <v>0</v>
      </c>
      <c r="X223" s="73">
        <f t="shared" si="74"/>
        <v>0</v>
      </c>
      <c r="Y223" s="73">
        <f t="shared" si="74"/>
        <v>0</v>
      </c>
      <c r="Z223" s="73">
        <f t="shared" si="74"/>
        <v>0</v>
      </c>
      <c r="AA223" s="73">
        <f t="shared" si="74"/>
        <v>0</v>
      </c>
      <c r="AB223" s="73">
        <f t="shared" si="74"/>
        <v>0</v>
      </c>
      <c r="AC223" s="73">
        <f t="shared" si="74"/>
        <v>0</v>
      </c>
      <c r="AD223" s="73">
        <f t="shared" si="74"/>
        <v>0</v>
      </c>
      <c r="AE223" s="73">
        <f t="shared" ref="AE223:AG223" si="75">AE226</f>
        <v>4617100</v>
      </c>
      <c r="AF223" s="73">
        <f t="shared" si="75"/>
        <v>0</v>
      </c>
      <c r="AG223" s="73">
        <f t="shared" si="75"/>
        <v>4617100</v>
      </c>
      <c r="AH223" s="45"/>
      <c r="AI223" s="73">
        <f t="shared" ref="AI223" si="76">AI226+AI224</f>
        <v>0</v>
      </c>
    </row>
    <row r="224" spans="1:35" s="4" customFormat="1" ht="22.5" hidden="1" customHeight="1">
      <c r="A224" s="86" t="s">
        <v>197</v>
      </c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84">
        <f>516200+429248.8+1308091.45+1917524.08+275826.27+474384.47</f>
        <v>4921275.0699999994</v>
      </c>
      <c r="M224" s="73"/>
      <c r="N224" s="73"/>
      <c r="O224" s="73"/>
      <c r="P224" s="73"/>
      <c r="Q224" s="73"/>
      <c r="R224" s="73"/>
      <c r="S224" s="73"/>
      <c r="T224" s="84">
        <v>4921275.07</v>
      </c>
      <c r="U224" s="36">
        <f>H224+I224-E224+L224+M224-T224</f>
        <v>0</v>
      </c>
      <c r="V224" s="37"/>
      <c r="W224" s="37"/>
      <c r="X224" s="37"/>
      <c r="Y224" s="37"/>
      <c r="Z224" s="37"/>
      <c r="AA224" s="36">
        <f>U224</f>
        <v>0</v>
      </c>
      <c r="AB224" s="37"/>
      <c r="AC224" s="37"/>
      <c r="AD224" s="37"/>
      <c r="AE224" s="36">
        <f>3867100+750000</f>
        <v>4617100</v>
      </c>
      <c r="AF224" s="37"/>
      <c r="AG224" s="36">
        <v>4617100</v>
      </c>
      <c r="AH224" s="45"/>
      <c r="AI224" s="36"/>
    </row>
    <row r="225" spans="1:35" s="4" customFormat="1" ht="18" hidden="1" customHeight="1" thickBot="1">
      <c r="A225" s="40" t="s">
        <v>179</v>
      </c>
      <c r="B225" s="73"/>
      <c r="C225" s="73"/>
      <c r="D225" s="73"/>
      <c r="E225" s="84">
        <f>52005</f>
        <v>52005</v>
      </c>
      <c r="F225" s="84"/>
      <c r="G225" s="84"/>
      <c r="H225" s="84"/>
      <c r="I225" s="73"/>
      <c r="J225" s="73"/>
      <c r="K225" s="73"/>
      <c r="L225" s="87">
        <f>27500-27500</f>
        <v>0</v>
      </c>
      <c r="M225" s="87">
        <v>52005</v>
      </c>
      <c r="N225" s="37"/>
      <c r="O225" s="37"/>
      <c r="P225" s="37"/>
      <c r="Q225" s="37"/>
      <c r="R225" s="37"/>
      <c r="S225" s="83"/>
      <c r="T225" s="37"/>
      <c r="U225" s="36">
        <f>H225+I225-E225+L225+M225-T225</f>
        <v>0</v>
      </c>
      <c r="V225" s="37"/>
      <c r="W225" s="37"/>
      <c r="X225" s="37"/>
      <c r="Y225" s="37"/>
      <c r="Z225" s="37"/>
      <c r="AA225" s="36">
        <f>U225</f>
        <v>0</v>
      </c>
      <c r="AB225" s="37"/>
      <c r="AC225" s="37"/>
      <c r="AD225" s="37"/>
      <c r="AE225" s="37"/>
      <c r="AF225" s="37"/>
      <c r="AG225" s="37"/>
      <c r="AH225" s="45"/>
      <c r="AI225" s="36">
        <v>0</v>
      </c>
    </row>
    <row r="226" spans="1:35" s="4" customFormat="1" ht="37.5" hidden="1" customHeight="1" thickBot="1">
      <c r="A226" s="42" t="s">
        <v>142</v>
      </c>
      <c r="B226" s="73">
        <f>B225</f>
        <v>0</v>
      </c>
      <c r="C226" s="73">
        <f t="shared" ref="C226:AD226" si="77">C225</f>
        <v>0</v>
      </c>
      <c r="D226" s="73">
        <f t="shared" si="77"/>
        <v>0</v>
      </c>
      <c r="E226" s="73">
        <f t="shared" si="77"/>
        <v>52005</v>
      </c>
      <c r="F226" s="73">
        <f t="shared" si="77"/>
        <v>0</v>
      </c>
      <c r="G226" s="73">
        <f t="shared" si="77"/>
        <v>0</v>
      </c>
      <c r="H226" s="73">
        <f t="shared" si="77"/>
        <v>0</v>
      </c>
      <c r="I226" s="73">
        <f t="shared" si="77"/>
        <v>0</v>
      </c>
      <c r="J226" s="73">
        <f t="shared" si="77"/>
        <v>0</v>
      </c>
      <c r="K226" s="73">
        <f t="shared" si="77"/>
        <v>0</v>
      </c>
      <c r="L226" s="73">
        <f t="shared" si="77"/>
        <v>0</v>
      </c>
      <c r="M226" s="73">
        <f t="shared" si="77"/>
        <v>52005</v>
      </c>
      <c r="N226" s="73">
        <f t="shared" si="77"/>
        <v>0</v>
      </c>
      <c r="O226" s="73">
        <f t="shared" si="77"/>
        <v>0</v>
      </c>
      <c r="P226" s="73">
        <f t="shared" si="77"/>
        <v>0</v>
      </c>
      <c r="Q226" s="73">
        <f t="shared" si="77"/>
        <v>0</v>
      </c>
      <c r="R226" s="73">
        <f t="shared" si="77"/>
        <v>0</v>
      </c>
      <c r="S226" s="73">
        <f t="shared" si="77"/>
        <v>0</v>
      </c>
      <c r="T226" s="73">
        <f t="shared" si="77"/>
        <v>0</v>
      </c>
      <c r="U226" s="73">
        <f t="shared" si="77"/>
        <v>0</v>
      </c>
      <c r="V226" s="73">
        <f t="shared" si="77"/>
        <v>0</v>
      </c>
      <c r="W226" s="73">
        <f t="shared" si="77"/>
        <v>0</v>
      </c>
      <c r="X226" s="73">
        <f t="shared" si="77"/>
        <v>0</v>
      </c>
      <c r="Y226" s="73">
        <f t="shared" si="77"/>
        <v>0</v>
      </c>
      <c r="Z226" s="73">
        <f t="shared" si="77"/>
        <v>0</v>
      </c>
      <c r="AA226" s="73">
        <f t="shared" si="77"/>
        <v>0</v>
      </c>
      <c r="AB226" s="73">
        <f t="shared" si="77"/>
        <v>0</v>
      </c>
      <c r="AC226" s="73">
        <f t="shared" si="77"/>
        <v>0</v>
      </c>
      <c r="AD226" s="73">
        <f t="shared" si="77"/>
        <v>0</v>
      </c>
      <c r="AE226" s="73">
        <f t="shared" ref="AE226:AG226" si="78">AE224+AE225</f>
        <v>4617100</v>
      </c>
      <c r="AF226" s="73">
        <f t="shared" si="78"/>
        <v>0</v>
      </c>
      <c r="AG226" s="73">
        <f t="shared" si="78"/>
        <v>4617100</v>
      </c>
      <c r="AH226" s="45"/>
      <c r="AI226" s="73">
        <f t="shared" ref="AI226" si="79">AI225</f>
        <v>0</v>
      </c>
    </row>
    <row r="227" spans="1:35" s="4" customFormat="1" ht="45.6" hidden="1" customHeight="1" thickBot="1">
      <c r="A227" s="42" t="s">
        <v>180</v>
      </c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>
        <f>L231</f>
        <v>18600000</v>
      </c>
      <c r="M227" s="73">
        <f t="shared" ref="M227:T227" si="80">M231</f>
        <v>0</v>
      </c>
      <c r="N227" s="73">
        <f t="shared" si="80"/>
        <v>0</v>
      </c>
      <c r="O227" s="73">
        <f t="shared" si="80"/>
        <v>0</v>
      </c>
      <c r="P227" s="73">
        <f t="shared" si="80"/>
        <v>0</v>
      </c>
      <c r="Q227" s="73">
        <f t="shared" si="80"/>
        <v>0</v>
      </c>
      <c r="R227" s="73">
        <f t="shared" si="80"/>
        <v>0</v>
      </c>
      <c r="S227" s="73">
        <f t="shared" si="80"/>
        <v>0</v>
      </c>
      <c r="T227" s="73">
        <f t="shared" si="80"/>
        <v>18600000</v>
      </c>
      <c r="U227" s="73">
        <f>U230</f>
        <v>0</v>
      </c>
      <c r="V227" s="73">
        <f t="shared" ref="V227:AD227" si="81">V230</f>
        <v>0</v>
      </c>
      <c r="W227" s="73">
        <f t="shared" si="81"/>
        <v>0</v>
      </c>
      <c r="X227" s="73">
        <f t="shared" si="81"/>
        <v>0</v>
      </c>
      <c r="Y227" s="73">
        <f t="shared" si="81"/>
        <v>0</v>
      </c>
      <c r="Z227" s="73">
        <f t="shared" si="81"/>
        <v>0</v>
      </c>
      <c r="AA227" s="73">
        <f t="shared" si="81"/>
        <v>0</v>
      </c>
      <c r="AB227" s="73">
        <f t="shared" si="81"/>
        <v>0</v>
      </c>
      <c r="AC227" s="73">
        <f t="shared" si="81"/>
        <v>0</v>
      </c>
      <c r="AD227" s="73">
        <f t="shared" si="81"/>
        <v>0</v>
      </c>
      <c r="AE227" s="73">
        <f t="shared" ref="AE227:AG227" si="82">AE230+AE229</f>
        <v>20498290</v>
      </c>
      <c r="AF227" s="73">
        <f t="shared" si="82"/>
        <v>0</v>
      </c>
      <c r="AG227" s="73">
        <f t="shared" si="82"/>
        <v>20498290</v>
      </c>
      <c r="AH227" s="45"/>
      <c r="AI227" s="73">
        <f t="shared" ref="AI227" si="83">AI230</f>
        <v>0</v>
      </c>
    </row>
    <row r="228" spans="1:35" s="4" customFormat="1" ht="44.25" hidden="1" customHeight="1" thickBot="1">
      <c r="A228" s="46" t="s">
        <v>181</v>
      </c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84">
        <v>10000000</v>
      </c>
      <c r="AF228" s="73"/>
      <c r="AG228" s="73">
        <v>10000000</v>
      </c>
      <c r="AH228" s="45"/>
      <c r="AI228" s="73"/>
    </row>
    <row r="229" spans="1:35" s="4" customFormat="1" ht="31.5" hidden="1" customHeight="1" thickBot="1">
      <c r="A229" s="42" t="s">
        <v>157</v>
      </c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84">
        <f t="shared" ref="AE229:AG229" si="84">AE228</f>
        <v>10000000</v>
      </c>
      <c r="AF229" s="84">
        <f t="shared" si="84"/>
        <v>0</v>
      </c>
      <c r="AG229" s="84">
        <f t="shared" si="84"/>
        <v>10000000</v>
      </c>
      <c r="AH229" s="45"/>
      <c r="AI229" s="73"/>
    </row>
    <row r="230" spans="1:35" s="4" customFormat="1" ht="22.15" hidden="1" customHeight="1" thickBot="1">
      <c r="A230" s="46" t="s">
        <v>182</v>
      </c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84">
        <f>5580000+4586301+1528767+1529725.9+1528767+50000+3159451.8+636987.3</f>
        <v>18600000</v>
      </c>
      <c r="M230" s="73"/>
      <c r="N230" s="73"/>
      <c r="O230" s="73"/>
      <c r="P230" s="73"/>
      <c r="Q230" s="73"/>
      <c r="R230" s="73"/>
      <c r="S230" s="73"/>
      <c r="T230" s="84">
        <v>18600000</v>
      </c>
      <c r="U230" s="36">
        <f>H230+I230+L230+M230-T230</f>
        <v>0</v>
      </c>
      <c r="V230" s="36">
        <f>I230+J230+M230+N230-U230</f>
        <v>0</v>
      </c>
      <c r="W230" s="36">
        <f>J230+K230+N230+O230-V230</f>
        <v>0</v>
      </c>
      <c r="X230" s="36"/>
      <c r="Y230" s="36"/>
      <c r="Z230" s="36"/>
      <c r="AA230" s="36">
        <f>U230</f>
        <v>0</v>
      </c>
      <c r="AB230" s="36"/>
      <c r="AC230" s="36"/>
      <c r="AD230" s="36"/>
      <c r="AE230" s="36">
        <f>888642.96+376282.32+495743.82+453600.29+1968442.78+344117.56+367598.86+3147893.68+2455967.73</f>
        <v>10498290</v>
      </c>
      <c r="AF230" s="36"/>
      <c r="AG230" s="36">
        <v>10498290</v>
      </c>
      <c r="AH230" s="85"/>
      <c r="AI230" s="41"/>
    </row>
    <row r="231" spans="1:35" s="4" customFormat="1" ht="33" hidden="1">
      <c r="A231" s="42" t="s">
        <v>68</v>
      </c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>
        <f>L230</f>
        <v>18600000</v>
      </c>
      <c r="M231" s="73"/>
      <c r="N231" s="73"/>
      <c r="O231" s="73"/>
      <c r="P231" s="73"/>
      <c r="Q231" s="73"/>
      <c r="R231" s="73"/>
      <c r="S231" s="73"/>
      <c r="T231" s="73">
        <f>T230</f>
        <v>18600000</v>
      </c>
      <c r="U231" s="73">
        <f>U230</f>
        <v>0</v>
      </c>
      <c r="V231" s="73">
        <f t="shared" ref="V231:AG231" si="85">V230</f>
        <v>0</v>
      </c>
      <c r="W231" s="73">
        <f t="shared" si="85"/>
        <v>0</v>
      </c>
      <c r="X231" s="73">
        <f t="shared" si="85"/>
        <v>0</v>
      </c>
      <c r="Y231" s="73">
        <f t="shared" si="85"/>
        <v>0</v>
      </c>
      <c r="Z231" s="73">
        <f t="shared" si="85"/>
        <v>0</v>
      </c>
      <c r="AA231" s="73">
        <f t="shared" si="85"/>
        <v>0</v>
      </c>
      <c r="AB231" s="73">
        <f t="shared" si="85"/>
        <v>0</v>
      </c>
      <c r="AC231" s="73">
        <f t="shared" si="85"/>
        <v>0</v>
      </c>
      <c r="AD231" s="73">
        <f t="shared" si="85"/>
        <v>0</v>
      </c>
      <c r="AE231" s="73">
        <f t="shared" si="85"/>
        <v>10498290</v>
      </c>
      <c r="AF231" s="73">
        <f t="shared" si="85"/>
        <v>0</v>
      </c>
      <c r="AG231" s="73">
        <f t="shared" si="85"/>
        <v>10498290</v>
      </c>
      <c r="AH231" s="45"/>
      <c r="AI231" s="73">
        <f t="shared" ref="AI231" si="86">AI230</f>
        <v>0</v>
      </c>
    </row>
    <row r="232" spans="1:35" ht="30" customHeight="1">
      <c r="A232" s="74" t="s">
        <v>163</v>
      </c>
      <c r="B232" s="75" t="e">
        <f>#REF!+B192+B199+B205+B217+B223</f>
        <v>#REF!</v>
      </c>
      <c r="C232" s="75" t="e">
        <f>#REF!+C192+C199+C205+C217+C223</f>
        <v>#REF!</v>
      </c>
      <c r="D232" s="75" t="e">
        <f>#REF!+D192+D199+D205+D217+D223</f>
        <v>#REF!</v>
      </c>
      <c r="E232" s="75" t="e">
        <f>#REF!+E192+E199+E205+E217+E223</f>
        <v>#REF!</v>
      </c>
      <c r="F232" s="75" t="e">
        <f>#REF!+F192+F199+F205+F217+F223</f>
        <v>#REF!</v>
      </c>
      <c r="G232" s="75" t="e">
        <f>#REF!+G192+G199+G205+G217+G223</f>
        <v>#REF!</v>
      </c>
      <c r="H232" s="75" t="e">
        <f>#REF!+H192+H199+H205+H217+H223</f>
        <v>#REF!</v>
      </c>
      <c r="I232" s="75" t="e">
        <f>#REF!+I192+I199+I205+I217+I223</f>
        <v>#REF!</v>
      </c>
      <c r="J232" s="75" t="e">
        <f>#REF!+J192+J199+J205+J217+J223</f>
        <v>#REF!</v>
      </c>
      <c r="K232" s="75" t="e">
        <f>#REF!+K192+K199+K205+K217+K223</f>
        <v>#REF!</v>
      </c>
      <c r="L232" s="75" t="e">
        <f>#REF!+L192+L199+L205+L217+L223+L227</f>
        <v>#REF!</v>
      </c>
      <c r="M232" s="75" t="e">
        <f>#REF!+M192+M199+M205+M217+M223+M227</f>
        <v>#REF!</v>
      </c>
      <c r="N232" s="75" t="e">
        <f>#REF!+N192+N199+N205+N217+N223+N227</f>
        <v>#REF!</v>
      </c>
      <c r="O232" s="75" t="e">
        <f>#REF!+O192+O199+O205+O217+O223+O227</f>
        <v>#REF!</v>
      </c>
      <c r="P232" s="75" t="e">
        <f>#REF!+P192+P199+P205+P217+P223+P227</f>
        <v>#REF!</v>
      </c>
      <c r="Q232" s="75" t="e">
        <f>#REF!+Q192+Q199+Q205+Q217+Q223+Q227</f>
        <v>#REF!</v>
      </c>
      <c r="R232" s="75" t="e">
        <f>#REF!+R192+R199+R205+R217+R223+R227</f>
        <v>#REF!</v>
      </c>
      <c r="S232" s="75" t="e">
        <f>#REF!+S192+S199+S205+S217+S223+S227</f>
        <v>#REF!</v>
      </c>
      <c r="T232" s="75" t="e">
        <f>#REF!+T192+T199+T205+T217+T223+T227</f>
        <v>#REF!</v>
      </c>
      <c r="U232" s="75" t="e">
        <f>#REF!+U192+U199+U205+U217+U223+U227</f>
        <v>#REF!</v>
      </c>
      <c r="V232" s="75" t="e">
        <f>#REF!+V192+V199+V205+V217+V223+V227</f>
        <v>#REF!</v>
      </c>
      <c r="W232" s="75" t="e">
        <f>#REF!+W192+W199+W205+W217+W223+W227</f>
        <v>#REF!</v>
      </c>
      <c r="X232" s="75" t="e">
        <f>#REF!+X192+X199+X205+X217+X223+X227</f>
        <v>#REF!</v>
      </c>
      <c r="Y232" s="75" t="e">
        <f>#REF!+Y192+Y199+Y205+Y217+Y223+Y227</f>
        <v>#REF!</v>
      </c>
      <c r="Z232" s="75" t="e">
        <f>#REF!+Z192+Z199+Z205+Z217+Z223+Z227</f>
        <v>#REF!</v>
      </c>
      <c r="AA232" s="75" t="e">
        <f>#REF!+AA192+AA199+AA205+AA217+AA223+AA227</f>
        <v>#REF!</v>
      </c>
      <c r="AB232" s="75" t="e">
        <f>#REF!+AB192+AB199+AB205+AB217+AB223+AB227</f>
        <v>#REF!</v>
      </c>
      <c r="AC232" s="75" t="e">
        <f>#REF!+AC192+AC199+AC205+AC217+AC223+AC227</f>
        <v>#REF!</v>
      </c>
      <c r="AD232" s="75" t="e">
        <f>#REF!+AD192+AD199+AD205+AD217+AD223+AD227</f>
        <v>#REF!</v>
      </c>
      <c r="AE232" s="75" t="e">
        <f>#REF!+AE192+AE199+AE205+AE217+AE223+AE227</f>
        <v>#REF!</v>
      </c>
      <c r="AF232" s="75" t="e">
        <f>#REF!+AF192+AF199+AF205+AF217+AF223+AF227</f>
        <v>#REF!</v>
      </c>
      <c r="AG232" s="75" t="e">
        <f>#REF!+AG192+AG199+AG205+AG217+AG223+AG227</f>
        <v>#REF!</v>
      </c>
      <c r="AH232" s="24"/>
      <c r="AI232" s="75">
        <f>AI43+AI91+AI136+AI181+AI185+AI163</f>
        <v>151870067.88</v>
      </c>
    </row>
    <row r="233" spans="1:35">
      <c r="A233" s="12"/>
      <c r="B233" s="12"/>
      <c r="C233" s="12"/>
      <c r="D233" s="12"/>
      <c r="E233" s="12"/>
    </row>
    <row r="234" spans="1:35">
      <c r="A234" s="12"/>
      <c r="B234" s="12"/>
      <c r="C234" s="12"/>
      <c r="D234" s="12"/>
      <c r="E234" s="12"/>
    </row>
    <row r="235" spans="1:35">
      <c r="A235" s="12"/>
      <c r="B235" s="12"/>
      <c r="C235" s="12"/>
      <c r="D235" s="12"/>
      <c r="E235" s="12"/>
    </row>
    <row r="236" spans="1:35">
      <c r="A236" s="12"/>
      <c r="B236" s="12"/>
      <c r="C236" s="12"/>
      <c r="D236" s="12"/>
      <c r="E236" s="12"/>
    </row>
    <row r="237" spans="1:35">
      <c r="A237" s="12"/>
      <c r="B237" s="12"/>
      <c r="C237" s="12"/>
      <c r="D237" s="12"/>
      <c r="E237" s="12"/>
    </row>
    <row r="238" spans="1:35">
      <c r="A238" s="12"/>
      <c r="B238" s="12"/>
      <c r="C238" s="12"/>
      <c r="D238" s="12"/>
      <c r="E238" s="12"/>
    </row>
    <row r="239" spans="1:35">
      <c r="A239" s="12"/>
      <c r="B239" s="12"/>
      <c r="C239" s="12"/>
      <c r="D239" s="12"/>
      <c r="E239" s="12"/>
    </row>
    <row r="240" spans="1:35">
      <c r="A240" s="12"/>
      <c r="B240" s="12"/>
      <c r="C240" s="12"/>
      <c r="D240" s="12"/>
      <c r="E240" s="12"/>
    </row>
    <row r="241" spans="1:5">
      <c r="A241" s="12"/>
      <c r="B241" s="12"/>
      <c r="C241" s="12"/>
      <c r="D241" s="12"/>
      <c r="E241" s="12"/>
    </row>
    <row r="242" spans="1:5">
      <c r="A242" s="12"/>
      <c r="B242" s="12"/>
      <c r="C242" s="12"/>
      <c r="D242" s="12"/>
      <c r="E242" s="12"/>
    </row>
    <row r="243" spans="1:5">
      <c r="A243" s="12"/>
      <c r="B243" s="12"/>
      <c r="C243" s="12"/>
      <c r="D243" s="12"/>
      <c r="E243" s="12"/>
    </row>
    <row r="244" spans="1:5">
      <c r="A244" s="12"/>
      <c r="B244" s="12"/>
      <c r="C244" s="12"/>
      <c r="D244" s="12"/>
      <c r="E244" s="12"/>
    </row>
    <row r="245" spans="1:5">
      <c r="A245" s="12"/>
      <c r="B245" s="12"/>
      <c r="C245" s="12"/>
      <c r="D245" s="12"/>
      <c r="E245" s="12"/>
    </row>
    <row r="246" spans="1:5">
      <c r="A246" s="12"/>
      <c r="B246" s="12"/>
      <c r="C246" s="12"/>
      <c r="D246" s="12"/>
      <c r="E246" s="12"/>
    </row>
    <row r="247" spans="1:5">
      <c r="A247" s="12"/>
      <c r="B247" s="12"/>
      <c r="C247" s="12"/>
      <c r="D247" s="12"/>
      <c r="E247" s="12"/>
    </row>
    <row r="248" spans="1:5">
      <c r="A248" s="12"/>
      <c r="B248" s="12"/>
      <c r="C248" s="12"/>
      <c r="D248" s="12"/>
      <c r="E248" s="12"/>
    </row>
    <row r="249" spans="1:5">
      <c r="A249" s="12"/>
      <c r="B249" s="12"/>
      <c r="C249" s="12"/>
      <c r="D249" s="12"/>
      <c r="E249" s="12"/>
    </row>
    <row r="250" spans="1:5">
      <c r="A250" s="12"/>
      <c r="B250" s="12"/>
      <c r="C250" s="12"/>
      <c r="D250" s="12"/>
      <c r="E250" s="12"/>
    </row>
    <row r="251" spans="1:5">
      <c r="A251" s="12"/>
      <c r="B251" s="12"/>
      <c r="C251" s="12"/>
      <c r="D251" s="12"/>
      <c r="E251" s="12"/>
    </row>
    <row r="252" spans="1:5">
      <c r="A252" s="12"/>
      <c r="B252" s="12"/>
      <c r="C252" s="12"/>
      <c r="D252" s="12"/>
      <c r="E252" s="12"/>
    </row>
  </sheetData>
  <mergeCells count="19">
    <mergeCell ref="A1:AI1"/>
    <mergeCell ref="U6:U7"/>
    <mergeCell ref="V6:V7"/>
    <mergeCell ref="AE6:AE7"/>
    <mergeCell ref="AF6:AF7"/>
    <mergeCell ref="W6:AC6"/>
    <mergeCell ref="AD6:AD7"/>
    <mergeCell ref="A3:AI3"/>
    <mergeCell ref="AI6:AI7"/>
    <mergeCell ref="AH5:AI5"/>
    <mergeCell ref="AG6:AG7"/>
    <mergeCell ref="A6:A7"/>
    <mergeCell ref="B6:B7"/>
    <mergeCell ref="C6:C7"/>
    <mergeCell ref="D6:J6"/>
    <mergeCell ref="K6:K7"/>
    <mergeCell ref="L6:L7"/>
    <mergeCell ref="M6:M7"/>
    <mergeCell ref="T6:T7"/>
  </mergeCells>
  <pageMargins left="1.1811023622047245" right="0.59055118110236227" top="0.78740157480314965" bottom="0.78740157480314965" header="0.74803149606299213" footer="0.39370078740157483"/>
  <pageSetup paperSize="9" scale="76" fitToHeight="0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02.01.16    </vt:lpstr>
      <vt:lpstr>'на 02.01.16    '!Заголовки_для_печати</vt:lpstr>
      <vt:lpstr>'на 02.01.16    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2016-07-11T13:40:01Z</cp:lastPrinted>
  <dcterms:created xsi:type="dcterms:W3CDTF">2015-01-15T11:10:47Z</dcterms:created>
  <dcterms:modified xsi:type="dcterms:W3CDTF">2016-07-11T13:40:28Z</dcterms:modified>
</cp:coreProperties>
</file>