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разделы, подразделы" sheetId="3" r:id="rId1"/>
    <sheet name="ведомство" sheetId="1" r:id="rId2"/>
    <sheet name="программы" sheetId="2" r:id="rId3"/>
  </sheets>
  <definedNames>
    <definedName name="_xlnm.Print_Titles" localSheetId="1">ведомство!$5:$7</definedName>
    <definedName name="_xlnm.Print_Titles" localSheetId="2">программы!$6:$8</definedName>
    <definedName name="_xlnm.Print_Titles" localSheetId="0">'разделы, подразделы'!$6:$8</definedName>
    <definedName name="_xlnm.Print_Area" localSheetId="1">ведомство!$A$1:$M$2755</definedName>
    <definedName name="_xlnm.Print_Area" localSheetId="2">программы!$A$1:$J$2005</definedName>
  </definedNames>
  <calcPr calcId="125725" concurrentCalc="0"/>
</workbook>
</file>

<file path=xl/calcChain.xml><?xml version="1.0" encoding="utf-8"?>
<calcChain xmlns="http://schemas.openxmlformats.org/spreadsheetml/2006/main">
  <c r="L521" i="1"/>
  <c r="M521"/>
  <c r="J41" i="3"/>
  <c r="H38"/>
  <c r="G38"/>
  <c r="F38"/>
  <c r="E38"/>
  <c r="E44"/>
  <c r="I41"/>
  <c r="I17"/>
  <c r="J17"/>
  <c r="H1626" i="2"/>
  <c r="G1626"/>
  <c r="F1626"/>
  <c r="H704"/>
  <c r="H703"/>
  <c r="G704"/>
  <c r="G703"/>
  <c r="F704"/>
  <c r="F703"/>
  <c r="H702"/>
  <c r="H701"/>
  <c r="G702"/>
  <c r="G701"/>
  <c r="F702"/>
  <c r="F701"/>
  <c r="H700"/>
  <c r="H699"/>
  <c r="G700"/>
  <c r="G699"/>
  <c r="F700"/>
  <c r="F699"/>
  <c r="H697"/>
  <c r="H696"/>
  <c r="H695"/>
  <c r="G697"/>
  <c r="G696"/>
  <c r="G695"/>
  <c r="F697"/>
  <c r="F696"/>
  <c r="F695"/>
  <c r="H694"/>
  <c r="H693"/>
  <c r="H692"/>
  <c r="G694"/>
  <c r="G693"/>
  <c r="G692"/>
  <c r="F694"/>
  <c r="F693"/>
  <c r="F692"/>
  <c r="H691"/>
  <c r="H690"/>
  <c r="H689"/>
  <c r="G691"/>
  <c r="G690"/>
  <c r="G689"/>
  <c r="F691"/>
  <c r="F690"/>
  <c r="F689"/>
  <c r="H688"/>
  <c r="H687"/>
  <c r="G688"/>
  <c r="F688"/>
  <c r="G687"/>
  <c r="F687"/>
  <c r="H686"/>
  <c r="G686"/>
  <c r="F686"/>
  <c r="H685"/>
  <c r="G685"/>
  <c r="F685"/>
  <c r="F684"/>
  <c r="H684"/>
  <c r="G684"/>
  <c r="H683"/>
  <c r="H682"/>
  <c r="G683"/>
  <c r="G682"/>
  <c r="F683"/>
  <c r="F682"/>
  <c r="F681"/>
  <c r="H680"/>
  <c r="H679"/>
  <c r="H678"/>
  <c r="G680"/>
  <c r="G679"/>
  <c r="G678"/>
  <c r="F680"/>
  <c r="F679"/>
  <c r="F678"/>
  <c r="H677"/>
  <c r="G677"/>
  <c r="F677"/>
  <c r="H676"/>
  <c r="H675"/>
  <c r="G676"/>
  <c r="G675"/>
  <c r="F676"/>
  <c r="F675"/>
  <c r="H671"/>
  <c r="H670"/>
  <c r="G671"/>
  <c r="G670"/>
  <c r="F671"/>
  <c r="F670"/>
  <c r="H668"/>
  <c r="H667"/>
  <c r="G668"/>
  <c r="G667"/>
  <c r="F668"/>
  <c r="F667"/>
  <c r="H666"/>
  <c r="H665"/>
  <c r="G666"/>
  <c r="G665"/>
  <c r="F666"/>
  <c r="F665"/>
  <c r="H659"/>
  <c r="H658"/>
  <c r="G659"/>
  <c r="G658"/>
  <c r="F659"/>
  <c r="F658"/>
  <c r="H657"/>
  <c r="H656"/>
  <c r="G657"/>
  <c r="G656"/>
  <c r="F657"/>
  <c r="F656"/>
  <c r="H652"/>
  <c r="H651"/>
  <c r="H650"/>
  <c r="G652"/>
  <c r="G651"/>
  <c r="G650"/>
  <c r="F652"/>
  <c r="F651"/>
  <c r="F650"/>
  <c r="H649"/>
  <c r="H648"/>
  <c r="H647"/>
  <c r="G649"/>
  <c r="G648"/>
  <c r="G647"/>
  <c r="F649"/>
  <c r="F648"/>
  <c r="F647"/>
  <c r="H646"/>
  <c r="H645"/>
  <c r="H644"/>
  <c r="G646"/>
  <c r="G645"/>
  <c r="G644"/>
  <c r="F646"/>
  <c r="F645"/>
  <c r="F644"/>
  <c r="H643"/>
  <c r="H642"/>
  <c r="H641"/>
  <c r="G643"/>
  <c r="G642"/>
  <c r="G641"/>
  <c r="F643"/>
  <c r="F642"/>
  <c r="F641"/>
  <c r="H640"/>
  <c r="H639"/>
  <c r="G640"/>
  <c r="F640"/>
  <c r="G639"/>
  <c r="F639"/>
  <c r="H638"/>
  <c r="H637"/>
  <c r="G638"/>
  <c r="G637"/>
  <c r="F638"/>
  <c r="F637"/>
  <c r="K2453" i="1"/>
  <c r="K2111"/>
  <c r="J1320"/>
  <c r="I1320"/>
  <c r="I1318"/>
  <c r="K1005"/>
  <c r="K1858"/>
  <c r="J1858"/>
  <c r="I1858"/>
  <c r="K1843"/>
  <c r="J1843"/>
  <c r="I1843"/>
  <c r="K1835"/>
  <c r="J1835"/>
  <c r="I1835"/>
  <c r="K1825"/>
  <c r="J1825"/>
  <c r="I1825"/>
  <c r="K1739"/>
  <c r="K1768"/>
  <c r="K1767"/>
  <c r="J1768"/>
  <c r="J1767"/>
  <c r="I1768"/>
  <c r="I1767"/>
  <c r="K1742"/>
  <c r="J1742"/>
  <c r="I1742"/>
  <c r="J1739"/>
  <c r="I1739"/>
  <c r="K1738"/>
  <c r="J1738"/>
  <c r="I1738"/>
  <c r="K1732"/>
  <c r="J1732"/>
  <c r="I1732"/>
  <c r="K1710"/>
  <c r="J1710"/>
  <c r="I1710"/>
  <c r="K1706"/>
  <c r="J1706"/>
  <c r="I1706"/>
  <c r="K1686"/>
  <c r="J1686"/>
  <c r="I1686"/>
  <c r="K1681"/>
  <c r="J1681"/>
  <c r="I1681"/>
  <c r="K1674"/>
  <c r="J1674"/>
  <c r="I1674"/>
  <c r="K1668"/>
  <c r="K1661"/>
  <c r="J1661"/>
  <c r="I1661"/>
  <c r="K1145"/>
  <c r="K1320"/>
  <c r="K1318"/>
  <c r="K1315"/>
  <c r="J1315"/>
  <c r="I1315"/>
  <c r="J1318"/>
  <c r="K1312"/>
  <c r="J1312"/>
  <c r="I1312"/>
  <c r="K1178"/>
  <c r="K1177"/>
  <c r="J1178"/>
  <c r="J1177"/>
  <c r="I1178"/>
  <c r="I1177"/>
  <c r="J1369"/>
  <c r="M1390"/>
  <c r="L1390"/>
  <c r="H1650" i="2"/>
  <c r="F1650"/>
  <c r="J1650"/>
  <c r="E1650"/>
  <c r="I1650"/>
  <c r="G1650"/>
  <c r="K1388" i="1"/>
  <c r="J1388"/>
  <c r="I1388"/>
  <c r="H1388"/>
  <c r="K1369"/>
  <c r="I1369"/>
  <c r="K1589"/>
  <c r="J1589"/>
  <c r="K1585"/>
  <c r="J1585"/>
  <c r="I1585"/>
  <c r="I1541"/>
  <c r="I1539"/>
  <c r="M1540"/>
  <c r="L1540"/>
  <c r="K1541"/>
  <c r="K1539"/>
  <c r="J1541"/>
  <c r="J1539"/>
  <c r="K1538"/>
  <c r="J1538"/>
  <c r="I1538"/>
  <c r="K1534"/>
  <c r="J1534"/>
  <c r="I1534"/>
  <c r="K1507"/>
  <c r="J1507"/>
  <c r="I1507"/>
  <c r="K1501"/>
  <c r="J1501"/>
  <c r="I1501"/>
  <c r="K2054"/>
  <c r="K2049"/>
  <c r="J2049"/>
  <c r="I2049"/>
  <c r="K2117"/>
  <c r="J2117"/>
  <c r="J2116"/>
  <c r="J2115"/>
  <c r="I2117"/>
  <c r="I2116"/>
  <c r="I2115"/>
  <c r="K2116"/>
  <c r="K2115"/>
  <c r="J2111"/>
  <c r="I2111"/>
  <c r="K2104"/>
  <c r="J2104"/>
  <c r="I2104"/>
  <c r="K2088"/>
  <c r="J2088"/>
  <c r="I2088"/>
  <c r="K2085"/>
  <c r="I2085"/>
  <c r="K2078"/>
  <c r="J2078"/>
  <c r="I2078"/>
  <c r="K2076"/>
  <c r="J2076"/>
  <c r="I2076"/>
  <c r="K2074"/>
  <c r="J2074"/>
  <c r="I2074"/>
  <c r="K2069"/>
  <c r="J2069"/>
  <c r="I2069"/>
  <c r="K2066"/>
  <c r="J2066"/>
  <c r="I2066"/>
  <c r="K2135"/>
  <c r="J2135"/>
  <c r="I2135"/>
  <c r="K2231"/>
  <c r="J2231"/>
  <c r="I2231"/>
  <c r="J2330"/>
  <c r="J2301"/>
  <c r="J2333"/>
  <c r="I2333"/>
  <c r="K2339"/>
  <c r="J2339"/>
  <c r="I2339"/>
  <c r="K2335"/>
  <c r="K2333"/>
  <c r="K2330"/>
  <c r="I2330"/>
  <c r="I2327"/>
  <c r="K2323"/>
  <c r="J2323"/>
  <c r="I2323"/>
  <c r="K2301"/>
  <c r="I2301"/>
  <c r="K2245"/>
  <c r="J2245"/>
  <c r="I2245"/>
  <c r="K2237"/>
  <c r="J2237"/>
  <c r="I2237"/>
  <c r="K2212"/>
  <c r="J2212"/>
  <c r="I2212"/>
  <c r="K2418"/>
  <c r="K2413"/>
  <c r="J2413"/>
  <c r="I2413"/>
  <c r="K2430"/>
  <c r="J2430"/>
  <c r="I2432"/>
  <c r="I2430"/>
  <c r="K2427"/>
  <c r="I2427"/>
  <c r="K2466"/>
  <c r="J2466"/>
  <c r="I2466"/>
  <c r="J2453"/>
  <c r="I2453"/>
  <c r="K2457"/>
  <c r="K2487"/>
  <c r="J2487"/>
  <c r="I2487"/>
  <c r="K2483"/>
  <c r="J2483"/>
  <c r="I2483"/>
  <c r="K2479"/>
  <c r="J2479"/>
  <c r="I2479"/>
  <c r="J2535"/>
  <c r="I2535"/>
  <c r="M2552"/>
  <c r="L2552"/>
  <c r="K2551"/>
  <c r="J2551"/>
  <c r="J2550"/>
  <c r="I2551"/>
  <c r="I2550"/>
  <c r="K2535"/>
  <c r="K2503"/>
  <c r="J2503"/>
  <c r="I2503"/>
  <c r="K2624"/>
  <c r="J2624"/>
  <c r="I2624"/>
  <c r="J2574"/>
  <c r="I2574"/>
  <c r="K2578"/>
  <c r="J2578"/>
  <c r="I2578"/>
  <c r="K2574"/>
  <c r="K2587"/>
  <c r="J2587"/>
  <c r="I2587"/>
  <c r="K2640"/>
  <c r="J2640"/>
  <c r="I2640"/>
  <c r="J2656"/>
  <c r="K2656"/>
  <c r="I2656"/>
  <c r="K2682"/>
  <c r="J2682"/>
  <c r="I2682"/>
  <c r="K2686"/>
  <c r="J2686"/>
  <c r="I2686"/>
  <c r="I2696"/>
  <c r="I2695"/>
  <c r="K2702"/>
  <c r="J2702"/>
  <c r="I2702"/>
  <c r="K2695"/>
  <c r="J2695"/>
  <c r="K2726"/>
  <c r="J2726"/>
  <c r="I2726"/>
  <c r="K2740"/>
  <c r="I2740"/>
  <c r="K1010"/>
  <c r="J1010"/>
  <c r="I1010"/>
  <c r="M1011"/>
  <c r="L1011"/>
  <c r="J1005"/>
  <c r="I1005"/>
  <c r="K1000"/>
  <c r="J1000"/>
  <c r="I1000"/>
  <c r="K960"/>
  <c r="J960"/>
  <c r="I960"/>
  <c r="K959"/>
  <c r="J959"/>
  <c r="I959"/>
  <c r="K920"/>
  <c r="J920"/>
  <c r="I920"/>
  <c r="K919"/>
  <c r="J919"/>
  <c r="I919"/>
  <c r="K752"/>
  <c r="H673" i="2"/>
  <c r="K753" i="1"/>
  <c r="H674" i="2"/>
  <c r="H672"/>
  <c r="H669"/>
  <c r="G636"/>
  <c r="F636"/>
  <c r="H681"/>
  <c r="G681"/>
  <c r="K782" i="1"/>
  <c r="H655" i="2"/>
  <c r="H654"/>
  <c r="H653"/>
  <c r="H698"/>
  <c r="H636"/>
  <c r="G698"/>
  <c r="F698"/>
  <c r="K2550" i="1"/>
  <c r="M2551"/>
  <c r="K867"/>
  <c r="K866"/>
  <c r="K865"/>
  <c r="K864"/>
  <c r="J867"/>
  <c r="J866"/>
  <c r="J865"/>
  <c r="J864"/>
  <c r="I867"/>
  <c r="I866"/>
  <c r="I865"/>
  <c r="I864"/>
  <c r="K834"/>
  <c r="H1752" i="2"/>
  <c r="H1751"/>
  <c r="J834" i="1"/>
  <c r="G1752" i="2"/>
  <c r="G1751"/>
  <c r="I834" i="1"/>
  <c r="F1752" i="2"/>
  <c r="F1751"/>
  <c r="M793" i="1"/>
  <c r="L793"/>
  <c r="K792"/>
  <c r="I792"/>
  <c r="M792"/>
  <c r="J792"/>
  <c r="K789"/>
  <c r="H662" i="2"/>
  <c r="H661"/>
  <c r="J789" i="1"/>
  <c r="G662" i="2"/>
  <c r="G661"/>
  <c r="I789" i="1"/>
  <c r="F662" i="2"/>
  <c r="F661"/>
  <c r="J782" i="1"/>
  <c r="G655" i="2"/>
  <c r="G654"/>
  <c r="G653"/>
  <c r="I782" i="1"/>
  <c r="F655" i="2"/>
  <c r="F654"/>
  <c r="F653"/>
  <c r="J753" i="1"/>
  <c r="G674" i="2"/>
  <c r="I753" i="1"/>
  <c r="F674" i="2"/>
  <c r="J752" i="1"/>
  <c r="G673" i="2"/>
  <c r="G672"/>
  <c r="G669"/>
  <c r="I752" i="1"/>
  <c r="F673" i="2"/>
  <c r="J643" i="1"/>
  <c r="G114" i="2"/>
  <c r="G113"/>
  <c r="K612" i="1"/>
  <c r="K584"/>
  <c r="J584"/>
  <c r="J583"/>
  <c r="K583"/>
  <c r="K608"/>
  <c r="K607"/>
  <c r="J608"/>
  <c r="J607"/>
  <c r="K667"/>
  <c r="H141" i="2"/>
  <c r="H140"/>
  <c r="K665" i="1"/>
  <c r="H139" i="2"/>
  <c r="H138"/>
  <c r="J665" i="1"/>
  <c r="G139" i="2"/>
  <c r="G138"/>
  <c r="I665" i="1"/>
  <c r="F139" i="2"/>
  <c r="F138"/>
  <c r="K659" i="1"/>
  <c r="H130" i="2"/>
  <c r="H129"/>
  <c r="J659" i="1"/>
  <c r="G130" i="2"/>
  <c r="G129"/>
  <c r="I659" i="1"/>
  <c r="F130" i="2"/>
  <c r="F129"/>
  <c r="K653" i="1"/>
  <c r="H124" i="2"/>
  <c r="H123"/>
  <c r="J653" i="1"/>
  <c r="G124" i="2"/>
  <c r="G123"/>
  <c r="I653" i="1"/>
  <c r="K643"/>
  <c r="H114" i="2"/>
  <c r="H113"/>
  <c r="I643" i="1"/>
  <c r="F114" i="2"/>
  <c r="F113"/>
  <c r="K638" i="1"/>
  <c r="H109" i="2"/>
  <c r="H108"/>
  <c r="J638" i="1"/>
  <c r="G109" i="2"/>
  <c r="G108"/>
  <c r="I638" i="1"/>
  <c r="I608"/>
  <c r="I607"/>
  <c r="I602"/>
  <c r="F46" i="2"/>
  <c r="F45"/>
  <c r="F44"/>
  <c r="K517" i="1"/>
  <c r="K516"/>
  <c r="K515"/>
  <c r="J517"/>
  <c r="J516"/>
  <c r="J515"/>
  <c r="I517"/>
  <c r="I516"/>
  <c r="I515"/>
  <c r="K513"/>
  <c r="K512"/>
  <c r="J513"/>
  <c r="J512"/>
  <c r="I513"/>
  <c r="I512"/>
  <c r="H32" i="2"/>
  <c r="G32"/>
  <c r="F32"/>
  <c r="K456" i="1"/>
  <c r="H1154" i="2"/>
  <c r="H1153"/>
  <c r="I456" i="1"/>
  <c r="F1154" i="2"/>
  <c r="F1153"/>
  <c r="J456" i="1"/>
  <c r="K428"/>
  <c r="H1396" i="2"/>
  <c r="H1395"/>
  <c r="J428" i="1"/>
  <c r="G1396" i="2"/>
  <c r="G1395"/>
  <c r="I428" i="1"/>
  <c r="F1396" i="2"/>
  <c r="F1395"/>
  <c r="K425" i="1"/>
  <c r="H1383" i="2"/>
  <c r="J425" i="1"/>
  <c r="G1383" i="2"/>
  <c r="I425" i="1"/>
  <c r="F1383" i="2"/>
  <c r="K420" i="1"/>
  <c r="H1378" i="2"/>
  <c r="H1377"/>
  <c r="J420" i="1"/>
  <c r="I420"/>
  <c r="F1378" i="2"/>
  <c r="F1377"/>
  <c r="K413" i="1"/>
  <c r="J413"/>
  <c r="I413"/>
  <c r="F1370" i="2"/>
  <c r="F1369"/>
  <c r="F1368"/>
  <c r="K370" i="1"/>
  <c r="H1393" i="2"/>
  <c r="J370" i="1"/>
  <c r="G1393" i="2"/>
  <c r="I370" i="1"/>
  <c r="F1393" i="2"/>
  <c r="K363" i="1"/>
  <c r="H1386" i="2"/>
  <c r="H1385"/>
  <c r="J363" i="1"/>
  <c r="G1386" i="2"/>
  <c r="G1385"/>
  <c r="I363" i="1"/>
  <c r="F1386" i="2"/>
  <c r="F1385"/>
  <c r="M346" i="1"/>
  <c r="L346"/>
  <c r="K335"/>
  <c r="J335"/>
  <c r="J334"/>
  <c r="J333"/>
  <c r="I335"/>
  <c r="M341"/>
  <c r="L341"/>
  <c r="M336"/>
  <c r="L336"/>
  <c r="H335"/>
  <c r="H334"/>
  <c r="K340"/>
  <c r="K339"/>
  <c r="K338"/>
  <c r="K337"/>
  <c r="J340"/>
  <c r="J339"/>
  <c r="J338"/>
  <c r="J337"/>
  <c r="I340"/>
  <c r="I339"/>
  <c r="I338"/>
  <c r="I337"/>
  <c r="K345"/>
  <c r="K344"/>
  <c r="K343"/>
  <c r="K342"/>
  <c r="J345"/>
  <c r="J344"/>
  <c r="J343"/>
  <c r="J342"/>
  <c r="I345"/>
  <c r="I344"/>
  <c r="L331"/>
  <c r="L330"/>
  <c r="L329"/>
  <c r="K331"/>
  <c r="K330"/>
  <c r="K329"/>
  <c r="J331"/>
  <c r="J330"/>
  <c r="J329"/>
  <c r="I331"/>
  <c r="I330"/>
  <c r="I329"/>
  <c r="K253"/>
  <c r="H1440" i="2"/>
  <c r="H1439"/>
  <c r="I253" i="1"/>
  <c r="K249"/>
  <c r="H1434" i="2"/>
  <c r="H1433"/>
  <c r="I249" i="1"/>
  <c r="J230"/>
  <c r="G1428" i="2"/>
  <c r="I230" i="1"/>
  <c r="F1428" i="2"/>
  <c r="K224" i="1"/>
  <c r="H1421" i="2"/>
  <c r="H1420"/>
  <c r="I224" i="1"/>
  <c r="F1421" i="2"/>
  <c r="F1420"/>
  <c r="H2003"/>
  <c r="H2002"/>
  <c r="H2001"/>
  <c r="H2000"/>
  <c r="G2003"/>
  <c r="G2002"/>
  <c r="G2001"/>
  <c r="G2000"/>
  <c r="F2003"/>
  <c r="F2002"/>
  <c r="F2001"/>
  <c r="F2000"/>
  <c r="H1986"/>
  <c r="H1985"/>
  <c r="H1984"/>
  <c r="G1986"/>
  <c r="G1985"/>
  <c r="G1984"/>
  <c r="F1986"/>
  <c r="F1985"/>
  <c r="F1984"/>
  <c r="H1983"/>
  <c r="H1982"/>
  <c r="G1983"/>
  <c r="G1982"/>
  <c r="F1983"/>
  <c r="F1982"/>
  <c r="H1981"/>
  <c r="H1980"/>
  <c r="G1981"/>
  <c r="G1980"/>
  <c r="F1981"/>
  <c r="F1980"/>
  <c r="H1957"/>
  <c r="H1956"/>
  <c r="G1957"/>
  <c r="G1956"/>
  <c r="F1957"/>
  <c r="F1956"/>
  <c r="H1955"/>
  <c r="H1954"/>
  <c r="G1955"/>
  <c r="G1954"/>
  <c r="F1955"/>
  <c r="F1954"/>
  <c r="H1951"/>
  <c r="G1951"/>
  <c r="G1950"/>
  <c r="F1951"/>
  <c r="F1950"/>
  <c r="H1949"/>
  <c r="H1948"/>
  <c r="G1949"/>
  <c r="G1948"/>
  <c r="F1949"/>
  <c r="F1948"/>
  <c r="H1943"/>
  <c r="H1942"/>
  <c r="G1943"/>
  <c r="G1942"/>
  <c r="F1943"/>
  <c r="F1942"/>
  <c r="H1941"/>
  <c r="H1940"/>
  <c r="G1941"/>
  <c r="G1940"/>
  <c r="F1941"/>
  <c r="F1940"/>
  <c r="H1939"/>
  <c r="H1938"/>
  <c r="G1939"/>
  <c r="G1938"/>
  <c r="F1939"/>
  <c r="F1938"/>
  <c r="H1934"/>
  <c r="G1934"/>
  <c r="F1934"/>
  <c r="H1933"/>
  <c r="G1933"/>
  <c r="F1933"/>
  <c r="H1931"/>
  <c r="H1930"/>
  <c r="G1931"/>
  <c r="G1930"/>
  <c r="F1931"/>
  <c r="F1930"/>
  <c r="H1929"/>
  <c r="H1928"/>
  <c r="G1929"/>
  <c r="G1928"/>
  <c r="F1929"/>
  <c r="F1928"/>
  <c r="H1924"/>
  <c r="H1923"/>
  <c r="G1924"/>
  <c r="G1923"/>
  <c r="F1924"/>
  <c r="F1923"/>
  <c r="H1922"/>
  <c r="H1921"/>
  <c r="G1922"/>
  <c r="G1921"/>
  <c r="F1922"/>
  <c r="F1921"/>
  <c r="H1920"/>
  <c r="H1919"/>
  <c r="G1920"/>
  <c r="G1919"/>
  <c r="F1920"/>
  <c r="F1919"/>
  <c r="H1915"/>
  <c r="H1914"/>
  <c r="H1913"/>
  <c r="H1912"/>
  <c r="G1915"/>
  <c r="G1914"/>
  <c r="G1913"/>
  <c r="G1912"/>
  <c r="F1915"/>
  <c r="F1914"/>
  <c r="F1913"/>
  <c r="F1912"/>
  <c r="H1910"/>
  <c r="H1909"/>
  <c r="H1908"/>
  <c r="H1907"/>
  <c r="G1910"/>
  <c r="G1909"/>
  <c r="G1908"/>
  <c r="G1907"/>
  <c r="F1910"/>
  <c r="F1909"/>
  <c r="F1908"/>
  <c r="F1907"/>
  <c r="H1905"/>
  <c r="H1904"/>
  <c r="H1903"/>
  <c r="H1902"/>
  <c r="G1905"/>
  <c r="G1904"/>
  <c r="G1903"/>
  <c r="G1902"/>
  <c r="F1905"/>
  <c r="F1904"/>
  <c r="F1903"/>
  <c r="F1902"/>
  <c r="H1899"/>
  <c r="H1898"/>
  <c r="H1897"/>
  <c r="G1899"/>
  <c r="G1898"/>
  <c r="G1897"/>
  <c r="F1899"/>
  <c r="F1898"/>
  <c r="F1897"/>
  <c r="H1896"/>
  <c r="G1896"/>
  <c r="F1896"/>
  <c r="H1895"/>
  <c r="G1895"/>
  <c r="F1895"/>
  <c r="F1894"/>
  <c r="H1893"/>
  <c r="H1892"/>
  <c r="G1893"/>
  <c r="G1892"/>
  <c r="F1893"/>
  <c r="F1892"/>
  <c r="H1891"/>
  <c r="H1890"/>
  <c r="G1891"/>
  <c r="G1890"/>
  <c r="F1891"/>
  <c r="F1890"/>
  <c r="H1886"/>
  <c r="H1885"/>
  <c r="H1884"/>
  <c r="H1883"/>
  <c r="G1886"/>
  <c r="G1885"/>
  <c r="G1884"/>
  <c r="G1883"/>
  <c r="F1886"/>
  <c r="F1885"/>
  <c r="F1884"/>
  <c r="F1883"/>
  <c r="H1881"/>
  <c r="H1880"/>
  <c r="H1879"/>
  <c r="H1878"/>
  <c r="G1881"/>
  <c r="G1880"/>
  <c r="G1879"/>
  <c r="G1878"/>
  <c r="F1881"/>
  <c r="F1880"/>
  <c r="F1879"/>
  <c r="F1878"/>
  <c r="H1875"/>
  <c r="H1874"/>
  <c r="H1873"/>
  <c r="H1872"/>
  <c r="G1875"/>
  <c r="G1874"/>
  <c r="G1873"/>
  <c r="G1872"/>
  <c r="F1875"/>
  <c r="F1874"/>
  <c r="F1873"/>
  <c r="F1872"/>
  <c r="H1870"/>
  <c r="H1869"/>
  <c r="H1868"/>
  <c r="H1867"/>
  <c r="G1870"/>
  <c r="G1869"/>
  <c r="G1868"/>
  <c r="G1867"/>
  <c r="F1870"/>
  <c r="F1869"/>
  <c r="F1868"/>
  <c r="F1867"/>
  <c r="H1976"/>
  <c r="H1975"/>
  <c r="G1976"/>
  <c r="G1975"/>
  <c r="F1976"/>
  <c r="F1975"/>
  <c r="H1974"/>
  <c r="G1974"/>
  <c r="F1974"/>
  <c r="H1973"/>
  <c r="G1973"/>
  <c r="F1973"/>
  <c r="H1972"/>
  <c r="G1972"/>
  <c r="F1972"/>
  <c r="H1970"/>
  <c r="H1969"/>
  <c r="G1970"/>
  <c r="G1969"/>
  <c r="F1970"/>
  <c r="F1969"/>
  <c r="H1968"/>
  <c r="G1968"/>
  <c r="G1967"/>
  <c r="G1966"/>
  <c r="F1968"/>
  <c r="H1967"/>
  <c r="F1967"/>
  <c r="H1965"/>
  <c r="H1964"/>
  <c r="G1965"/>
  <c r="G1964"/>
  <c r="F1965"/>
  <c r="F1964"/>
  <c r="H1963"/>
  <c r="G1963"/>
  <c r="F1963"/>
  <c r="H1962"/>
  <c r="G1962"/>
  <c r="F1962"/>
  <c r="G15"/>
  <c r="G14"/>
  <c r="G13"/>
  <c r="H15"/>
  <c r="H14"/>
  <c r="H13"/>
  <c r="F15"/>
  <c r="F14"/>
  <c r="F13"/>
  <c r="F18"/>
  <c r="F17"/>
  <c r="F16"/>
  <c r="G18"/>
  <c r="G17"/>
  <c r="G16"/>
  <c r="H18"/>
  <c r="H17"/>
  <c r="H16"/>
  <c r="F21"/>
  <c r="F20"/>
  <c r="F19"/>
  <c r="G21"/>
  <c r="G20"/>
  <c r="G19"/>
  <c r="H21"/>
  <c r="H20"/>
  <c r="H19"/>
  <c r="F24"/>
  <c r="F23"/>
  <c r="F22"/>
  <c r="G24"/>
  <c r="G23"/>
  <c r="G22"/>
  <c r="H24"/>
  <c r="H23"/>
  <c r="H22"/>
  <c r="F29"/>
  <c r="F28"/>
  <c r="F27"/>
  <c r="G29"/>
  <c r="G28"/>
  <c r="G27"/>
  <c r="H29"/>
  <c r="H28"/>
  <c r="H27"/>
  <c r="F33"/>
  <c r="G33"/>
  <c r="H33"/>
  <c r="F36"/>
  <c r="F35"/>
  <c r="G36"/>
  <c r="G35"/>
  <c r="H36"/>
  <c r="H35"/>
  <c r="F38"/>
  <c r="F37"/>
  <c r="G38"/>
  <c r="G37"/>
  <c r="H38"/>
  <c r="H37"/>
  <c r="F41"/>
  <c r="F40"/>
  <c r="F39"/>
  <c r="G41"/>
  <c r="G40"/>
  <c r="G39"/>
  <c r="H41"/>
  <c r="H40"/>
  <c r="H39"/>
  <c r="G46"/>
  <c r="G45"/>
  <c r="G44"/>
  <c r="H46"/>
  <c r="H45"/>
  <c r="H44"/>
  <c r="F49"/>
  <c r="F48"/>
  <c r="F47"/>
  <c r="G49"/>
  <c r="G48"/>
  <c r="G47"/>
  <c r="H49"/>
  <c r="H48"/>
  <c r="H47"/>
  <c r="F54"/>
  <c r="G54"/>
  <c r="H54"/>
  <c r="F55"/>
  <c r="G55"/>
  <c r="H55"/>
  <c r="F60"/>
  <c r="F59"/>
  <c r="F58"/>
  <c r="F57"/>
  <c r="G60"/>
  <c r="G59"/>
  <c r="G58"/>
  <c r="G57"/>
  <c r="H60"/>
  <c r="H59"/>
  <c r="H58"/>
  <c r="H57"/>
  <c r="F65"/>
  <c r="F64"/>
  <c r="F63"/>
  <c r="G65"/>
  <c r="G64"/>
  <c r="G63"/>
  <c r="H65"/>
  <c r="H64"/>
  <c r="H63"/>
  <c r="F68"/>
  <c r="F67"/>
  <c r="G68"/>
  <c r="G67"/>
  <c r="H68"/>
  <c r="H67"/>
  <c r="F70"/>
  <c r="G70"/>
  <c r="H70"/>
  <c r="F71"/>
  <c r="G71"/>
  <c r="H71"/>
  <c r="F73"/>
  <c r="G73"/>
  <c r="H73"/>
  <c r="F74"/>
  <c r="G74"/>
  <c r="H74"/>
  <c r="F77"/>
  <c r="F76"/>
  <c r="G77"/>
  <c r="G76"/>
  <c r="H77"/>
  <c r="H76"/>
  <c r="F79"/>
  <c r="G79"/>
  <c r="H79"/>
  <c r="F80"/>
  <c r="G80"/>
  <c r="H80"/>
  <c r="F85"/>
  <c r="F84"/>
  <c r="F83"/>
  <c r="G85"/>
  <c r="G84"/>
  <c r="G83"/>
  <c r="H85"/>
  <c r="H84"/>
  <c r="H83"/>
  <c r="F88"/>
  <c r="F87"/>
  <c r="G88"/>
  <c r="G87"/>
  <c r="H88"/>
  <c r="H87"/>
  <c r="F90"/>
  <c r="F89"/>
  <c r="G90"/>
  <c r="G89"/>
  <c r="H90"/>
  <c r="H89"/>
  <c r="F93"/>
  <c r="F92"/>
  <c r="F91"/>
  <c r="G93"/>
  <c r="G92"/>
  <c r="G91"/>
  <c r="H93"/>
  <c r="H92"/>
  <c r="H91"/>
  <c r="F96"/>
  <c r="F95"/>
  <c r="F94"/>
  <c r="G96"/>
  <c r="G95"/>
  <c r="G94"/>
  <c r="H96"/>
  <c r="H95"/>
  <c r="H94"/>
  <c r="F99"/>
  <c r="F98"/>
  <c r="F97"/>
  <c r="G99"/>
  <c r="G98"/>
  <c r="G97"/>
  <c r="H99"/>
  <c r="H98"/>
  <c r="H97"/>
  <c r="F102"/>
  <c r="F101"/>
  <c r="G102"/>
  <c r="G101"/>
  <c r="H102"/>
  <c r="H101"/>
  <c r="F104"/>
  <c r="F103"/>
  <c r="G104"/>
  <c r="G103"/>
  <c r="H104"/>
  <c r="H103"/>
  <c r="F109"/>
  <c r="F108"/>
  <c r="F111"/>
  <c r="F110"/>
  <c r="G111"/>
  <c r="G110"/>
  <c r="H111"/>
  <c r="H110"/>
  <c r="F116"/>
  <c r="F115"/>
  <c r="G116"/>
  <c r="G115"/>
  <c r="H116"/>
  <c r="H115"/>
  <c r="F118"/>
  <c r="F117"/>
  <c r="G118"/>
  <c r="G117"/>
  <c r="H118"/>
  <c r="H117"/>
  <c r="F120"/>
  <c r="G120"/>
  <c r="H120"/>
  <c r="F121"/>
  <c r="G121"/>
  <c r="H121"/>
  <c r="F124"/>
  <c r="F123"/>
  <c r="F126"/>
  <c r="F125"/>
  <c r="G126"/>
  <c r="G125"/>
  <c r="H126"/>
  <c r="H125"/>
  <c r="F128"/>
  <c r="F127"/>
  <c r="G128"/>
  <c r="G127"/>
  <c r="H128"/>
  <c r="H127"/>
  <c r="F133"/>
  <c r="F132"/>
  <c r="F131"/>
  <c r="G133"/>
  <c r="G132"/>
  <c r="G131"/>
  <c r="H133"/>
  <c r="H132"/>
  <c r="H131"/>
  <c r="F136"/>
  <c r="F135"/>
  <c r="F134"/>
  <c r="G136"/>
  <c r="G135"/>
  <c r="G134"/>
  <c r="H136"/>
  <c r="H135"/>
  <c r="H134"/>
  <c r="F141"/>
  <c r="F140"/>
  <c r="G141"/>
  <c r="G140"/>
  <c r="F147"/>
  <c r="F146"/>
  <c r="F145"/>
  <c r="G147"/>
  <c r="G146"/>
  <c r="G145"/>
  <c r="H147"/>
  <c r="H146"/>
  <c r="H145"/>
  <c r="F150"/>
  <c r="G150"/>
  <c r="H150"/>
  <c r="F151"/>
  <c r="G151"/>
  <c r="H151"/>
  <c r="G154"/>
  <c r="G153"/>
  <c r="G152"/>
  <c r="F154"/>
  <c r="F153"/>
  <c r="F152"/>
  <c r="H154"/>
  <c r="H153"/>
  <c r="H152"/>
  <c r="F157"/>
  <c r="G157"/>
  <c r="H157"/>
  <c r="F158"/>
  <c r="G158"/>
  <c r="H158"/>
  <c r="F161"/>
  <c r="F160"/>
  <c r="F159"/>
  <c r="G161"/>
  <c r="G160"/>
  <c r="G159"/>
  <c r="H161"/>
  <c r="H160"/>
  <c r="H159"/>
  <c r="F164"/>
  <c r="F163"/>
  <c r="F162"/>
  <c r="G164"/>
  <c r="G163"/>
  <c r="G162"/>
  <c r="H164"/>
  <c r="H163"/>
  <c r="H162"/>
  <c r="F167"/>
  <c r="F166"/>
  <c r="F165"/>
  <c r="G167"/>
  <c r="G166"/>
  <c r="G165"/>
  <c r="H167"/>
  <c r="H166"/>
  <c r="H165"/>
  <c r="F172"/>
  <c r="F171"/>
  <c r="F170"/>
  <c r="G172"/>
  <c r="G171"/>
  <c r="G170"/>
  <c r="H172"/>
  <c r="H171"/>
  <c r="H170"/>
  <c r="F175"/>
  <c r="F174"/>
  <c r="G175"/>
  <c r="G174"/>
  <c r="H175"/>
  <c r="H174"/>
  <c r="F177"/>
  <c r="F176"/>
  <c r="G177"/>
  <c r="G176"/>
  <c r="H177"/>
  <c r="H176"/>
  <c r="F180"/>
  <c r="F179"/>
  <c r="F178"/>
  <c r="G180"/>
  <c r="G179"/>
  <c r="G178"/>
  <c r="H180"/>
  <c r="H179"/>
  <c r="H178"/>
  <c r="F183"/>
  <c r="F182"/>
  <c r="F181"/>
  <c r="G183"/>
  <c r="G182"/>
  <c r="G181"/>
  <c r="H183"/>
  <c r="H182"/>
  <c r="H181"/>
  <c r="F186"/>
  <c r="F185"/>
  <c r="F184"/>
  <c r="G186"/>
  <c r="G185"/>
  <c r="G184"/>
  <c r="H186"/>
  <c r="H185"/>
  <c r="H184"/>
  <c r="F189"/>
  <c r="F188"/>
  <c r="G189"/>
  <c r="G188"/>
  <c r="H189"/>
  <c r="H188"/>
  <c r="F191"/>
  <c r="G191"/>
  <c r="H191"/>
  <c r="F192"/>
  <c r="G192"/>
  <c r="H192"/>
  <c r="F195"/>
  <c r="F194"/>
  <c r="F197"/>
  <c r="F196"/>
  <c r="F193"/>
  <c r="G195"/>
  <c r="G194"/>
  <c r="H195"/>
  <c r="H194"/>
  <c r="G197"/>
  <c r="G196"/>
  <c r="H197"/>
  <c r="H196"/>
  <c r="F200"/>
  <c r="F199"/>
  <c r="G200"/>
  <c r="G199"/>
  <c r="H200"/>
  <c r="H199"/>
  <c r="F202"/>
  <c r="F201"/>
  <c r="G202"/>
  <c r="G201"/>
  <c r="H202"/>
  <c r="H201"/>
  <c r="F205"/>
  <c r="F204"/>
  <c r="F203"/>
  <c r="G205"/>
  <c r="G204"/>
  <c r="G203"/>
  <c r="H205"/>
  <c r="H204"/>
  <c r="H203"/>
  <c r="F208"/>
  <c r="F207"/>
  <c r="G208"/>
  <c r="G207"/>
  <c r="H208"/>
  <c r="H207"/>
  <c r="F210"/>
  <c r="F209"/>
  <c r="G210"/>
  <c r="G209"/>
  <c r="H210"/>
  <c r="H209"/>
  <c r="F213"/>
  <c r="F212"/>
  <c r="F211"/>
  <c r="G213"/>
  <c r="G212"/>
  <c r="G211"/>
  <c r="H213"/>
  <c r="H212"/>
  <c r="H211"/>
  <c r="F216"/>
  <c r="F215"/>
  <c r="F214"/>
  <c r="G216"/>
  <c r="G215"/>
  <c r="G214"/>
  <c r="H216"/>
  <c r="H215"/>
  <c r="H214"/>
  <c r="F219"/>
  <c r="F218"/>
  <c r="F217"/>
  <c r="G219"/>
  <c r="G218"/>
  <c r="G217"/>
  <c r="H219"/>
  <c r="H218"/>
  <c r="H217"/>
  <c r="F222"/>
  <c r="F221"/>
  <c r="F220"/>
  <c r="G222"/>
  <c r="G221"/>
  <c r="G220"/>
  <c r="H222"/>
  <c r="H221"/>
  <c r="H220"/>
  <c r="F225"/>
  <c r="F224"/>
  <c r="F223"/>
  <c r="G225"/>
  <c r="G224"/>
  <c r="G223"/>
  <c r="H225"/>
  <c r="H224"/>
  <c r="H223"/>
  <c r="F230"/>
  <c r="F229"/>
  <c r="F228"/>
  <c r="G230"/>
  <c r="G229"/>
  <c r="G228"/>
  <c r="H230"/>
  <c r="H229"/>
  <c r="H228"/>
  <c r="F233"/>
  <c r="G233"/>
  <c r="H233"/>
  <c r="F234"/>
  <c r="G234"/>
  <c r="H234"/>
  <c r="F237"/>
  <c r="F236"/>
  <c r="F235"/>
  <c r="G237"/>
  <c r="G236"/>
  <c r="G235"/>
  <c r="H237"/>
  <c r="H236"/>
  <c r="H235"/>
  <c r="F240"/>
  <c r="F239"/>
  <c r="F238"/>
  <c r="G240"/>
  <c r="G239"/>
  <c r="G238"/>
  <c r="H240"/>
  <c r="H239"/>
  <c r="H238"/>
  <c r="F243"/>
  <c r="G243"/>
  <c r="H243"/>
  <c r="F244"/>
  <c r="G244"/>
  <c r="H244"/>
  <c r="F249"/>
  <c r="F248"/>
  <c r="F247"/>
  <c r="G249"/>
  <c r="G248"/>
  <c r="G247"/>
  <c r="H249"/>
  <c r="H248"/>
  <c r="H247"/>
  <c r="F252"/>
  <c r="F251"/>
  <c r="G252"/>
  <c r="G251"/>
  <c r="H252"/>
  <c r="H251"/>
  <c r="F254"/>
  <c r="F253"/>
  <c r="G254"/>
  <c r="G253"/>
  <c r="H254"/>
  <c r="H253"/>
  <c r="F257"/>
  <c r="F256"/>
  <c r="G257"/>
  <c r="G256"/>
  <c r="H257"/>
  <c r="H256"/>
  <c r="F259"/>
  <c r="F258"/>
  <c r="G259"/>
  <c r="G258"/>
  <c r="H259"/>
  <c r="H258"/>
  <c r="F261"/>
  <c r="F260"/>
  <c r="G261"/>
  <c r="G260"/>
  <c r="H261"/>
  <c r="H260"/>
  <c r="F263"/>
  <c r="F264"/>
  <c r="F262"/>
  <c r="G263"/>
  <c r="H263"/>
  <c r="G264"/>
  <c r="H264"/>
  <c r="F267"/>
  <c r="F266"/>
  <c r="F265"/>
  <c r="G267"/>
  <c r="G266"/>
  <c r="G265"/>
  <c r="H267"/>
  <c r="H266"/>
  <c r="H265"/>
  <c r="F270"/>
  <c r="F269"/>
  <c r="G270"/>
  <c r="G269"/>
  <c r="H270"/>
  <c r="H269"/>
  <c r="F272"/>
  <c r="G272"/>
  <c r="H272"/>
  <c r="F273"/>
  <c r="G273"/>
  <c r="G271"/>
  <c r="H273"/>
  <c r="F275"/>
  <c r="F274"/>
  <c r="G275"/>
  <c r="G274"/>
  <c r="H275"/>
  <c r="H274"/>
  <c r="H278"/>
  <c r="H277"/>
  <c r="H276"/>
  <c r="F278"/>
  <c r="F277"/>
  <c r="F276"/>
  <c r="G278"/>
  <c r="G277"/>
  <c r="G276"/>
  <c r="F281"/>
  <c r="F280"/>
  <c r="F279"/>
  <c r="G281"/>
  <c r="G280"/>
  <c r="G279"/>
  <c r="H281"/>
  <c r="H280"/>
  <c r="H279"/>
  <c r="F286"/>
  <c r="G286"/>
  <c r="G287"/>
  <c r="G288"/>
  <c r="G285"/>
  <c r="G284"/>
  <c r="G283"/>
  <c r="H286"/>
  <c r="F287"/>
  <c r="H287"/>
  <c r="F288"/>
  <c r="H288"/>
  <c r="F293"/>
  <c r="F292"/>
  <c r="F291"/>
  <c r="G293"/>
  <c r="G292"/>
  <c r="G291"/>
  <c r="H293"/>
  <c r="H292"/>
  <c r="H291"/>
  <c r="F296"/>
  <c r="F295"/>
  <c r="F294"/>
  <c r="G296"/>
  <c r="G295"/>
  <c r="G294"/>
  <c r="H296"/>
  <c r="H295"/>
  <c r="H294"/>
  <c r="F301"/>
  <c r="F300"/>
  <c r="F299"/>
  <c r="G301"/>
  <c r="G300"/>
  <c r="G299"/>
  <c r="H301"/>
  <c r="H300"/>
  <c r="H299"/>
  <c r="G304"/>
  <c r="G303"/>
  <c r="G302"/>
  <c r="H304"/>
  <c r="H303"/>
  <c r="H302"/>
  <c r="G307"/>
  <c r="G306"/>
  <c r="G305"/>
  <c r="F307"/>
  <c r="F306"/>
  <c r="F305"/>
  <c r="H307"/>
  <c r="H306"/>
  <c r="H305"/>
  <c r="F310"/>
  <c r="F309"/>
  <c r="F308"/>
  <c r="G310"/>
  <c r="G309"/>
  <c r="G308"/>
  <c r="H310"/>
  <c r="H309"/>
  <c r="H308"/>
  <c r="F313"/>
  <c r="F312"/>
  <c r="F311"/>
  <c r="G313"/>
  <c r="G312"/>
  <c r="G311"/>
  <c r="H313"/>
  <c r="H312"/>
  <c r="H311"/>
  <c r="F316"/>
  <c r="F315"/>
  <c r="F314"/>
  <c r="G316"/>
  <c r="G315"/>
  <c r="G314"/>
  <c r="H316"/>
  <c r="H315"/>
  <c r="H314"/>
  <c r="F322"/>
  <c r="F321"/>
  <c r="F320"/>
  <c r="G322"/>
  <c r="G321"/>
  <c r="G320"/>
  <c r="H322"/>
  <c r="H321"/>
  <c r="H320"/>
  <c r="F325"/>
  <c r="F324"/>
  <c r="G325"/>
  <c r="G324"/>
  <c r="H325"/>
  <c r="H324"/>
  <c r="F327"/>
  <c r="F326"/>
  <c r="G327"/>
  <c r="G326"/>
  <c r="H327"/>
  <c r="H326"/>
  <c r="F329"/>
  <c r="F328"/>
  <c r="G329"/>
  <c r="G328"/>
  <c r="H329"/>
  <c r="H328"/>
  <c r="F331"/>
  <c r="G331"/>
  <c r="H331"/>
  <c r="F332"/>
  <c r="G332"/>
  <c r="H332"/>
  <c r="F334"/>
  <c r="G334"/>
  <c r="G335"/>
  <c r="G333"/>
  <c r="H334"/>
  <c r="F335"/>
  <c r="H335"/>
  <c r="F338"/>
  <c r="F337"/>
  <c r="F336"/>
  <c r="G338"/>
  <c r="G337"/>
  <c r="G336"/>
  <c r="H338"/>
  <c r="H337"/>
  <c r="H336"/>
  <c r="F341"/>
  <c r="F340"/>
  <c r="G341"/>
  <c r="G340"/>
  <c r="H341"/>
  <c r="H340"/>
  <c r="F343"/>
  <c r="F342"/>
  <c r="G343"/>
  <c r="G342"/>
  <c r="H343"/>
  <c r="H342"/>
  <c r="F346"/>
  <c r="F345"/>
  <c r="F344"/>
  <c r="G346"/>
  <c r="G345"/>
  <c r="G344"/>
  <c r="H346"/>
  <c r="H345"/>
  <c r="H344"/>
  <c r="F349"/>
  <c r="F348"/>
  <c r="F347"/>
  <c r="G349"/>
  <c r="G348"/>
  <c r="G347"/>
  <c r="H349"/>
  <c r="H348"/>
  <c r="H347"/>
  <c r="F352"/>
  <c r="F351"/>
  <c r="F350"/>
  <c r="G352"/>
  <c r="G351"/>
  <c r="G350"/>
  <c r="H352"/>
  <c r="H351"/>
  <c r="H350"/>
  <c r="F357"/>
  <c r="F356"/>
  <c r="F355"/>
  <c r="G357"/>
  <c r="G356"/>
  <c r="G355"/>
  <c r="H357"/>
  <c r="H356"/>
  <c r="H355"/>
  <c r="F360"/>
  <c r="F359"/>
  <c r="F358"/>
  <c r="G360"/>
  <c r="G359"/>
  <c r="G358"/>
  <c r="H360"/>
  <c r="H359"/>
  <c r="H358"/>
  <c r="H363"/>
  <c r="H362"/>
  <c r="H361"/>
  <c r="F363"/>
  <c r="F362"/>
  <c r="F361"/>
  <c r="G363"/>
  <c r="G362"/>
  <c r="G361"/>
  <c r="F366"/>
  <c r="F365"/>
  <c r="G366"/>
  <c r="G365"/>
  <c r="H366"/>
  <c r="H365"/>
  <c r="F368"/>
  <c r="F367"/>
  <c r="G368"/>
  <c r="G367"/>
  <c r="G364"/>
  <c r="H368"/>
  <c r="H367"/>
  <c r="F371"/>
  <c r="F370"/>
  <c r="G371"/>
  <c r="G370"/>
  <c r="H371"/>
  <c r="H370"/>
  <c r="F373"/>
  <c r="F372"/>
  <c r="G373"/>
  <c r="G372"/>
  <c r="H373"/>
  <c r="H372"/>
  <c r="F376"/>
  <c r="F375"/>
  <c r="G376"/>
  <c r="G375"/>
  <c r="H376"/>
  <c r="H375"/>
  <c r="F378"/>
  <c r="F377"/>
  <c r="G378"/>
  <c r="G377"/>
  <c r="H378"/>
  <c r="H377"/>
  <c r="F381"/>
  <c r="F380"/>
  <c r="G381"/>
  <c r="G380"/>
  <c r="H381"/>
  <c r="H380"/>
  <c r="F383"/>
  <c r="F382"/>
  <c r="G383"/>
  <c r="G382"/>
  <c r="H383"/>
  <c r="H382"/>
  <c r="F386"/>
  <c r="F385"/>
  <c r="G386"/>
  <c r="G385"/>
  <c r="H386"/>
  <c r="H385"/>
  <c r="G388"/>
  <c r="G387"/>
  <c r="F388"/>
  <c r="F387"/>
  <c r="H388"/>
  <c r="H387"/>
  <c r="F391"/>
  <c r="F390"/>
  <c r="G391"/>
  <c r="G390"/>
  <c r="H391"/>
  <c r="H390"/>
  <c r="F393"/>
  <c r="F392"/>
  <c r="G393"/>
  <c r="G392"/>
  <c r="H393"/>
  <c r="H392"/>
  <c r="F396"/>
  <c r="F395"/>
  <c r="G396"/>
  <c r="G395"/>
  <c r="H396"/>
  <c r="H395"/>
  <c r="F398"/>
  <c r="F397"/>
  <c r="G398"/>
  <c r="G397"/>
  <c r="H398"/>
  <c r="H397"/>
  <c r="F401"/>
  <c r="F400"/>
  <c r="G401"/>
  <c r="G400"/>
  <c r="H401"/>
  <c r="H400"/>
  <c r="F403"/>
  <c r="F402"/>
  <c r="G403"/>
  <c r="G402"/>
  <c r="H403"/>
  <c r="H402"/>
  <c r="F406"/>
  <c r="F405"/>
  <c r="F404"/>
  <c r="G406"/>
  <c r="G405"/>
  <c r="G404"/>
  <c r="H406"/>
  <c r="H405"/>
  <c r="H404"/>
  <c r="F409"/>
  <c r="F408"/>
  <c r="G409"/>
  <c r="G408"/>
  <c r="H409"/>
  <c r="H408"/>
  <c r="F411"/>
  <c r="F410"/>
  <c r="G411"/>
  <c r="G410"/>
  <c r="H411"/>
  <c r="H410"/>
  <c r="F414"/>
  <c r="F413"/>
  <c r="G414"/>
  <c r="G413"/>
  <c r="H414"/>
  <c r="H413"/>
  <c r="F416"/>
  <c r="F415"/>
  <c r="G416"/>
  <c r="G415"/>
  <c r="H416"/>
  <c r="H415"/>
  <c r="F419"/>
  <c r="F418"/>
  <c r="G419"/>
  <c r="G418"/>
  <c r="H419"/>
  <c r="H418"/>
  <c r="F421"/>
  <c r="F420"/>
  <c r="G421"/>
  <c r="G420"/>
  <c r="H421"/>
  <c r="H420"/>
  <c r="F424"/>
  <c r="F423"/>
  <c r="G424"/>
  <c r="G423"/>
  <c r="H424"/>
  <c r="H423"/>
  <c r="G426"/>
  <c r="G425"/>
  <c r="F426"/>
  <c r="F425"/>
  <c r="H426"/>
  <c r="H425"/>
  <c r="H429"/>
  <c r="H428"/>
  <c r="H427"/>
  <c r="F429"/>
  <c r="F428"/>
  <c r="F427"/>
  <c r="G429"/>
  <c r="G428"/>
  <c r="G427"/>
  <c r="F432"/>
  <c r="F431"/>
  <c r="G432"/>
  <c r="G431"/>
  <c r="H432"/>
  <c r="H431"/>
  <c r="F434"/>
  <c r="F433"/>
  <c r="G434"/>
  <c r="G433"/>
  <c r="H434"/>
  <c r="H433"/>
  <c r="F437"/>
  <c r="F436"/>
  <c r="G437"/>
  <c r="G436"/>
  <c r="H437"/>
  <c r="H436"/>
  <c r="F439"/>
  <c r="F438"/>
  <c r="G439"/>
  <c r="G438"/>
  <c r="H439"/>
  <c r="H438"/>
  <c r="F442"/>
  <c r="F441"/>
  <c r="G442"/>
  <c r="G441"/>
  <c r="H442"/>
  <c r="H441"/>
  <c r="F444"/>
  <c r="F443"/>
  <c r="G444"/>
  <c r="G443"/>
  <c r="H444"/>
  <c r="H443"/>
  <c r="F447"/>
  <c r="F446"/>
  <c r="G447"/>
  <c r="G446"/>
  <c r="G449"/>
  <c r="G448"/>
  <c r="G445"/>
  <c r="H447"/>
  <c r="H446"/>
  <c r="F449"/>
  <c r="F448"/>
  <c r="H449"/>
  <c r="H448"/>
  <c r="H452"/>
  <c r="H451"/>
  <c r="F452"/>
  <c r="F451"/>
  <c r="G452"/>
  <c r="G451"/>
  <c r="F454"/>
  <c r="F453"/>
  <c r="G454"/>
  <c r="G453"/>
  <c r="H454"/>
  <c r="H453"/>
  <c r="F457"/>
  <c r="F456"/>
  <c r="G457"/>
  <c r="G456"/>
  <c r="H457"/>
  <c r="H456"/>
  <c r="H459"/>
  <c r="H458"/>
  <c r="H455"/>
  <c r="F459"/>
  <c r="F458"/>
  <c r="G459"/>
  <c r="G458"/>
  <c r="F462"/>
  <c r="F461"/>
  <c r="G462"/>
  <c r="G461"/>
  <c r="H462"/>
  <c r="H461"/>
  <c r="F464"/>
  <c r="F463"/>
  <c r="G464"/>
  <c r="G463"/>
  <c r="H464"/>
  <c r="H463"/>
  <c r="F467"/>
  <c r="F466"/>
  <c r="G467"/>
  <c r="G466"/>
  <c r="H467"/>
  <c r="H466"/>
  <c r="H469"/>
  <c r="H468"/>
  <c r="F469"/>
  <c r="F468"/>
  <c r="G469"/>
  <c r="G468"/>
  <c r="F472"/>
  <c r="F471"/>
  <c r="G472"/>
  <c r="G471"/>
  <c r="H472"/>
  <c r="H471"/>
  <c r="G474"/>
  <c r="G473"/>
  <c r="F474"/>
  <c r="F473"/>
  <c r="H474"/>
  <c r="H473"/>
  <c r="H477"/>
  <c r="H476"/>
  <c r="F477"/>
  <c r="F476"/>
  <c r="G477"/>
  <c r="G476"/>
  <c r="F479"/>
  <c r="F478"/>
  <c r="G479"/>
  <c r="G478"/>
  <c r="H479"/>
  <c r="H478"/>
  <c r="F482"/>
  <c r="F481"/>
  <c r="G482"/>
  <c r="G481"/>
  <c r="H482"/>
  <c r="H481"/>
  <c r="F484"/>
  <c r="F483"/>
  <c r="G484"/>
  <c r="G483"/>
  <c r="H484"/>
  <c r="H483"/>
  <c r="F487"/>
  <c r="F486"/>
  <c r="G487"/>
  <c r="G486"/>
  <c r="G489"/>
  <c r="G488"/>
  <c r="G485"/>
  <c r="H487"/>
  <c r="H486"/>
  <c r="F489"/>
  <c r="F488"/>
  <c r="H489"/>
  <c r="H488"/>
  <c r="F492"/>
  <c r="F491"/>
  <c r="G492"/>
  <c r="G491"/>
  <c r="G494"/>
  <c r="G493"/>
  <c r="G490"/>
  <c r="H492"/>
  <c r="H491"/>
  <c r="F494"/>
  <c r="F493"/>
  <c r="H494"/>
  <c r="H493"/>
  <c r="F497"/>
  <c r="F496"/>
  <c r="G497"/>
  <c r="G496"/>
  <c r="H497"/>
  <c r="H496"/>
  <c r="F499"/>
  <c r="F498"/>
  <c r="G499"/>
  <c r="G498"/>
  <c r="H499"/>
  <c r="H498"/>
  <c r="F502"/>
  <c r="F501"/>
  <c r="G502"/>
  <c r="G501"/>
  <c r="H502"/>
  <c r="H501"/>
  <c r="F504"/>
  <c r="F503"/>
  <c r="G504"/>
  <c r="G503"/>
  <c r="H504"/>
  <c r="H503"/>
  <c r="F507"/>
  <c r="F506"/>
  <c r="G507"/>
  <c r="G506"/>
  <c r="H507"/>
  <c r="H506"/>
  <c r="F509"/>
  <c r="F508"/>
  <c r="G509"/>
  <c r="G508"/>
  <c r="H509"/>
  <c r="H508"/>
  <c r="F512"/>
  <c r="F511"/>
  <c r="G512"/>
  <c r="G511"/>
  <c r="H512"/>
  <c r="H511"/>
  <c r="F514"/>
  <c r="F513"/>
  <c r="G514"/>
  <c r="G513"/>
  <c r="H514"/>
  <c r="H513"/>
  <c r="F517"/>
  <c r="F516"/>
  <c r="G517"/>
  <c r="G516"/>
  <c r="H517"/>
  <c r="H516"/>
  <c r="F519"/>
  <c r="F518"/>
  <c r="G519"/>
  <c r="G518"/>
  <c r="H519"/>
  <c r="H518"/>
  <c r="F522"/>
  <c r="F521"/>
  <c r="G522"/>
  <c r="G521"/>
  <c r="H522"/>
  <c r="H521"/>
  <c r="H524"/>
  <c r="H523"/>
  <c r="F524"/>
  <c r="F523"/>
  <c r="G524"/>
  <c r="G523"/>
  <c r="F527"/>
  <c r="F526"/>
  <c r="G527"/>
  <c r="G526"/>
  <c r="H527"/>
  <c r="H526"/>
  <c r="F529"/>
  <c r="F528"/>
  <c r="G529"/>
  <c r="G528"/>
  <c r="H529"/>
  <c r="H528"/>
  <c r="H532"/>
  <c r="H531"/>
  <c r="F532"/>
  <c r="F531"/>
  <c r="G532"/>
  <c r="G531"/>
  <c r="F534"/>
  <c r="F533"/>
  <c r="G534"/>
  <c r="G533"/>
  <c r="H534"/>
  <c r="H533"/>
  <c r="F537"/>
  <c r="F536"/>
  <c r="F535"/>
  <c r="G537"/>
  <c r="G536"/>
  <c r="G535"/>
  <c r="H537"/>
  <c r="H536"/>
  <c r="H535"/>
  <c r="F543"/>
  <c r="F542"/>
  <c r="G543"/>
  <c r="G542"/>
  <c r="H543"/>
  <c r="H542"/>
  <c r="F545"/>
  <c r="F544"/>
  <c r="G545"/>
  <c r="G544"/>
  <c r="H545"/>
  <c r="H544"/>
  <c r="F550"/>
  <c r="F549"/>
  <c r="G550"/>
  <c r="G549"/>
  <c r="H550"/>
  <c r="H549"/>
  <c r="F552"/>
  <c r="F551"/>
  <c r="G552"/>
  <c r="G551"/>
  <c r="H552"/>
  <c r="H551"/>
  <c r="F555"/>
  <c r="G555"/>
  <c r="H555"/>
  <c r="F556"/>
  <c r="G556"/>
  <c r="H556"/>
  <c r="F559"/>
  <c r="F558"/>
  <c r="G559"/>
  <c r="G558"/>
  <c r="H559"/>
  <c r="H558"/>
  <c r="F561"/>
  <c r="G561"/>
  <c r="H561"/>
  <c r="F562"/>
  <c r="G562"/>
  <c r="H562"/>
  <c r="F565"/>
  <c r="F564"/>
  <c r="F563"/>
  <c r="G565"/>
  <c r="G564"/>
  <c r="G563"/>
  <c r="H565"/>
  <c r="H564"/>
  <c r="H563"/>
  <c r="F570"/>
  <c r="F569"/>
  <c r="F568"/>
  <c r="F567"/>
  <c r="G570"/>
  <c r="G569"/>
  <c r="G568"/>
  <c r="G567"/>
  <c r="H570"/>
  <c r="H569"/>
  <c r="H568"/>
  <c r="H567"/>
  <c r="F575"/>
  <c r="G575"/>
  <c r="G576"/>
  <c r="G574"/>
  <c r="G573"/>
  <c r="H575"/>
  <c r="F576"/>
  <c r="H576"/>
  <c r="F579"/>
  <c r="F578"/>
  <c r="F577"/>
  <c r="G579"/>
  <c r="G578"/>
  <c r="G577"/>
  <c r="H579"/>
  <c r="H578"/>
  <c r="H577"/>
  <c r="F582"/>
  <c r="F581"/>
  <c r="G582"/>
  <c r="G581"/>
  <c r="H582"/>
  <c r="H581"/>
  <c r="H584"/>
  <c r="H583"/>
  <c r="F584"/>
  <c r="F583"/>
  <c r="G584"/>
  <c r="G583"/>
  <c r="F587"/>
  <c r="F586"/>
  <c r="F585"/>
  <c r="G587"/>
  <c r="G586"/>
  <c r="G585"/>
  <c r="H587"/>
  <c r="H586"/>
  <c r="H585"/>
  <c r="F592"/>
  <c r="F591"/>
  <c r="F590"/>
  <c r="G592"/>
  <c r="G591"/>
  <c r="G590"/>
  <c r="H592"/>
  <c r="H591"/>
  <c r="H590"/>
  <c r="F595"/>
  <c r="F594"/>
  <c r="F593"/>
  <c r="G595"/>
  <c r="G594"/>
  <c r="G593"/>
  <c r="H595"/>
  <c r="H594"/>
  <c r="H593"/>
  <c r="F598"/>
  <c r="F597"/>
  <c r="F596"/>
  <c r="G598"/>
  <c r="G597"/>
  <c r="G596"/>
  <c r="H598"/>
  <c r="H597"/>
  <c r="H596"/>
  <c r="F603"/>
  <c r="F602"/>
  <c r="G603"/>
  <c r="G602"/>
  <c r="H603"/>
  <c r="H602"/>
  <c r="F605"/>
  <c r="G605"/>
  <c r="H605"/>
  <c r="F606"/>
  <c r="G606"/>
  <c r="H606"/>
  <c r="F609"/>
  <c r="F608"/>
  <c r="F607"/>
  <c r="G609"/>
  <c r="G608"/>
  <c r="G607"/>
  <c r="H609"/>
  <c r="H608"/>
  <c r="H607"/>
  <c r="F612"/>
  <c r="F611"/>
  <c r="F610"/>
  <c r="G612"/>
  <c r="G611"/>
  <c r="G610"/>
  <c r="H612"/>
  <c r="H611"/>
  <c r="H610"/>
  <c r="F614"/>
  <c r="F613"/>
  <c r="G614"/>
  <c r="G613"/>
  <c r="H614"/>
  <c r="H613"/>
  <c r="F618"/>
  <c r="F617"/>
  <c r="F616"/>
  <c r="G618"/>
  <c r="G617"/>
  <c r="G616"/>
  <c r="H618"/>
  <c r="H617"/>
  <c r="H616"/>
  <c r="F621"/>
  <c r="F620"/>
  <c r="F619"/>
  <c r="G621"/>
  <c r="G620"/>
  <c r="G619"/>
  <c r="H621"/>
  <c r="H620"/>
  <c r="H619"/>
  <c r="F626"/>
  <c r="F625"/>
  <c r="F624"/>
  <c r="G626"/>
  <c r="G625"/>
  <c r="G624"/>
  <c r="H626"/>
  <c r="H625"/>
  <c r="H624"/>
  <c r="F629"/>
  <c r="G629"/>
  <c r="H629"/>
  <c r="F630"/>
  <c r="G630"/>
  <c r="H630"/>
  <c r="F633"/>
  <c r="F632"/>
  <c r="F631"/>
  <c r="G633"/>
  <c r="G632"/>
  <c r="G631"/>
  <c r="H633"/>
  <c r="H632"/>
  <c r="H631"/>
  <c r="F710"/>
  <c r="F709"/>
  <c r="F708"/>
  <c r="G710"/>
  <c r="G709"/>
  <c r="G708"/>
  <c r="H710"/>
  <c r="H709"/>
  <c r="H708"/>
  <c r="H713"/>
  <c r="H712"/>
  <c r="H711"/>
  <c r="F713"/>
  <c r="F712"/>
  <c r="F711"/>
  <c r="G713"/>
  <c r="G712"/>
  <c r="G711"/>
  <c r="F716"/>
  <c r="F715"/>
  <c r="F714"/>
  <c r="G716"/>
  <c r="G715"/>
  <c r="G714"/>
  <c r="H716"/>
  <c r="F719"/>
  <c r="F718"/>
  <c r="F717"/>
  <c r="G719"/>
  <c r="G718"/>
  <c r="G717"/>
  <c r="H719"/>
  <c r="F722"/>
  <c r="F721"/>
  <c r="F720"/>
  <c r="G722"/>
  <c r="G721"/>
  <c r="G720"/>
  <c r="H722"/>
  <c r="H721"/>
  <c r="H720"/>
  <c r="F725"/>
  <c r="F724"/>
  <c r="F723"/>
  <c r="G725"/>
  <c r="G724"/>
  <c r="G723"/>
  <c r="H725"/>
  <c r="H724"/>
  <c r="H723"/>
  <c r="F728"/>
  <c r="F727"/>
  <c r="F726"/>
  <c r="G728"/>
  <c r="G727"/>
  <c r="G726"/>
  <c r="H728"/>
  <c r="H727"/>
  <c r="H726"/>
  <c r="F731"/>
  <c r="F730"/>
  <c r="F729"/>
  <c r="G731"/>
  <c r="G730"/>
  <c r="G729"/>
  <c r="H731"/>
  <c r="H730"/>
  <c r="H729"/>
  <c r="F734"/>
  <c r="F733"/>
  <c r="F732"/>
  <c r="G734"/>
  <c r="G733"/>
  <c r="G732"/>
  <c r="H734"/>
  <c r="H733"/>
  <c r="H732"/>
  <c r="F737"/>
  <c r="F736"/>
  <c r="F735"/>
  <c r="G737"/>
  <c r="G736"/>
  <c r="G735"/>
  <c r="H737"/>
  <c r="H736"/>
  <c r="H735"/>
  <c r="F740"/>
  <c r="F739"/>
  <c r="F738"/>
  <c r="G740"/>
  <c r="G739"/>
  <c r="G738"/>
  <c r="H740"/>
  <c r="H739"/>
  <c r="H738"/>
  <c r="F743"/>
  <c r="F742"/>
  <c r="F741"/>
  <c r="G743"/>
  <c r="G742"/>
  <c r="G741"/>
  <c r="H743"/>
  <c r="H742"/>
  <c r="H741"/>
  <c r="H746"/>
  <c r="H745"/>
  <c r="H744"/>
  <c r="F746"/>
  <c r="F745"/>
  <c r="F744"/>
  <c r="G746"/>
  <c r="G745"/>
  <c r="G744"/>
  <c r="F749"/>
  <c r="F748"/>
  <c r="F747"/>
  <c r="G749"/>
  <c r="G748"/>
  <c r="G747"/>
  <c r="H749"/>
  <c r="H748"/>
  <c r="H747"/>
  <c r="F752"/>
  <c r="F751"/>
  <c r="F750"/>
  <c r="G752"/>
  <c r="G751"/>
  <c r="G750"/>
  <c r="H752"/>
  <c r="H751"/>
  <c r="H750"/>
  <c r="F755"/>
  <c r="F754"/>
  <c r="F753"/>
  <c r="G755"/>
  <c r="G754"/>
  <c r="G753"/>
  <c r="H755"/>
  <c r="H754"/>
  <c r="H753"/>
  <c r="F758"/>
  <c r="F757"/>
  <c r="F756"/>
  <c r="G758"/>
  <c r="G757"/>
  <c r="G756"/>
  <c r="H758"/>
  <c r="H757"/>
  <c r="H756"/>
  <c r="F761"/>
  <c r="F760"/>
  <c r="F759"/>
  <c r="G761"/>
  <c r="G760"/>
  <c r="G759"/>
  <c r="H761"/>
  <c r="H760"/>
  <c r="H759"/>
  <c r="F764"/>
  <c r="F763"/>
  <c r="F762"/>
  <c r="G764"/>
  <c r="G763"/>
  <c r="G762"/>
  <c r="H764"/>
  <c r="H763"/>
  <c r="H762"/>
  <c r="F767"/>
  <c r="F766"/>
  <c r="F765"/>
  <c r="G767"/>
  <c r="G766"/>
  <c r="G765"/>
  <c r="H767"/>
  <c r="H766"/>
  <c r="H765"/>
  <c r="F770"/>
  <c r="F769"/>
  <c r="F768"/>
  <c r="G770"/>
  <c r="G769"/>
  <c r="G768"/>
  <c r="H770"/>
  <c r="H769"/>
  <c r="H768"/>
  <c r="F773"/>
  <c r="F772"/>
  <c r="F771"/>
  <c r="G773"/>
  <c r="G772"/>
  <c r="G771"/>
  <c r="H773"/>
  <c r="H772"/>
  <c r="H771"/>
  <c r="F776"/>
  <c r="F775"/>
  <c r="F774"/>
  <c r="G776"/>
  <c r="G775"/>
  <c r="G774"/>
  <c r="H776"/>
  <c r="H775"/>
  <c r="H774"/>
  <c r="F779"/>
  <c r="F778"/>
  <c r="F777"/>
  <c r="G779"/>
  <c r="G778"/>
  <c r="G777"/>
  <c r="H779"/>
  <c r="H778"/>
  <c r="H777"/>
  <c r="G782"/>
  <c r="G781"/>
  <c r="F782"/>
  <c r="F781"/>
  <c r="H782"/>
  <c r="H781"/>
  <c r="F784"/>
  <c r="F783"/>
  <c r="G784"/>
  <c r="G783"/>
  <c r="H784"/>
  <c r="H783"/>
  <c r="F787"/>
  <c r="F786"/>
  <c r="F785"/>
  <c r="G787"/>
  <c r="G786"/>
  <c r="G785"/>
  <c r="H787"/>
  <c r="H786"/>
  <c r="H785"/>
  <c r="F790"/>
  <c r="F789"/>
  <c r="F788"/>
  <c r="G790"/>
  <c r="G789"/>
  <c r="G788"/>
  <c r="H790"/>
  <c r="H789"/>
  <c r="H788"/>
  <c r="F793"/>
  <c r="F792"/>
  <c r="F791"/>
  <c r="G793"/>
  <c r="G792"/>
  <c r="G791"/>
  <c r="H793"/>
  <c r="H792"/>
  <c r="H791"/>
  <c r="G796"/>
  <c r="G795"/>
  <c r="G794"/>
  <c r="F796"/>
  <c r="F795"/>
  <c r="F794"/>
  <c r="H796"/>
  <c r="H795"/>
  <c r="H794"/>
  <c r="F799"/>
  <c r="F798"/>
  <c r="F797"/>
  <c r="G799"/>
  <c r="G798"/>
  <c r="G797"/>
  <c r="H799"/>
  <c r="H798"/>
  <c r="H797"/>
  <c r="F802"/>
  <c r="F801"/>
  <c r="F800"/>
  <c r="G802"/>
  <c r="G801"/>
  <c r="G800"/>
  <c r="H802"/>
  <c r="H801"/>
  <c r="H800"/>
  <c r="F805"/>
  <c r="F804"/>
  <c r="F803"/>
  <c r="G805"/>
  <c r="G804"/>
  <c r="G803"/>
  <c r="H805"/>
  <c r="H804"/>
  <c r="H803"/>
  <c r="F808"/>
  <c r="F807"/>
  <c r="F806"/>
  <c r="G808"/>
  <c r="G807"/>
  <c r="G806"/>
  <c r="H808"/>
  <c r="H807"/>
  <c r="H806"/>
  <c r="F811"/>
  <c r="F810"/>
  <c r="F809"/>
  <c r="G811"/>
  <c r="G810"/>
  <c r="G809"/>
  <c r="H811"/>
  <c r="H810"/>
  <c r="H809"/>
  <c r="F814"/>
  <c r="F813"/>
  <c r="F812"/>
  <c r="G814"/>
  <c r="G813"/>
  <c r="G812"/>
  <c r="H814"/>
  <c r="H813"/>
  <c r="H812"/>
  <c r="F817"/>
  <c r="F816"/>
  <c r="F815"/>
  <c r="G817"/>
  <c r="G816"/>
  <c r="G815"/>
  <c r="H817"/>
  <c r="H816"/>
  <c r="H815"/>
  <c r="F820"/>
  <c r="F819"/>
  <c r="F818"/>
  <c r="G820"/>
  <c r="G819"/>
  <c r="G818"/>
  <c r="H820"/>
  <c r="H819"/>
  <c r="H818"/>
  <c r="F823"/>
  <c r="F822"/>
  <c r="F821"/>
  <c r="G823"/>
  <c r="G822"/>
  <c r="G821"/>
  <c r="H823"/>
  <c r="H822"/>
  <c r="H821"/>
  <c r="F826"/>
  <c r="F825"/>
  <c r="F824"/>
  <c r="G826"/>
  <c r="G825"/>
  <c r="G824"/>
  <c r="H826"/>
  <c r="H825"/>
  <c r="H824"/>
  <c r="F829"/>
  <c r="F828"/>
  <c r="F827"/>
  <c r="G829"/>
  <c r="G828"/>
  <c r="G827"/>
  <c r="H829"/>
  <c r="H828"/>
  <c r="H827"/>
  <c r="F832"/>
  <c r="F831"/>
  <c r="F830"/>
  <c r="G832"/>
  <c r="G831"/>
  <c r="G830"/>
  <c r="H832"/>
  <c r="H831"/>
  <c r="H830"/>
  <c r="F835"/>
  <c r="F834"/>
  <c r="F833"/>
  <c r="G835"/>
  <c r="G834"/>
  <c r="G833"/>
  <c r="H835"/>
  <c r="H834"/>
  <c r="H833"/>
  <c r="F838"/>
  <c r="F837"/>
  <c r="F836"/>
  <c r="G838"/>
  <c r="G837"/>
  <c r="G836"/>
  <c r="H838"/>
  <c r="H837"/>
  <c r="H836"/>
  <c r="F841"/>
  <c r="F840"/>
  <c r="F839"/>
  <c r="G841"/>
  <c r="G840"/>
  <c r="G839"/>
  <c r="H841"/>
  <c r="H840"/>
  <c r="H839"/>
  <c r="F844"/>
  <c r="F843"/>
  <c r="F842"/>
  <c r="G844"/>
  <c r="G843"/>
  <c r="G842"/>
  <c r="H844"/>
  <c r="H843"/>
  <c r="H842"/>
  <c r="F847"/>
  <c r="F846"/>
  <c r="F845"/>
  <c r="G847"/>
  <c r="G846"/>
  <c r="G845"/>
  <c r="H847"/>
  <c r="H846"/>
  <c r="H845"/>
  <c r="F850"/>
  <c r="F849"/>
  <c r="F848"/>
  <c r="G850"/>
  <c r="G849"/>
  <c r="G848"/>
  <c r="H850"/>
  <c r="H849"/>
  <c r="H848"/>
  <c r="F853"/>
  <c r="F852"/>
  <c r="F851"/>
  <c r="G853"/>
  <c r="G852"/>
  <c r="G851"/>
  <c r="H853"/>
  <c r="H852"/>
  <c r="H851"/>
  <c r="F856"/>
  <c r="F855"/>
  <c r="F854"/>
  <c r="G856"/>
  <c r="G855"/>
  <c r="G854"/>
  <c r="H856"/>
  <c r="H855"/>
  <c r="H854"/>
  <c r="F859"/>
  <c r="F858"/>
  <c r="F857"/>
  <c r="G859"/>
  <c r="G858"/>
  <c r="G857"/>
  <c r="H859"/>
  <c r="H858"/>
  <c r="H857"/>
  <c r="F862"/>
  <c r="F861"/>
  <c r="F860"/>
  <c r="G862"/>
  <c r="G861"/>
  <c r="G860"/>
  <c r="H862"/>
  <c r="H861"/>
  <c r="H860"/>
  <c r="F865"/>
  <c r="F864"/>
  <c r="F863"/>
  <c r="G865"/>
  <c r="G864"/>
  <c r="G863"/>
  <c r="H865"/>
  <c r="H864"/>
  <c r="H863"/>
  <c r="F868"/>
  <c r="F867"/>
  <c r="F866"/>
  <c r="G868"/>
  <c r="G867"/>
  <c r="G866"/>
  <c r="H868"/>
  <c r="H867"/>
  <c r="H866"/>
  <c r="F871"/>
  <c r="F870"/>
  <c r="F869"/>
  <c r="G871"/>
  <c r="G870"/>
  <c r="G869"/>
  <c r="H871"/>
  <c r="H870"/>
  <c r="H869"/>
  <c r="F874"/>
  <c r="F873"/>
  <c r="F872"/>
  <c r="G874"/>
  <c r="G873"/>
  <c r="G872"/>
  <c r="H874"/>
  <c r="H873"/>
  <c r="H872"/>
  <c r="F877"/>
  <c r="F876"/>
  <c r="F875"/>
  <c r="G877"/>
  <c r="G876"/>
  <c r="G875"/>
  <c r="H877"/>
  <c r="H876"/>
  <c r="H875"/>
  <c r="F880"/>
  <c r="F879"/>
  <c r="F878"/>
  <c r="G880"/>
  <c r="G879"/>
  <c r="G878"/>
  <c r="H880"/>
  <c r="H879"/>
  <c r="H878"/>
  <c r="F883"/>
  <c r="F882"/>
  <c r="F881"/>
  <c r="G883"/>
  <c r="G882"/>
  <c r="G881"/>
  <c r="H883"/>
  <c r="H882"/>
  <c r="H881"/>
  <c r="F888"/>
  <c r="F887"/>
  <c r="F886"/>
  <c r="G888"/>
  <c r="G887"/>
  <c r="G886"/>
  <c r="H888"/>
  <c r="H887"/>
  <c r="H886"/>
  <c r="F891"/>
  <c r="F890"/>
  <c r="F889"/>
  <c r="G891"/>
  <c r="G890"/>
  <c r="G889"/>
  <c r="H891"/>
  <c r="H890"/>
  <c r="H889"/>
  <c r="F894"/>
  <c r="F893"/>
  <c r="F892"/>
  <c r="G894"/>
  <c r="G893"/>
  <c r="G892"/>
  <c r="H894"/>
  <c r="H893"/>
  <c r="H892"/>
  <c r="F897"/>
  <c r="F896"/>
  <c r="F895"/>
  <c r="G897"/>
  <c r="G896"/>
  <c r="G895"/>
  <c r="H897"/>
  <c r="H896"/>
  <c r="H895"/>
  <c r="F902"/>
  <c r="F901"/>
  <c r="F900"/>
  <c r="G902"/>
  <c r="G901"/>
  <c r="G900"/>
  <c r="H902"/>
  <c r="H901"/>
  <c r="H900"/>
  <c r="F905"/>
  <c r="F904"/>
  <c r="G905"/>
  <c r="G904"/>
  <c r="H905"/>
  <c r="H904"/>
  <c r="F907"/>
  <c r="F906"/>
  <c r="G907"/>
  <c r="G906"/>
  <c r="H907"/>
  <c r="H906"/>
  <c r="F909"/>
  <c r="G909"/>
  <c r="H909"/>
  <c r="F910"/>
  <c r="G910"/>
  <c r="H910"/>
  <c r="F912"/>
  <c r="G912"/>
  <c r="H912"/>
  <c r="F913"/>
  <c r="G913"/>
  <c r="H913"/>
  <c r="F916"/>
  <c r="F915"/>
  <c r="F914"/>
  <c r="G916"/>
  <c r="G915"/>
  <c r="G914"/>
  <c r="H916"/>
  <c r="H915"/>
  <c r="H914"/>
  <c r="F921"/>
  <c r="F920"/>
  <c r="F919"/>
  <c r="G921"/>
  <c r="G920"/>
  <c r="G919"/>
  <c r="H921"/>
  <c r="F924"/>
  <c r="F923"/>
  <c r="F922"/>
  <c r="G924"/>
  <c r="G923"/>
  <c r="G922"/>
  <c r="H924"/>
  <c r="H923"/>
  <c r="H922"/>
  <c r="F930"/>
  <c r="F929"/>
  <c r="G930"/>
  <c r="G929"/>
  <c r="H930"/>
  <c r="H929"/>
  <c r="F932"/>
  <c r="F931"/>
  <c r="G932"/>
  <c r="G931"/>
  <c r="H932"/>
  <c r="H931"/>
  <c r="F935"/>
  <c r="F934"/>
  <c r="F933"/>
  <c r="G935"/>
  <c r="G934"/>
  <c r="G933"/>
  <c r="H935"/>
  <c r="H934"/>
  <c r="H933"/>
  <c r="G938"/>
  <c r="G937"/>
  <c r="G936"/>
  <c r="F938"/>
  <c r="F937"/>
  <c r="F936"/>
  <c r="H938"/>
  <c r="H937"/>
  <c r="H936"/>
  <c r="F941"/>
  <c r="F940"/>
  <c r="F939"/>
  <c r="G941"/>
  <c r="G940"/>
  <c r="G939"/>
  <c r="H941"/>
  <c r="H940"/>
  <c r="H939"/>
  <c r="F944"/>
  <c r="F943"/>
  <c r="F942"/>
  <c r="G944"/>
  <c r="G943"/>
  <c r="G942"/>
  <c r="H944"/>
  <c r="H943"/>
  <c r="H942"/>
  <c r="F949"/>
  <c r="F948"/>
  <c r="F947"/>
  <c r="G949"/>
  <c r="G948"/>
  <c r="G947"/>
  <c r="H949"/>
  <c r="H948"/>
  <c r="H947"/>
  <c r="F952"/>
  <c r="F951"/>
  <c r="F950"/>
  <c r="G952"/>
  <c r="G951"/>
  <c r="G950"/>
  <c r="H952"/>
  <c r="H951"/>
  <c r="H950"/>
  <c r="H955"/>
  <c r="H954"/>
  <c r="H953"/>
  <c r="F955"/>
  <c r="F954"/>
  <c r="F953"/>
  <c r="G955"/>
  <c r="G954"/>
  <c r="G953"/>
  <c r="I48" i="1"/>
  <c r="F960" i="2"/>
  <c r="F959"/>
  <c r="K48" i="1"/>
  <c r="H960" i="2"/>
  <c r="H959"/>
  <c r="F962"/>
  <c r="F961"/>
  <c r="G962"/>
  <c r="G961"/>
  <c r="H962"/>
  <c r="H961"/>
  <c r="F964"/>
  <c r="F963"/>
  <c r="G964"/>
  <c r="G963"/>
  <c r="H964"/>
  <c r="H963"/>
  <c r="H966"/>
  <c r="H965"/>
  <c r="F966"/>
  <c r="F965"/>
  <c r="G966"/>
  <c r="G965"/>
  <c r="F971"/>
  <c r="F970"/>
  <c r="G971"/>
  <c r="G970"/>
  <c r="H971"/>
  <c r="H970"/>
  <c r="F973"/>
  <c r="F972"/>
  <c r="G973"/>
  <c r="G972"/>
  <c r="H973"/>
  <c r="H972"/>
  <c r="K63" i="1"/>
  <c r="H975" i="2"/>
  <c r="H974"/>
  <c r="F977"/>
  <c r="G977"/>
  <c r="H977"/>
  <c r="G981"/>
  <c r="G980"/>
  <c r="G979"/>
  <c r="F981"/>
  <c r="F980"/>
  <c r="F979"/>
  <c r="H981"/>
  <c r="H980"/>
  <c r="H979"/>
  <c r="F987"/>
  <c r="F986"/>
  <c r="G987"/>
  <c r="G986"/>
  <c r="H987"/>
  <c r="H986"/>
  <c r="F989"/>
  <c r="F990"/>
  <c r="F988"/>
  <c r="G989"/>
  <c r="H989"/>
  <c r="G990"/>
  <c r="H990"/>
  <c r="F992"/>
  <c r="F991"/>
  <c r="G992"/>
  <c r="G991"/>
  <c r="H992"/>
  <c r="H991"/>
  <c r="G995"/>
  <c r="G994"/>
  <c r="F995"/>
  <c r="F994"/>
  <c r="H995"/>
  <c r="H994"/>
  <c r="F997"/>
  <c r="F996"/>
  <c r="G997"/>
  <c r="G996"/>
  <c r="H997"/>
  <c r="H996"/>
  <c r="F999"/>
  <c r="F998"/>
  <c r="G999"/>
  <c r="G998"/>
  <c r="H999"/>
  <c r="H998"/>
  <c r="F1001"/>
  <c r="G1001"/>
  <c r="H1001"/>
  <c r="F1002"/>
  <c r="G1002"/>
  <c r="H1002"/>
  <c r="F1005"/>
  <c r="F1004"/>
  <c r="F1003"/>
  <c r="G1005"/>
  <c r="G1004"/>
  <c r="G1003"/>
  <c r="H1005"/>
  <c r="H1004"/>
  <c r="H1003"/>
  <c r="F1008"/>
  <c r="F1007"/>
  <c r="G1008"/>
  <c r="G1007"/>
  <c r="H1008"/>
  <c r="H1007"/>
  <c r="F1010"/>
  <c r="F1009"/>
  <c r="G1010"/>
  <c r="G1009"/>
  <c r="H1010"/>
  <c r="H1009"/>
  <c r="F1012"/>
  <c r="F1011"/>
  <c r="G1012"/>
  <c r="G1011"/>
  <c r="H1012"/>
  <c r="H1011"/>
  <c r="F1014"/>
  <c r="G1014"/>
  <c r="H1014"/>
  <c r="F1015"/>
  <c r="G1015"/>
  <c r="H1015"/>
  <c r="F1018"/>
  <c r="F1017"/>
  <c r="G1018"/>
  <c r="G1017"/>
  <c r="H1018"/>
  <c r="H1017"/>
  <c r="F1020"/>
  <c r="F1021"/>
  <c r="F1019"/>
  <c r="G1020"/>
  <c r="G1021"/>
  <c r="G1019"/>
  <c r="H1020"/>
  <c r="H1021"/>
  <c r="H1019"/>
  <c r="F1023"/>
  <c r="F1022"/>
  <c r="G1023"/>
  <c r="G1022"/>
  <c r="H1023"/>
  <c r="H1022"/>
  <c r="F1028"/>
  <c r="F1027"/>
  <c r="F1026"/>
  <c r="F1025"/>
  <c r="G1028"/>
  <c r="G1027"/>
  <c r="G1026"/>
  <c r="G1025"/>
  <c r="H1028"/>
  <c r="H1027"/>
  <c r="H1026"/>
  <c r="H1025"/>
  <c r="F1033"/>
  <c r="F1032"/>
  <c r="F1031"/>
  <c r="G1033"/>
  <c r="G1032"/>
  <c r="G1031"/>
  <c r="H1033"/>
  <c r="H1032"/>
  <c r="H1031"/>
  <c r="F1036"/>
  <c r="F1035"/>
  <c r="F1034"/>
  <c r="F1030"/>
  <c r="G1036"/>
  <c r="G1035"/>
  <c r="G1034"/>
  <c r="H1036"/>
  <c r="H1035"/>
  <c r="H1034"/>
  <c r="F1041"/>
  <c r="F1040"/>
  <c r="F1039"/>
  <c r="F1038"/>
  <c r="G1041"/>
  <c r="G1040"/>
  <c r="G1039"/>
  <c r="G1038"/>
  <c r="H1041"/>
  <c r="H1040"/>
  <c r="H1039"/>
  <c r="H1038"/>
  <c r="G1047"/>
  <c r="G1046"/>
  <c r="F1047"/>
  <c r="F1046"/>
  <c r="H1047"/>
  <c r="H1046"/>
  <c r="F1049"/>
  <c r="F1048"/>
  <c r="G1049"/>
  <c r="G1048"/>
  <c r="H1049"/>
  <c r="H1048"/>
  <c r="H1052"/>
  <c r="H1051"/>
  <c r="H1050"/>
  <c r="F1052"/>
  <c r="F1051"/>
  <c r="F1050"/>
  <c r="G1052"/>
  <c r="G1051"/>
  <c r="G1050"/>
  <c r="F1055"/>
  <c r="F1054"/>
  <c r="F1053"/>
  <c r="G1055"/>
  <c r="G1054"/>
  <c r="G1053"/>
  <c r="H1055"/>
  <c r="H1054"/>
  <c r="H1053"/>
  <c r="F1060"/>
  <c r="F1059"/>
  <c r="F1058"/>
  <c r="G1060"/>
  <c r="G1059"/>
  <c r="G1058"/>
  <c r="H1060"/>
  <c r="H1059"/>
  <c r="H1058"/>
  <c r="F1063"/>
  <c r="F1062"/>
  <c r="F1061"/>
  <c r="G1063"/>
  <c r="G1062"/>
  <c r="G1061"/>
  <c r="H1063"/>
  <c r="H1062"/>
  <c r="H1061"/>
  <c r="F1066"/>
  <c r="F1065"/>
  <c r="F1064"/>
  <c r="G1066"/>
  <c r="G1065"/>
  <c r="G1064"/>
  <c r="H1066"/>
  <c r="H1065"/>
  <c r="H1064"/>
  <c r="F1069"/>
  <c r="F1068"/>
  <c r="F1067"/>
  <c r="G1069"/>
  <c r="G1068"/>
  <c r="G1067"/>
  <c r="H1069"/>
  <c r="H1068"/>
  <c r="H1067"/>
  <c r="F1072"/>
  <c r="F1071"/>
  <c r="F1070"/>
  <c r="G1072"/>
  <c r="G1071"/>
  <c r="G1070"/>
  <c r="H1072"/>
  <c r="H1071"/>
  <c r="H1070"/>
  <c r="F1077"/>
  <c r="F1076"/>
  <c r="F1075"/>
  <c r="F1074"/>
  <c r="G1077"/>
  <c r="G1076"/>
  <c r="G1075"/>
  <c r="G1074"/>
  <c r="H1077"/>
  <c r="H1076"/>
  <c r="H1075"/>
  <c r="H1074"/>
  <c r="F1083"/>
  <c r="F1082"/>
  <c r="G1083"/>
  <c r="G1082"/>
  <c r="H1083"/>
  <c r="H1082"/>
  <c r="F1085"/>
  <c r="F1084"/>
  <c r="G1085"/>
  <c r="G1084"/>
  <c r="H1085"/>
  <c r="H1084"/>
  <c r="F1087"/>
  <c r="F1086"/>
  <c r="G1087"/>
  <c r="G1086"/>
  <c r="H1087"/>
  <c r="H1086"/>
  <c r="F1089"/>
  <c r="G1089"/>
  <c r="H1089"/>
  <c r="F1090"/>
  <c r="G1090"/>
  <c r="H1090"/>
  <c r="F1093"/>
  <c r="F1092"/>
  <c r="F1091"/>
  <c r="G1093"/>
  <c r="G1092"/>
  <c r="G1091"/>
  <c r="H1093"/>
  <c r="H1092"/>
  <c r="H1091"/>
  <c r="F1098"/>
  <c r="F1097"/>
  <c r="G1098"/>
  <c r="G1097"/>
  <c r="H1098"/>
  <c r="H1097"/>
  <c r="F1100"/>
  <c r="F1099"/>
  <c r="G1100"/>
  <c r="G1099"/>
  <c r="H1100"/>
  <c r="H1099"/>
  <c r="F1102"/>
  <c r="F1101"/>
  <c r="G1102"/>
  <c r="G1101"/>
  <c r="H1102"/>
  <c r="F1104"/>
  <c r="F1103"/>
  <c r="G1104"/>
  <c r="G1103"/>
  <c r="H1104"/>
  <c r="H1103"/>
  <c r="F1106"/>
  <c r="F1105"/>
  <c r="G1106"/>
  <c r="G1105"/>
  <c r="H1106"/>
  <c r="H1105"/>
  <c r="G1109"/>
  <c r="G1108"/>
  <c r="G1107"/>
  <c r="F1109"/>
  <c r="F1108"/>
  <c r="F1107"/>
  <c r="H1109"/>
  <c r="H1108"/>
  <c r="H1107"/>
  <c r="F1112"/>
  <c r="F1111"/>
  <c r="G1112"/>
  <c r="G1111"/>
  <c r="H1112"/>
  <c r="H1111"/>
  <c r="F1114"/>
  <c r="F1113"/>
  <c r="G1114"/>
  <c r="G1113"/>
  <c r="H1114"/>
  <c r="H1113"/>
  <c r="F1116"/>
  <c r="F1115"/>
  <c r="G1116"/>
  <c r="G1115"/>
  <c r="H1116"/>
  <c r="H1115"/>
  <c r="F1121"/>
  <c r="F1120"/>
  <c r="G1121"/>
  <c r="G1120"/>
  <c r="H1121"/>
  <c r="H1120"/>
  <c r="F1123"/>
  <c r="F1122"/>
  <c r="G1123"/>
  <c r="G1122"/>
  <c r="H1123"/>
  <c r="H1122"/>
  <c r="F1125"/>
  <c r="G1125"/>
  <c r="H1125"/>
  <c r="F1126"/>
  <c r="G1126"/>
  <c r="H1126"/>
  <c r="F1131"/>
  <c r="F1130"/>
  <c r="F1129"/>
  <c r="G1131"/>
  <c r="G1130"/>
  <c r="G1129"/>
  <c r="H1131"/>
  <c r="H1130"/>
  <c r="H1129"/>
  <c r="F1134"/>
  <c r="F1133"/>
  <c r="F1132"/>
  <c r="G1134"/>
  <c r="G1133"/>
  <c r="G1132"/>
  <c r="H1134"/>
  <c r="H1133"/>
  <c r="H1132"/>
  <c r="F1140"/>
  <c r="F1139"/>
  <c r="F1138"/>
  <c r="G1140"/>
  <c r="G1139"/>
  <c r="G1138"/>
  <c r="H1140"/>
  <c r="H1139"/>
  <c r="H1138"/>
  <c r="F1143"/>
  <c r="F1142"/>
  <c r="F1141"/>
  <c r="G1143"/>
  <c r="G1142"/>
  <c r="G1141"/>
  <c r="H1143"/>
  <c r="H1142"/>
  <c r="H1141"/>
  <c r="F1146"/>
  <c r="F1145"/>
  <c r="F1144"/>
  <c r="G1146"/>
  <c r="G1145"/>
  <c r="G1144"/>
  <c r="H1146"/>
  <c r="H1145"/>
  <c r="H1144"/>
  <c r="F1151"/>
  <c r="F1150"/>
  <c r="F1149"/>
  <c r="G1151"/>
  <c r="G1150"/>
  <c r="G1149"/>
  <c r="H1151"/>
  <c r="H1150"/>
  <c r="H1149"/>
  <c r="G1154"/>
  <c r="G1153"/>
  <c r="F1156"/>
  <c r="F1155"/>
  <c r="G1156"/>
  <c r="G1155"/>
  <c r="H1156"/>
  <c r="H1155"/>
  <c r="F1158"/>
  <c r="F1157"/>
  <c r="G1158"/>
  <c r="G1157"/>
  <c r="H1158"/>
  <c r="H1157"/>
  <c r="F1163"/>
  <c r="F1162"/>
  <c r="F1161"/>
  <c r="G1163"/>
  <c r="G1162"/>
  <c r="G1161"/>
  <c r="H1163"/>
  <c r="H1162"/>
  <c r="H1161"/>
  <c r="F1166"/>
  <c r="F1165"/>
  <c r="F1164"/>
  <c r="G1166"/>
  <c r="G1165"/>
  <c r="G1164"/>
  <c r="H1166"/>
  <c r="H1165"/>
  <c r="H1164"/>
  <c r="F1169"/>
  <c r="F1168"/>
  <c r="F1167"/>
  <c r="G1169"/>
  <c r="G1168"/>
  <c r="G1167"/>
  <c r="H1169"/>
  <c r="H1168"/>
  <c r="H1167"/>
  <c r="H1172"/>
  <c r="H1171"/>
  <c r="H1170"/>
  <c r="F1172"/>
  <c r="F1171"/>
  <c r="F1170"/>
  <c r="G1172"/>
  <c r="G1171"/>
  <c r="G1170"/>
  <c r="F1175"/>
  <c r="F1174"/>
  <c r="F1173"/>
  <c r="G1175"/>
  <c r="G1174"/>
  <c r="G1173"/>
  <c r="H1175"/>
  <c r="H1174"/>
  <c r="H1173"/>
  <c r="F1178"/>
  <c r="F1177"/>
  <c r="F1176"/>
  <c r="G1178"/>
  <c r="G1177"/>
  <c r="G1176"/>
  <c r="H1178"/>
  <c r="H1177"/>
  <c r="H1176"/>
  <c r="F1184"/>
  <c r="F1183"/>
  <c r="F1182"/>
  <c r="G1184"/>
  <c r="G1183"/>
  <c r="G1182"/>
  <c r="H1184"/>
  <c r="H1183"/>
  <c r="H1182"/>
  <c r="F1187"/>
  <c r="F1186"/>
  <c r="F1185"/>
  <c r="G1187"/>
  <c r="G1186"/>
  <c r="G1185"/>
  <c r="H1187"/>
  <c r="H1186"/>
  <c r="H1185"/>
  <c r="F1190"/>
  <c r="F1189"/>
  <c r="F1188"/>
  <c r="G1190"/>
  <c r="G1189"/>
  <c r="G1188"/>
  <c r="H1190"/>
  <c r="F1193"/>
  <c r="F1192"/>
  <c r="F1191"/>
  <c r="G1193"/>
  <c r="G1192"/>
  <c r="G1191"/>
  <c r="H1193"/>
  <c r="H1192"/>
  <c r="H1191"/>
  <c r="F1196"/>
  <c r="F1195"/>
  <c r="F1194"/>
  <c r="G1196"/>
  <c r="G1195"/>
  <c r="G1194"/>
  <c r="H1196"/>
  <c r="H1195"/>
  <c r="H1194"/>
  <c r="F1199"/>
  <c r="F1198"/>
  <c r="F1197"/>
  <c r="G1199"/>
  <c r="G1198"/>
  <c r="G1197"/>
  <c r="H1199"/>
  <c r="H1198"/>
  <c r="H1197"/>
  <c r="F1202"/>
  <c r="F1201"/>
  <c r="G1202"/>
  <c r="G1201"/>
  <c r="H1202"/>
  <c r="H1201"/>
  <c r="F1204"/>
  <c r="G1204"/>
  <c r="H1204"/>
  <c r="F1205"/>
  <c r="G1205"/>
  <c r="H1205"/>
  <c r="F1206"/>
  <c r="G1206"/>
  <c r="H1206"/>
  <c r="F1208"/>
  <c r="F1207"/>
  <c r="G1208"/>
  <c r="G1207"/>
  <c r="H1208"/>
  <c r="F1211"/>
  <c r="F1210"/>
  <c r="F1209"/>
  <c r="G1211"/>
  <c r="G1210"/>
  <c r="G1209"/>
  <c r="H1211"/>
  <c r="H1210"/>
  <c r="H1209"/>
  <c r="F1214"/>
  <c r="F1213"/>
  <c r="F1212"/>
  <c r="G1214"/>
  <c r="G1213"/>
  <c r="G1212"/>
  <c r="H1214"/>
  <c r="H1213"/>
  <c r="H1212"/>
  <c r="F1217"/>
  <c r="F1216"/>
  <c r="F1215"/>
  <c r="G1217"/>
  <c r="G1216"/>
  <c r="G1215"/>
  <c r="H1217"/>
  <c r="H1216"/>
  <c r="H1215"/>
  <c r="F1220"/>
  <c r="F1219"/>
  <c r="F1218"/>
  <c r="G1220"/>
  <c r="G1219"/>
  <c r="G1218"/>
  <c r="H1220"/>
  <c r="H1219"/>
  <c r="H1218"/>
  <c r="F1223"/>
  <c r="F1222"/>
  <c r="F1221"/>
  <c r="G1223"/>
  <c r="G1222"/>
  <c r="G1221"/>
  <c r="H1223"/>
  <c r="H1222"/>
  <c r="H1221"/>
  <c r="F1226"/>
  <c r="F1225"/>
  <c r="F1224"/>
  <c r="G1226"/>
  <c r="G1225"/>
  <c r="G1224"/>
  <c r="H1226"/>
  <c r="H1225"/>
  <c r="H1224"/>
  <c r="G1231"/>
  <c r="G1230"/>
  <c r="G1229"/>
  <c r="F1231"/>
  <c r="F1230"/>
  <c r="F1229"/>
  <c r="H1231"/>
  <c r="H1230"/>
  <c r="H1229"/>
  <c r="F1234"/>
  <c r="F1233"/>
  <c r="G1234"/>
  <c r="G1233"/>
  <c r="H1234"/>
  <c r="H1233"/>
  <c r="F1236"/>
  <c r="F1235"/>
  <c r="G1236"/>
  <c r="G1235"/>
  <c r="H1236"/>
  <c r="H1235"/>
  <c r="F1239"/>
  <c r="F1238"/>
  <c r="F1237"/>
  <c r="G1239"/>
  <c r="G1238"/>
  <c r="G1237"/>
  <c r="H1239"/>
  <c r="H1238"/>
  <c r="H1237"/>
  <c r="F1244"/>
  <c r="F1243"/>
  <c r="F1242"/>
  <c r="G1244"/>
  <c r="G1243"/>
  <c r="G1242"/>
  <c r="H1244"/>
  <c r="H1243"/>
  <c r="H1242"/>
  <c r="F1247"/>
  <c r="F1246"/>
  <c r="F1245"/>
  <c r="G1247"/>
  <c r="G1246"/>
  <c r="G1245"/>
  <c r="H1247"/>
  <c r="H1246"/>
  <c r="H1245"/>
  <c r="H1250"/>
  <c r="H1249"/>
  <c r="H1248"/>
  <c r="F1250"/>
  <c r="F1249"/>
  <c r="F1248"/>
  <c r="G1250"/>
  <c r="G1249"/>
  <c r="G1248"/>
  <c r="F1253"/>
  <c r="F1252"/>
  <c r="F1251"/>
  <c r="G1253"/>
  <c r="G1252"/>
  <c r="G1251"/>
  <c r="H1253"/>
  <c r="H1252"/>
  <c r="H1251"/>
  <c r="F1258"/>
  <c r="F1257"/>
  <c r="G1258"/>
  <c r="G1257"/>
  <c r="H1258"/>
  <c r="H1257"/>
  <c r="F1260"/>
  <c r="F1259"/>
  <c r="G1260"/>
  <c r="G1259"/>
  <c r="H1260"/>
  <c r="H1259"/>
  <c r="F1262"/>
  <c r="F1261"/>
  <c r="G1262"/>
  <c r="G1261"/>
  <c r="H1262"/>
  <c r="H1261"/>
  <c r="F1268"/>
  <c r="F1267"/>
  <c r="G1268"/>
  <c r="G1267"/>
  <c r="H1268"/>
  <c r="H1267"/>
  <c r="F1270"/>
  <c r="F1269"/>
  <c r="G1270"/>
  <c r="G1269"/>
  <c r="H1270"/>
  <c r="H1269"/>
  <c r="F1272"/>
  <c r="F1271"/>
  <c r="G1272"/>
  <c r="G1271"/>
  <c r="H1272"/>
  <c r="H1271"/>
  <c r="F1275"/>
  <c r="F1274"/>
  <c r="F1273"/>
  <c r="G1275"/>
  <c r="G1274"/>
  <c r="G1273"/>
  <c r="H1275"/>
  <c r="H1274"/>
  <c r="H1273"/>
  <c r="F1280"/>
  <c r="F1279"/>
  <c r="F1278"/>
  <c r="G1280"/>
  <c r="G1279"/>
  <c r="G1278"/>
  <c r="H1280"/>
  <c r="H1279"/>
  <c r="H1278"/>
  <c r="F1283"/>
  <c r="F1282"/>
  <c r="F1281"/>
  <c r="G1283"/>
  <c r="G1282"/>
  <c r="G1281"/>
  <c r="H1283"/>
  <c r="H1282"/>
  <c r="H1281"/>
  <c r="F1286"/>
  <c r="F1285"/>
  <c r="G1286"/>
  <c r="G1285"/>
  <c r="H1286"/>
  <c r="H1285"/>
  <c r="F1288"/>
  <c r="F1289"/>
  <c r="F1287"/>
  <c r="G1288"/>
  <c r="H1288"/>
  <c r="G1289"/>
  <c r="H1289"/>
  <c r="F1291"/>
  <c r="F1290"/>
  <c r="G1291"/>
  <c r="G1290"/>
  <c r="H1291"/>
  <c r="H1290"/>
  <c r="F1296"/>
  <c r="F1295"/>
  <c r="G1296"/>
  <c r="G1295"/>
  <c r="H1296"/>
  <c r="H1295"/>
  <c r="F1298"/>
  <c r="F1297"/>
  <c r="G1298"/>
  <c r="G1297"/>
  <c r="H1298"/>
  <c r="H1297"/>
  <c r="F1300"/>
  <c r="F1299"/>
  <c r="G1300"/>
  <c r="G1299"/>
  <c r="H1300"/>
  <c r="H1299"/>
  <c r="F1303"/>
  <c r="F1302"/>
  <c r="F1301"/>
  <c r="G1303"/>
  <c r="G1302"/>
  <c r="G1301"/>
  <c r="H1303"/>
  <c r="H1302"/>
  <c r="H1301"/>
  <c r="F1308"/>
  <c r="F1307"/>
  <c r="G1308"/>
  <c r="G1307"/>
  <c r="H1308"/>
  <c r="H1307"/>
  <c r="F1310"/>
  <c r="F1309"/>
  <c r="G1310"/>
  <c r="G1309"/>
  <c r="H1310"/>
  <c r="H1309"/>
  <c r="F1312"/>
  <c r="F1311"/>
  <c r="G1312"/>
  <c r="G1311"/>
  <c r="H1312"/>
  <c r="H1311"/>
  <c r="F1315"/>
  <c r="F1314"/>
  <c r="G1315"/>
  <c r="G1314"/>
  <c r="H1315"/>
  <c r="H1314"/>
  <c r="F1317"/>
  <c r="F1316"/>
  <c r="G1317"/>
  <c r="G1316"/>
  <c r="H1317"/>
  <c r="H1316"/>
  <c r="F1319"/>
  <c r="F1318"/>
  <c r="G1319"/>
  <c r="G1318"/>
  <c r="H1319"/>
  <c r="H1318"/>
  <c r="F1324"/>
  <c r="F1323"/>
  <c r="G1324"/>
  <c r="G1323"/>
  <c r="H1324"/>
  <c r="H1323"/>
  <c r="F1326"/>
  <c r="F1325"/>
  <c r="G1326"/>
  <c r="G1325"/>
  <c r="H1326"/>
  <c r="H1325"/>
  <c r="F1328"/>
  <c r="G1328"/>
  <c r="H1328"/>
  <c r="F1329"/>
  <c r="G1329"/>
  <c r="H1329"/>
  <c r="F1334"/>
  <c r="F1333"/>
  <c r="F1332"/>
  <c r="G1334"/>
  <c r="G1333"/>
  <c r="G1332"/>
  <c r="H1334"/>
  <c r="H1333"/>
  <c r="H1332"/>
  <c r="F1343"/>
  <c r="F1342"/>
  <c r="G1343"/>
  <c r="G1342"/>
  <c r="H1343"/>
  <c r="H1342"/>
  <c r="F1345"/>
  <c r="F1344"/>
  <c r="G1345"/>
  <c r="G1344"/>
  <c r="H1345"/>
  <c r="H1344"/>
  <c r="F1348"/>
  <c r="F1347"/>
  <c r="F1346"/>
  <c r="G1348"/>
  <c r="G1347"/>
  <c r="G1346"/>
  <c r="H1348"/>
  <c r="H1347"/>
  <c r="H1346"/>
  <c r="H1351"/>
  <c r="H1350"/>
  <c r="H1349"/>
  <c r="F1351"/>
  <c r="F1350"/>
  <c r="F1349"/>
  <c r="G1351"/>
  <c r="G1350"/>
  <c r="G1349"/>
  <c r="F1356"/>
  <c r="F1355"/>
  <c r="F1354"/>
  <c r="G1356"/>
  <c r="G1355"/>
  <c r="G1354"/>
  <c r="H1356"/>
  <c r="H1355"/>
  <c r="H1354"/>
  <c r="F1359"/>
  <c r="F1358"/>
  <c r="F1357"/>
  <c r="G1359"/>
  <c r="G1358"/>
  <c r="G1357"/>
  <c r="H1359"/>
  <c r="H1358"/>
  <c r="H1357"/>
  <c r="F1364"/>
  <c r="F1363"/>
  <c r="F1362"/>
  <c r="G1364"/>
  <c r="G1363"/>
  <c r="G1362"/>
  <c r="H1364"/>
  <c r="H1363"/>
  <c r="H1362"/>
  <c r="H1367"/>
  <c r="H1366"/>
  <c r="H1365"/>
  <c r="G1367"/>
  <c r="G1366"/>
  <c r="G1365"/>
  <c r="F1367"/>
  <c r="F1366"/>
  <c r="F1365"/>
  <c r="G1370"/>
  <c r="G1369"/>
  <c r="G1368"/>
  <c r="H1370"/>
  <c r="H1369"/>
  <c r="H1368"/>
  <c r="G1373"/>
  <c r="G1372"/>
  <c r="G1371"/>
  <c r="F1373"/>
  <c r="F1372"/>
  <c r="F1371"/>
  <c r="H1373"/>
  <c r="H1372"/>
  <c r="H1371"/>
  <c r="G1378"/>
  <c r="G1377"/>
  <c r="F1380"/>
  <c r="F1379"/>
  <c r="G1380"/>
  <c r="G1379"/>
  <c r="H1380"/>
  <c r="H1379"/>
  <c r="F1382"/>
  <c r="G1382"/>
  <c r="H1382"/>
  <c r="F1388"/>
  <c r="F1387"/>
  <c r="G1388"/>
  <c r="G1387"/>
  <c r="H1388"/>
  <c r="H1387"/>
  <c r="F1390"/>
  <c r="F1389"/>
  <c r="G1390"/>
  <c r="G1389"/>
  <c r="H1390"/>
  <c r="H1389"/>
  <c r="F1392"/>
  <c r="G1392"/>
  <c r="H1392"/>
  <c r="F1398"/>
  <c r="F1397"/>
  <c r="G1398"/>
  <c r="G1397"/>
  <c r="H1398"/>
  <c r="H1397"/>
  <c r="F1404"/>
  <c r="F1403"/>
  <c r="F1402"/>
  <c r="G1404"/>
  <c r="G1403"/>
  <c r="G1402"/>
  <c r="H1404"/>
  <c r="H1403"/>
  <c r="H1402"/>
  <c r="F1407"/>
  <c r="F1406"/>
  <c r="F1405"/>
  <c r="G1407"/>
  <c r="G1406"/>
  <c r="G1405"/>
  <c r="H1407"/>
  <c r="H1406"/>
  <c r="H1405"/>
  <c r="F1410"/>
  <c r="F1409"/>
  <c r="F1408"/>
  <c r="G1410"/>
  <c r="G1409"/>
  <c r="G1408"/>
  <c r="H1410"/>
  <c r="H1409"/>
  <c r="H1408"/>
  <c r="F1413"/>
  <c r="F1412"/>
  <c r="F1411"/>
  <c r="G1413"/>
  <c r="G1412"/>
  <c r="G1411"/>
  <c r="H1413"/>
  <c r="H1412"/>
  <c r="H1411"/>
  <c r="H1417"/>
  <c r="H1416"/>
  <c r="F1417"/>
  <c r="F1416"/>
  <c r="G1417"/>
  <c r="G1416"/>
  <c r="G1421"/>
  <c r="G1420"/>
  <c r="F1423"/>
  <c r="F1422"/>
  <c r="G1423"/>
  <c r="G1422"/>
  <c r="H1423"/>
  <c r="H1422"/>
  <c r="F1425"/>
  <c r="F1424"/>
  <c r="G1425"/>
  <c r="G1424"/>
  <c r="H1425"/>
  <c r="H1424"/>
  <c r="F1427"/>
  <c r="G1427"/>
  <c r="H1427"/>
  <c r="H1428"/>
  <c r="F1431"/>
  <c r="F1430"/>
  <c r="F1429"/>
  <c r="G1431"/>
  <c r="G1430"/>
  <c r="G1429"/>
  <c r="H1431"/>
  <c r="H1430"/>
  <c r="H1429"/>
  <c r="F1434"/>
  <c r="F1433"/>
  <c r="G1434"/>
  <c r="G1433"/>
  <c r="F1436"/>
  <c r="F1435"/>
  <c r="G1436"/>
  <c r="G1435"/>
  <c r="H1436"/>
  <c r="H1435"/>
  <c r="H1438"/>
  <c r="H1437"/>
  <c r="F1438"/>
  <c r="F1437"/>
  <c r="G1438"/>
  <c r="G1437"/>
  <c r="F1440"/>
  <c r="F1439"/>
  <c r="G1440"/>
  <c r="G1439"/>
  <c r="F1443"/>
  <c r="F1442"/>
  <c r="F1441"/>
  <c r="G1443"/>
  <c r="G1442"/>
  <c r="G1441"/>
  <c r="H1443"/>
  <c r="H1442"/>
  <c r="H1441"/>
  <c r="F1446"/>
  <c r="F1445"/>
  <c r="F1444"/>
  <c r="G1446"/>
  <c r="G1445"/>
  <c r="G1444"/>
  <c r="H1446"/>
  <c r="H1445"/>
  <c r="H1444"/>
  <c r="F1449"/>
  <c r="F1448"/>
  <c r="F1447"/>
  <c r="G1449"/>
  <c r="G1448"/>
  <c r="G1447"/>
  <c r="H1449"/>
  <c r="H1448"/>
  <c r="H1447"/>
  <c r="F1452"/>
  <c r="F1451"/>
  <c r="F1450"/>
  <c r="G1452"/>
  <c r="G1451"/>
  <c r="G1450"/>
  <c r="H1452"/>
  <c r="H1451"/>
  <c r="H1450"/>
  <c r="F1455"/>
  <c r="F1454"/>
  <c r="F1453"/>
  <c r="G1455"/>
  <c r="G1454"/>
  <c r="G1453"/>
  <c r="H1455"/>
  <c r="H1454"/>
  <c r="H1453"/>
  <c r="F1458"/>
  <c r="F1457"/>
  <c r="F1456"/>
  <c r="G1458"/>
  <c r="G1457"/>
  <c r="G1456"/>
  <c r="H1458"/>
  <c r="H1457"/>
  <c r="H1456"/>
  <c r="F1461"/>
  <c r="F1460"/>
  <c r="F1459"/>
  <c r="G1461"/>
  <c r="G1460"/>
  <c r="G1459"/>
  <c r="H1461"/>
  <c r="H1460"/>
  <c r="H1459"/>
  <c r="F1467"/>
  <c r="F1466"/>
  <c r="G1467"/>
  <c r="G1466"/>
  <c r="H1467"/>
  <c r="H1466"/>
  <c r="F1469"/>
  <c r="F1468"/>
  <c r="G1469"/>
  <c r="G1468"/>
  <c r="H1469"/>
  <c r="H1468"/>
  <c r="F1472"/>
  <c r="F1471"/>
  <c r="F1470"/>
  <c r="G1472"/>
  <c r="G1471"/>
  <c r="G1470"/>
  <c r="H1472"/>
  <c r="H1471"/>
  <c r="H1470"/>
  <c r="F1475"/>
  <c r="F1474"/>
  <c r="F1473"/>
  <c r="G1475"/>
  <c r="G1474"/>
  <c r="G1473"/>
  <c r="H1475"/>
  <c r="H1474"/>
  <c r="H1473"/>
  <c r="F1480"/>
  <c r="F1479"/>
  <c r="F1478"/>
  <c r="F1477"/>
  <c r="G1480"/>
  <c r="G1479"/>
  <c r="G1478"/>
  <c r="G1477"/>
  <c r="H1480"/>
  <c r="H1479"/>
  <c r="H1478"/>
  <c r="H1477"/>
  <c r="F1485"/>
  <c r="F1484"/>
  <c r="G1485"/>
  <c r="G1484"/>
  <c r="H1485"/>
  <c r="H1484"/>
  <c r="F1487"/>
  <c r="F1486"/>
  <c r="G1487"/>
  <c r="G1486"/>
  <c r="H1487"/>
  <c r="H1486"/>
  <c r="F1489"/>
  <c r="F1488"/>
  <c r="G1489"/>
  <c r="G1488"/>
  <c r="H1489"/>
  <c r="H1488"/>
  <c r="F1492"/>
  <c r="F1491"/>
  <c r="F1490"/>
  <c r="G1492"/>
  <c r="G1491"/>
  <c r="G1490"/>
  <c r="H1492"/>
  <c r="H1491"/>
  <c r="H1490"/>
  <c r="F1497"/>
  <c r="F1496"/>
  <c r="F1495"/>
  <c r="G1497"/>
  <c r="G1496"/>
  <c r="G1495"/>
  <c r="H1497"/>
  <c r="H1496"/>
  <c r="H1495"/>
  <c r="F1500"/>
  <c r="F1499"/>
  <c r="F1498"/>
  <c r="G1500"/>
  <c r="G1499"/>
  <c r="G1498"/>
  <c r="H1500"/>
  <c r="H1499"/>
  <c r="H1498"/>
  <c r="F1506"/>
  <c r="F1505"/>
  <c r="F1504"/>
  <c r="G1506"/>
  <c r="G1505"/>
  <c r="G1504"/>
  <c r="H1506"/>
  <c r="H1505"/>
  <c r="H1504"/>
  <c r="H1509"/>
  <c r="H1508"/>
  <c r="H1507"/>
  <c r="F1509"/>
  <c r="F1508"/>
  <c r="F1507"/>
  <c r="G1509"/>
  <c r="G1508"/>
  <c r="G1507"/>
  <c r="F1512"/>
  <c r="F1511"/>
  <c r="F1510"/>
  <c r="G1512"/>
  <c r="G1511"/>
  <c r="G1510"/>
  <c r="H1512"/>
  <c r="H1511"/>
  <c r="H1510"/>
  <c r="F1515"/>
  <c r="F1514"/>
  <c r="F1513"/>
  <c r="G1515"/>
  <c r="G1514"/>
  <c r="G1513"/>
  <c r="H1515"/>
  <c r="H1514"/>
  <c r="H1513"/>
  <c r="F1520"/>
  <c r="F1519"/>
  <c r="F1518"/>
  <c r="G1520"/>
  <c r="G1519"/>
  <c r="G1518"/>
  <c r="H1520"/>
  <c r="H1519"/>
  <c r="H1518"/>
  <c r="F1523"/>
  <c r="F1522"/>
  <c r="F1521"/>
  <c r="G1523"/>
  <c r="G1522"/>
  <c r="G1521"/>
  <c r="G1517"/>
  <c r="H1523"/>
  <c r="H1522"/>
  <c r="H1521"/>
  <c r="F1528"/>
  <c r="F1527"/>
  <c r="F1526"/>
  <c r="G1528"/>
  <c r="G1527"/>
  <c r="G1526"/>
  <c r="H1528"/>
  <c r="H1527"/>
  <c r="H1526"/>
  <c r="F1531"/>
  <c r="F1530"/>
  <c r="F1529"/>
  <c r="G1531"/>
  <c r="G1530"/>
  <c r="G1529"/>
  <c r="H1531"/>
  <c r="H1530"/>
  <c r="H1529"/>
  <c r="G1536"/>
  <c r="G1535"/>
  <c r="G1534"/>
  <c r="H1536"/>
  <c r="H1535"/>
  <c r="H1534"/>
  <c r="F1536"/>
  <c r="F1535"/>
  <c r="F1534"/>
  <c r="F1539"/>
  <c r="F1538"/>
  <c r="F1537"/>
  <c r="G1539"/>
  <c r="G1538"/>
  <c r="G1537"/>
  <c r="H1539"/>
  <c r="H1538"/>
  <c r="H1537"/>
  <c r="F1544"/>
  <c r="F1543"/>
  <c r="G1544"/>
  <c r="G1543"/>
  <c r="H1544"/>
  <c r="H1543"/>
  <c r="F1546"/>
  <c r="F1545"/>
  <c r="G1546"/>
  <c r="G1545"/>
  <c r="H1546"/>
  <c r="H1545"/>
  <c r="F1548"/>
  <c r="F1547"/>
  <c r="G1548"/>
  <c r="G1547"/>
  <c r="H1548"/>
  <c r="H1547"/>
  <c r="F1550"/>
  <c r="F1549"/>
  <c r="G1550"/>
  <c r="G1549"/>
  <c r="H1550"/>
  <c r="H1549"/>
  <c r="F1553"/>
  <c r="F1552"/>
  <c r="F1551"/>
  <c r="G1553"/>
  <c r="G1552"/>
  <c r="G1551"/>
  <c r="H1553"/>
  <c r="H1552"/>
  <c r="H1551"/>
  <c r="F1556"/>
  <c r="F1555"/>
  <c r="G1556"/>
  <c r="G1555"/>
  <c r="H1556"/>
  <c r="H1555"/>
  <c r="F1558"/>
  <c r="F1557"/>
  <c r="G1558"/>
  <c r="G1557"/>
  <c r="H1558"/>
  <c r="H1557"/>
  <c r="F1560"/>
  <c r="F1559"/>
  <c r="G1560"/>
  <c r="G1559"/>
  <c r="H1560"/>
  <c r="H1559"/>
  <c r="F1562"/>
  <c r="G1562"/>
  <c r="H1562"/>
  <c r="F1563"/>
  <c r="G1563"/>
  <c r="H1563"/>
  <c r="F1566"/>
  <c r="F1565"/>
  <c r="F1564"/>
  <c r="G1566"/>
  <c r="G1565"/>
  <c r="G1564"/>
  <c r="H1566"/>
  <c r="H1565"/>
  <c r="H1564"/>
  <c r="F1569"/>
  <c r="F1568"/>
  <c r="F1567"/>
  <c r="G1569"/>
  <c r="G1568"/>
  <c r="G1567"/>
  <c r="H1569"/>
  <c r="H1568"/>
  <c r="H1567"/>
  <c r="F1572"/>
  <c r="F1571"/>
  <c r="F1570"/>
  <c r="G1572"/>
  <c r="G1571"/>
  <c r="G1570"/>
  <c r="H1572"/>
  <c r="H1571"/>
  <c r="H1570"/>
  <c r="F1577"/>
  <c r="F1576"/>
  <c r="G1577"/>
  <c r="G1576"/>
  <c r="H1577"/>
  <c r="H1576"/>
  <c r="F1579"/>
  <c r="F1578"/>
  <c r="G1579"/>
  <c r="G1578"/>
  <c r="H1579"/>
  <c r="H1578"/>
  <c r="F1584"/>
  <c r="F1583"/>
  <c r="F1582"/>
  <c r="G1584"/>
  <c r="G1583"/>
  <c r="G1582"/>
  <c r="H1584"/>
  <c r="H1583"/>
  <c r="H1582"/>
  <c r="F1587"/>
  <c r="F1586"/>
  <c r="G1587"/>
  <c r="G1586"/>
  <c r="H1587"/>
  <c r="H1586"/>
  <c r="F1589"/>
  <c r="F1588"/>
  <c r="G1589"/>
  <c r="G1588"/>
  <c r="H1589"/>
  <c r="H1588"/>
  <c r="H1592"/>
  <c r="H1591"/>
  <c r="F1592"/>
  <c r="F1591"/>
  <c r="G1592"/>
  <c r="G1591"/>
  <c r="F1594"/>
  <c r="F1593"/>
  <c r="G1594"/>
  <c r="G1593"/>
  <c r="H1594"/>
  <c r="H1593"/>
  <c r="F1596"/>
  <c r="F1595"/>
  <c r="G1596"/>
  <c r="G1595"/>
  <c r="H1596"/>
  <c r="H1595"/>
  <c r="F1599"/>
  <c r="F1598"/>
  <c r="F1597"/>
  <c r="G1599"/>
  <c r="G1598"/>
  <c r="G1597"/>
  <c r="H1599"/>
  <c r="H1598"/>
  <c r="H1597"/>
  <c r="F1602"/>
  <c r="F1601"/>
  <c r="F1600"/>
  <c r="G1602"/>
  <c r="G1601"/>
  <c r="G1600"/>
  <c r="H1602"/>
  <c r="H1601"/>
  <c r="H1600"/>
  <c r="F1605"/>
  <c r="F1604"/>
  <c r="G1605"/>
  <c r="G1604"/>
  <c r="H1605"/>
  <c r="H1604"/>
  <c r="F1607"/>
  <c r="F1606"/>
  <c r="G1607"/>
  <c r="G1606"/>
  <c r="H1607"/>
  <c r="H1606"/>
  <c r="F1610"/>
  <c r="F1609"/>
  <c r="F1608"/>
  <c r="G1610"/>
  <c r="G1609"/>
  <c r="G1608"/>
  <c r="H1610"/>
  <c r="H1609"/>
  <c r="H1608"/>
  <c r="F1613"/>
  <c r="F1612"/>
  <c r="F1611"/>
  <c r="G1613"/>
  <c r="G1612"/>
  <c r="G1611"/>
  <c r="H1613"/>
  <c r="H1612"/>
  <c r="H1611"/>
  <c r="F1618"/>
  <c r="F1617"/>
  <c r="G1618"/>
  <c r="G1617"/>
  <c r="H1618"/>
  <c r="H1617"/>
  <c r="F1620"/>
  <c r="F1619"/>
  <c r="G1620"/>
  <c r="G1619"/>
  <c r="H1620"/>
  <c r="H1619"/>
  <c r="F1622"/>
  <c r="G1622"/>
  <c r="H1622"/>
  <c r="F1623"/>
  <c r="G1623"/>
  <c r="H1623"/>
  <c r="H1625"/>
  <c r="H1624"/>
  <c r="F1625"/>
  <c r="F1624"/>
  <c r="G1625"/>
  <c r="G1624"/>
  <c r="F1632"/>
  <c r="F1631"/>
  <c r="F1630"/>
  <c r="G1632"/>
  <c r="G1631"/>
  <c r="G1630"/>
  <c r="H1632"/>
  <c r="H1631"/>
  <c r="H1630"/>
  <c r="F1635"/>
  <c r="F1634"/>
  <c r="F1633"/>
  <c r="G1635"/>
  <c r="G1634"/>
  <c r="G1633"/>
  <c r="H1635"/>
  <c r="H1634"/>
  <c r="H1633"/>
  <c r="F1638"/>
  <c r="F1637"/>
  <c r="G1638"/>
  <c r="G1637"/>
  <c r="H1638"/>
  <c r="H1637"/>
  <c r="F1640"/>
  <c r="F1639"/>
  <c r="G1640"/>
  <c r="G1639"/>
  <c r="H1640"/>
  <c r="H1639"/>
  <c r="F1642"/>
  <c r="F1641"/>
  <c r="G1642"/>
  <c r="G1641"/>
  <c r="H1642"/>
  <c r="H1641"/>
  <c r="F1644"/>
  <c r="F1643"/>
  <c r="G1644"/>
  <c r="G1643"/>
  <c r="H1644"/>
  <c r="H1643"/>
  <c r="F1647"/>
  <c r="F1646"/>
  <c r="G1647"/>
  <c r="G1646"/>
  <c r="H1647"/>
  <c r="H1646"/>
  <c r="F1649"/>
  <c r="G1649"/>
  <c r="H1649"/>
  <c r="H1651"/>
  <c r="H1648"/>
  <c r="F1651"/>
  <c r="G1651"/>
  <c r="F1654"/>
  <c r="F1653"/>
  <c r="F1652"/>
  <c r="G1654"/>
  <c r="G1653"/>
  <c r="G1652"/>
  <c r="H1654"/>
  <c r="H1653"/>
  <c r="H1652"/>
  <c r="F1657"/>
  <c r="F1656"/>
  <c r="F1655"/>
  <c r="G1657"/>
  <c r="G1656"/>
  <c r="G1655"/>
  <c r="H1657"/>
  <c r="H1656"/>
  <c r="H1655"/>
  <c r="F1660"/>
  <c r="F1659"/>
  <c r="F1658"/>
  <c r="G1660"/>
  <c r="G1659"/>
  <c r="G1658"/>
  <c r="H1660"/>
  <c r="H1659"/>
  <c r="H1658"/>
  <c r="F1663"/>
  <c r="F1662"/>
  <c r="F1661"/>
  <c r="G1663"/>
  <c r="G1662"/>
  <c r="G1661"/>
  <c r="H1663"/>
  <c r="H1662"/>
  <c r="H1661"/>
  <c r="F1668"/>
  <c r="F1667"/>
  <c r="F1666"/>
  <c r="F1665"/>
  <c r="G1668"/>
  <c r="G1667"/>
  <c r="G1666"/>
  <c r="G1665"/>
  <c r="H1668"/>
  <c r="H1667"/>
  <c r="H1666"/>
  <c r="H1665"/>
  <c r="F1669"/>
  <c r="G1669"/>
  <c r="H1669"/>
  <c r="F1670"/>
  <c r="G1670"/>
  <c r="H1670"/>
  <c r="F1671"/>
  <c r="G1671"/>
  <c r="H1671"/>
  <c r="F1672"/>
  <c r="G1672"/>
  <c r="H1672"/>
  <c r="F1677"/>
  <c r="F1676"/>
  <c r="F1675"/>
  <c r="G1677"/>
  <c r="G1676"/>
  <c r="G1675"/>
  <c r="H1677"/>
  <c r="H1676"/>
  <c r="H1675"/>
  <c r="F1680"/>
  <c r="G1680"/>
  <c r="H1680"/>
  <c r="F1681"/>
  <c r="G1681"/>
  <c r="H1681"/>
  <c r="F1684"/>
  <c r="F1683"/>
  <c r="F1682"/>
  <c r="G1684"/>
  <c r="G1683"/>
  <c r="G1682"/>
  <c r="H1684"/>
  <c r="H1683"/>
  <c r="H1682"/>
  <c r="F1687"/>
  <c r="F1686"/>
  <c r="F1685"/>
  <c r="G1687"/>
  <c r="G1686"/>
  <c r="G1685"/>
  <c r="H1687"/>
  <c r="H1686"/>
  <c r="H1685"/>
  <c r="F1690"/>
  <c r="F1689"/>
  <c r="F1688"/>
  <c r="G1690"/>
  <c r="G1689"/>
  <c r="G1688"/>
  <c r="H1690"/>
  <c r="H1689"/>
  <c r="H1688"/>
  <c r="F1695"/>
  <c r="F1694"/>
  <c r="G1695"/>
  <c r="G1694"/>
  <c r="H1695"/>
  <c r="H1694"/>
  <c r="F1697"/>
  <c r="F1696"/>
  <c r="G1697"/>
  <c r="G1696"/>
  <c r="H1697"/>
  <c r="H1696"/>
  <c r="F1699"/>
  <c r="F1698"/>
  <c r="G1699"/>
  <c r="G1698"/>
  <c r="H1699"/>
  <c r="H1698"/>
  <c r="F1705"/>
  <c r="F1704"/>
  <c r="H1705"/>
  <c r="H1704"/>
  <c r="G1705"/>
  <c r="G1704"/>
  <c r="F1707"/>
  <c r="F1706"/>
  <c r="G1707"/>
  <c r="G1706"/>
  <c r="H1707"/>
  <c r="H1706"/>
  <c r="F1712"/>
  <c r="F1711"/>
  <c r="F1710"/>
  <c r="G1712"/>
  <c r="G1711"/>
  <c r="G1710"/>
  <c r="H1712"/>
  <c r="H1711"/>
  <c r="H1710"/>
  <c r="F1715"/>
  <c r="F1714"/>
  <c r="G1715"/>
  <c r="G1714"/>
  <c r="H1715"/>
  <c r="H1714"/>
  <c r="G1717"/>
  <c r="G1716"/>
  <c r="F1717"/>
  <c r="F1716"/>
  <c r="H1717"/>
  <c r="H1716"/>
  <c r="F1722"/>
  <c r="F1721"/>
  <c r="F1720"/>
  <c r="G1722"/>
  <c r="G1721"/>
  <c r="G1720"/>
  <c r="H1722"/>
  <c r="H1721"/>
  <c r="H1720"/>
  <c r="F1725"/>
  <c r="F1724"/>
  <c r="F1723"/>
  <c r="F1719"/>
  <c r="G1725"/>
  <c r="G1724"/>
  <c r="G1723"/>
  <c r="H1725"/>
  <c r="H1724"/>
  <c r="H1723"/>
  <c r="F1730"/>
  <c r="F1729"/>
  <c r="G1730"/>
  <c r="G1729"/>
  <c r="H1730"/>
  <c r="H1729"/>
  <c r="F1732"/>
  <c r="F1731"/>
  <c r="G1732"/>
  <c r="G1731"/>
  <c r="H1732"/>
  <c r="H1731"/>
  <c r="F1734"/>
  <c r="F1733"/>
  <c r="G1734"/>
  <c r="G1733"/>
  <c r="H1734"/>
  <c r="H1733"/>
  <c r="F1737"/>
  <c r="F1736"/>
  <c r="F1735"/>
  <c r="G1737"/>
  <c r="G1736"/>
  <c r="G1735"/>
  <c r="H1737"/>
  <c r="H1736"/>
  <c r="H1735"/>
  <c r="F1740"/>
  <c r="F1739"/>
  <c r="F1738"/>
  <c r="G1740"/>
  <c r="G1739"/>
  <c r="G1738"/>
  <c r="H1740"/>
  <c r="H1739"/>
  <c r="H1738"/>
  <c r="F1745"/>
  <c r="F1744"/>
  <c r="G1745"/>
  <c r="G1744"/>
  <c r="H1745"/>
  <c r="H1744"/>
  <c r="F1747"/>
  <c r="F1746"/>
  <c r="G1747"/>
  <c r="G1746"/>
  <c r="H1747"/>
  <c r="H1746"/>
  <c r="F1749"/>
  <c r="F1748"/>
  <c r="G1749"/>
  <c r="G1748"/>
  <c r="H1749"/>
  <c r="H1748"/>
  <c r="F1754"/>
  <c r="F1753"/>
  <c r="G1754"/>
  <c r="G1753"/>
  <c r="H1754"/>
  <c r="H1753"/>
  <c r="F1756"/>
  <c r="F1755"/>
  <c r="G1756"/>
  <c r="G1755"/>
  <c r="H1756"/>
  <c r="H1755"/>
  <c r="F1759"/>
  <c r="F1758"/>
  <c r="F1757"/>
  <c r="G1759"/>
  <c r="G1758"/>
  <c r="G1757"/>
  <c r="H1759"/>
  <c r="H1758"/>
  <c r="H1757"/>
  <c r="F1762"/>
  <c r="F1761"/>
  <c r="G1762"/>
  <c r="G1761"/>
  <c r="H1762"/>
  <c r="H1761"/>
  <c r="H1764"/>
  <c r="H1763"/>
  <c r="F1764"/>
  <c r="F1763"/>
  <c r="G1764"/>
  <c r="G1763"/>
  <c r="F1766"/>
  <c r="F1765"/>
  <c r="G1766"/>
  <c r="G1765"/>
  <c r="H1766"/>
  <c r="H1765"/>
  <c r="F1768"/>
  <c r="G1768"/>
  <c r="H1768"/>
  <c r="F1769"/>
  <c r="G1769"/>
  <c r="H1769"/>
  <c r="F1772"/>
  <c r="F1771"/>
  <c r="F1770"/>
  <c r="G1772"/>
  <c r="G1771"/>
  <c r="G1770"/>
  <c r="H1772"/>
  <c r="H1771"/>
  <c r="H1770"/>
  <c r="F1777"/>
  <c r="F1776"/>
  <c r="F1775"/>
  <c r="G1777"/>
  <c r="G1776"/>
  <c r="G1775"/>
  <c r="H1777"/>
  <c r="H1776"/>
  <c r="H1775"/>
  <c r="F1780"/>
  <c r="F1779"/>
  <c r="F1778"/>
  <c r="G1780"/>
  <c r="G1779"/>
  <c r="G1778"/>
  <c r="H1780"/>
  <c r="H1779"/>
  <c r="H1778"/>
  <c r="G1783"/>
  <c r="G1782"/>
  <c r="G1781"/>
  <c r="F1783"/>
  <c r="F1782"/>
  <c r="F1781"/>
  <c r="H1783"/>
  <c r="H1782"/>
  <c r="H1781"/>
  <c r="F1786"/>
  <c r="F1785"/>
  <c r="F1784"/>
  <c r="G1786"/>
  <c r="G1785"/>
  <c r="G1784"/>
  <c r="H1786"/>
  <c r="H1785"/>
  <c r="H1784"/>
  <c r="H1789"/>
  <c r="H1788"/>
  <c r="H1787"/>
  <c r="F1789"/>
  <c r="F1788"/>
  <c r="F1787"/>
  <c r="G1789"/>
  <c r="G1788"/>
  <c r="G1787"/>
  <c r="F1797"/>
  <c r="F1796"/>
  <c r="G1797"/>
  <c r="G1796"/>
  <c r="H1797"/>
  <c r="H1796"/>
  <c r="F1799"/>
  <c r="F1798"/>
  <c r="G1799"/>
  <c r="G1798"/>
  <c r="H1799"/>
  <c r="H1798"/>
  <c r="F1804"/>
  <c r="F1803"/>
  <c r="G1804"/>
  <c r="G1803"/>
  <c r="H1804"/>
  <c r="H1803"/>
  <c r="F1806"/>
  <c r="F1805"/>
  <c r="G1806"/>
  <c r="G1805"/>
  <c r="H1806"/>
  <c r="H1805"/>
  <c r="H1809"/>
  <c r="H1808"/>
  <c r="H1807"/>
  <c r="F1809"/>
  <c r="F1808"/>
  <c r="F1807"/>
  <c r="G1809"/>
  <c r="G1808"/>
  <c r="G1807"/>
  <c r="F1812"/>
  <c r="F1811"/>
  <c r="F1810"/>
  <c r="G1812"/>
  <c r="G1811"/>
  <c r="G1810"/>
  <c r="H1812"/>
  <c r="H1811"/>
  <c r="H1810"/>
  <c r="F1815"/>
  <c r="F1814"/>
  <c r="G1815"/>
  <c r="G1814"/>
  <c r="H1815"/>
  <c r="H1814"/>
  <c r="F1817"/>
  <c r="F1816"/>
  <c r="G1817"/>
  <c r="G1816"/>
  <c r="H1817"/>
  <c r="H1816"/>
  <c r="F1820"/>
  <c r="F1819"/>
  <c r="F1818"/>
  <c r="G1820"/>
  <c r="G1819"/>
  <c r="G1818"/>
  <c r="H1820"/>
  <c r="H1819"/>
  <c r="H1818"/>
  <c r="F1823"/>
  <c r="F1822"/>
  <c r="F1821"/>
  <c r="G1823"/>
  <c r="G1822"/>
  <c r="G1821"/>
  <c r="H1823"/>
  <c r="H1822"/>
  <c r="H1821"/>
  <c r="F1830"/>
  <c r="G1830"/>
  <c r="H1830"/>
  <c r="F1831"/>
  <c r="G1831"/>
  <c r="H1831"/>
  <c r="F1834"/>
  <c r="F1833"/>
  <c r="F1832"/>
  <c r="G1834"/>
  <c r="G1833"/>
  <c r="G1832"/>
  <c r="H1834"/>
  <c r="H1833"/>
  <c r="H1832"/>
  <c r="F1837"/>
  <c r="F1836"/>
  <c r="G1837"/>
  <c r="G1836"/>
  <c r="H1837"/>
  <c r="H1836"/>
  <c r="F1839"/>
  <c r="F1838"/>
  <c r="G1839"/>
  <c r="G1838"/>
  <c r="H1839"/>
  <c r="H1838"/>
  <c r="F1841"/>
  <c r="F1840"/>
  <c r="G1841"/>
  <c r="G1840"/>
  <c r="H1841"/>
  <c r="H1840"/>
  <c r="F1844"/>
  <c r="F1843"/>
  <c r="F1842"/>
  <c r="G1844"/>
  <c r="G1843"/>
  <c r="G1842"/>
  <c r="H1844"/>
  <c r="H1843"/>
  <c r="H1842"/>
  <c r="F1849"/>
  <c r="F1848"/>
  <c r="F1847"/>
  <c r="G1849"/>
  <c r="G1848"/>
  <c r="G1847"/>
  <c r="H1849"/>
  <c r="H1848"/>
  <c r="H1847"/>
  <c r="H1852"/>
  <c r="H1851"/>
  <c r="H1850"/>
  <c r="F1852"/>
  <c r="F1851"/>
  <c r="F1850"/>
  <c r="G1852"/>
  <c r="G1851"/>
  <c r="G1850"/>
  <c r="F1855"/>
  <c r="F1854"/>
  <c r="G1855"/>
  <c r="G1854"/>
  <c r="H1855"/>
  <c r="H1854"/>
  <c r="F1857"/>
  <c r="F1856"/>
  <c r="G1857"/>
  <c r="G1856"/>
  <c r="H1857"/>
  <c r="H1856"/>
  <c r="F1862"/>
  <c r="F1861"/>
  <c r="F1860"/>
  <c r="F1859"/>
  <c r="G1862"/>
  <c r="G1861"/>
  <c r="G1860"/>
  <c r="G1859"/>
  <c r="H1862"/>
  <c r="H1861"/>
  <c r="H1860"/>
  <c r="H1859"/>
  <c r="F1992"/>
  <c r="G1992"/>
  <c r="H1992"/>
  <c r="F1993"/>
  <c r="G1993"/>
  <c r="H1993"/>
  <c r="F1997"/>
  <c r="G1997"/>
  <c r="H1997"/>
  <c r="F1998"/>
  <c r="G1998"/>
  <c r="H1998"/>
  <c r="I123" i="1"/>
  <c r="F304" i="2"/>
  <c r="F303"/>
  <c r="F302"/>
  <c r="J48" i="1"/>
  <c r="G960" i="2"/>
  <c r="G959"/>
  <c r="K57" i="1"/>
  <c r="H969" i="2"/>
  <c r="H968"/>
  <c r="J66" i="1"/>
  <c r="G978" i="2"/>
  <c r="K66" i="1"/>
  <c r="H978" i="2"/>
  <c r="H976"/>
  <c r="I66" i="1"/>
  <c r="F978" i="2"/>
  <c r="J63" i="1"/>
  <c r="G975" i="2"/>
  <c r="G974"/>
  <c r="I63" i="1"/>
  <c r="F975" i="2"/>
  <c r="F974"/>
  <c r="M61" i="1"/>
  <c r="L61"/>
  <c r="J57"/>
  <c r="G969" i="2"/>
  <c r="G968"/>
  <c r="I57" i="1"/>
  <c r="F969" i="2"/>
  <c r="F968"/>
  <c r="K37" i="1"/>
  <c r="K36"/>
  <c r="K35"/>
  <c r="J37"/>
  <c r="J36"/>
  <c r="J35"/>
  <c r="I37"/>
  <c r="I36"/>
  <c r="I35"/>
  <c r="E1951" i="2"/>
  <c r="E1950"/>
  <c r="E1957"/>
  <c r="E1956"/>
  <c r="E1955"/>
  <c r="E1954"/>
  <c r="H920"/>
  <c r="H715"/>
  <c r="J716"/>
  <c r="J1768"/>
  <c r="H1013"/>
  <c r="G911"/>
  <c r="G908"/>
  <c r="G903"/>
  <c r="G899"/>
  <c r="G604"/>
  <c r="G601"/>
  <c r="G600"/>
  <c r="M338" i="1"/>
  <c r="L335"/>
  <c r="F672" i="2"/>
  <c r="F669"/>
  <c r="H1207"/>
  <c r="J1208"/>
  <c r="J1963"/>
  <c r="H718"/>
  <c r="J719"/>
  <c r="H1327"/>
  <c r="H1322"/>
  <c r="H1321"/>
  <c r="H1128"/>
  <c r="F1124"/>
  <c r="G232"/>
  <c r="G231"/>
  <c r="H1189"/>
  <c r="G1713"/>
  <c r="G1709"/>
  <c r="M337" i="1"/>
  <c r="F1648" i="2"/>
  <c r="G1124"/>
  <c r="G1119"/>
  <c r="G1118"/>
  <c r="H1101"/>
  <c r="J1102"/>
  <c r="J1204"/>
  <c r="J1962"/>
  <c r="H911"/>
  <c r="G1648"/>
  <c r="H1465"/>
  <c r="H1464"/>
  <c r="H1124"/>
  <c r="H1119"/>
  <c r="H1118"/>
  <c r="G369"/>
  <c r="F541"/>
  <c r="G455"/>
  <c r="H1966"/>
  <c r="H988"/>
  <c r="H985"/>
  <c r="G988"/>
  <c r="G985"/>
  <c r="F580"/>
  <c r="F505"/>
  <c r="G500"/>
  <c r="F500"/>
  <c r="F490"/>
  <c r="F485"/>
  <c r="G465"/>
  <c r="F460"/>
  <c r="H450"/>
  <c r="G450"/>
  <c r="F450"/>
  <c r="F445"/>
  <c r="H440"/>
  <c r="H422"/>
  <c r="G412"/>
  <c r="H407"/>
  <c r="F604"/>
  <c r="F601"/>
  <c r="F600"/>
  <c r="H333"/>
  <c r="H435"/>
  <c r="F554"/>
  <c r="F553"/>
  <c r="G1013"/>
  <c r="F911"/>
  <c r="H908"/>
  <c r="H903"/>
  <c r="H899"/>
  <c r="F1517"/>
  <c r="F374"/>
  <c r="H515"/>
  <c r="G460"/>
  <c r="H475"/>
  <c r="G422"/>
  <c r="G1991"/>
  <c r="G1990"/>
  <c r="G1989"/>
  <c r="G1327"/>
  <c r="G1322"/>
  <c r="G1321"/>
  <c r="H967"/>
  <c r="H520"/>
  <c r="F495"/>
  <c r="H430"/>
  <c r="F412"/>
  <c r="G389"/>
  <c r="H384"/>
  <c r="F369"/>
  <c r="F364"/>
  <c r="G119"/>
  <c r="G112"/>
  <c r="G435"/>
  <c r="F465"/>
  <c r="F173"/>
  <c r="F1767"/>
  <c r="F399"/>
  <c r="H1802"/>
  <c r="H1621"/>
  <c r="H1616"/>
  <c r="H1615"/>
  <c r="H1000"/>
  <c r="H993"/>
  <c r="F976"/>
  <c r="H574"/>
  <c r="H573"/>
  <c r="G554"/>
  <c r="G553"/>
  <c r="H470"/>
  <c r="F430"/>
  <c r="F394"/>
  <c r="G330"/>
  <c r="G323"/>
  <c r="H232"/>
  <c r="H231"/>
  <c r="H34"/>
  <c r="F1966"/>
  <c r="E1953"/>
  <c r="E1952"/>
  <c r="H1030"/>
  <c r="F1013"/>
  <c r="F1006"/>
  <c r="F510"/>
  <c r="G72"/>
  <c r="G1561"/>
  <c r="G1554"/>
  <c r="G417"/>
  <c r="G173"/>
  <c r="G34"/>
  <c r="H1996"/>
  <c r="H1995"/>
  <c r="H1994"/>
  <c r="F1991"/>
  <c r="F1990"/>
  <c r="F1989"/>
  <c r="H1829"/>
  <c r="H1828"/>
  <c r="H1679"/>
  <c r="H1678"/>
  <c r="H1674"/>
  <c r="G1045"/>
  <c r="G976"/>
  <c r="G967"/>
  <c r="F780"/>
  <c r="H554"/>
  <c r="H553"/>
  <c r="F470"/>
  <c r="G394"/>
  <c r="F389"/>
  <c r="H330"/>
  <c r="H323"/>
  <c r="H339"/>
  <c r="H319"/>
  <c r="F918"/>
  <c r="H379"/>
  <c r="G918"/>
  <c r="G475"/>
  <c r="G430"/>
  <c r="F422"/>
  <c r="G470"/>
  <c r="H86"/>
  <c r="F1932"/>
  <c r="F1927"/>
  <c r="F1926"/>
  <c r="G505"/>
  <c r="F339"/>
  <c r="G156"/>
  <c r="G155"/>
  <c r="F78"/>
  <c r="F75"/>
  <c r="H53"/>
  <c r="H52"/>
  <c r="H51"/>
  <c r="F1979"/>
  <c r="F1978"/>
  <c r="H548"/>
  <c r="G379"/>
  <c r="G548"/>
  <c r="H480"/>
  <c r="F417"/>
  <c r="F1603"/>
  <c r="F1381"/>
  <c r="F1376"/>
  <c r="H1045"/>
  <c r="H1044"/>
  <c r="H505"/>
  <c r="H369"/>
  <c r="G339"/>
  <c r="F242"/>
  <c r="F241"/>
  <c r="F149"/>
  <c r="F148"/>
  <c r="F53"/>
  <c r="F52"/>
  <c r="F51"/>
  <c r="G1961"/>
  <c r="I1951"/>
  <c r="G137"/>
  <c r="H510"/>
  <c r="J1955"/>
  <c r="H1517"/>
  <c r="H374"/>
  <c r="F156"/>
  <c r="F155"/>
  <c r="F1813"/>
  <c r="G1802"/>
  <c r="G1813"/>
  <c r="G1801"/>
  <c r="F1679"/>
  <c r="F1678"/>
  <c r="G1603"/>
  <c r="F1494"/>
  <c r="F1000"/>
  <c r="F993"/>
  <c r="G628"/>
  <c r="G627"/>
  <c r="G623"/>
  <c r="H580"/>
  <c r="F574"/>
  <c r="F573"/>
  <c r="F572"/>
  <c r="H465"/>
  <c r="F407"/>
  <c r="G149"/>
  <c r="G148"/>
  <c r="F72"/>
  <c r="F137"/>
  <c r="G541"/>
  <c r="F455"/>
  <c r="H417"/>
  <c r="G374"/>
  <c r="G510"/>
  <c r="F232"/>
  <c r="F231"/>
  <c r="G1996"/>
  <c r="G1995"/>
  <c r="G1994"/>
  <c r="G1679"/>
  <c r="G1678"/>
  <c r="G1137"/>
  <c r="F1128"/>
  <c r="G1016"/>
  <c r="G1000"/>
  <c r="G993"/>
  <c r="G407"/>
  <c r="F333"/>
  <c r="F330"/>
  <c r="G1894"/>
  <c r="G1889"/>
  <c r="G1888"/>
  <c r="G1877"/>
  <c r="H1391"/>
  <c r="H1384"/>
  <c r="H1645"/>
  <c r="G1645"/>
  <c r="F1645"/>
  <c r="G1287"/>
  <c r="G1284"/>
  <c r="G1277"/>
  <c r="F1284"/>
  <c r="F1277"/>
  <c r="G1979"/>
  <c r="G1978"/>
  <c r="H1979"/>
  <c r="H1978"/>
  <c r="J1981"/>
  <c r="J1980"/>
  <c r="G1575"/>
  <c r="G1574"/>
  <c r="F1575"/>
  <c r="F1574"/>
  <c r="F1561"/>
  <c r="F1554"/>
  <c r="H1533"/>
  <c r="G1533"/>
  <c r="F1533"/>
  <c r="F1525"/>
  <c r="H1542"/>
  <c r="F1542"/>
  <c r="H1503"/>
  <c r="G1503"/>
  <c r="F1503"/>
  <c r="G1621"/>
  <c r="G1616"/>
  <c r="G1615"/>
  <c r="F1621"/>
  <c r="F1616"/>
  <c r="F1615"/>
  <c r="H1088"/>
  <c r="H1081"/>
  <c r="H1080"/>
  <c r="G1088"/>
  <c r="G1081"/>
  <c r="G1080"/>
  <c r="F1088"/>
  <c r="F1081"/>
  <c r="F1080"/>
  <c r="H1110"/>
  <c r="G1096"/>
  <c r="H1203"/>
  <c r="H1200"/>
  <c r="G1203"/>
  <c r="G1200"/>
  <c r="G1181"/>
  <c r="F1203"/>
  <c r="F1200"/>
  <c r="F1181"/>
  <c r="H589"/>
  <c r="G589"/>
  <c r="F589"/>
  <c r="H1256"/>
  <c r="H1255"/>
  <c r="G1256"/>
  <c r="G1255"/>
  <c r="F1256"/>
  <c r="F1255"/>
  <c r="G946"/>
  <c r="H946"/>
  <c r="F1241"/>
  <c r="G1232"/>
  <c r="G1228"/>
  <c r="F1232"/>
  <c r="F1228"/>
  <c r="H1232"/>
  <c r="H1228"/>
  <c r="H1287"/>
  <c r="H1284"/>
  <c r="H1277"/>
  <c r="H1767"/>
  <c r="H1760"/>
  <c r="G1767"/>
  <c r="G1760"/>
  <c r="H1703"/>
  <c r="H1702"/>
  <c r="G1703"/>
  <c r="G1702"/>
  <c r="H1494"/>
  <c r="G1494"/>
  <c r="G1465"/>
  <c r="G1464"/>
  <c r="F1465"/>
  <c r="F1464"/>
  <c r="H1866"/>
  <c r="G1866"/>
  <c r="F1866"/>
  <c r="H1953"/>
  <c r="H1952"/>
  <c r="F1953"/>
  <c r="F1952"/>
  <c r="H1937"/>
  <c r="H1936"/>
  <c r="G1937"/>
  <c r="G1936"/>
  <c r="F1937"/>
  <c r="F1936"/>
  <c r="G1932"/>
  <c r="H1932"/>
  <c r="H1927"/>
  <c r="H1926"/>
  <c r="F1327"/>
  <c r="F1322"/>
  <c r="F1321"/>
  <c r="H1483"/>
  <c r="H1482"/>
  <c r="G1483"/>
  <c r="G1482"/>
  <c r="H1918"/>
  <c r="H1917"/>
  <c r="H1901"/>
  <c r="F1483"/>
  <c r="F1482"/>
  <c r="H1894"/>
  <c r="H1889"/>
  <c r="H1888"/>
  <c r="H1877"/>
  <c r="F1889"/>
  <c r="F1888"/>
  <c r="F1877"/>
  <c r="M2550" i="1"/>
  <c r="H1603" i="2"/>
  <c r="G1728"/>
  <c r="G1727"/>
  <c r="H1728"/>
  <c r="H1727"/>
  <c r="F1728"/>
  <c r="F1727"/>
  <c r="G1590"/>
  <c r="F1590"/>
  <c r="H1743"/>
  <c r="G1743"/>
  <c r="F1743"/>
  <c r="H1426"/>
  <c r="H1419"/>
  <c r="G1426"/>
  <c r="F1426"/>
  <c r="F1419"/>
  <c r="G1693"/>
  <c r="G1692"/>
  <c r="G958"/>
  <c r="F958"/>
  <c r="H1961"/>
  <c r="F1961"/>
  <c r="H1313"/>
  <c r="G1313"/>
  <c r="F1313"/>
  <c r="H1306"/>
  <c r="G1306"/>
  <c r="H1294"/>
  <c r="H1293"/>
  <c r="F1294"/>
  <c r="F1293"/>
  <c r="H1266"/>
  <c r="H1265"/>
  <c r="G1266"/>
  <c r="G1265"/>
  <c r="F1266"/>
  <c r="F1265"/>
  <c r="G198"/>
  <c r="F198"/>
  <c r="G1971"/>
  <c r="G1960"/>
  <c r="G1959"/>
  <c r="H1241"/>
  <c r="G1241"/>
  <c r="G1044"/>
  <c r="H628"/>
  <c r="H627"/>
  <c r="H623"/>
  <c r="H271"/>
  <c r="H268"/>
  <c r="G268"/>
  <c r="F271"/>
  <c r="F268"/>
  <c r="H262"/>
  <c r="H255"/>
  <c r="G262"/>
  <c r="F255"/>
  <c r="H250"/>
  <c r="F250"/>
  <c r="H242"/>
  <c r="H241"/>
  <c r="G242"/>
  <c r="G241"/>
  <c r="G227"/>
  <c r="H193"/>
  <c r="H190"/>
  <c r="H187"/>
  <c r="G190"/>
  <c r="G187"/>
  <c r="F190"/>
  <c r="F187"/>
  <c r="H156"/>
  <c r="H155"/>
  <c r="H149"/>
  <c r="H148"/>
  <c r="G560"/>
  <c r="G557"/>
  <c r="F560"/>
  <c r="F557"/>
  <c r="F1971"/>
  <c r="H298"/>
  <c r="F298"/>
  <c r="H1991"/>
  <c r="H1990"/>
  <c r="H1989"/>
  <c r="H285"/>
  <c r="H284"/>
  <c r="H283"/>
  <c r="F285"/>
  <c r="F284"/>
  <c r="F283"/>
  <c r="G1750"/>
  <c r="F1750"/>
  <c r="H1750"/>
  <c r="H1719"/>
  <c r="G1719"/>
  <c r="F1713"/>
  <c r="F1709"/>
  <c r="G1829"/>
  <c r="G1828"/>
  <c r="F1829"/>
  <c r="F1828"/>
  <c r="G1853"/>
  <c r="G1846"/>
  <c r="F1853"/>
  <c r="F1846"/>
  <c r="H1853"/>
  <c r="H1846"/>
  <c r="H137"/>
  <c r="H122"/>
  <c r="G122"/>
  <c r="H119"/>
  <c r="H112"/>
  <c r="F119"/>
  <c r="F112"/>
  <c r="H107"/>
  <c r="G107"/>
  <c r="F107"/>
  <c r="H78"/>
  <c r="H75"/>
  <c r="G78"/>
  <c r="G75"/>
  <c r="H72"/>
  <c r="H69"/>
  <c r="H66"/>
  <c r="G69"/>
  <c r="F69"/>
  <c r="H43"/>
  <c r="G43"/>
  <c r="F34"/>
  <c r="F12"/>
  <c r="G53"/>
  <c r="G52"/>
  <c r="G51"/>
  <c r="F1996"/>
  <c r="F1995"/>
  <c r="F1994"/>
  <c r="H1971"/>
  <c r="H100"/>
  <c r="F100"/>
  <c r="G100"/>
  <c r="G12"/>
  <c r="H31"/>
  <c r="H30"/>
  <c r="H26"/>
  <c r="G31"/>
  <c r="G30"/>
  <c r="F31"/>
  <c r="F30"/>
  <c r="F1152"/>
  <c r="F1148"/>
  <c r="H1137"/>
  <c r="G1394"/>
  <c r="F1394"/>
  <c r="G1381"/>
  <c r="G1376"/>
  <c r="G1361"/>
  <c r="F1361"/>
  <c r="F1353"/>
  <c r="G1341"/>
  <c r="G1340"/>
  <c r="F1341"/>
  <c r="F1340"/>
  <c r="G1391"/>
  <c r="F1391"/>
  <c r="I343" i="1"/>
  <c r="M344"/>
  <c r="M345"/>
  <c r="M340"/>
  <c r="M339"/>
  <c r="M335"/>
  <c r="K334"/>
  <c r="I334"/>
  <c r="H1813" i="2"/>
  <c r="H1801"/>
  <c r="F1802"/>
  <c r="F1801"/>
  <c r="H1795"/>
  <c r="H1794"/>
  <c r="F1432"/>
  <c r="G1947"/>
  <c r="G1946"/>
  <c r="G1953"/>
  <c r="G1952"/>
  <c r="G1927"/>
  <c r="G1926"/>
  <c r="G1918"/>
  <c r="G1917"/>
  <c r="G1901"/>
  <c r="F1918"/>
  <c r="F1917"/>
  <c r="F1901"/>
  <c r="F1947"/>
  <c r="F1946"/>
  <c r="J1957"/>
  <c r="J1951"/>
  <c r="H1950"/>
  <c r="J1950"/>
  <c r="G1419"/>
  <c r="G26"/>
  <c r="H1353"/>
  <c r="F707"/>
  <c r="G1542"/>
  <c r="H1525"/>
  <c r="G1401"/>
  <c r="F1674"/>
  <c r="G1160"/>
  <c r="F1137"/>
  <c r="G1835"/>
  <c r="H1160"/>
  <c r="H958"/>
  <c r="H1835"/>
  <c r="H1827"/>
  <c r="G530"/>
  <c r="G1795"/>
  <c r="G1794"/>
  <c r="F1760"/>
  <c r="H1585"/>
  <c r="H1575"/>
  <c r="H1574"/>
  <c r="H1590"/>
  <c r="H1401"/>
  <c r="H1381"/>
  <c r="H1376"/>
  <c r="G1128"/>
  <c r="G1057"/>
  <c r="G580"/>
  <c r="G572"/>
  <c r="F548"/>
  <c r="G298"/>
  <c r="F43"/>
  <c r="F1636"/>
  <c r="G1294"/>
  <c r="G1293"/>
  <c r="H885"/>
  <c r="H1693"/>
  <c r="H1692"/>
  <c r="F1306"/>
  <c r="G780"/>
  <c r="G707"/>
  <c r="F525"/>
  <c r="H485"/>
  <c r="H1713"/>
  <c r="H1709"/>
  <c r="F1693"/>
  <c r="F1692"/>
  <c r="H1432"/>
  <c r="F967"/>
  <c r="G1353"/>
  <c r="G1152"/>
  <c r="G1148"/>
  <c r="H1096"/>
  <c r="F1057"/>
  <c r="G1006"/>
  <c r="G885"/>
  <c r="H525"/>
  <c r="F515"/>
  <c r="F1774"/>
  <c r="F1401"/>
  <c r="F1835"/>
  <c r="G1774"/>
  <c r="G1674"/>
  <c r="G1110"/>
  <c r="H495"/>
  <c r="G525"/>
  <c r="H290"/>
  <c r="F1585"/>
  <c r="G1585"/>
  <c r="H1561"/>
  <c r="H1554"/>
  <c r="G1432"/>
  <c r="H1394"/>
  <c r="F1384"/>
  <c r="H1152"/>
  <c r="H1148"/>
  <c r="F1096"/>
  <c r="H1057"/>
  <c r="H1006"/>
  <c r="F946"/>
  <c r="G515"/>
  <c r="F440"/>
  <c r="H399"/>
  <c r="H394"/>
  <c r="H389"/>
  <c r="G255"/>
  <c r="F1988"/>
  <c r="H1774"/>
  <c r="G1636"/>
  <c r="H1341"/>
  <c r="H1340"/>
  <c r="F885"/>
  <c r="H490"/>
  <c r="F1795"/>
  <c r="F1794"/>
  <c r="F1703"/>
  <c r="F1702"/>
  <c r="H1636"/>
  <c r="H1629"/>
  <c r="G1384"/>
  <c r="F1160"/>
  <c r="H780"/>
  <c r="G1525"/>
  <c r="H1361"/>
  <c r="G1030"/>
  <c r="I1950"/>
  <c r="F1119"/>
  <c r="F1118"/>
  <c r="F1110"/>
  <c r="F1016"/>
  <c r="F908"/>
  <c r="F628"/>
  <c r="F627"/>
  <c r="F623"/>
  <c r="H604"/>
  <c r="H601"/>
  <c r="H600"/>
  <c r="H560"/>
  <c r="H557"/>
  <c r="H541"/>
  <c r="G520"/>
  <c r="F475"/>
  <c r="H445"/>
  <c r="F379"/>
  <c r="G250"/>
  <c r="H198"/>
  <c r="H173"/>
  <c r="F122"/>
  <c r="F1045"/>
  <c r="F1044"/>
  <c r="F928"/>
  <c r="F927"/>
  <c r="H530"/>
  <c r="G495"/>
  <c r="F480"/>
  <c r="H460"/>
  <c r="H412"/>
  <c r="G399"/>
  <c r="F384"/>
  <c r="H364"/>
  <c r="G290"/>
  <c r="F206"/>
  <c r="G193"/>
  <c r="G928"/>
  <c r="G927"/>
  <c r="F530"/>
  <c r="G480"/>
  <c r="F435"/>
  <c r="G384"/>
  <c r="G206"/>
  <c r="F86"/>
  <c r="H12"/>
  <c r="G440"/>
  <c r="F290"/>
  <c r="H1016"/>
  <c r="F985"/>
  <c r="H928"/>
  <c r="H927"/>
  <c r="F520"/>
  <c r="H500"/>
  <c r="H206"/>
  <c r="G86"/>
  <c r="J1956"/>
  <c r="I1957"/>
  <c r="J1949"/>
  <c r="I1956"/>
  <c r="I1955"/>
  <c r="H1463"/>
  <c r="G66"/>
  <c r="G62"/>
  <c r="H82"/>
  <c r="F66"/>
  <c r="F62"/>
  <c r="H1988"/>
  <c r="J1101"/>
  <c r="H1188"/>
  <c r="G106"/>
  <c r="F957"/>
  <c r="H714"/>
  <c r="J715"/>
  <c r="H717"/>
  <c r="J718"/>
  <c r="J1961"/>
  <c r="J1207"/>
  <c r="H919"/>
  <c r="H227"/>
  <c r="H1181"/>
  <c r="F1629"/>
  <c r="H957"/>
  <c r="F903"/>
  <c r="F899"/>
  <c r="F706"/>
  <c r="H572"/>
  <c r="G319"/>
  <c r="F547"/>
  <c r="H547"/>
  <c r="G984"/>
  <c r="G983"/>
  <c r="F227"/>
  <c r="G144"/>
  <c r="F144"/>
  <c r="F1305"/>
  <c r="F1264"/>
  <c r="H144"/>
  <c r="F323"/>
  <c r="F319"/>
  <c r="G1988"/>
  <c r="G547"/>
  <c r="G957"/>
  <c r="G82"/>
  <c r="F106"/>
  <c r="G1827"/>
  <c r="G1825"/>
  <c r="F1827"/>
  <c r="F1825"/>
  <c r="F169"/>
  <c r="G1629"/>
  <c r="G1628"/>
  <c r="F1541"/>
  <c r="F1502"/>
  <c r="H1541"/>
  <c r="H1502"/>
  <c r="H1095"/>
  <c r="H1079"/>
  <c r="G1095"/>
  <c r="G1079"/>
  <c r="F1180"/>
  <c r="H1180"/>
  <c r="G1180"/>
  <c r="G1463"/>
  <c r="F1463"/>
  <c r="F1945"/>
  <c r="G1945"/>
  <c r="F1581"/>
  <c r="H1581"/>
  <c r="G1581"/>
  <c r="F1742"/>
  <c r="F1701"/>
  <c r="H1742"/>
  <c r="H1701"/>
  <c r="G1742"/>
  <c r="G1701"/>
  <c r="H1628"/>
  <c r="F926"/>
  <c r="H1960"/>
  <c r="H1959"/>
  <c r="F1960"/>
  <c r="F1959"/>
  <c r="G1305"/>
  <c r="G1264"/>
  <c r="H1305"/>
  <c r="H1264"/>
  <c r="G169"/>
  <c r="H1043"/>
  <c r="G1043"/>
  <c r="H246"/>
  <c r="F246"/>
  <c r="G246"/>
  <c r="H169"/>
  <c r="H1825"/>
  <c r="H106"/>
  <c r="F26"/>
  <c r="F82"/>
  <c r="H62"/>
  <c r="H1136"/>
  <c r="G1136"/>
  <c r="H1375"/>
  <c r="H1339"/>
  <c r="I342" i="1"/>
  <c r="M342"/>
  <c r="M343"/>
  <c r="K333"/>
  <c r="L334"/>
  <c r="I333"/>
  <c r="M334"/>
  <c r="H1793" i="2"/>
  <c r="H1791"/>
  <c r="G1793"/>
  <c r="G1791"/>
  <c r="F1793"/>
  <c r="F1791"/>
  <c r="H1415"/>
  <c r="H1400"/>
  <c r="F1415"/>
  <c r="F1400"/>
  <c r="H1947"/>
  <c r="H1946"/>
  <c r="H1945"/>
  <c r="H926"/>
  <c r="F1375"/>
  <c r="F1339"/>
  <c r="F1136"/>
  <c r="G1415"/>
  <c r="G1400"/>
  <c r="H984"/>
  <c r="H983"/>
  <c r="F1628"/>
  <c r="F984"/>
  <c r="F983"/>
  <c r="G1375"/>
  <c r="G1339"/>
  <c r="G926"/>
  <c r="F1043"/>
  <c r="G706"/>
  <c r="G1541"/>
  <c r="G1502"/>
  <c r="F1095"/>
  <c r="F1079"/>
  <c r="J1948"/>
  <c r="J1954"/>
  <c r="I1954"/>
  <c r="F143"/>
  <c r="H918"/>
  <c r="J714"/>
  <c r="J1947"/>
  <c r="G1864"/>
  <c r="J717"/>
  <c r="H707"/>
  <c r="H706"/>
  <c r="G11"/>
  <c r="F1864"/>
  <c r="H1864"/>
  <c r="G143"/>
  <c r="H143"/>
  <c r="H11"/>
  <c r="F11"/>
  <c r="M333" i="1"/>
  <c r="J1953" i="2"/>
  <c r="I1953"/>
  <c r="J1946"/>
  <c r="J1952"/>
  <c r="I1952"/>
  <c r="J1945"/>
  <c r="E1974"/>
  <c r="E1967"/>
  <c r="H1383" i="1"/>
  <c r="E1976" i="2"/>
  <c r="I1976"/>
  <c r="E1973"/>
  <c r="E1965"/>
  <c r="E1963"/>
  <c r="I1963"/>
  <c r="E1962"/>
  <c r="I1962"/>
  <c r="E2003"/>
  <c r="I2003"/>
  <c r="E1983"/>
  <c r="E1982"/>
  <c r="E1981"/>
  <c r="E1986"/>
  <c r="E1985"/>
  <c r="I1985"/>
  <c r="E1943"/>
  <c r="I1943"/>
  <c r="E1941"/>
  <c r="I1941"/>
  <c r="E1939"/>
  <c r="I1939"/>
  <c r="E1933"/>
  <c r="I1933"/>
  <c r="E1931"/>
  <c r="I1931"/>
  <c r="E1929"/>
  <c r="I1929"/>
  <c r="E1924"/>
  <c r="I1924"/>
  <c r="E1922"/>
  <c r="I1922"/>
  <c r="E1920"/>
  <c r="I1920"/>
  <c r="E1915"/>
  <c r="I1915"/>
  <c r="E1910"/>
  <c r="I1910"/>
  <c r="E1905"/>
  <c r="I1905"/>
  <c r="E1899"/>
  <c r="I1899"/>
  <c r="E1895"/>
  <c r="E1893"/>
  <c r="I1893"/>
  <c r="E1891"/>
  <c r="I1891"/>
  <c r="E1886"/>
  <c r="I1886"/>
  <c r="E1881"/>
  <c r="I1881"/>
  <c r="E1875"/>
  <c r="I1875"/>
  <c r="E1870"/>
  <c r="I1870"/>
  <c r="E1844"/>
  <c r="E1841"/>
  <c r="E1840"/>
  <c r="E1839"/>
  <c r="E1838"/>
  <c r="E1837"/>
  <c r="E1836"/>
  <c r="E1831"/>
  <c r="E1786"/>
  <c r="E1777"/>
  <c r="E1780"/>
  <c r="E1766"/>
  <c r="E1765"/>
  <c r="E1768"/>
  <c r="I1768"/>
  <c r="E1769"/>
  <c r="E1764"/>
  <c r="E1763"/>
  <c r="E1762"/>
  <c r="E1772"/>
  <c r="E1752"/>
  <c r="E1759"/>
  <c r="E1758"/>
  <c r="E1757"/>
  <c r="E1756"/>
  <c r="E1754"/>
  <c r="E1749"/>
  <c r="E1747"/>
  <c r="E1746"/>
  <c r="E1745"/>
  <c r="E1737"/>
  <c r="E1740"/>
  <c r="E1734"/>
  <c r="E1733"/>
  <c r="E1732"/>
  <c r="E1730"/>
  <c r="E1729"/>
  <c r="E1707"/>
  <c r="E1706"/>
  <c r="E1705"/>
  <c r="E1704"/>
  <c r="E1699"/>
  <c r="E1697"/>
  <c r="E1696"/>
  <c r="E1695"/>
  <c r="E1690"/>
  <c r="E1689"/>
  <c r="E1687"/>
  <c r="E1686"/>
  <c r="E1684"/>
  <c r="E1683"/>
  <c r="E1681"/>
  <c r="E1680"/>
  <c r="E1677"/>
  <c r="E1672"/>
  <c r="E1671"/>
  <c r="E1670"/>
  <c r="E1669"/>
  <c r="E1668"/>
  <c r="E1663"/>
  <c r="E1662"/>
  <c r="E1660"/>
  <c r="E1659"/>
  <c r="E1657"/>
  <c r="E1656"/>
  <c r="E1654"/>
  <c r="E1653"/>
  <c r="E1651"/>
  <c r="E1649"/>
  <c r="E1647"/>
  <c r="E1646"/>
  <c r="E1644"/>
  <c r="E1643"/>
  <c r="E1642"/>
  <c r="E1641"/>
  <c r="E1640"/>
  <c r="E1639"/>
  <c r="E1638"/>
  <c r="E1637"/>
  <c r="E1635"/>
  <c r="E1632"/>
  <c r="E1631"/>
  <c r="E1626"/>
  <c r="I1626"/>
  <c r="E1623"/>
  <c r="E1622"/>
  <c r="E1620"/>
  <c r="I1620"/>
  <c r="E1618"/>
  <c r="E1613"/>
  <c r="E1610"/>
  <c r="E1609"/>
  <c r="E1607"/>
  <c r="E1606"/>
  <c r="E1605"/>
  <c r="E1604"/>
  <c r="E1602"/>
  <c r="E1601"/>
  <c r="E1599"/>
  <c r="E1596"/>
  <c r="E1595"/>
  <c r="E1594"/>
  <c r="E1592"/>
  <c r="E1589"/>
  <c r="E1587"/>
  <c r="E1586"/>
  <c r="E1584"/>
  <c r="E1579"/>
  <c r="E1578"/>
  <c r="E1577"/>
  <c r="E1572"/>
  <c r="E1571"/>
  <c r="E1569"/>
  <c r="E1568"/>
  <c r="E1567"/>
  <c r="E1566"/>
  <c r="E1553"/>
  <c r="E1552"/>
  <c r="E1551"/>
  <c r="E1562"/>
  <c r="E1560"/>
  <c r="E1559"/>
  <c r="E1558"/>
  <c r="E1556"/>
  <c r="E1550"/>
  <c r="E1548"/>
  <c r="E1547"/>
  <c r="E1546"/>
  <c r="E1545"/>
  <c r="E1544"/>
  <c r="E1539"/>
  <c r="E1536"/>
  <c r="E1531"/>
  <c r="E1530"/>
  <c r="E1528"/>
  <c r="E1527"/>
  <c r="E1523"/>
  <c r="E1520"/>
  <c r="E1515"/>
  <c r="E1512"/>
  <c r="E1509"/>
  <c r="E1508"/>
  <c r="E1506"/>
  <c r="E1505"/>
  <c r="E1500"/>
  <c r="E1499"/>
  <c r="E1497"/>
  <c r="E1489"/>
  <c r="E1488"/>
  <c r="E1487"/>
  <c r="E1485"/>
  <c r="E1484"/>
  <c r="E1492"/>
  <c r="E1491"/>
  <c r="E1480"/>
  <c r="E1475"/>
  <c r="E1472"/>
  <c r="E1471"/>
  <c r="E1469"/>
  <c r="E1467"/>
  <c r="E1466"/>
  <c r="E1427"/>
  <c r="E1423"/>
  <c r="E1421"/>
  <c r="E1431"/>
  <c r="E1430"/>
  <c r="E1429"/>
  <c r="E1328"/>
  <c r="E1329"/>
  <c r="E1326"/>
  <c r="E1325"/>
  <c r="E1324"/>
  <c r="E1323"/>
  <c r="E1319"/>
  <c r="E1317"/>
  <c r="E1315"/>
  <c r="E1312"/>
  <c r="E1311"/>
  <c r="E1310"/>
  <c r="E1308"/>
  <c r="E1303"/>
  <c r="E1302"/>
  <c r="E1300"/>
  <c r="E1298"/>
  <c r="E1296"/>
  <c r="E1295"/>
  <c r="E1288"/>
  <c r="E1291"/>
  <c r="E1290"/>
  <c r="E1289"/>
  <c r="E1286"/>
  <c r="E1285"/>
  <c r="E1283"/>
  <c r="E1282"/>
  <c r="E1281"/>
  <c r="E1280"/>
  <c r="E1279"/>
  <c r="E1275"/>
  <c r="E1274"/>
  <c r="E1272"/>
  <c r="E1270"/>
  <c r="E1269"/>
  <c r="E1268"/>
  <c r="E1267"/>
  <c r="E1334"/>
  <c r="E1190"/>
  <c r="E1262"/>
  <c r="E1260"/>
  <c r="E1258"/>
  <c r="E1253"/>
  <c r="E1247"/>
  <c r="E1246"/>
  <c r="E1244"/>
  <c r="E1239"/>
  <c r="E1238"/>
  <c r="E1237"/>
  <c r="E1236"/>
  <c r="E1234"/>
  <c r="E1233"/>
  <c r="E1231"/>
  <c r="E1226"/>
  <c r="E1223"/>
  <c r="E1220"/>
  <c r="E1217"/>
  <c r="E1214"/>
  <c r="E1213"/>
  <c r="E1212"/>
  <c r="E1208"/>
  <c r="E1204"/>
  <c r="I1204"/>
  <c r="E1205"/>
  <c r="E1206"/>
  <c r="E1202"/>
  <c r="E1201"/>
  <c r="E1193"/>
  <c r="E1192"/>
  <c r="E1191"/>
  <c r="E1187"/>
  <c r="E1186"/>
  <c r="E1184"/>
  <c r="E1183"/>
  <c r="E1134"/>
  <c r="E1125"/>
  <c r="E1126"/>
  <c r="E1123"/>
  <c r="E1122"/>
  <c r="E1121"/>
  <c r="E1120"/>
  <c r="E1116"/>
  <c r="E1114"/>
  <c r="E1113"/>
  <c r="E1112"/>
  <c r="E1111"/>
  <c r="E1104"/>
  <c r="E1103"/>
  <c r="E1102"/>
  <c r="E1106"/>
  <c r="E1100"/>
  <c r="E1098"/>
  <c r="E1097"/>
  <c r="E1093"/>
  <c r="E1089"/>
  <c r="E1087"/>
  <c r="E1085"/>
  <c r="E1083"/>
  <c r="E1082"/>
  <c r="E1069"/>
  <c r="E1068"/>
  <c r="E1055"/>
  <c r="E1054"/>
  <c r="E1049"/>
  <c r="E1048"/>
  <c r="E1047"/>
  <c r="E1046"/>
  <c r="E1023"/>
  <c r="E1022"/>
  <c r="E1021"/>
  <c r="E1018"/>
  <c r="E1012"/>
  <c r="E1011"/>
  <c r="E1014"/>
  <c r="E1010"/>
  <c r="E1008"/>
  <c r="E1007"/>
  <c r="E1005"/>
  <c r="E1004"/>
  <c r="E1003"/>
  <c r="E1001"/>
  <c r="E999"/>
  <c r="E998"/>
  <c r="E997"/>
  <c r="E995"/>
  <c r="E992"/>
  <c r="E990"/>
  <c r="E989"/>
  <c r="E987"/>
  <c r="E1033"/>
  <c r="E1032"/>
  <c r="E1031"/>
  <c r="E1028"/>
  <c r="E1027"/>
  <c r="E1026"/>
  <c r="E1036"/>
  <c r="E1035"/>
  <c r="E1034"/>
  <c r="E1041"/>
  <c r="E973"/>
  <c r="E972"/>
  <c r="E977"/>
  <c r="E975"/>
  <c r="E974"/>
  <c r="E971"/>
  <c r="E969"/>
  <c r="E966"/>
  <c r="E962"/>
  <c r="E960"/>
  <c r="E949"/>
  <c r="E948"/>
  <c r="E947"/>
  <c r="E955"/>
  <c r="E954"/>
  <c r="E953"/>
  <c r="E952"/>
  <c r="E951"/>
  <c r="E941"/>
  <c r="E883"/>
  <c r="E880"/>
  <c r="E877"/>
  <c r="E874"/>
  <c r="E873"/>
  <c r="E871"/>
  <c r="E868"/>
  <c r="E865"/>
  <c r="E864"/>
  <c r="E862"/>
  <c r="E861"/>
  <c r="E859"/>
  <c r="E858"/>
  <c r="E856"/>
  <c r="E853"/>
  <c r="E852"/>
  <c r="E851"/>
  <c r="E850"/>
  <c r="E847"/>
  <c r="E846"/>
  <c r="E844"/>
  <c r="E843"/>
  <c r="E841"/>
  <c r="E840"/>
  <c r="E838"/>
  <c r="E837"/>
  <c r="E835"/>
  <c r="E832"/>
  <c r="E831"/>
  <c r="E829"/>
  <c r="E828"/>
  <c r="E826"/>
  <c r="E823"/>
  <c r="E820"/>
  <c r="E817"/>
  <c r="E814"/>
  <c r="E813"/>
  <c r="E811"/>
  <c r="E805"/>
  <c r="E804"/>
  <c r="E802"/>
  <c r="E799"/>
  <c r="E798"/>
  <c r="E796"/>
  <c r="E793"/>
  <c r="E792"/>
  <c r="E790"/>
  <c r="E787"/>
  <c r="E784"/>
  <c r="E782"/>
  <c r="E781"/>
  <c r="E779"/>
  <c r="E778"/>
  <c r="E776"/>
  <c r="E775"/>
  <c r="E774"/>
  <c r="E773"/>
  <c r="E772"/>
  <c r="E771"/>
  <c r="E767"/>
  <c r="E766"/>
  <c r="E765"/>
  <c r="E764"/>
  <c r="E763"/>
  <c r="E762"/>
  <c r="E761"/>
  <c r="E760"/>
  <c r="E759"/>
  <c r="E770"/>
  <c r="E769"/>
  <c r="E758"/>
  <c r="E755"/>
  <c r="E754"/>
  <c r="E753"/>
  <c r="E752"/>
  <c r="E751"/>
  <c r="E750"/>
  <c r="E749"/>
  <c r="E748"/>
  <c r="E747"/>
  <c r="E746"/>
  <c r="E745"/>
  <c r="E744"/>
  <c r="E743"/>
  <c r="E742"/>
  <c r="E741"/>
  <c r="E740"/>
  <c r="E737"/>
  <c r="E736"/>
  <c r="E735"/>
  <c r="E734"/>
  <c r="E731"/>
  <c r="E728"/>
  <c r="E722"/>
  <c r="E725"/>
  <c r="E724"/>
  <c r="E719"/>
  <c r="E716"/>
  <c r="E713"/>
  <c r="E710"/>
  <c r="E897"/>
  <c r="E896"/>
  <c r="E895"/>
  <c r="E894"/>
  <c r="E893"/>
  <c r="E891"/>
  <c r="E890"/>
  <c r="E888"/>
  <c r="E887"/>
  <c r="E916"/>
  <c r="E915"/>
  <c r="E907"/>
  <c r="E906"/>
  <c r="E905"/>
  <c r="E904"/>
  <c r="E912"/>
  <c r="E910"/>
  <c r="E909"/>
  <c r="E902"/>
  <c r="E901"/>
  <c r="E924"/>
  <c r="E921"/>
  <c r="E666"/>
  <c r="E665"/>
  <c r="E668"/>
  <c r="I668"/>
  <c r="E662"/>
  <c r="E661"/>
  <c r="I661"/>
  <c r="E659"/>
  <c r="I659"/>
  <c r="E657"/>
  <c r="E656"/>
  <c r="I656"/>
  <c r="E655"/>
  <c r="I655"/>
  <c r="M2388" i="1"/>
  <c r="L2388"/>
  <c r="K2387"/>
  <c r="H2387"/>
  <c r="L2387"/>
  <c r="K2386"/>
  <c r="K2385"/>
  <c r="J2387"/>
  <c r="J2386"/>
  <c r="J2385"/>
  <c r="I2387"/>
  <c r="I2386"/>
  <c r="I2385"/>
  <c r="H2386"/>
  <c r="H2385"/>
  <c r="E633" i="2"/>
  <c r="E632"/>
  <c r="E626"/>
  <c r="E625"/>
  <c r="E621"/>
  <c r="E618"/>
  <c r="E612"/>
  <c r="M1769" i="1"/>
  <c r="L1769"/>
  <c r="M1768"/>
  <c r="H1768"/>
  <c r="L1768"/>
  <c r="M1767"/>
  <c r="H1767"/>
  <c r="L1767"/>
  <c r="E606" i="2"/>
  <c r="E605"/>
  <c r="E603"/>
  <c r="E598"/>
  <c r="E597"/>
  <c r="E596"/>
  <c r="E595"/>
  <c r="E594"/>
  <c r="E592"/>
  <c r="E587"/>
  <c r="E586"/>
  <c r="E585"/>
  <c r="E584"/>
  <c r="E583"/>
  <c r="E582"/>
  <c r="E581"/>
  <c r="E579"/>
  <c r="E578"/>
  <c r="E576"/>
  <c r="E575"/>
  <c r="E570"/>
  <c r="E565"/>
  <c r="E564"/>
  <c r="E559"/>
  <c r="E558"/>
  <c r="E555"/>
  <c r="E552"/>
  <c r="E551"/>
  <c r="E550"/>
  <c r="E549"/>
  <c r="E545"/>
  <c r="E544"/>
  <c r="E543"/>
  <c r="E542"/>
  <c r="E537"/>
  <c r="E536"/>
  <c r="E535"/>
  <c r="E534"/>
  <c r="E532"/>
  <c r="E531"/>
  <c r="E529"/>
  <c r="E527"/>
  <c r="E524"/>
  <c r="E523"/>
  <c r="E522"/>
  <c r="E521"/>
  <c r="E519"/>
  <c r="E517"/>
  <c r="E516"/>
  <c r="E514"/>
  <c r="E513"/>
  <c r="E512"/>
  <c r="E509"/>
  <c r="E507"/>
  <c r="E506"/>
  <c r="E504"/>
  <c r="E503"/>
  <c r="E502"/>
  <c r="E499"/>
  <c r="E498"/>
  <c r="E497"/>
  <c r="E496"/>
  <c r="E494"/>
  <c r="E493"/>
  <c r="E492"/>
  <c r="E491"/>
  <c r="E489"/>
  <c r="E487"/>
  <c r="E486"/>
  <c r="E484"/>
  <c r="E482"/>
  <c r="E481"/>
  <c r="E479"/>
  <c r="E478"/>
  <c r="E477"/>
  <c r="E476"/>
  <c r="E474"/>
  <c r="E473"/>
  <c r="E472"/>
  <c r="E469"/>
  <c r="E468"/>
  <c r="E467"/>
  <c r="E464"/>
  <c r="E462"/>
  <c r="E459"/>
  <c r="E458"/>
  <c r="E457"/>
  <c r="E456"/>
  <c r="E454"/>
  <c r="E453"/>
  <c r="E452"/>
  <c r="E449"/>
  <c r="E448"/>
  <c r="E447"/>
  <c r="E444"/>
  <c r="E443"/>
  <c r="E442"/>
  <c r="E439"/>
  <c r="E438"/>
  <c r="E437"/>
  <c r="E434"/>
  <c r="E432"/>
  <c r="E431"/>
  <c r="E429"/>
  <c r="E426"/>
  <c r="E425"/>
  <c r="E424"/>
  <c r="E423"/>
  <c r="E421"/>
  <c r="E420"/>
  <c r="E419"/>
  <c r="E416"/>
  <c r="E415"/>
  <c r="E414"/>
  <c r="E411"/>
  <c r="E410"/>
  <c r="E409"/>
  <c r="E408"/>
  <c r="E406"/>
  <c r="E403"/>
  <c r="E401"/>
  <c r="E400"/>
  <c r="E398"/>
  <c r="E397"/>
  <c r="E396"/>
  <c r="E395"/>
  <c r="E393"/>
  <c r="E391"/>
  <c r="E390"/>
  <c r="E388"/>
  <c r="E386"/>
  <c r="E385"/>
  <c r="E383"/>
  <c r="E381"/>
  <c r="E380"/>
  <c r="E378"/>
  <c r="E376"/>
  <c r="E375"/>
  <c r="E373"/>
  <c r="E372"/>
  <c r="E371"/>
  <c r="E370"/>
  <c r="E368"/>
  <c r="E366"/>
  <c r="E363"/>
  <c r="E362"/>
  <c r="E360"/>
  <c r="E359"/>
  <c r="E357"/>
  <c r="E329"/>
  <c r="E328"/>
  <c r="E352"/>
  <c r="E351"/>
  <c r="E349"/>
  <c r="E346"/>
  <c r="E343"/>
  <c r="E341"/>
  <c r="E340"/>
  <c r="E338"/>
  <c r="E334"/>
  <c r="E327"/>
  <c r="E326"/>
  <c r="E325"/>
  <c r="E324"/>
  <c r="E322"/>
  <c r="E321"/>
  <c r="E55"/>
  <c r="E54"/>
  <c r="E24"/>
  <c r="E23"/>
  <c r="E22"/>
  <c r="E18"/>
  <c r="E15"/>
  <c r="E14"/>
  <c r="E13"/>
  <c r="J1986"/>
  <c r="J1985"/>
  <c r="J1984"/>
  <c r="J1979"/>
  <c r="J1978"/>
  <c r="J1974"/>
  <c r="J1972"/>
  <c r="J1971"/>
  <c r="J1970"/>
  <c r="J1969"/>
  <c r="J1968"/>
  <c r="J1966"/>
  <c r="J1965"/>
  <c r="J1964"/>
  <c r="J1960"/>
  <c r="J1959"/>
  <c r="J1943"/>
  <c r="J1942"/>
  <c r="J1941"/>
  <c r="J1940"/>
  <c r="J1939"/>
  <c r="J1938"/>
  <c r="J1937"/>
  <c r="J1936"/>
  <c r="J1934"/>
  <c r="J1933"/>
  <c r="J1932"/>
  <c r="J1931"/>
  <c r="J1930"/>
  <c r="J1929"/>
  <c r="J1928"/>
  <c r="J1927"/>
  <c r="J1926"/>
  <c r="J1924"/>
  <c r="J1923"/>
  <c r="J1922"/>
  <c r="J1921"/>
  <c r="J1920"/>
  <c r="J1919"/>
  <c r="J1918"/>
  <c r="J1917"/>
  <c r="J1915"/>
  <c r="J1914"/>
  <c r="J1913"/>
  <c r="J1912"/>
  <c r="J1910"/>
  <c r="J1909"/>
  <c r="J1908"/>
  <c r="J1907"/>
  <c r="J1905"/>
  <c r="J1904"/>
  <c r="J1903"/>
  <c r="J1902"/>
  <c r="J1901"/>
  <c r="J1899"/>
  <c r="J1898"/>
  <c r="J1897"/>
  <c r="J1896"/>
  <c r="J1894"/>
  <c r="J1893"/>
  <c r="J1892"/>
  <c r="J1891"/>
  <c r="J1890"/>
  <c r="J1889"/>
  <c r="J1888"/>
  <c r="J1886"/>
  <c r="J1885"/>
  <c r="J1884"/>
  <c r="J1883"/>
  <c r="J1881"/>
  <c r="J1880"/>
  <c r="J1879"/>
  <c r="J1878"/>
  <c r="J1877"/>
  <c r="J1875"/>
  <c r="J1874"/>
  <c r="J1873"/>
  <c r="J1872"/>
  <c r="J1870"/>
  <c r="J1869"/>
  <c r="J1868"/>
  <c r="J1867"/>
  <c r="J1866"/>
  <c r="J1626"/>
  <c r="J1418"/>
  <c r="J704"/>
  <c r="J703"/>
  <c r="J700"/>
  <c r="J699"/>
  <c r="J698"/>
  <c r="J691"/>
  <c r="J690"/>
  <c r="J689"/>
  <c r="J686"/>
  <c r="J685"/>
  <c r="J684"/>
  <c r="J683"/>
  <c r="J682"/>
  <c r="J681"/>
  <c r="J680"/>
  <c r="J679"/>
  <c r="J678"/>
  <c r="J674"/>
  <c r="J673"/>
  <c r="J672"/>
  <c r="J669"/>
  <c r="J662"/>
  <c r="J661"/>
  <c r="J659"/>
  <c r="J658"/>
  <c r="J657"/>
  <c r="J656"/>
  <c r="J655"/>
  <c r="J654"/>
  <c r="J653"/>
  <c r="J652"/>
  <c r="J651"/>
  <c r="J650"/>
  <c r="J649"/>
  <c r="J648"/>
  <c r="J647"/>
  <c r="J646"/>
  <c r="J645"/>
  <c r="J644"/>
  <c r="J640"/>
  <c r="J639"/>
  <c r="J636"/>
  <c r="J89" i="3"/>
  <c r="I89"/>
  <c r="J88"/>
  <c r="I88"/>
  <c r="J87"/>
  <c r="I87"/>
  <c r="J84"/>
  <c r="I84"/>
  <c r="J81"/>
  <c r="I81"/>
  <c r="J80"/>
  <c r="I80"/>
  <c r="J77"/>
  <c r="I77"/>
  <c r="J76"/>
  <c r="I76"/>
  <c r="J73"/>
  <c r="I73"/>
  <c r="J72"/>
  <c r="I72"/>
  <c r="J71"/>
  <c r="I71"/>
  <c r="J70"/>
  <c r="I70"/>
  <c r="J69"/>
  <c r="I69"/>
  <c r="J66"/>
  <c r="I66"/>
  <c r="J65"/>
  <c r="I65"/>
  <c r="J64"/>
  <c r="I64"/>
  <c r="J63"/>
  <c r="I63"/>
  <c r="J62"/>
  <c r="I62"/>
  <c r="J61"/>
  <c r="I61"/>
  <c r="J58"/>
  <c r="I58"/>
  <c r="J57"/>
  <c r="I57"/>
  <c r="J54"/>
  <c r="I54"/>
  <c r="J53"/>
  <c r="I53"/>
  <c r="J52"/>
  <c r="I52"/>
  <c r="J51"/>
  <c r="I51"/>
  <c r="J50"/>
  <c r="I50"/>
  <c r="J49"/>
  <c r="I49"/>
  <c r="J48"/>
  <c r="I48"/>
  <c r="J45"/>
  <c r="I45"/>
  <c r="J42"/>
  <c r="I42"/>
  <c r="J40"/>
  <c r="I40"/>
  <c r="J39"/>
  <c r="I39"/>
  <c r="J38"/>
  <c r="J36"/>
  <c r="I36"/>
  <c r="J35"/>
  <c r="I35"/>
  <c r="J34"/>
  <c r="I34"/>
  <c r="J33"/>
  <c r="I33"/>
  <c r="J32"/>
  <c r="I32"/>
  <c r="I31"/>
  <c r="J30"/>
  <c r="I30"/>
  <c r="J29"/>
  <c r="I29"/>
  <c r="J28"/>
  <c r="I28"/>
  <c r="J25"/>
  <c r="I25"/>
  <c r="J24"/>
  <c r="I24"/>
  <c r="J21"/>
  <c r="I21"/>
  <c r="H20"/>
  <c r="F20"/>
  <c r="J20"/>
  <c r="E20"/>
  <c r="I20"/>
  <c r="J18"/>
  <c r="I18"/>
  <c r="I16"/>
  <c r="J15"/>
  <c r="I15"/>
  <c r="J14"/>
  <c r="I14"/>
  <c r="J13"/>
  <c r="I13"/>
  <c r="J12"/>
  <c r="I12"/>
  <c r="J11"/>
  <c r="I11"/>
  <c r="J10"/>
  <c r="I10"/>
  <c r="H86"/>
  <c r="G86"/>
  <c r="F86"/>
  <c r="E86"/>
  <c r="H83"/>
  <c r="G83"/>
  <c r="F83"/>
  <c r="J83"/>
  <c r="E83"/>
  <c r="H79"/>
  <c r="G79"/>
  <c r="F79"/>
  <c r="E79"/>
  <c r="H75"/>
  <c r="G75"/>
  <c r="F75"/>
  <c r="J75"/>
  <c r="E75"/>
  <c r="I75"/>
  <c r="H68"/>
  <c r="G68"/>
  <c r="F68"/>
  <c r="E68"/>
  <c r="H60"/>
  <c r="G60"/>
  <c r="F60"/>
  <c r="J60"/>
  <c r="E60"/>
  <c r="I60"/>
  <c r="H56"/>
  <c r="F56"/>
  <c r="J56"/>
  <c r="G56"/>
  <c r="E56"/>
  <c r="H47"/>
  <c r="G47"/>
  <c r="F47"/>
  <c r="E47"/>
  <c r="H44"/>
  <c r="I44"/>
  <c r="G44"/>
  <c r="F44"/>
  <c r="I38"/>
  <c r="H27"/>
  <c r="G27"/>
  <c r="F27"/>
  <c r="E27"/>
  <c r="H23"/>
  <c r="G23"/>
  <c r="F23"/>
  <c r="E23"/>
  <c r="G20"/>
  <c r="H9"/>
  <c r="G9"/>
  <c r="F9"/>
  <c r="E9"/>
  <c r="H369" i="1"/>
  <c r="H363"/>
  <c r="H667"/>
  <c r="H665"/>
  <c r="H2341"/>
  <c r="E1970" i="2"/>
  <c r="I1970"/>
  <c r="E1648"/>
  <c r="E1189"/>
  <c r="I1190"/>
  <c r="E718"/>
  <c r="I719"/>
  <c r="E1101"/>
  <c r="I1101"/>
  <c r="I1102"/>
  <c r="E1207"/>
  <c r="I1207"/>
  <c r="I1208"/>
  <c r="E920"/>
  <c r="I921"/>
  <c r="E715"/>
  <c r="I716"/>
  <c r="I86" i="3"/>
  <c r="J86"/>
  <c r="I83"/>
  <c r="J79"/>
  <c r="I79"/>
  <c r="I68"/>
  <c r="J68"/>
  <c r="I56"/>
  <c r="J47"/>
  <c r="I47"/>
  <c r="J44"/>
  <c r="I27"/>
  <c r="J27"/>
  <c r="I23"/>
  <c r="J23"/>
  <c r="J9"/>
  <c r="I9"/>
  <c r="H91"/>
  <c r="E1980" i="2"/>
  <c r="I1980"/>
  <c r="I1981"/>
  <c r="L2385" i="1"/>
  <c r="M2387"/>
  <c r="M2385"/>
  <c r="M2386"/>
  <c r="J1625" i="2"/>
  <c r="J1417"/>
  <c r="I1677"/>
  <c r="I1584"/>
  <c r="I1737"/>
  <c r="J1705"/>
  <c r="E1961"/>
  <c r="I1961"/>
  <c r="J1806"/>
  <c r="J1587"/>
  <c r="J1607"/>
  <c r="E2002"/>
  <c r="I2002"/>
  <c r="I1558"/>
  <c r="I1592"/>
  <c r="I1831"/>
  <c r="J1831"/>
  <c r="J1769"/>
  <c r="J1681"/>
  <c r="E1767"/>
  <c r="J1707"/>
  <c r="J1740"/>
  <c r="J1732"/>
  <c r="I1762"/>
  <c r="J1837"/>
  <c r="I1986"/>
  <c r="J1584"/>
  <c r="I1982"/>
  <c r="I1983"/>
  <c r="I1672"/>
  <c r="J1798"/>
  <c r="J1737"/>
  <c r="J1677"/>
  <c r="J1772"/>
  <c r="J1618"/>
  <c r="I1749"/>
  <c r="J1764"/>
  <c r="J1809"/>
  <c r="I1707"/>
  <c r="I1764"/>
  <c r="J1647"/>
  <c r="J1698"/>
  <c r="J1817"/>
  <c r="J1841"/>
  <c r="J1506"/>
  <c r="J1799"/>
  <c r="E1583"/>
  <c r="E1582"/>
  <c r="I1582"/>
  <c r="J1731"/>
  <c r="I1740"/>
  <c r="J1725"/>
  <c r="I1759"/>
  <c r="E1984"/>
  <c r="I1984"/>
  <c r="J1738"/>
  <c r="J1748"/>
  <c r="J1589"/>
  <c r="I1758"/>
  <c r="I1733"/>
  <c r="J1640"/>
  <c r="I1705"/>
  <c r="J1752"/>
  <c r="I1613"/>
  <c r="J1639"/>
  <c r="J1746"/>
  <c r="J1834"/>
  <c r="J1755"/>
  <c r="J1838"/>
  <c r="I1681"/>
  <c r="J1656"/>
  <c r="J1756"/>
  <c r="J1632"/>
  <c r="J1749"/>
  <c r="J1797"/>
  <c r="I1589"/>
  <c r="J1680"/>
  <c r="I1706"/>
  <c r="J1759"/>
  <c r="J1805"/>
  <c r="I1757"/>
  <c r="I1780"/>
  <c r="J1660"/>
  <c r="J1839"/>
  <c r="J1543"/>
  <c r="J1592"/>
  <c r="J1654"/>
  <c r="J1753"/>
  <c r="I1687"/>
  <c r="J1745"/>
  <c r="J1620"/>
  <c r="J1780"/>
  <c r="I1670"/>
  <c r="I1745"/>
  <c r="J1840"/>
  <c r="J1856"/>
  <c r="J1848"/>
  <c r="J1857"/>
  <c r="J1849"/>
  <c r="J1836"/>
  <c r="I1838"/>
  <c r="I1836"/>
  <c r="I1844"/>
  <c r="E1843"/>
  <c r="E1842"/>
  <c r="I1841"/>
  <c r="I1839"/>
  <c r="I1837"/>
  <c r="J1821"/>
  <c r="J1822"/>
  <c r="J1818"/>
  <c r="J1819"/>
  <c r="J1810"/>
  <c r="J1811"/>
  <c r="J1814"/>
  <c r="J1803"/>
  <c r="J1796"/>
  <c r="J1823"/>
  <c r="J1804"/>
  <c r="J1812"/>
  <c r="J1820"/>
  <c r="J1816"/>
  <c r="J1815"/>
  <c r="J1784"/>
  <c r="J1785"/>
  <c r="J1776"/>
  <c r="J1779"/>
  <c r="J1778"/>
  <c r="J1781"/>
  <c r="J1782"/>
  <c r="J1783"/>
  <c r="J1786"/>
  <c r="J1777"/>
  <c r="J1711"/>
  <c r="J1770"/>
  <c r="J1771"/>
  <c r="J1729"/>
  <c r="J1721"/>
  <c r="J1735"/>
  <c r="J1736"/>
  <c r="J1714"/>
  <c r="J1761"/>
  <c r="J1716"/>
  <c r="J1751"/>
  <c r="J1722"/>
  <c r="J1739"/>
  <c r="J1747"/>
  <c r="J1712"/>
  <c r="J1730"/>
  <c r="I1747"/>
  <c r="J1754"/>
  <c r="J1762"/>
  <c r="I1746"/>
  <c r="I1772"/>
  <c r="J1717"/>
  <c r="J1763"/>
  <c r="J1715"/>
  <c r="I1732"/>
  <c r="I1756"/>
  <c r="I1769"/>
  <c r="I1669"/>
  <c r="J1596"/>
  <c r="J1638"/>
  <c r="J1663"/>
  <c r="J1684"/>
  <c r="I1622"/>
  <c r="I1668"/>
  <c r="J1623"/>
  <c r="J1657"/>
  <c r="I1632"/>
  <c r="J1619"/>
  <c r="J1697"/>
  <c r="E1736"/>
  <c r="I1736"/>
  <c r="E1771"/>
  <c r="J1586"/>
  <c r="J1649"/>
  <c r="I1523"/>
  <c r="J1545"/>
  <c r="J1588"/>
  <c r="J1599"/>
  <c r="J1512"/>
  <c r="J1622"/>
  <c r="I1647"/>
  <c r="J1515"/>
  <c r="J1558"/>
  <c r="J1577"/>
  <c r="I1671"/>
  <c r="I1695"/>
  <c r="E1761"/>
  <c r="I1761"/>
  <c r="E1755"/>
  <c r="I1755"/>
  <c r="E1748"/>
  <c r="I1748"/>
  <c r="E1744"/>
  <c r="E1739"/>
  <c r="I1739"/>
  <c r="I1734"/>
  <c r="E1731"/>
  <c r="I1731"/>
  <c r="I1730"/>
  <c r="I1729"/>
  <c r="E1703"/>
  <c r="I1618"/>
  <c r="J1617"/>
  <c r="I1623"/>
  <c r="J1630"/>
  <c r="J1667"/>
  <c r="J1662"/>
  <c r="J1661"/>
  <c r="J1683"/>
  <c r="J1682"/>
  <c r="J1694"/>
  <c r="J1637"/>
  <c r="J1688"/>
  <c r="J1689"/>
  <c r="J1659"/>
  <c r="J1658"/>
  <c r="J1643"/>
  <c r="J1631"/>
  <c r="J1644"/>
  <c r="J1668"/>
  <c r="J1690"/>
  <c r="J1699"/>
  <c r="I1646"/>
  <c r="J1655"/>
  <c r="I1689"/>
  <c r="I1643"/>
  <c r="J1675"/>
  <c r="I1686"/>
  <c r="I1649"/>
  <c r="I1641"/>
  <c r="I1639"/>
  <c r="I1659"/>
  <c r="I1699"/>
  <c r="J1695"/>
  <c r="I1637"/>
  <c r="I1656"/>
  <c r="I1696"/>
  <c r="E1698"/>
  <c r="I1698"/>
  <c r="I1697"/>
  <c r="E1694"/>
  <c r="I1694"/>
  <c r="I1690"/>
  <c r="E1685"/>
  <c r="E1682"/>
  <c r="I1683"/>
  <c r="I1684"/>
  <c r="E1679"/>
  <c r="I1680"/>
  <c r="E1676"/>
  <c r="E1675"/>
  <c r="I1675"/>
  <c r="E1667"/>
  <c r="E1661"/>
  <c r="I1662"/>
  <c r="I1663"/>
  <c r="I1660"/>
  <c r="I1657"/>
  <c r="I1654"/>
  <c r="I1644"/>
  <c r="I1642"/>
  <c r="I1640"/>
  <c r="I1638"/>
  <c r="I1635"/>
  <c r="E1634"/>
  <c r="I1634"/>
  <c r="E1630"/>
  <c r="I1631"/>
  <c r="E1688"/>
  <c r="E1658"/>
  <c r="E1655"/>
  <c r="E1652"/>
  <c r="E1636"/>
  <c r="I1636"/>
  <c r="J1624"/>
  <c r="E1625"/>
  <c r="I1625"/>
  <c r="E1621"/>
  <c r="E1619"/>
  <c r="I1619"/>
  <c r="E1617"/>
  <c r="I1617"/>
  <c r="J1612"/>
  <c r="J1611"/>
  <c r="J1604"/>
  <c r="J1595"/>
  <c r="J1600"/>
  <c r="J1601"/>
  <c r="J1593"/>
  <c r="J1602"/>
  <c r="J1594"/>
  <c r="J1605"/>
  <c r="J1613"/>
  <c r="I1599"/>
  <c r="I1594"/>
  <c r="I1602"/>
  <c r="J1606"/>
  <c r="I1595"/>
  <c r="J1582"/>
  <c r="I1604"/>
  <c r="E1612"/>
  <c r="I1612"/>
  <c r="I1609"/>
  <c r="E1608"/>
  <c r="I1610"/>
  <c r="I1607"/>
  <c r="I1605"/>
  <c r="E1600"/>
  <c r="I1601"/>
  <c r="E1598"/>
  <c r="I1596"/>
  <c r="E1593"/>
  <c r="I1593"/>
  <c r="E1591"/>
  <c r="I1591"/>
  <c r="E1588"/>
  <c r="I1588"/>
  <c r="I1587"/>
  <c r="J1544"/>
  <c r="J1531"/>
  <c r="I1579"/>
  <c r="J1566"/>
  <c r="J1557"/>
  <c r="J1550"/>
  <c r="I1566"/>
  <c r="I1550"/>
  <c r="I1553"/>
  <c r="J1560"/>
  <c r="I1520"/>
  <c r="J1556"/>
  <c r="E1565"/>
  <c r="E1564"/>
  <c r="J1549"/>
  <c r="J1563"/>
  <c r="J1559"/>
  <c r="J1546"/>
  <c r="J1539"/>
  <c r="I1544"/>
  <c r="I1577"/>
  <c r="E1603"/>
  <c r="I1552"/>
  <c r="J1552"/>
  <c r="J1564"/>
  <c r="J1565"/>
  <c r="J1538"/>
  <c r="J1537"/>
  <c r="J1527"/>
  <c r="J1526"/>
  <c r="J1508"/>
  <c r="J1507"/>
  <c r="J1505"/>
  <c r="J1555"/>
  <c r="J1568"/>
  <c r="J1567"/>
  <c r="J1511"/>
  <c r="J1510"/>
  <c r="J1578"/>
  <c r="I1578"/>
  <c r="I1548"/>
  <c r="J1528"/>
  <c r="I1545"/>
  <c r="J1553"/>
  <c r="J1509"/>
  <c r="J1579"/>
  <c r="I1508"/>
  <c r="I1515"/>
  <c r="I1512"/>
  <c r="I1559"/>
  <c r="I1505"/>
  <c r="I1556"/>
  <c r="I1571"/>
  <c r="J1569"/>
  <c r="I1539"/>
  <c r="I1536"/>
  <c r="E1576"/>
  <c r="I1572"/>
  <c r="I1569"/>
  <c r="H1541" i="1"/>
  <c r="E1563" i="2"/>
  <c r="E1561"/>
  <c r="E1535"/>
  <c r="E1538"/>
  <c r="I1538"/>
  <c r="E1557"/>
  <c r="I1557"/>
  <c r="E1555"/>
  <c r="E1549"/>
  <c r="I1549"/>
  <c r="I1546"/>
  <c r="E1543"/>
  <c r="I1543"/>
  <c r="E1570"/>
  <c r="I1568"/>
  <c r="I1527"/>
  <c r="E1526"/>
  <c r="I1526"/>
  <c r="E1529"/>
  <c r="I1530"/>
  <c r="I1528"/>
  <c r="I1531"/>
  <c r="E1519"/>
  <c r="I1427"/>
  <c r="J1446"/>
  <c r="E1522"/>
  <c r="I1522"/>
  <c r="J1344"/>
  <c r="J1461"/>
  <c r="J1431"/>
  <c r="J1475"/>
  <c r="J1440"/>
  <c r="J1492"/>
  <c r="J1452"/>
  <c r="I1509"/>
  <c r="J1410"/>
  <c r="I1475"/>
  <c r="J1296"/>
  <c r="J1317"/>
  <c r="J1312"/>
  <c r="J1422"/>
  <c r="J1444"/>
  <c r="J1467"/>
  <c r="J1423"/>
  <c r="J1458"/>
  <c r="J1489"/>
  <c r="J1288"/>
  <c r="I1312"/>
  <c r="J1487"/>
  <c r="J1300"/>
  <c r="J1424"/>
  <c r="I1480"/>
  <c r="J1468"/>
  <c r="J1437"/>
  <c r="J1455"/>
  <c r="J1491"/>
  <c r="J1268"/>
  <c r="J1428"/>
  <c r="I1288"/>
  <c r="J1303"/>
  <c r="J1445"/>
  <c r="J1451"/>
  <c r="J1435"/>
  <c r="J1449"/>
  <c r="I1492"/>
  <c r="J1291"/>
  <c r="J1480"/>
  <c r="I1311"/>
  <c r="J1439"/>
  <c r="J1438"/>
  <c r="J1485"/>
  <c r="J1443"/>
  <c r="J1488"/>
  <c r="J1370"/>
  <c r="J1436"/>
  <c r="J1472"/>
  <c r="J1469"/>
  <c r="J1434"/>
  <c r="J1486"/>
  <c r="E1514"/>
  <c r="E1511"/>
  <c r="I1511"/>
  <c r="I1506"/>
  <c r="E1507"/>
  <c r="E1504"/>
  <c r="J1498"/>
  <c r="J1499"/>
  <c r="J1496"/>
  <c r="J1470"/>
  <c r="J1484"/>
  <c r="J1471"/>
  <c r="J1500"/>
  <c r="I1497"/>
  <c r="I1500"/>
  <c r="I1469"/>
  <c r="I1499"/>
  <c r="J1490"/>
  <c r="I1487"/>
  <c r="I1488"/>
  <c r="J1497"/>
  <c r="I1484"/>
  <c r="I1491"/>
  <c r="E1496"/>
  <c r="E1495"/>
  <c r="E1498"/>
  <c r="I1489"/>
  <c r="E1486"/>
  <c r="I1486"/>
  <c r="I1485"/>
  <c r="E1490"/>
  <c r="E1479"/>
  <c r="I1479"/>
  <c r="E1474"/>
  <c r="E1470"/>
  <c r="I1470"/>
  <c r="I1471"/>
  <c r="I1472"/>
  <c r="E1468"/>
  <c r="I1468"/>
  <c r="I1467"/>
  <c r="J1447"/>
  <c r="J1448"/>
  <c r="J1453"/>
  <c r="J1454"/>
  <c r="J1420"/>
  <c r="J1421"/>
  <c r="J1427"/>
  <c r="J1450"/>
  <c r="I1431"/>
  <c r="J1416"/>
  <c r="J1425"/>
  <c r="J1297"/>
  <c r="J1392"/>
  <c r="I1300"/>
  <c r="J1289"/>
  <c r="J1386"/>
  <c r="J1283"/>
  <c r="J1387"/>
  <c r="J1348"/>
  <c r="I1296"/>
  <c r="J1326"/>
  <c r="I1272"/>
  <c r="J1267"/>
  <c r="I1319"/>
  <c r="J1359"/>
  <c r="J1309"/>
  <c r="I1298"/>
  <c r="J1398"/>
  <c r="E1327"/>
  <c r="J1356"/>
  <c r="J1280"/>
  <c r="J1383"/>
  <c r="J1298"/>
  <c r="E1318"/>
  <c r="I1318"/>
  <c r="J1393"/>
  <c r="J1319"/>
  <c r="I1268"/>
  <c r="J1382"/>
  <c r="I1315"/>
  <c r="J1299"/>
  <c r="J1343"/>
  <c r="J1301"/>
  <c r="J1397"/>
  <c r="I1289"/>
  <c r="J1325"/>
  <c r="I1308"/>
  <c r="I1326"/>
  <c r="J1290"/>
  <c r="J1308"/>
  <c r="J1364"/>
  <c r="J1379"/>
  <c r="J1346"/>
  <c r="J1347"/>
  <c r="J1355"/>
  <c r="J1368"/>
  <c r="J1395"/>
  <c r="J1377"/>
  <c r="J1345"/>
  <c r="J1380"/>
  <c r="J1388"/>
  <c r="J1396"/>
  <c r="J1369"/>
  <c r="J1378"/>
  <c r="I1329"/>
  <c r="J1329"/>
  <c r="J1314"/>
  <c r="J1318"/>
  <c r="J1323"/>
  <c r="J1278"/>
  <c r="I1281"/>
  <c r="I1279"/>
  <c r="I1274"/>
  <c r="I1317"/>
  <c r="J1279"/>
  <c r="I1310"/>
  <c r="J1310"/>
  <c r="I1325"/>
  <c r="I1269"/>
  <c r="I1295"/>
  <c r="I1290"/>
  <c r="J1324"/>
  <c r="J1315"/>
  <c r="I1324"/>
  <c r="E1297"/>
  <c r="I1297"/>
  <c r="I1280"/>
  <c r="E1316"/>
  <c r="I1316"/>
  <c r="E1314"/>
  <c r="I1314"/>
  <c r="E1309"/>
  <c r="I1309"/>
  <c r="E1307"/>
  <c r="I1307"/>
  <c r="E1301"/>
  <c r="I1303"/>
  <c r="E1299"/>
  <c r="I1299"/>
  <c r="I1291"/>
  <c r="E1287"/>
  <c r="I1286"/>
  <c r="I1283"/>
  <c r="I1275"/>
  <c r="E1271"/>
  <c r="I1271"/>
  <c r="I1270"/>
  <c r="J1258"/>
  <c r="J1250"/>
  <c r="I1223"/>
  <c r="I1206"/>
  <c r="I1253"/>
  <c r="J1206"/>
  <c r="I1220"/>
  <c r="E1273"/>
  <c r="J1261"/>
  <c r="J1220"/>
  <c r="I1217"/>
  <c r="I1247"/>
  <c r="I1231"/>
  <c r="I1260"/>
  <c r="J1205"/>
  <c r="E1259"/>
  <c r="I1259"/>
  <c r="J1262"/>
  <c r="J1193"/>
  <c r="J1196"/>
  <c r="J1253"/>
  <c r="J1259"/>
  <c r="J1333"/>
  <c r="J1334"/>
  <c r="I1334"/>
  <c r="E1333"/>
  <c r="I1333"/>
  <c r="I1323"/>
  <c r="I1285"/>
  <c r="I1282"/>
  <c r="E1278"/>
  <c r="J1213"/>
  <c r="J1212"/>
  <c r="J1222"/>
  <c r="J1221"/>
  <c r="J1183"/>
  <c r="J1209"/>
  <c r="J1210"/>
  <c r="J1230"/>
  <c r="J1251"/>
  <c r="J1252"/>
  <c r="J1218"/>
  <c r="J1235"/>
  <c r="J1238"/>
  <c r="J1237"/>
  <c r="J1243"/>
  <c r="J1245"/>
  <c r="J1246"/>
  <c r="J1198"/>
  <c r="J1197"/>
  <c r="J1248"/>
  <c r="J1249"/>
  <c r="J1194"/>
  <c r="J1215"/>
  <c r="I1246"/>
  <c r="J1236"/>
  <c r="J1219"/>
  <c r="J1184"/>
  <c r="J1195"/>
  <c r="J1214"/>
  <c r="J1244"/>
  <c r="J1260"/>
  <c r="I1244"/>
  <c r="J1211"/>
  <c r="I1191"/>
  <c r="J1223"/>
  <c r="I1262"/>
  <c r="J1199"/>
  <c r="J1231"/>
  <c r="J1239"/>
  <c r="J1247"/>
  <c r="J1217"/>
  <c r="I1186"/>
  <c r="J1191"/>
  <c r="J1216"/>
  <c r="I1236"/>
  <c r="I1183"/>
  <c r="I1226"/>
  <c r="I1258"/>
  <c r="E1261"/>
  <c r="I1261"/>
  <c r="E1222"/>
  <c r="E1221"/>
  <c r="E1230"/>
  <c r="E1229"/>
  <c r="I1239"/>
  <c r="E1257"/>
  <c r="I1257"/>
  <c r="E1225"/>
  <c r="E1219"/>
  <c r="E1218"/>
  <c r="I1218"/>
  <c r="E1216"/>
  <c r="E1252"/>
  <c r="I1252"/>
  <c r="E1243"/>
  <c r="E1242"/>
  <c r="E1235"/>
  <c r="I1235"/>
  <c r="I1234"/>
  <c r="E1203"/>
  <c r="E1200"/>
  <c r="I1214"/>
  <c r="I1085"/>
  <c r="J1093"/>
  <c r="J1126"/>
  <c r="J1134"/>
  <c r="J1154"/>
  <c r="J1085"/>
  <c r="J1131"/>
  <c r="I997"/>
  <c r="J1002"/>
  <c r="I1106"/>
  <c r="J1155"/>
  <c r="J1104"/>
  <c r="E1124"/>
  <c r="E1119"/>
  <c r="I1098"/>
  <c r="J1106"/>
  <c r="I1093"/>
  <c r="J1123"/>
  <c r="J1132"/>
  <c r="J1090"/>
  <c r="J1086"/>
  <c r="J1098"/>
  <c r="I1184"/>
  <c r="J1028"/>
  <c r="E1084"/>
  <c r="I1084"/>
  <c r="I1126"/>
  <c r="J1114"/>
  <c r="J1103"/>
  <c r="J1157"/>
  <c r="J1158"/>
  <c r="J1099"/>
  <c r="I1113"/>
  <c r="I1097"/>
  <c r="I1205"/>
  <c r="I1202"/>
  <c r="I1193"/>
  <c r="I1187"/>
  <c r="E1245"/>
  <c r="I1238"/>
  <c r="I1233"/>
  <c r="I1213"/>
  <c r="I1201"/>
  <c r="I1192"/>
  <c r="E1185"/>
  <c r="E1182"/>
  <c r="J1138"/>
  <c r="J1139"/>
  <c r="J1156"/>
  <c r="J1140"/>
  <c r="J1120"/>
  <c r="J1084"/>
  <c r="J1082"/>
  <c r="I1111"/>
  <c r="J1111"/>
  <c r="J1091"/>
  <c r="J1092"/>
  <c r="I1082"/>
  <c r="I1100"/>
  <c r="J1083"/>
  <c r="J1100"/>
  <c r="I1116"/>
  <c r="I1122"/>
  <c r="J1105"/>
  <c r="J1133"/>
  <c r="I1120"/>
  <c r="J1087"/>
  <c r="J1121"/>
  <c r="I1087"/>
  <c r="J1112"/>
  <c r="I1121"/>
  <c r="I1112"/>
  <c r="I1134"/>
  <c r="E1133"/>
  <c r="I1133"/>
  <c r="I1114"/>
  <c r="I1083"/>
  <c r="I1123"/>
  <c r="E1115"/>
  <c r="I1115"/>
  <c r="J995"/>
  <c r="I995"/>
  <c r="J1001"/>
  <c r="J1023"/>
  <c r="I1001"/>
  <c r="I1103"/>
  <c r="J1022"/>
  <c r="J1021"/>
  <c r="I992"/>
  <c r="J996"/>
  <c r="J1052"/>
  <c r="J1005"/>
  <c r="J1066"/>
  <c r="I1010"/>
  <c r="J1004"/>
  <c r="H1686" i="1"/>
  <c r="E1020" i="2"/>
  <c r="I1020"/>
  <c r="I1021"/>
  <c r="J1010"/>
  <c r="I1018"/>
  <c r="J1015"/>
  <c r="I1033"/>
  <c r="E1092"/>
  <c r="E1091"/>
  <c r="I1091"/>
  <c r="J989"/>
  <c r="J1020"/>
  <c r="J1018"/>
  <c r="J1069"/>
  <c r="J987"/>
  <c r="E1105"/>
  <c r="I1105"/>
  <c r="I1104"/>
  <c r="E1099"/>
  <c r="I1099"/>
  <c r="J998"/>
  <c r="J999"/>
  <c r="I1022"/>
  <c r="I1048"/>
  <c r="J997"/>
  <c r="J1064"/>
  <c r="J992"/>
  <c r="J1008"/>
  <c r="J1049"/>
  <c r="E1009"/>
  <c r="I1009"/>
  <c r="I999"/>
  <c r="J1009"/>
  <c r="I1005"/>
  <c r="J1055"/>
  <c r="E1086"/>
  <c r="I1086"/>
  <c r="J1050"/>
  <c r="J1051"/>
  <c r="J1048"/>
  <c r="I1046"/>
  <c r="J1070"/>
  <c r="J1071"/>
  <c r="J1067"/>
  <c r="J1068"/>
  <c r="J1072"/>
  <c r="I1068"/>
  <c r="I1069"/>
  <c r="I1055"/>
  <c r="I1049"/>
  <c r="I1047"/>
  <c r="E1067"/>
  <c r="E1053"/>
  <c r="E1045"/>
  <c r="J1017"/>
  <c r="J1007"/>
  <c r="J991"/>
  <c r="I990"/>
  <c r="I1003"/>
  <c r="J990"/>
  <c r="I987"/>
  <c r="I1041"/>
  <c r="I998"/>
  <c r="I1023"/>
  <c r="E1017"/>
  <c r="I1017"/>
  <c r="E1030"/>
  <c r="E996"/>
  <c r="I996"/>
  <c r="E991"/>
  <c r="I991"/>
  <c r="E986"/>
  <c r="H1681" i="1"/>
  <c r="E1015" i="2"/>
  <c r="E1013"/>
  <c r="I1014"/>
  <c r="I1008"/>
  <c r="E994"/>
  <c r="E988"/>
  <c r="I989"/>
  <c r="I1007"/>
  <c r="I1004"/>
  <c r="I1028"/>
  <c r="J975"/>
  <c r="J960"/>
  <c r="J949"/>
  <c r="I862"/>
  <c r="J737"/>
  <c r="I941"/>
  <c r="J856"/>
  <c r="J971"/>
  <c r="J935"/>
  <c r="J962"/>
  <c r="J977"/>
  <c r="J974"/>
  <c r="J970"/>
  <c r="I977"/>
  <c r="J964"/>
  <c r="J790"/>
  <c r="J955"/>
  <c r="J930"/>
  <c r="J965"/>
  <c r="J978"/>
  <c r="I1036"/>
  <c r="E1040"/>
  <c r="E1025"/>
  <c r="I1035"/>
  <c r="J980"/>
  <c r="J981"/>
  <c r="I969"/>
  <c r="J969"/>
  <c r="J966"/>
  <c r="J953"/>
  <c r="J954"/>
  <c r="J933"/>
  <c r="J934"/>
  <c r="I949"/>
  <c r="J963"/>
  <c r="J979"/>
  <c r="I793"/>
  <c r="I796"/>
  <c r="I811"/>
  <c r="I835"/>
  <c r="J734"/>
  <c r="J841"/>
  <c r="J820"/>
  <c r="I787"/>
  <c r="I948"/>
  <c r="I734"/>
  <c r="J713"/>
  <c r="I975"/>
  <c r="E968"/>
  <c r="I841"/>
  <c r="J752"/>
  <c r="J761"/>
  <c r="J833"/>
  <c r="I710"/>
  <c r="I758"/>
  <c r="J793"/>
  <c r="I955"/>
  <c r="I802"/>
  <c r="J755"/>
  <c r="J787"/>
  <c r="E786"/>
  <c r="E785"/>
  <c r="J776"/>
  <c r="I865"/>
  <c r="I782"/>
  <c r="I850"/>
  <c r="I871"/>
  <c r="J746"/>
  <c r="J784"/>
  <c r="I755"/>
  <c r="I776"/>
  <c r="I736"/>
  <c r="J816"/>
  <c r="J817"/>
  <c r="I868"/>
  <c r="J712"/>
  <c r="J725"/>
  <c r="I847"/>
  <c r="J874"/>
  <c r="I952"/>
  <c r="J731"/>
  <c r="I753"/>
  <c r="J792"/>
  <c r="J853"/>
  <c r="I874"/>
  <c r="I713"/>
  <c r="J764"/>
  <c r="J782"/>
  <c r="I844"/>
  <c r="J868"/>
  <c r="I820"/>
  <c r="I883"/>
  <c r="J728"/>
  <c r="I805"/>
  <c r="I853"/>
  <c r="I731"/>
  <c r="I779"/>
  <c r="I817"/>
  <c r="I737"/>
  <c r="I773"/>
  <c r="J877"/>
  <c r="I954"/>
  <c r="E950"/>
  <c r="J748"/>
  <c r="J747"/>
  <c r="J852"/>
  <c r="J851"/>
  <c r="J723"/>
  <c r="J724"/>
  <c r="J763"/>
  <c r="J762"/>
  <c r="J828"/>
  <c r="J827"/>
  <c r="J768"/>
  <c r="J769"/>
  <c r="J873"/>
  <c r="J872"/>
  <c r="J882"/>
  <c r="J881"/>
  <c r="J745"/>
  <c r="J744"/>
  <c r="J818"/>
  <c r="J819"/>
  <c r="J849"/>
  <c r="J848"/>
  <c r="J824"/>
  <c r="J825"/>
  <c r="J812"/>
  <c r="J777"/>
  <c r="J765"/>
  <c r="J766"/>
  <c r="J870"/>
  <c r="J869"/>
  <c r="J866"/>
  <c r="J867"/>
  <c r="J742"/>
  <c r="J741"/>
  <c r="J786"/>
  <c r="J830"/>
  <c r="J831"/>
  <c r="J845"/>
  <c r="J846"/>
  <c r="I873"/>
  <c r="J832"/>
  <c r="J814"/>
  <c r="I798"/>
  <c r="I826"/>
  <c r="I846"/>
  <c r="I751"/>
  <c r="J783"/>
  <c r="J788"/>
  <c r="J815"/>
  <c r="J770"/>
  <c r="J835"/>
  <c r="J826"/>
  <c r="J834"/>
  <c r="J847"/>
  <c r="J883"/>
  <c r="J749"/>
  <c r="J767"/>
  <c r="I790"/>
  <c r="I813"/>
  <c r="I877"/>
  <c r="I784"/>
  <c r="J779"/>
  <c r="I769"/>
  <c r="J778"/>
  <c r="I799"/>
  <c r="J805"/>
  <c r="J813"/>
  <c r="J829"/>
  <c r="J850"/>
  <c r="J871"/>
  <c r="I823"/>
  <c r="I843"/>
  <c r="I861"/>
  <c r="J729"/>
  <c r="I804"/>
  <c r="J743"/>
  <c r="J773"/>
  <c r="I778"/>
  <c r="I831"/>
  <c r="I728"/>
  <c r="I840"/>
  <c r="I856"/>
  <c r="I880"/>
  <c r="E882"/>
  <c r="E879"/>
  <c r="E876"/>
  <c r="E872"/>
  <c r="E870"/>
  <c r="I870"/>
  <c r="E867"/>
  <c r="I867"/>
  <c r="E863"/>
  <c r="I864"/>
  <c r="E860"/>
  <c r="I860"/>
  <c r="E857"/>
  <c r="I857"/>
  <c r="I858"/>
  <c r="I859"/>
  <c r="E855"/>
  <c r="I852"/>
  <c r="E849"/>
  <c r="E848"/>
  <c r="E845"/>
  <c r="E842"/>
  <c r="E839"/>
  <c r="E836"/>
  <c r="I836"/>
  <c r="I837"/>
  <c r="I838"/>
  <c r="E834"/>
  <c r="I832"/>
  <c r="E830"/>
  <c r="I828"/>
  <c r="E827"/>
  <c r="I829"/>
  <c r="E825"/>
  <c r="E822"/>
  <c r="E819"/>
  <c r="E818"/>
  <c r="E816"/>
  <c r="I816"/>
  <c r="I814"/>
  <c r="E812"/>
  <c r="I812"/>
  <c r="E810"/>
  <c r="E803"/>
  <c r="E801"/>
  <c r="I801"/>
  <c r="E797"/>
  <c r="E795"/>
  <c r="I795"/>
  <c r="E791"/>
  <c r="E789"/>
  <c r="E783"/>
  <c r="I781"/>
  <c r="E777"/>
  <c r="I777"/>
  <c r="I748"/>
  <c r="I761"/>
  <c r="I746"/>
  <c r="I767"/>
  <c r="I766"/>
  <c r="I743"/>
  <c r="I752"/>
  <c r="I763"/>
  <c r="I742"/>
  <c r="I745"/>
  <c r="I749"/>
  <c r="I760"/>
  <c r="I764"/>
  <c r="I770"/>
  <c r="E768"/>
  <c r="I768"/>
  <c r="E757"/>
  <c r="E733"/>
  <c r="E739"/>
  <c r="E723"/>
  <c r="I724"/>
  <c r="I725"/>
  <c r="E721"/>
  <c r="E730"/>
  <c r="E727"/>
  <c r="J891"/>
  <c r="I897"/>
  <c r="J902"/>
  <c r="I910"/>
  <c r="I894"/>
  <c r="E908"/>
  <c r="E886"/>
  <c r="J916"/>
  <c r="E712"/>
  <c r="I904"/>
  <c r="J906"/>
  <c r="J914"/>
  <c r="I901"/>
  <c r="I891"/>
  <c r="I888"/>
  <c r="E709"/>
  <c r="I709"/>
  <c r="I893"/>
  <c r="I890"/>
  <c r="E892"/>
  <c r="E889"/>
  <c r="J901"/>
  <c r="J905"/>
  <c r="J915"/>
  <c r="J904"/>
  <c r="J913"/>
  <c r="J907"/>
  <c r="I906"/>
  <c r="E914"/>
  <c r="I914"/>
  <c r="I915"/>
  <c r="I916"/>
  <c r="I442"/>
  <c r="I902"/>
  <c r="I907"/>
  <c r="I905"/>
  <c r="E900"/>
  <c r="I900"/>
  <c r="I924"/>
  <c r="E923"/>
  <c r="I662"/>
  <c r="E667"/>
  <c r="I612"/>
  <c r="I429"/>
  <c r="J629"/>
  <c r="E658"/>
  <c r="I658"/>
  <c r="I657"/>
  <c r="E654"/>
  <c r="I654"/>
  <c r="L2386" i="1"/>
  <c r="I626" i="2"/>
  <c r="J587"/>
  <c r="J555"/>
  <c r="I576"/>
  <c r="J626"/>
  <c r="J624"/>
  <c r="I555"/>
  <c r="I549"/>
  <c r="J619"/>
  <c r="J118"/>
  <c r="I606"/>
  <c r="J598"/>
  <c r="J605"/>
  <c r="J556"/>
  <c r="J579"/>
  <c r="J631"/>
  <c r="J632"/>
  <c r="J633"/>
  <c r="I633"/>
  <c r="J630"/>
  <c r="I632"/>
  <c r="E631"/>
  <c r="E624"/>
  <c r="I624"/>
  <c r="I625"/>
  <c r="I603"/>
  <c r="J621"/>
  <c r="J620"/>
  <c r="J592"/>
  <c r="I524"/>
  <c r="J467"/>
  <c r="J562"/>
  <c r="J497"/>
  <c r="I550"/>
  <c r="I595"/>
  <c r="I552"/>
  <c r="J570"/>
  <c r="J584"/>
  <c r="J426"/>
  <c r="J368"/>
  <c r="J550"/>
  <c r="I565"/>
  <c r="J575"/>
  <c r="J576"/>
  <c r="J543"/>
  <c r="J552"/>
  <c r="J565"/>
  <c r="J150"/>
  <c r="J382"/>
  <c r="J454"/>
  <c r="I559"/>
  <c r="J577"/>
  <c r="J596"/>
  <c r="J563"/>
  <c r="J585"/>
  <c r="J414"/>
  <c r="I592"/>
  <c r="J591"/>
  <c r="I594"/>
  <c r="I598"/>
  <c r="E591"/>
  <c r="E593"/>
  <c r="I593"/>
  <c r="J583"/>
  <c r="J586"/>
  <c r="J582"/>
  <c r="I585"/>
  <c r="I575"/>
  <c r="I583"/>
  <c r="I587"/>
  <c r="I584"/>
  <c r="E580"/>
  <c r="I581"/>
  <c r="I582"/>
  <c r="I579"/>
  <c r="E574"/>
  <c r="E573"/>
  <c r="I586"/>
  <c r="E577"/>
  <c r="J568"/>
  <c r="J567"/>
  <c r="I570"/>
  <c r="J569"/>
  <c r="E569"/>
  <c r="I569"/>
  <c r="J549"/>
  <c r="J558"/>
  <c r="I551"/>
  <c r="I564"/>
  <c r="J564"/>
  <c r="I558"/>
  <c r="J561"/>
  <c r="H1710" i="1"/>
  <c r="E556" i="2"/>
  <c r="I556"/>
  <c r="J559"/>
  <c r="E548"/>
  <c r="J32"/>
  <c r="I426"/>
  <c r="I507"/>
  <c r="I352"/>
  <c r="I398"/>
  <c r="J183"/>
  <c r="J442"/>
  <c r="J189"/>
  <c r="I434"/>
  <c r="I512"/>
  <c r="J462"/>
  <c r="I467"/>
  <c r="I371"/>
  <c r="J192"/>
  <c r="I502"/>
  <c r="I18"/>
  <c r="I519"/>
  <c r="J434"/>
  <c r="J532"/>
  <c r="J326"/>
  <c r="J334"/>
  <c r="J385"/>
  <c r="J509"/>
  <c r="J139"/>
  <c r="J401"/>
  <c r="I487"/>
  <c r="J74"/>
  <c r="E490"/>
  <c r="J449"/>
  <c r="J474"/>
  <c r="J151"/>
  <c r="J342"/>
  <c r="I489"/>
  <c r="J393"/>
  <c r="J419"/>
  <c r="J437"/>
  <c r="J504"/>
  <c r="J472"/>
  <c r="J332"/>
  <c r="J335"/>
  <c r="J433"/>
  <c r="I481"/>
  <c r="J216"/>
  <c r="I482"/>
  <c r="I532"/>
  <c r="J157"/>
  <c r="I393"/>
  <c r="J366"/>
  <c r="J425"/>
  <c r="J360"/>
  <c r="J429"/>
  <c r="I479"/>
  <c r="J529"/>
  <c r="J202"/>
  <c r="J46"/>
  <c r="E501"/>
  <c r="I501"/>
  <c r="E518"/>
  <c r="I518"/>
  <c r="I534"/>
  <c r="J371"/>
  <c r="J388"/>
  <c r="J409"/>
  <c r="J457"/>
  <c r="I388"/>
  <c r="J533"/>
  <c r="J331"/>
  <c r="J243"/>
  <c r="I403"/>
  <c r="I527"/>
  <c r="J441"/>
  <c r="J456"/>
  <c r="J448"/>
  <c r="J386"/>
  <c r="J80"/>
  <c r="H1738" i="1"/>
  <c r="E331" i="2"/>
  <c r="H1739" i="1"/>
  <c r="E332" i="2"/>
  <c r="E330"/>
  <c r="J324"/>
  <c r="I363"/>
  <c r="J396"/>
  <c r="J406"/>
  <c r="I514"/>
  <c r="J527"/>
  <c r="I537"/>
  <c r="I334"/>
  <c r="J381"/>
  <c r="J444"/>
  <c r="J240"/>
  <c r="I346"/>
  <c r="J340"/>
  <c r="I542"/>
  <c r="I439"/>
  <c r="I486"/>
  <c r="J390"/>
  <c r="I545"/>
  <c r="J518"/>
  <c r="J357"/>
  <c r="J464"/>
  <c r="J522"/>
  <c r="J436"/>
  <c r="J544"/>
  <c r="J208"/>
  <c r="J416"/>
  <c r="J459"/>
  <c r="J482"/>
  <c r="J519"/>
  <c r="I452"/>
  <c r="I484"/>
  <c r="J397"/>
  <c r="J404"/>
  <c r="J439"/>
  <c r="J496"/>
  <c r="I478"/>
  <c r="I424"/>
  <c r="E53"/>
  <c r="E52"/>
  <c r="E51"/>
  <c r="J70"/>
  <c r="E441"/>
  <c r="I441"/>
  <c r="J387"/>
  <c r="J484"/>
  <c r="J378"/>
  <c r="J411"/>
  <c r="I457"/>
  <c r="J210"/>
  <c r="J109"/>
  <c r="I349"/>
  <c r="I383"/>
  <c r="I438"/>
  <c r="J447"/>
  <c r="I449"/>
  <c r="I494"/>
  <c r="I340"/>
  <c r="J463"/>
  <c r="I493"/>
  <c r="I498"/>
  <c r="J383"/>
  <c r="J395"/>
  <c r="I370"/>
  <c r="I536"/>
  <c r="J167"/>
  <c r="I332"/>
  <c r="J373"/>
  <c r="I409"/>
  <c r="J432"/>
  <c r="J452"/>
  <c r="J492"/>
  <c r="J514"/>
  <c r="J158"/>
  <c r="J98"/>
  <c r="I419"/>
  <c r="I447"/>
  <c r="J392"/>
  <c r="J415"/>
  <c r="J453"/>
  <c r="J479"/>
  <c r="J502"/>
  <c r="J524"/>
  <c r="I458"/>
  <c r="I504"/>
  <c r="J391"/>
  <c r="J513"/>
  <c r="J403"/>
  <c r="I492"/>
  <c r="J104"/>
  <c r="J121"/>
  <c r="J310"/>
  <c r="I324"/>
  <c r="I343"/>
  <c r="I366"/>
  <c r="I378"/>
  <c r="J461"/>
  <c r="I497"/>
  <c r="J534"/>
  <c r="E563"/>
  <c r="I563"/>
  <c r="J372"/>
  <c r="J458"/>
  <c r="J471"/>
  <c r="J516"/>
  <c r="J531"/>
  <c r="J443"/>
  <c r="J451"/>
  <c r="J501"/>
  <c r="J402"/>
  <c r="J410"/>
  <c r="J423"/>
  <c r="J431"/>
  <c r="J476"/>
  <c r="J508"/>
  <c r="J359"/>
  <c r="J358"/>
  <c r="J483"/>
  <c r="J491"/>
  <c r="J473"/>
  <c r="J481"/>
  <c r="J380"/>
  <c r="J420"/>
  <c r="J428"/>
  <c r="J427"/>
  <c r="J498"/>
  <c r="J511"/>
  <c r="J521"/>
  <c r="J377"/>
  <c r="J466"/>
  <c r="J523"/>
  <c r="J356"/>
  <c r="J375"/>
  <c r="J468"/>
  <c r="I368"/>
  <c r="I380"/>
  <c r="I400"/>
  <c r="I516"/>
  <c r="I360"/>
  <c r="I432"/>
  <c r="J528"/>
  <c r="I415"/>
  <c r="I448"/>
  <c r="I464"/>
  <c r="I531"/>
  <c r="I373"/>
  <c r="J424"/>
  <c r="J507"/>
  <c r="I362"/>
  <c r="I414"/>
  <c r="I431"/>
  <c r="I443"/>
  <c r="I462"/>
  <c r="I529"/>
  <c r="I375"/>
  <c r="J478"/>
  <c r="I456"/>
  <c r="J376"/>
  <c r="J477"/>
  <c r="J512"/>
  <c r="J545"/>
  <c r="I357"/>
  <c r="I473"/>
  <c r="I509"/>
  <c r="I521"/>
  <c r="J400"/>
  <c r="J494"/>
  <c r="I476"/>
  <c r="I376"/>
  <c r="J398"/>
  <c r="J421"/>
  <c r="J469"/>
  <c r="I477"/>
  <c r="J493"/>
  <c r="J499"/>
  <c r="J517"/>
  <c r="J537"/>
  <c r="I372"/>
  <c r="I385"/>
  <c r="I406"/>
  <c r="I423"/>
  <c r="I437"/>
  <c r="I472"/>
  <c r="I496"/>
  <c r="I523"/>
  <c r="J503"/>
  <c r="I517"/>
  <c r="I420"/>
  <c r="I468"/>
  <c r="I543"/>
  <c r="E541"/>
  <c r="E533"/>
  <c r="I533"/>
  <c r="E528"/>
  <c r="I528"/>
  <c r="E526"/>
  <c r="E520"/>
  <c r="I522"/>
  <c r="E511"/>
  <c r="I511"/>
  <c r="E508"/>
  <c r="I508"/>
  <c r="I499"/>
  <c r="E495"/>
  <c r="I491"/>
  <c r="E488"/>
  <c r="I488"/>
  <c r="E483"/>
  <c r="I483"/>
  <c r="E475"/>
  <c r="I474"/>
  <c r="E471"/>
  <c r="I471"/>
  <c r="I469"/>
  <c r="E466"/>
  <c r="I466"/>
  <c r="E463"/>
  <c r="I463"/>
  <c r="E461"/>
  <c r="I459"/>
  <c r="E455"/>
  <c r="I454"/>
  <c r="E451"/>
  <c r="I451"/>
  <c r="E446"/>
  <c r="I444"/>
  <c r="E436"/>
  <c r="E433"/>
  <c r="I433"/>
  <c r="E428"/>
  <c r="E422"/>
  <c r="I425"/>
  <c r="I421"/>
  <c r="E418"/>
  <c r="I416"/>
  <c r="E413"/>
  <c r="E407"/>
  <c r="I410"/>
  <c r="I411"/>
  <c r="E405"/>
  <c r="E402"/>
  <c r="I402"/>
  <c r="I401"/>
  <c r="E394"/>
  <c r="I395"/>
  <c r="I396"/>
  <c r="E392"/>
  <c r="I390"/>
  <c r="I391"/>
  <c r="E387"/>
  <c r="I387"/>
  <c r="I386"/>
  <c r="E382"/>
  <c r="I382"/>
  <c r="I381"/>
  <c r="E377"/>
  <c r="I377"/>
  <c r="E369"/>
  <c r="E367"/>
  <c r="I367"/>
  <c r="E365"/>
  <c r="E361"/>
  <c r="I361"/>
  <c r="E358"/>
  <c r="I359"/>
  <c r="E356"/>
  <c r="J345"/>
  <c r="J344"/>
  <c r="J350"/>
  <c r="J348"/>
  <c r="I322"/>
  <c r="J325"/>
  <c r="J347"/>
  <c r="J341"/>
  <c r="J349"/>
  <c r="I351"/>
  <c r="I326"/>
  <c r="J346"/>
  <c r="J352"/>
  <c r="I321"/>
  <c r="J327"/>
  <c r="I338"/>
  <c r="J343"/>
  <c r="J351"/>
  <c r="H1742" i="1"/>
  <c r="E335" i="2"/>
  <c r="I335"/>
  <c r="J99"/>
  <c r="J175"/>
  <c r="I55"/>
  <c r="J200"/>
  <c r="J21"/>
  <c r="J126"/>
  <c r="J244"/>
  <c r="E348"/>
  <c r="I348"/>
  <c r="J68"/>
  <c r="J182"/>
  <c r="J307"/>
  <c r="E342"/>
  <c r="I342"/>
  <c r="I54"/>
  <c r="I341"/>
  <c r="J127"/>
  <c r="J161"/>
  <c r="J65"/>
  <c r="J102"/>
  <c r="J164"/>
  <c r="J195"/>
  <c r="J257"/>
  <c r="J55"/>
  <c r="J64"/>
  <c r="J97"/>
  <c r="J141"/>
  <c r="E337"/>
  <c r="J213"/>
  <c r="J133"/>
  <c r="J306"/>
  <c r="J90"/>
  <c r="J225"/>
  <c r="I24"/>
  <c r="J252"/>
  <c r="J263"/>
  <c r="J274"/>
  <c r="J188"/>
  <c r="J221"/>
  <c r="J96"/>
  <c r="J73"/>
  <c r="J177"/>
  <c r="J222"/>
  <c r="J230"/>
  <c r="J234"/>
  <c r="J88"/>
  <c r="J191"/>
  <c r="J205"/>
  <c r="J111"/>
  <c r="J219"/>
  <c r="J233"/>
  <c r="J293"/>
  <c r="J313"/>
  <c r="I325"/>
  <c r="E17"/>
  <c r="E16"/>
  <c r="J23"/>
  <c r="J253"/>
  <c r="J49"/>
  <c r="E345"/>
  <c r="I345"/>
  <c r="I331"/>
  <c r="I327"/>
  <c r="E350"/>
  <c r="I350"/>
  <c r="E320"/>
  <c r="J292"/>
  <c r="J303"/>
  <c r="J312"/>
  <c r="J304"/>
  <c r="J110"/>
  <c r="J123"/>
  <c r="J115"/>
  <c r="J125"/>
  <c r="J134"/>
  <c r="J135"/>
  <c r="J116"/>
  <c r="J120"/>
  <c r="J124"/>
  <c r="J128"/>
  <c r="J136"/>
  <c r="J114"/>
  <c r="J130"/>
  <c r="J138"/>
  <c r="J83"/>
  <c r="J94"/>
  <c r="J87"/>
  <c r="J95"/>
  <c r="J103"/>
  <c r="J85"/>
  <c r="J101"/>
  <c r="J84"/>
  <c r="J76"/>
  <c r="J67"/>
  <c r="J77"/>
  <c r="J71"/>
  <c r="J79"/>
  <c r="J35"/>
  <c r="J33"/>
  <c r="J41"/>
  <c r="J36"/>
  <c r="J166"/>
  <c r="J199"/>
  <c r="J174"/>
  <c r="J218"/>
  <c r="J194"/>
  <c r="J215"/>
  <c r="J207"/>
  <c r="J147"/>
  <c r="J172"/>
  <c r="J180"/>
  <c r="J204"/>
  <c r="J212"/>
  <c r="J201"/>
  <c r="J209"/>
  <c r="J229"/>
  <c r="J258"/>
  <c r="J269"/>
  <c r="J277"/>
  <c r="J276"/>
  <c r="J251"/>
  <c r="J266"/>
  <c r="J254"/>
  <c r="J270"/>
  <c r="J278"/>
  <c r="J256"/>
  <c r="J264"/>
  <c r="J259"/>
  <c r="J267"/>
  <c r="J275"/>
  <c r="J54"/>
  <c r="J14"/>
  <c r="I13"/>
  <c r="I14"/>
  <c r="J19"/>
  <c r="J17"/>
  <c r="I23"/>
  <c r="J18"/>
  <c r="J15"/>
  <c r="J20"/>
  <c r="J24"/>
  <c r="I15"/>
  <c r="E1835"/>
  <c r="E91" i="3"/>
  <c r="G91"/>
  <c r="F91"/>
  <c r="H2231" i="1"/>
  <c r="E1949" i="2"/>
  <c r="L1327" i="1"/>
  <c r="K1326"/>
  <c r="K1325"/>
  <c r="J1326"/>
  <c r="J1325"/>
  <c r="I1326"/>
  <c r="I1325"/>
  <c r="H1326"/>
  <c r="H1325"/>
  <c r="M2432"/>
  <c r="L2432"/>
  <c r="M2431"/>
  <c r="L2431"/>
  <c r="H2430"/>
  <c r="M2713"/>
  <c r="L2713"/>
  <c r="M2711"/>
  <c r="L2711"/>
  <c r="M2710"/>
  <c r="L2710"/>
  <c r="K2712"/>
  <c r="H2712"/>
  <c r="L2712"/>
  <c r="J2712"/>
  <c r="I2712"/>
  <c r="M2712"/>
  <c r="K2709"/>
  <c r="J2709"/>
  <c r="I2709"/>
  <c r="H2709"/>
  <c r="L2753"/>
  <c r="M2751"/>
  <c r="L2751"/>
  <c r="K2752"/>
  <c r="H2752"/>
  <c r="L2752"/>
  <c r="J2752"/>
  <c r="I2752"/>
  <c r="K2750"/>
  <c r="K2749"/>
  <c r="K2748"/>
  <c r="K2747"/>
  <c r="K2746"/>
  <c r="K2745"/>
  <c r="J2750"/>
  <c r="I2750"/>
  <c r="H2750"/>
  <c r="L2744"/>
  <c r="K2743"/>
  <c r="H2743"/>
  <c r="L2743"/>
  <c r="M2742"/>
  <c r="L2742"/>
  <c r="M2740"/>
  <c r="L2740"/>
  <c r="J2743"/>
  <c r="I2743"/>
  <c r="K2741"/>
  <c r="J2741"/>
  <c r="I2741"/>
  <c r="K2739"/>
  <c r="J2739"/>
  <c r="I2739"/>
  <c r="H2741"/>
  <c r="H2739"/>
  <c r="H2551"/>
  <c r="K2490"/>
  <c r="J2490"/>
  <c r="I2490"/>
  <c r="H2492"/>
  <c r="E1896" i="2"/>
  <c r="I1896"/>
  <c r="H2418" i="1"/>
  <c r="E1934" i="2"/>
  <c r="I1934"/>
  <c r="M2396" i="1"/>
  <c r="L2396"/>
  <c r="K2395"/>
  <c r="K2394"/>
  <c r="J2395"/>
  <c r="J2394"/>
  <c r="I2395"/>
  <c r="I2394"/>
  <c r="H2395"/>
  <c r="H2394"/>
  <c r="M2343"/>
  <c r="L2343"/>
  <c r="M2341"/>
  <c r="L2341"/>
  <c r="M2339"/>
  <c r="L2339"/>
  <c r="M2334"/>
  <c r="L2334"/>
  <c r="K2342"/>
  <c r="H2342"/>
  <c r="L2342"/>
  <c r="J2342"/>
  <c r="I2342"/>
  <c r="K2340"/>
  <c r="J2340"/>
  <c r="I2340"/>
  <c r="K2338"/>
  <c r="I2338"/>
  <c r="M2338"/>
  <c r="J2338"/>
  <c r="H2340"/>
  <c r="H2338"/>
  <c r="L2338"/>
  <c r="H2333"/>
  <c r="M2239"/>
  <c r="L2239"/>
  <c r="M2237"/>
  <c r="L2237"/>
  <c r="M2233"/>
  <c r="L2233"/>
  <c r="M2231"/>
  <c r="K2238"/>
  <c r="J2238"/>
  <c r="J2236"/>
  <c r="J2235"/>
  <c r="J2234"/>
  <c r="I2238"/>
  <c r="M2238"/>
  <c r="K2236"/>
  <c r="K2235"/>
  <c r="K2234"/>
  <c r="I2236"/>
  <c r="K2232"/>
  <c r="H2232"/>
  <c r="L2232"/>
  <c r="J2232"/>
  <c r="I2232"/>
  <c r="K2230"/>
  <c r="J2230"/>
  <c r="I2230"/>
  <c r="H2238"/>
  <c r="H2236"/>
  <c r="M2204"/>
  <c r="L2204"/>
  <c r="M2202"/>
  <c r="L2202"/>
  <c r="K2203"/>
  <c r="J2203"/>
  <c r="I2203"/>
  <c r="I2201"/>
  <c r="I2200"/>
  <c r="I2199"/>
  <c r="K2201"/>
  <c r="K2200"/>
  <c r="K2199"/>
  <c r="J2201"/>
  <c r="J2200"/>
  <c r="J2199"/>
  <c r="H2203"/>
  <c r="L2203"/>
  <c r="H2201"/>
  <c r="M2198"/>
  <c r="L2198"/>
  <c r="K2197"/>
  <c r="I2197"/>
  <c r="M2197"/>
  <c r="H2197"/>
  <c r="L2197"/>
  <c r="K2196"/>
  <c r="H2196"/>
  <c r="L2196"/>
  <c r="J2197"/>
  <c r="J2196"/>
  <c r="I2196"/>
  <c r="M2183"/>
  <c r="L2183"/>
  <c r="K2182"/>
  <c r="H2182"/>
  <c r="L2182"/>
  <c r="J2182"/>
  <c r="J2181"/>
  <c r="J2180"/>
  <c r="I2182"/>
  <c r="I2181"/>
  <c r="I2180"/>
  <c r="H2181"/>
  <c r="H2180"/>
  <c r="L2179"/>
  <c r="M2176"/>
  <c r="L2176"/>
  <c r="M2173"/>
  <c r="L2173"/>
  <c r="K2178"/>
  <c r="K2177"/>
  <c r="J2178"/>
  <c r="J2177"/>
  <c r="I2178"/>
  <c r="I2177"/>
  <c r="K2175"/>
  <c r="K2174"/>
  <c r="J2175"/>
  <c r="J2174"/>
  <c r="I2175"/>
  <c r="I2174"/>
  <c r="K2172"/>
  <c r="K2171"/>
  <c r="J2172"/>
  <c r="J2171"/>
  <c r="I2172"/>
  <c r="I2171"/>
  <c r="H2178"/>
  <c r="H2177"/>
  <c r="H2175"/>
  <c r="H2172"/>
  <c r="H2171"/>
  <c r="M2167"/>
  <c r="L2167"/>
  <c r="M2165"/>
  <c r="L2165"/>
  <c r="M2164"/>
  <c r="L2164"/>
  <c r="K2166"/>
  <c r="H2166"/>
  <c r="L2166"/>
  <c r="J2166"/>
  <c r="I2166"/>
  <c r="K2163"/>
  <c r="J2163"/>
  <c r="I2163"/>
  <c r="H2163"/>
  <c r="L2159"/>
  <c r="K2158"/>
  <c r="K2157"/>
  <c r="J2158"/>
  <c r="J2157"/>
  <c r="I2158"/>
  <c r="I2157"/>
  <c r="H2158"/>
  <c r="H2157"/>
  <c r="M2118"/>
  <c r="L2118"/>
  <c r="M2117"/>
  <c r="M2116"/>
  <c r="M2115"/>
  <c r="H2117"/>
  <c r="L2117"/>
  <c r="M2110"/>
  <c r="L2110"/>
  <c r="K2109"/>
  <c r="J2109"/>
  <c r="I2109"/>
  <c r="H2111"/>
  <c r="M2098"/>
  <c r="L2098"/>
  <c r="K2097"/>
  <c r="J2097"/>
  <c r="J2096"/>
  <c r="J2095"/>
  <c r="I2097"/>
  <c r="I2096"/>
  <c r="I2095"/>
  <c r="K2096"/>
  <c r="K2095"/>
  <c r="H2097"/>
  <c r="L2097"/>
  <c r="M2089"/>
  <c r="L2089"/>
  <c r="H2088"/>
  <c r="M2079"/>
  <c r="L2079"/>
  <c r="M2078"/>
  <c r="M2077"/>
  <c r="L2077"/>
  <c r="M2076"/>
  <c r="H2078"/>
  <c r="L2078"/>
  <c r="H2076"/>
  <c r="L2076"/>
  <c r="H2069"/>
  <c r="M2041"/>
  <c r="L2041"/>
  <c r="K2040"/>
  <c r="K2039"/>
  <c r="K2038"/>
  <c r="J2040"/>
  <c r="J2039"/>
  <c r="J2038"/>
  <c r="I2040"/>
  <c r="I2039"/>
  <c r="I2038"/>
  <c r="H2040"/>
  <c r="H2039"/>
  <c r="H2038"/>
  <c r="L2024"/>
  <c r="K2023"/>
  <c r="K2022"/>
  <c r="J2023"/>
  <c r="J2022"/>
  <c r="I2023"/>
  <c r="I2022"/>
  <c r="H2023"/>
  <c r="M1954"/>
  <c r="L1954"/>
  <c r="M1952"/>
  <c r="L1952"/>
  <c r="K1953"/>
  <c r="J1953"/>
  <c r="I1953"/>
  <c r="K1951"/>
  <c r="J1951"/>
  <c r="I1951"/>
  <c r="H1953"/>
  <c r="H1951"/>
  <c r="E333" i="2"/>
  <c r="M1736" i="1"/>
  <c r="L1736"/>
  <c r="K1735"/>
  <c r="J1735"/>
  <c r="I1735"/>
  <c r="H1735"/>
  <c r="E554" i="2"/>
  <c r="M1706" i="1"/>
  <c r="L1706"/>
  <c r="M1704"/>
  <c r="L1704"/>
  <c r="K1705"/>
  <c r="J1705"/>
  <c r="I1705"/>
  <c r="K1703"/>
  <c r="J1703"/>
  <c r="I1703"/>
  <c r="H1705"/>
  <c r="H1703"/>
  <c r="H1702"/>
  <c r="L1693"/>
  <c r="K1692"/>
  <c r="K1691"/>
  <c r="J1692"/>
  <c r="J1691"/>
  <c r="I1692"/>
  <c r="I1691"/>
  <c r="H1692"/>
  <c r="H1691"/>
  <c r="E1019" i="2"/>
  <c r="I1015"/>
  <c r="M1678" i="1"/>
  <c r="L1678"/>
  <c r="K1677"/>
  <c r="J1677"/>
  <c r="I1677"/>
  <c r="H1677"/>
  <c r="H1668"/>
  <c r="E1002" i="2"/>
  <c r="E1000"/>
  <c r="M1565" i="1"/>
  <c r="L1565"/>
  <c r="K1564"/>
  <c r="J1564"/>
  <c r="I1564"/>
  <c r="H1564"/>
  <c r="M1561"/>
  <c r="L1561"/>
  <c r="K1560"/>
  <c r="K1559"/>
  <c r="J1560"/>
  <c r="J1559"/>
  <c r="J1558"/>
  <c r="I1560"/>
  <c r="I1559"/>
  <c r="I1558"/>
  <c r="H1560"/>
  <c r="H1559"/>
  <c r="H1558"/>
  <c r="I1563" i="2"/>
  <c r="L1527" i="1"/>
  <c r="K1526"/>
  <c r="K1525"/>
  <c r="J1526"/>
  <c r="J1525"/>
  <c r="I1526"/>
  <c r="I1525"/>
  <c r="H1526"/>
  <c r="H1525"/>
  <c r="M1520"/>
  <c r="L1520"/>
  <c r="K1519"/>
  <c r="K1518"/>
  <c r="J1519"/>
  <c r="J1518"/>
  <c r="I1519"/>
  <c r="I1518"/>
  <c r="H1519"/>
  <c r="H1518"/>
  <c r="L1513"/>
  <c r="K1512"/>
  <c r="K1511"/>
  <c r="J1512"/>
  <c r="J1511"/>
  <c r="I1512"/>
  <c r="I1511"/>
  <c r="H1512"/>
  <c r="H1511"/>
  <c r="M1468"/>
  <c r="L1468"/>
  <c r="K1467"/>
  <c r="J1467"/>
  <c r="I1467"/>
  <c r="K1466"/>
  <c r="J1466"/>
  <c r="I1466"/>
  <c r="H1466"/>
  <c r="H1467"/>
  <c r="M1342"/>
  <c r="L1342"/>
  <c r="K1341"/>
  <c r="K1340"/>
  <c r="J1341"/>
  <c r="J1340"/>
  <c r="I1341"/>
  <c r="I1340"/>
  <c r="H1341"/>
  <c r="H1340"/>
  <c r="H1320"/>
  <c r="H1315"/>
  <c r="K1301"/>
  <c r="J1301"/>
  <c r="I1301"/>
  <c r="H1301"/>
  <c r="K1193"/>
  <c r="K1192"/>
  <c r="J1193"/>
  <c r="J1192"/>
  <c r="I1193"/>
  <c r="I1192"/>
  <c r="M1194"/>
  <c r="L1194"/>
  <c r="H1193"/>
  <c r="H1192"/>
  <c r="M1191"/>
  <c r="L1191"/>
  <c r="K1190"/>
  <c r="K1189"/>
  <c r="J1190"/>
  <c r="J1189"/>
  <c r="I1190"/>
  <c r="I1189"/>
  <c r="H1190"/>
  <c r="H1189"/>
  <c r="M1185"/>
  <c r="L1185"/>
  <c r="M1182"/>
  <c r="L1182"/>
  <c r="K1184"/>
  <c r="K1183"/>
  <c r="J1184"/>
  <c r="J1183"/>
  <c r="I1184"/>
  <c r="I1183"/>
  <c r="K1181"/>
  <c r="K1180"/>
  <c r="J1181"/>
  <c r="J1180"/>
  <c r="I1181"/>
  <c r="I1180"/>
  <c r="H1184"/>
  <c r="H1183"/>
  <c r="H1181"/>
  <c r="H1180"/>
  <c r="M1179"/>
  <c r="L1179"/>
  <c r="M1178"/>
  <c r="M1177"/>
  <c r="H1178"/>
  <c r="H1177"/>
  <c r="L1177"/>
  <c r="K1172"/>
  <c r="J1172"/>
  <c r="J1171"/>
  <c r="I1172"/>
  <c r="I1171"/>
  <c r="K1169"/>
  <c r="K1168"/>
  <c r="J1169"/>
  <c r="J1168"/>
  <c r="I1169"/>
  <c r="K1166"/>
  <c r="K1165"/>
  <c r="J1166"/>
  <c r="J1165"/>
  <c r="I1166"/>
  <c r="I1165"/>
  <c r="M1173"/>
  <c r="L1173"/>
  <c r="M1170"/>
  <c r="L1170"/>
  <c r="M1167"/>
  <c r="L1167"/>
  <c r="H1172"/>
  <c r="H1171"/>
  <c r="H1169"/>
  <c r="H1168"/>
  <c r="H1166"/>
  <c r="H1165"/>
  <c r="M1164"/>
  <c r="L1164"/>
  <c r="K1163"/>
  <c r="K1162"/>
  <c r="J1163"/>
  <c r="J1162"/>
  <c r="I1163"/>
  <c r="I1162"/>
  <c r="H1163"/>
  <c r="H1162"/>
  <c r="M1161"/>
  <c r="L1161"/>
  <c r="K1160"/>
  <c r="J1160"/>
  <c r="J1159"/>
  <c r="I1160"/>
  <c r="I1159"/>
  <c r="H1160"/>
  <c r="H1159"/>
  <c r="M1155"/>
  <c r="L1155"/>
  <c r="K1154"/>
  <c r="K1153"/>
  <c r="J1154"/>
  <c r="J1153"/>
  <c r="I1154"/>
  <c r="I1153"/>
  <c r="H1154"/>
  <c r="H1153"/>
  <c r="M1137"/>
  <c r="L1137"/>
  <c r="M1134"/>
  <c r="L1134"/>
  <c r="K1136"/>
  <c r="J1136"/>
  <c r="J1135"/>
  <c r="I1136"/>
  <c r="I1135"/>
  <c r="K1133"/>
  <c r="K1132"/>
  <c r="J1133"/>
  <c r="J1132"/>
  <c r="I1133"/>
  <c r="I1132"/>
  <c r="H1136"/>
  <c r="H1135"/>
  <c r="H1133"/>
  <c r="H1132"/>
  <c r="G1301"/>
  <c r="E225" i="2"/>
  <c r="E224"/>
  <c r="E223"/>
  <c r="E222"/>
  <c r="E221"/>
  <c r="E220"/>
  <c r="E219"/>
  <c r="E218"/>
  <c r="E217"/>
  <c r="E213"/>
  <c r="E212"/>
  <c r="E211"/>
  <c r="E210"/>
  <c r="E209"/>
  <c r="I209"/>
  <c r="E208"/>
  <c r="E205"/>
  <c r="E204"/>
  <c r="E203"/>
  <c r="E202"/>
  <c r="E200"/>
  <c r="E177"/>
  <c r="E176"/>
  <c r="E175"/>
  <c r="E172"/>
  <c r="E171"/>
  <c r="E170"/>
  <c r="E167"/>
  <c r="E161"/>
  <c r="E160"/>
  <c r="E159"/>
  <c r="I1974"/>
  <c r="E1834"/>
  <c r="E1250"/>
  <c r="E1077"/>
  <c r="E1066"/>
  <c r="E1052"/>
  <c r="E630"/>
  <c r="I630"/>
  <c r="E629"/>
  <c r="I629"/>
  <c r="E281"/>
  <c r="E278"/>
  <c r="E277"/>
  <c r="E275"/>
  <c r="E273"/>
  <c r="I273"/>
  <c r="E272"/>
  <c r="I272"/>
  <c r="E270"/>
  <c r="E269"/>
  <c r="I269"/>
  <c r="E264"/>
  <c r="I264"/>
  <c r="E263"/>
  <c r="I263"/>
  <c r="E261"/>
  <c r="E259"/>
  <c r="E257"/>
  <c r="E256"/>
  <c r="I256"/>
  <c r="E254"/>
  <c r="E253"/>
  <c r="I253"/>
  <c r="E252"/>
  <c r="E251"/>
  <c r="I251"/>
  <c r="E244"/>
  <c r="I244"/>
  <c r="E243"/>
  <c r="I243"/>
  <c r="E237"/>
  <c r="E236"/>
  <c r="E235"/>
  <c r="E216"/>
  <c r="E197"/>
  <c r="E196"/>
  <c r="E195"/>
  <c r="E194"/>
  <c r="I194"/>
  <c r="E192"/>
  <c r="I192"/>
  <c r="E191"/>
  <c r="I191"/>
  <c r="E189"/>
  <c r="E188"/>
  <c r="E186"/>
  <c r="E180"/>
  <c r="E179"/>
  <c r="E178"/>
  <c r="E158"/>
  <c r="I158"/>
  <c r="E157"/>
  <c r="I157"/>
  <c r="E154"/>
  <c r="E153"/>
  <c r="E152"/>
  <c r="E1972"/>
  <c r="I1972"/>
  <c r="E293"/>
  <c r="E562"/>
  <c r="I562"/>
  <c r="E561"/>
  <c r="I561"/>
  <c r="E267"/>
  <c r="E266"/>
  <c r="E265"/>
  <c r="E240"/>
  <c r="E230"/>
  <c r="E1969"/>
  <c r="I1969"/>
  <c r="E316"/>
  <c r="E315"/>
  <c r="E314"/>
  <c r="E301"/>
  <c r="E300"/>
  <c r="E299"/>
  <c r="E249"/>
  <c r="E248"/>
  <c r="E247"/>
  <c r="I247"/>
  <c r="E183"/>
  <c r="E164"/>
  <c r="E163"/>
  <c r="E162"/>
  <c r="E296"/>
  <c r="E295"/>
  <c r="E294"/>
  <c r="M1058" i="1"/>
  <c r="L1058"/>
  <c r="K1057"/>
  <c r="J1057"/>
  <c r="J1056"/>
  <c r="J1055"/>
  <c r="I1057"/>
  <c r="I1056"/>
  <c r="I1055"/>
  <c r="H1057"/>
  <c r="H1056"/>
  <c r="H1055"/>
  <c r="L1026"/>
  <c r="K1025"/>
  <c r="K1024"/>
  <c r="J1025"/>
  <c r="J1024"/>
  <c r="I1025"/>
  <c r="I1024"/>
  <c r="H1025"/>
  <c r="H1024"/>
  <c r="H1010"/>
  <c r="E147" i="2"/>
  <c r="E146"/>
  <c r="E145"/>
  <c r="M956" i="1"/>
  <c r="L956"/>
  <c r="K955"/>
  <c r="K954"/>
  <c r="J955"/>
  <c r="J954"/>
  <c r="I955"/>
  <c r="I954"/>
  <c r="H955"/>
  <c r="L955"/>
  <c r="M971"/>
  <c r="L971"/>
  <c r="K970"/>
  <c r="J970"/>
  <c r="J969"/>
  <c r="I970"/>
  <c r="I969"/>
  <c r="H970"/>
  <c r="H969"/>
  <c r="H960"/>
  <c r="E151" i="2"/>
  <c r="I151"/>
  <c r="H959" i="1"/>
  <c r="E150" i="2"/>
  <c r="I150"/>
  <c r="M950" i="1"/>
  <c r="L950"/>
  <c r="K949"/>
  <c r="J949"/>
  <c r="J948"/>
  <c r="J947"/>
  <c r="I949"/>
  <c r="I948"/>
  <c r="I947"/>
  <c r="H949"/>
  <c r="H948"/>
  <c r="H947"/>
  <c r="M927"/>
  <c r="L927"/>
  <c r="K926"/>
  <c r="K925"/>
  <c r="K924"/>
  <c r="J926"/>
  <c r="J925"/>
  <c r="J924"/>
  <c r="I926"/>
  <c r="I925"/>
  <c r="I924"/>
  <c r="H926"/>
  <c r="H925"/>
  <c r="H924"/>
  <c r="H920"/>
  <c r="E234" i="2"/>
  <c r="I234"/>
  <c r="H919" i="1"/>
  <c r="E233" i="2"/>
  <c r="I233"/>
  <c r="M916" i="1"/>
  <c r="L916"/>
  <c r="K915"/>
  <c r="J915"/>
  <c r="J914"/>
  <c r="I915"/>
  <c r="I914"/>
  <c r="H915"/>
  <c r="H914"/>
  <c r="M910"/>
  <c r="L910"/>
  <c r="M908"/>
  <c r="L908"/>
  <c r="K909"/>
  <c r="J909"/>
  <c r="I909"/>
  <c r="K907"/>
  <c r="J907"/>
  <c r="I907"/>
  <c r="H909"/>
  <c r="H907"/>
  <c r="L901"/>
  <c r="K900"/>
  <c r="K899"/>
  <c r="J900"/>
  <c r="J899"/>
  <c r="I900"/>
  <c r="I899"/>
  <c r="H900"/>
  <c r="H899"/>
  <c r="L897"/>
  <c r="K896"/>
  <c r="K895"/>
  <c r="J896"/>
  <c r="J895"/>
  <c r="J894"/>
  <c r="I896"/>
  <c r="I895"/>
  <c r="I894"/>
  <c r="H896"/>
  <c r="M876"/>
  <c r="L876"/>
  <c r="K875"/>
  <c r="K874"/>
  <c r="K873"/>
  <c r="K872"/>
  <c r="J875"/>
  <c r="J874"/>
  <c r="J873"/>
  <c r="J872"/>
  <c r="I875"/>
  <c r="I874"/>
  <c r="I873"/>
  <c r="I872"/>
  <c r="H875"/>
  <c r="E1993" i="2"/>
  <c r="E1992"/>
  <c r="E288"/>
  <c r="E287"/>
  <c r="E286"/>
  <c r="M869" i="1"/>
  <c r="L869"/>
  <c r="M868"/>
  <c r="L868"/>
  <c r="M867"/>
  <c r="M866"/>
  <c r="M865"/>
  <c r="M864"/>
  <c r="L851"/>
  <c r="M847"/>
  <c r="L847"/>
  <c r="M846"/>
  <c r="L846"/>
  <c r="M845"/>
  <c r="L845"/>
  <c r="K850"/>
  <c r="K849"/>
  <c r="K848"/>
  <c r="J850"/>
  <c r="J849"/>
  <c r="J848"/>
  <c r="I850"/>
  <c r="I849"/>
  <c r="I848"/>
  <c r="K844"/>
  <c r="K843"/>
  <c r="K842"/>
  <c r="J844"/>
  <c r="J843"/>
  <c r="J842"/>
  <c r="I844"/>
  <c r="I843"/>
  <c r="I842"/>
  <c r="H867"/>
  <c r="L867"/>
  <c r="H850"/>
  <c r="H849"/>
  <c r="H848"/>
  <c r="H844"/>
  <c r="H843"/>
  <c r="H842"/>
  <c r="H856"/>
  <c r="I1560" i="2"/>
  <c r="E1725"/>
  <c r="E1722"/>
  <c r="E1717"/>
  <c r="E1715"/>
  <c r="E1712"/>
  <c r="E1131"/>
  <c r="M836" i="1"/>
  <c r="L836"/>
  <c r="M834"/>
  <c r="L834"/>
  <c r="M829"/>
  <c r="L829"/>
  <c r="M821"/>
  <c r="L821"/>
  <c r="M818"/>
  <c r="L818"/>
  <c r="M814"/>
  <c r="L814"/>
  <c r="M812"/>
  <c r="L812"/>
  <c r="M809"/>
  <c r="L809"/>
  <c r="M804"/>
  <c r="L804"/>
  <c r="K835"/>
  <c r="I835"/>
  <c r="M835"/>
  <c r="J835"/>
  <c r="K833"/>
  <c r="J833"/>
  <c r="I833"/>
  <c r="K828"/>
  <c r="K827"/>
  <c r="K826"/>
  <c r="K825"/>
  <c r="J828"/>
  <c r="J827"/>
  <c r="J826"/>
  <c r="J825"/>
  <c r="I828"/>
  <c r="I827"/>
  <c r="I826"/>
  <c r="I825"/>
  <c r="K820"/>
  <c r="J820"/>
  <c r="J819"/>
  <c r="I820"/>
  <c r="I819"/>
  <c r="K817"/>
  <c r="K816"/>
  <c r="J817"/>
  <c r="J816"/>
  <c r="I817"/>
  <c r="I816"/>
  <c r="K813"/>
  <c r="J813"/>
  <c r="I813"/>
  <c r="K811"/>
  <c r="J811"/>
  <c r="I811"/>
  <c r="K808"/>
  <c r="J808"/>
  <c r="J807"/>
  <c r="I808"/>
  <c r="I807"/>
  <c r="K803"/>
  <c r="K802"/>
  <c r="K801"/>
  <c r="K800"/>
  <c r="J803"/>
  <c r="J802"/>
  <c r="J801"/>
  <c r="J800"/>
  <c r="I803"/>
  <c r="I802"/>
  <c r="I801"/>
  <c r="I800"/>
  <c r="H835"/>
  <c r="H833"/>
  <c r="H828"/>
  <c r="H827"/>
  <c r="H826"/>
  <c r="H825"/>
  <c r="H820"/>
  <c r="H819"/>
  <c r="H817"/>
  <c r="H816"/>
  <c r="H813"/>
  <c r="H811"/>
  <c r="H808"/>
  <c r="H807"/>
  <c r="H803"/>
  <c r="H802"/>
  <c r="H801"/>
  <c r="H800"/>
  <c r="H792"/>
  <c r="L792"/>
  <c r="E1830" i="2"/>
  <c r="E691"/>
  <c r="E688"/>
  <c r="E686"/>
  <c r="I686"/>
  <c r="E685"/>
  <c r="I685"/>
  <c r="E683"/>
  <c r="E677"/>
  <c r="E652"/>
  <c r="E649"/>
  <c r="E646"/>
  <c r="E643"/>
  <c r="E704"/>
  <c r="E640"/>
  <c r="E697"/>
  <c r="E694"/>
  <c r="M777" i="1"/>
  <c r="L777"/>
  <c r="M775"/>
  <c r="L775"/>
  <c r="K776"/>
  <c r="J776"/>
  <c r="I776"/>
  <c r="K774"/>
  <c r="J774"/>
  <c r="I774"/>
  <c r="H774"/>
  <c r="H776"/>
  <c r="H753"/>
  <c r="E674" i="2"/>
  <c r="I674"/>
  <c r="H752" i="1"/>
  <c r="E673" i="2"/>
  <c r="I673"/>
  <c r="M720" i="1"/>
  <c r="L720"/>
  <c r="K719"/>
  <c r="K718"/>
  <c r="K717"/>
  <c r="J719"/>
  <c r="J718"/>
  <c r="J717"/>
  <c r="I719"/>
  <c r="I718"/>
  <c r="I717"/>
  <c r="H719"/>
  <c r="M690"/>
  <c r="L690"/>
  <c r="K689"/>
  <c r="J689"/>
  <c r="J688"/>
  <c r="J687"/>
  <c r="J686"/>
  <c r="J685"/>
  <c r="I689"/>
  <c r="I688"/>
  <c r="I687"/>
  <c r="I686"/>
  <c r="I685"/>
  <c r="H689"/>
  <c r="H688"/>
  <c r="H687"/>
  <c r="H686"/>
  <c r="H685"/>
  <c r="G686"/>
  <c r="G685"/>
  <c r="E1857" i="2"/>
  <c r="E1855"/>
  <c r="E1211"/>
  <c r="E141"/>
  <c r="E140"/>
  <c r="E139"/>
  <c r="E136"/>
  <c r="E130"/>
  <c r="E129"/>
  <c r="E128"/>
  <c r="E126"/>
  <c r="E124"/>
  <c r="E121"/>
  <c r="I121"/>
  <c r="E120"/>
  <c r="I120"/>
  <c r="E118"/>
  <c r="E116"/>
  <c r="E114"/>
  <c r="E113"/>
  <c r="E111"/>
  <c r="E110"/>
  <c r="I110"/>
  <c r="E109"/>
  <c r="E99"/>
  <c r="E93"/>
  <c r="E92"/>
  <c r="E91"/>
  <c r="I91"/>
  <c r="E85"/>
  <c r="E84"/>
  <c r="E80"/>
  <c r="I80"/>
  <c r="E79"/>
  <c r="I79"/>
  <c r="E77"/>
  <c r="E76"/>
  <c r="I76"/>
  <c r="E68"/>
  <c r="E74"/>
  <c r="I74"/>
  <c r="E73"/>
  <c r="I73"/>
  <c r="E71"/>
  <c r="I71"/>
  <c r="E70"/>
  <c r="I70"/>
  <c r="E65"/>
  <c r="E64"/>
  <c r="E63"/>
  <c r="E49"/>
  <c r="E48"/>
  <c r="E47"/>
  <c r="E46"/>
  <c r="E32"/>
  <c r="I32"/>
  <c r="E36"/>
  <c r="K681" i="1"/>
  <c r="K680"/>
  <c r="K679"/>
  <c r="J681"/>
  <c r="J680"/>
  <c r="J679"/>
  <c r="I681"/>
  <c r="M682"/>
  <c r="L682"/>
  <c r="M678"/>
  <c r="L678"/>
  <c r="H681"/>
  <c r="M667"/>
  <c r="L667"/>
  <c r="M665"/>
  <c r="L665"/>
  <c r="K666"/>
  <c r="H666"/>
  <c r="L666"/>
  <c r="J666"/>
  <c r="I666"/>
  <c r="K664"/>
  <c r="J664"/>
  <c r="I664"/>
  <c r="H664"/>
  <c r="M609"/>
  <c r="L609"/>
  <c r="M608"/>
  <c r="M607"/>
  <c r="H608"/>
  <c r="H607"/>
  <c r="L607"/>
  <c r="L608"/>
  <c r="E1998" i="2"/>
  <c r="E1997"/>
  <c r="E104"/>
  <c r="E103"/>
  <c r="E102"/>
  <c r="E96"/>
  <c r="E90"/>
  <c r="E89"/>
  <c r="E88"/>
  <c r="E21"/>
  <c r="M557" i="1"/>
  <c r="L557"/>
  <c r="M556"/>
  <c r="L556"/>
  <c r="K555"/>
  <c r="K554"/>
  <c r="J555"/>
  <c r="J554"/>
  <c r="J553"/>
  <c r="J552"/>
  <c r="I555"/>
  <c r="I554"/>
  <c r="I553"/>
  <c r="I552"/>
  <c r="H555"/>
  <c r="H554"/>
  <c r="H553"/>
  <c r="H552"/>
  <c r="M551"/>
  <c r="L551"/>
  <c r="K550"/>
  <c r="K549"/>
  <c r="J550"/>
  <c r="J549"/>
  <c r="J548"/>
  <c r="I550"/>
  <c r="I549"/>
  <c r="I548"/>
  <c r="H550"/>
  <c r="H549"/>
  <c r="H548"/>
  <c r="K541"/>
  <c r="K540"/>
  <c r="J541"/>
  <c r="J540"/>
  <c r="I541"/>
  <c r="I540"/>
  <c r="M542"/>
  <c r="L542"/>
  <c r="H541"/>
  <c r="H540"/>
  <c r="E1942" i="2"/>
  <c r="I1942"/>
  <c r="E1940"/>
  <c r="I1940"/>
  <c r="E1938"/>
  <c r="I1938"/>
  <c r="E1930"/>
  <c r="I1930"/>
  <c r="E1928"/>
  <c r="I1928"/>
  <c r="E1923"/>
  <c r="I1923"/>
  <c r="E1921"/>
  <c r="I1921"/>
  <c r="E1919"/>
  <c r="I1919"/>
  <c r="E1914"/>
  <c r="E1909"/>
  <c r="E1904"/>
  <c r="E1898"/>
  <c r="E1892"/>
  <c r="I1892"/>
  <c r="E1890"/>
  <c r="I1890"/>
  <c r="E1885"/>
  <c r="E1880"/>
  <c r="E1874"/>
  <c r="E1869"/>
  <c r="E614"/>
  <c r="E611"/>
  <c r="E602"/>
  <c r="I602"/>
  <c r="E609"/>
  <c r="E60"/>
  <c r="E59"/>
  <c r="E58"/>
  <c r="E57"/>
  <c r="E41"/>
  <c r="E40"/>
  <c r="E39"/>
  <c r="E38"/>
  <c r="E37"/>
  <c r="I37"/>
  <c r="E33"/>
  <c r="I33"/>
  <c r="E29"/>
  <c r="K522" i="1"/>
  <c r="K521"/>
  <c r="K520"/>
  <c r="J522"/>
  <c r="J521"/>
  <c r="J520"/>
  <c r="J519"/>
  <c r="I522"/>
  <c r="H522"/>
  <c r="H521"/>
  <c r="H520"/>
  <c r="H519"/>
  <c r="M523"/>
  <c r="L523"/>
  <c r="M518"/>
  <c r="L518"/>
  <c r="M517"/>
  <c r="M516"/>
  <c r="M515"/>
  <c r="H517"/>
  <c r="L517"/>
  <c r="L514"/>
  <c r="H513"/>
  <c r="H512"/>
  <c r="L512"/>
  <c r="E1849" i="2"/>
  <c r="E1968"/>
  <c r="E1966"/>
  <c r="E1158"/>
  <c r="E1156"/>
  <c r="E1154"/>
  <c r="E1151"/>
  <c r="E1146"/>
  <c r="E1143"/>
  <c r="E1140"/>
  <c r="E1072"/>
  <c r="M464" i="1"/>
  <c r="L464"/>
  <c r="K463"/>
  <c r="K462"/>
  <c r="K461"/>
  <c r="J463"/>
  <c r="J462"/>
  <c r="J461"/>
  <c r="I463"/>
  <c r="I462"/>
  <c r="I461"/>
  <c r="H463"/>
  <c r="E1398" i="2"/>
  <c r="E1396"/>
  <c r="E1382"/>
  <c r="I1382"/>
  <c r="E1380"/>
  <c r="E1378"/>
  <c r="E1373"/>
  <c r="E1370"/>
  <c r="E1367"/>
  <c r="E1364"/>
  <c r="E1359"/>
  <c r="E1356"/>
  <c r="E1351"/>
  <c r="E1348"/>
  <c r="E1345"/>
  <c r="E1343"/>
  <c r="E1392"/>
  <c r="I1392"/>
  <c r="E1390"/>
  <c r="E1388"/>
  <c r="E1386"/>
  <c r="H425" i="1"/>
  <c r="E1383" i="2"/>
  <c r="I1383"/>
  <c r="H370" i="1"/>
  <c r="E1393" i="2"/>
  <c r="I1393"/>
  <c r="E1817"/>
  <c r="E1455"/>
  <c r="E1452"/>
  <c r="E1449"/>
  <c r="E1446"/>
  <c r="E1443"/>
  <c r="E1413"/>
  <c r="E1410"/>
  <c r="E1404"/>
  <c r="H340" i="1"/>
  <c r="H345"/>
  <c r="L345"/>
  <c r="H333"/>
  <c r="L333"/>
  <c r="H331"/>
  <c r="H330"/>
  <c r="H329"/>
  <c r="M313"/>
  <c r="L313"/>
  <c r="K312"/>
  <c r="J312"/>
  <c r="J311"/>
  <c r="I312"/>
  <c r="I311"/>
  <c r="H312"/>
  <c r="H311"/>
  <c r="E1862" i="2"/>
  <c r="E1861"/>
  <c r="E1860"/>
  <c r="E1859"/>
  <c r="E1823"/>
  <c r="E1820"/>
  <c r="E1812"/>
  <c r="E1809"/>
  <c r="E1806"/>
  <c r="E1799"/>
  <c r="E1797"/>
  <c r="E1461"/>
  <c r="E1458"/>
  <c r="E1438"/>
  <c r="E1440"/>
  <c r="E1436"/>
  <c r="E1434"/>
  <c r="E808"/>
  <c r="M238" i="1"/>
  <c r="L238"/>
  <c r="K237"/>
  <c r="J237"/>
  <c r="J236"/>
  <c r="J235"/>
  <c r="I237"/>
  <c r="I236"/>
  <c r="I235"/>
  <c r="H237"/>
  <c r="H236"/>
  <c r="H235"/>
  <c r="E1779" i="2"/>
  <c r="E1789"/>
  <c r="E1428"/>
  <c r="E1425"/>
  <c r="E1407"/>
  <c r="E1109"/>
  <c r="E1108"/>
  <c r="E1107"/>
  <c r="E1199"/>
  <c r="E1196"/>
  <c r="E930"/>
  <c r="E1852"/>
  <c r="E133"/>
  <c r="E132"/>
  <c r="E131"/>
  <c r="M169" i="1"/>
  <c r="L169"/>
  <c r="M167"/>
  <c r="L167"/>
  <c r="K168"/>
  <c r="J168"/>
  <c r="I168"/>
  <c r="K166"/>
  <c r="J166"/>
  <c r="I166"/>
  <c r="H166"/>
  <c r="H168"/>
  <c r="E702" i="2"/>
  <c r="E700"/>
  <c r="E671"/>
  <c r="E638"/>
  <c r="L155" i="1"/>
  <c r="L153"/>
  <c r="K154"/>
  <c r="J154"/>
  <c r="I154"/>
  <c r="K152"/>
  <c r="J152"/>
  <c r="I152"/>
  <c r="H154"/>
  <c r="H152"/>
  <c r="E307" i="2"/>
  <c r="E1783"/>
  <c r="E310"/>
  <c r="E304"/>
  <c r="E313"/>
  <c r="E312"/>
  <c r="E311"/>
  <c r="M134" i="1"/>
  <c r="L134"/>
  <c r="K133"/>
  <c r="J133"/>
  <c r="J132"/>
  <c r="I133"/>
  <c r="I132"/>
  <c r="H133"/>
  <c r="H132"/>
  <c r="E940" i="2"/>
  <c r="E938"/>
  <c r="E935"/>
  <c r="E1815"/>
  <c r="E1804"/>
  <c r="E932"/>
  <c r="E1063"/>
  <c r="E1062"/>
  <c r="E1061"/>
  <c r="E1060"/>
  <c r="E1059"/>
  <c r="E1058"/>
  <c r="H66" i="1"/>
  <c r="E978" i="2"/>
  <c r="I978"/>
  <c r="K60" i="1"/>
  <c r="J60"/>
  <c r="I60"/>
  <c r="H60"/>
  <c r="E964" i="2"/>
  <c r="E944"/>
  <c r="M38" i="1"/>
  <c r="L38"/>
  <c r="M37"/>
  <c r="M36"/>
  <c r="M35"/>
  <c r="H37"/>
  <c r="L37"/>
  <c r="E1975" i="2"/>
  <c r="I1975"/>
  <c r="E680"/>
  <c r="E981"/>
  <c r="E1178"/>
  <c r="E1177"/>
  <c r="E1176"/>
  <c r="E1175"/>
  <c r="E1174"/>
  <c r="E1173"/>
  <c r="E1172"/>
  <c r="E1171"/>
  <c r="E1170"/>
  <c r="E1169"/>
  <c r="E1168"/>
  <c r="E1167"/>
  <c r="E1166"/>
  <c r="E1165"/>
  <c r="E1164"/>
  <c r="E1163"/>
  <c r="E1162"/>
  <c r="E1161"/>
  <c r="L23" i="1"/>
  <c r="K22"/>
  <c r="K21"/>
  <c r="J22"/>
  <c r="J21"/>
  <c r="I22"/>
  <c r="I21"/>
  <c r="H22"/>
  <c r="H21"/>
  <c r="G22"/>
  <c r="G21"/>
  <c r="K2730"/>
  <c r="K2729"/>
  <c r="J2730"/>
  <c r="J2729"/>
  <c r="I2730"/>
  <c r="I2729"/>
  <c r="H2730"/>
  <c r="H2729"/>
  <c r="K2727"/>
  <c r="J2727"/>
  <c r="I2727"/>
  <c r="H2727"/>
  <c r="K2725"/>
  <c r="J2725"/>
  <c r="I2725"/>
  <c r="H2725"/>
  <c r="K2721"/>
  <c r="K2720"/>
  <c r="K2719"/>
  <c r="J2721"/>
  <c r="J2720"/>
  <c r="J2719"/>
  <c r="I2721"/>
  <c r="I2720"/>
  <c r="I2719"/>
  <c r="H2721"/>
  <c r="H2720"/>
  <c r="H2719"/>
  <c r="G2730"/>
  <c r="G2729"/>
  <c r="G2727"/>
  <c r="G2725"/>
  <c r="G2721"/>
  <c r="G2720"/>
  <c r="G2719"/>
  <c r="K2705"/>
  <c r="J2705"/>
  <c r="I2705"/>
  <c r="H2705"/>
  <c r="K2703"/>
  <c r="J2703"/>
  <c r="I2703"/>
  <c r="H2703"/>
  <c r="G2703"/>
  <c r="G2701"/>
  <c r="G2700"/>
  <c r="K2698"/>
  <c r="J2698"/>
  <c r="I2698"/>
  <c r="H2698"/>
  <c r="K2696"/>
  <c r="J2696"/>
  <c r="H2696"/>
  <c r="K2694"/>
  <c r="J2694"/>
  <c r="I2694"/>
  <c r="H2694"/>
  <c r="G2698"/>
  <c r="G2696"/>
  <c r="G2694"/>
  <c r="K2685"/>
  <c r="J2685"/>
  <c r="I2685"/>
  <c r="H2685"/>
  <c r="K2683"/>
  <c r="J2683"/>
  <c r="I2683"/>
  <c r="H2683"/>
  <c r="K2681"/>
  <c r="J2681"/>
  <c r="I2681"/>
  <c r="H2681"/>
  <c r="G2685"/>
  <c r="G2683"/>
  <c r="G2681"/>
  <c r="K2672"/>
  <c r="J2672"/>
  <c r="I2672"/>
  <c r="H2672"/>
  <c r="K2670"/>
  <c r="J2670"/>
  <c r="I2670"/>
  <c r="H2670"/>
  <c r="K2668"/>
  <c r="J2668"/>
  <c r="I2668"/>
  <c r="H2668"/>
  <c r="G2672"/>
  <c r="G2670"/>
  <c r="G2668"/>
  <c r="K2659"/>
  <c r="J2659"/>
  <c r="I2659"/>
  <c r="H2659"/>
  <c r="K2657"/>
  <c r="J2657"/>
  <c r="I2657"/>
  <c r="H2657"/>
  <c r="K2655"/>
  <c r="J2655"/>
  <c r="I2655"/>
  <c r="H2655"/>
  <c r="G2659"/>
  <c r="G2657"/>
  <c r="G2655"/>
  <c r="K2646"/>
  <c r="K2645"/>
  <c r="J2646"/>
  <c r="J2645"/>
  <c r="I2646"/>
  <c r="I2645"/>
  <c r="H2646"/>
  <c r="H2645"/>
  <c r="K2643"/>
  <c r="J2643"/>
  <c r="I2643"/>
  <c r="H2643"/>
  <c r="K2641"/>
  <c r="J2641"/>
  <c r="I2641"/>
  <c r="H2641"/>
  <c r="K2639"/>
  <c r="J2639"/>
  <c r="I2639"/>
  <c r="H2639"/>
  <c r="G2646"/>
  <c r="G2645"/>
  <c r="G2643"/>
  <c r="G2641"/>
  <c r="G2639"/>
  <c r="K2630"/>
  <c r="K2629"/>
  <c r="J2630"/>
  <c r="J2629"/>
  <c r="I2630"/>
  <c r="I2629"/>
  <c r="H2630"/>
  <c r="H2629"/>
  <c r="K2627"/>
  <c r="J2627"/>
  <c r="I2627"/>
  <c r="H2627"/>
  <c r="K2625"/>
  <c r="J2625"/>
  <c r="I2625"/>
  <c r="H2625"/>
  <c r="K2623"/>
  <c r="J2623"/>
  <c r="I2623"/>
  <c r="H2623"/>
  <c r="K2618"/>
  <c r="K2617"/>
  <c r="K2616"/>
  <c r="K2615"/>
  <c r="J2618"/>
  <c r="J2617"/>
  <c r="J2616"/>
  <c r="J2615"/>
  <c r="I2618"/>
  <c r="I2617"/>
  <c r="I2616"/>
  <c r="I2615"/>
  <c r="H2618"/>
  <c r="H2617"/>
  <c r="H2616"/>
  <c r="H2615"/>
  <c r="K2613"/>
  <c r="K2612"/>
  <c r="K2611"/>
  <c r="K2610"/>
  <c r="J2613"/>
  <c r="J2612"/>
  <c r="J2611"/>
  <c r="J2610"/>
  <c r="I2613"/>
  <c r="I2612"/>
  <c r="I2611"/>
  <c r="I2610"/>
  <c r="H2613"/>
  <c r="H2612"/>
  <c r="H2611"/>
  <c r="H2610"/>
  <c r="K2607"/>
  <c r="K2606"/>
  <c r="K2605"/>
  <c r="J2607"/>
  <c r="J2606"/>
  <c r="J2605"/>
  <c r="I2607"/>
  <c r="I2606"/>
  <c r="I2605"/>
  <c r="H2607"/>
  <c r="H2606"/>
  <c r="H2605"/>
  <c r="K2603"/>
  <c r="K2602"/>
  <c r="K2601"/>
  <c r="K2600"/>
  <c r="J2603"/>
  <c r="J2602"/>
  <c r="J2601"/>
  <c r="J2600"/>
  <c r="I2603"/>
  <c r="I2602"/>
  <c r="I2601"/>
  <c r="I2600"/>
  <c r="H2603"/>
  <c r="H2602"/>
  <c r="H2601"/>
  <c r="H2600"/>
  <c r="K2598"/>
  <c r="K2597"/>
  <c r="K2596"/>
  <c r="J2598"/>
  <c r="J2597"/>
  <c r="J2596"/>
  <c r="I2598"/>
  <c r="I2597"/>
  <c r="I2596"/>
  <c r="H2598"/>
  <c r="H2597"/>
  <c r="H2596"/>
  <c r="G2630"/>
  <c r="G2629"/>
  <c r="G2627"/>
  <c r="G2625"/>
  <c r="G2623"/>
  <c r="G2618"/>
  <c r="G2617"/>
  <c r="G2616"/>
  <c r="G2615"/>
  <c r="G2613"/>
  <c r="G2612"/>
  <c r="G2611"/>
  <c r="G2610"/>
  <c r="G2607"/>
  <c r="G2606"/>
  <c r="G2605"/>
  <c r="G2603"/>
  <c r="G2602"/>
  <c r="G2601"/>
  <c r="G2600"/>
  <c r="G2598"/>
  <c r="G2597"/>
  <c r="G2596"/>
  <c r="K2590"/>
  <c r="J2590"/>
  <c r="I2590"/>
  <c r="H2590"/>
  <c r="K2588"/>
  <c r="J2588"/>
  <c r="I2588"/>
  <c r="H2588"/>
  <c r="K2586"/>
  <c r="J2586"/>
  <c r="I2586"/>
  <c r="H2586"/>
  <c r="G2590"/>
  <c r="G2588"/>
  <c r="G2586"/>
  <c r="K2577"/>
  <c r="J2577"/>
  <c r="I2577"/>
  <c r="H2577"/>
  <c r="K2575"/>
  <c r="J2575"/>
  <c r="I2575"/>
  <c r="H2575"/>
  <c r="K2573"/>
  <c r="J2573"/>
  <c r="I2573"/>
  <c r="H2573"/>
  <c r="G2577"/>
  <c r="G2575"/>
  <c r="G2573"/>
  <c r="K2564"/>
  <c r="K2563"/>
  <c r="K2562"/>
  <c r="K2561"/>
  <c r="K2560"/>
  <c r="J2564"/>
  <c r="J2563"/>
  <c r="J2562"/>
  <c r="J2561"/>
  <c r="J2560"/>
  <c r="I2564"/>
  <c r="I2563"/>
  <c r="I2562"/>
  <c r="I2561"/>
  <c r="I2560"/>
  <c r="H2564"/>
  <c r="H2563"/>
  <c r="H2562"/>
  <c r="H2561"/>
  <c r="H2560"/>
  <c r="G2564"/>
  <c r="G2563"/>
  <c r="G2562"/>
  <c r="G2561"/>
  <c r="G2560"/>
  <c r="K2557"/>
  <c r="K2556"/>
  <c r="J2557"/>
  <c r="J2556"/>
  <c r="I2557"/>
  <c r="I2556"/>
  <c r="H2557"/>
  <c r="H2556"/>
  <c r="K2554"/>
  <c r="K2553"/>
  <c r="J2554"/>
  <c r="J2553"/>
  <c r="I2554"/>
  <c r="I2553"/>
  <c r="H2554"/>
  <c r="H2553"/>
  <c r="K2546"/>
  <c r="K2545"/>
  <c r="J2546"/>
  <c r="J2545"/>
  <c r="I2546"/>
  <c r="I2545"/>
  <c r="H2546"/>
  <c r="H2545"/>
  <c r="K2543"/>
  <c r="K2542"/>
  <c r="J2543"/>
  <c r="J2542"/>
  <c r="I2543"/>
  <c r="I2542"/>
  <c r="H2543"/>
  <c r="H2542"/>
  <c r="G2557"/>
  <c r="G2556"/>
  <c r="G2554"/>
  <c r="G2553"/>
  <c r="G2546"/>
  <c r="G2545"/>
  <c r="G2543"/>
  <c r="G2542"/>
  <c r="K2536"/>
  <c r="J2536"/>
  <c r="I2536"/>
  <c r="H2536"/>
  <c r="K2534"/>
  <c r="J2534"/>
  <c r="I2534"/>
  <c r="H2534"/>
  <c r="G2536"/>
  <c r="G2534"/>
  <c r="K2529"/>
  <c r="K2528"/>
  <c r="K2527"/>
  <c r="K2526"/>
  <c r="J2529"/>
  <c r="J2528"/>
  <c r="J2527"/>
  <c r="J2526"/>
  <c r="I2529"/>
  <c r="I2528"/>
  <c r="I2527"/>
  <c r="I2526"/>
  <c r="H2529"/>
  <c r="H2528"/>
  <c r="H2527"/>
  <c r="H2526"/>
  <c r="G2529"/>
  <c r="G2528"/>
  <c r="G2527"/>
  <c r="G2526"/>
  <c r="K2524"/>
  <c r="K2523"/>
  <c r="K2522"/>
  <c r="K2521"/>
  <c r="J2524"/>
  <c r="J2523"/>
  <c r="J2522"/>
  <c r="J2521"/>
  <c r="I2524"/>
  <c r="I2523"/>
  <c r="I2522"/>
  <c r="I2521"/>
  <c r="H2524"/>
  <c r="H2523"/>
  <c r="H2522"/>
  <c r="H2521"/>
  <c r="G2524"/>
  <c r="G2523"/>
  <c r="G2522"/>
  <c r="G2521"/>
  <c r="K2519"/>
  <c r="K2518"/>
  <c r="K2517"/>
  <c r="K2516"/>
  <c r="J2519"/>
  <c r="J2518"/>
  <c r="J2517"/>
  <c r="J2516"/>
  <c r="I2519"/>
  <c r="I2518"/>
  <c r="I2517"/>
  <c r="I2516"/>
  <c r="H2519"/>
  <c r="H2518"/>
  <c r="H2517"/>
  <c r="H2516"/>
  <c r="G2519"/>
  <c r="G2518"/>
  <c r="G2517"/>
  <c r="G2516"/>
  <c r="K2512"/>
  <c r="J2512"/>
  <c r="I2512"/>
  <c r="H2512"/>
  <c r="K2510"/>
  <c r="J2510"/>
  <c r="I2510"/>
  <c r="H2510"/>
  <c r="K2507"/>
  <c r="K2506"/>
  <c r="J2507"/>
  <c r="J2506"/>
  <c r="I2507"/>
  <c r="I2506"/>
  <c r="H2507"/>
  <c r="H2506"/>
  <c r="K2504"/>
  <c r="J2504"/>
  <c r="I2504"/>
  <c r="H2504"/>
  <c r="K2502"/>
  <c r="J2502"/>
  <c r="I2502"/>
  <c r="H2502"/>
  <c r="G2512"/>
  <c r="G2510"/>
  <c r="G2507"/>
  <c r="G2506"/>
  <c r="G2504"/>
  <c r="G2502"/>
  <c r="K2494"/>
  <c r="K2493"/>
  <c r="J2494"/>
  <c r="J2493"/>
  <c r="I2494"/>
  <c r="I2493"/>
  <c r="H2494"/>
  <c r="H2493"/>
  <c r="K2488"/>
  <c r="J2488"/>
  <c r="I2488"/>
  <c r="H2488"/>
  <c r="K2486"/>
  <c r="J2486"/>
  <c r="I2486"/>
  <c r="H2486"/>
  <c r="K2482"/>
  <c r="K2481"/>
  <c r="K2480"/>
  <c r="J2482"/>
  <c r="J2481"/>
  <c r="J2480"/>
  <c r="I2482"/>
  <c r="I2481"/>
  <c r="I2480"/>
  <c r="H2482"/>
  <c r="H2481"/>
  <c r="H2480"/>
  <c r="K2478"/>
  <c r="K2477"/>
  <c r="K2476"/>
  <c r="J2478"/>
  <c r="J2477"/>
  <c r="J2476"/>
  <c r="I2478"/>
  <c r="I2477"/>
  <c r="I2476"/>
  <c r="H2478"/>
  <c r="H2477"/>
  <c r="H2476"/>
  <c r="G2494"/>
  <c r="G2493"/>
  <c r="G2490"/>
  <c r="G2488"/>
  <c r="G2486"/>
  <c r="G2482"/>
  <c r="G2481"/>
  <c r="G2480"/>
  <c r="G2478"/>
  <c r="G2477"/>
  <c r="G2476"/>
  <c r="K2469"/>
  <c r="J2469"/>
  <c r="I2469"/>
  <c r="H2469"/>
  <c r="K2467"/>
  <c r="J2467"/>
  <c r="I2467"/>
  <c r="H2467"/>
  <c r="K2465"/>
  <c r="J2465"/>
  <c r="I2465"/>
  <c r="H2465"/>
  <c r="G2469"/>
  <c r="G2467"/>
  <c r="G2465"/>
  <c r="K2456"/>
  <c r="J2456"/>
  <c r="I2456"/>
  <c r="H2456"/>
  <c r="K2454"/>
  <c r="J2454"/>
  <c r="I2454"/>
  <c r="H2454"/>
  <c r="K2452"/>
  <c r="J2452"/>
  <c r="I2452"/>
  <c r="H2452"/>
  <c r="K2448"/>
  <c r="K2447"/>
  <c r="K2446"/>
  <c r="J2448"/>
  <c r="J2447"/>
  <c r="J2446"/>
  <c r="I2448"/>
  <c r="I2447"/>
  <c r="I2446"/>
  <c r="H2448"/>
  <c r="H2447"/>
  <c r="H2446"/>
  <c r="K2444"/>
  <c r="K2443"/>
  <c r="K2442"/>
  <c r="J2444"/>
  <c r="J2443"/>
  <c r="J2442"/>
  <c r="I2444"/>
  <c r="I2443"/>
  <c r="I2442"/>
  <c r="H2444"/>
  <c r="H2443"/>
  <c r="H2442"/>
  <c r="K2440"/>
  <c r="K2439"/>
  <c r="K2438"/>
  <c r="J2440"/>
  <c r="J2439"/>
  <c r="J2438"/>
  <c r="I2440"/>
  <c r="I2439"/>
  <c r="I2438"/>
  <c r="H2440"/>
  <c r="H2439"/>
  <c r="H2438"/>
  <c r="G2456"/>
  <c r="G2454"/>
  <c r="G2452"/>
  <c r="G2448"/>
  <c r="G2447"/>
  <c r="G2446"/>
  <c r="G2444"/>
  <c r="G2443"/>
  <c r="G2442"/>
  <c r="G2440"/>
  <c r="G2439"/>
  <c r="G2438"/>
  <c r="K2428"/>
  <c r="J2428"/>
  <c r="I2428"/>
  <c r="H2428"/>
  <c r="K2426"/>
  <c r="J2426"/>
  <c r="I2426"/>
  <c r="H2426"/>
  <c r="G2430"/>
  <c r="G2428"/>
  <c r="G2426"/>
  <c r="E919" i="2"/>
  <c r="I919"/>
  <c r="I920"/>
  <c r="H2109" i="1"/>
  <c r="E1090" i="2"/>
  <c r="H2550" i="1"/>
  <c r="L2550"/>
  <c r="L2551"/>
  <c r="E714" i="2"/>
  <c r="I714"/>
  <c r="I715"/>
  <c r="E717"/>
  <c r="I717"/>
  <c r="I718"/>
  <c r="M2741" i="1"/>
  <c r="I1002" i="2"/>
  <c r="H344" i="1"/>
  <c r="L1705"/>
  <c r="H2116"/>
  <c r="M2201"/>
  <c r="K2229"/>
  <c r="K2228"/>
  <c r="K2227"/>
  <c r="K2226"/>
  <c r="H2337"/>
  <c r="H2336"/>
  <c r="M2342"/>
  <c r="L2739"/>
  <c r="J2749"/>
  <c r="J2748"/>
  <c r="J2747"/>
  <c r="J2746"/>
  <c r="J2745"/>
  <c r="E976" i="2"/>
  <c r="E1188"/>
  <c r="I1188"/>
  <c r="I1189"/>
  <c r="E1932"/>
  <c r="I1932"/>
  <c r="L2201" i="1"/>
  <c r="L2231"/>
  <c r="K2738"/>
  <c r="K2737"/>
  <c r="K2736"/>
  <c r="K2735"/>
  <c r="H1318"/>
  <c r="E913" i="2"/>
  <c r="M1466" i="1"/>
  <c r="H1539"/>
  <c r="M2230"/>
  <c r="M2340"/>
  <c r="H2490"/>
  <c r="J2738"/>
  <c r="J2737"/>
  <c r="J2736"/>
  <c r="J2735"/>
  <c r="J2734"/>
  <c r="K2708"/>
  <c r="K2707"/>
  <c r="E1948" i="2"/>
  <c r="I1949"/>
  <c r="H339" i="1"/>
  <c r="L340"/>
  <c r="I2749"/>
  <c r="M2749"/>
  <c r="L848"/>
  <c r="H954"/>
  <c r="L2175"/>
  <c r="H2230"/>
  <c r="H2229"/>
  <c r="H2228"/>
  <c r="H2235"/>
  <c r="H2234"/>
  <c r="H2227"/>
  <c r="H2226"/>
  <c r="L2238"/>
  <c r="K2337"/>
  <c r="K2336"/>
  <c r="L2336"/>
  <c r="L2741"/>
  <c r="J2708"/>
  <c r="J2707"/>
  <c r="E1894" i="2"/>
  <c r="I1894"/>
  <c r="I91" i="3"/>
  <c r="J91"/>
  <c r="M2040" i="1"/>
  <c r="M1953"/>
  <c r="M1677"/>
  <c r="E1979" i="2"/>
  <c r="I1979"/>
  <c r="M2199" i="1"/>
  <c r="M2203"/>
  <c r="M2200"/>
  <c r="M2196"/>
  <c r="K2181"/>
  <c r="M2182"/>
  <c r="M2171"/>
  <c r="L2171"/>
  <c r="L2394"/>
  <c r="L2395"/>
  <c r="M2395"/>
  <c r="M2394"/>
  <c r="J2337"/>
  <c r="J2336"/>
  <c r="I2337"/>
  <c r="I2336"/>
  <c r="I2235"/>
  <c r="M2236"/>
  <c r="I2229"/>
  <c r="I2228"/>
  <c r="K2549"/>
  <c r="K2548"/>
  <c r="J2549"/>
  <c r="J2548"/>
  <c r="I2549"/>
  <c r="I2708"/>
  <c r="I2707"/>
  <c r="L2709"/>
  <c r="M2709"/>
  <c r="M2739"/>
  <c r="I2738"/>
  <c r="I2737"/>
  <c r="I2736"/>
  <c r="I2735"/>
  <c r="I2734"/>
  <c r="K2734"/>
  <c r="K2733"/>
  <c r="J2733"/>
  <c r="L2750"/>
  <c r="M2750"/>
  <c r="J906"/>
  <c r="J905"/>
  <c r="L896"/>
  <c r="M813"/>
  <c r="M811"/>
  <c r="L168"/>
  <c r="L60"/>
  <c r="M60"/>
  <c r="E1971" i="2"/>
  <c r="E2001"/>
  <c r="I2001"/>
  <c r="J1648"/>
  <c r="J1828"/>
  <c r="I1767"/>
  <c r="I1608"/>
  <c r="I1655"/>
  <c r="I1648"/>
  <c r="J1676"/>
  <c r="J1750"/>
  <c r="I1653"/>
  <c r="J1653"/>
  <c r="J1835"/>
  <c r="J1767"/>
  <c r="I1679"/>
  <c r="J1621"/>
  <c r="I1583"/>
  <c r="J1829"/>
  <c r="J1853"/>
  <c r="J1575"/>
  <c r="J1652"/>
  <c r="J1813"/>
  <c r="J1704"/>
  <c r="I1621"/>
  <c r="E1760"/>
  <c r="I1704"/>
  <c r="I1840"/>
  <c r="J1585"/>
  <c r="I1561"/>
  <c r="I1652"/>
  <c r="J1847"/>
  <c r="I1842"/>
  <c r="J1832"/>
  <c r="J1833"/>
  <c r="I1843"/>
  <c r="J1802"/>
  <c r="J1807"/>
  <c r="J1808"/>
  <c r="J1795"/>
  <c r="J1775"/>
  <c r="J1706"/>
  <c r="J1724"/>
  <c r="J1710"/>
  <c r="J1709"/>
  <c r="J1757"/>
  <c r="J1758"/>
  <c r="J1743"/>
  <c r="J1720"/>
  <c r="J1744"/>
  <c r="J1760"/>
  <c r="J1713"/>
  <c r="I1763"/>
  <c r="J1590"/>
  <c r="I1688"/>
  <c r="J1696"/>
  <c r="I1586"/>
  <c r="I1658"/>
  <c r="I1661"/>
  <c r="I1771"/>
  <c r="E1770"/>
  <c r="I1770"/>
  <c r="I1600"/>
  <c r="I1682"/>
  <c r="E1735"/>
  <c r="I1735"/>
  <c r="I1630"/>
  <c r="E1743"/>
  <c r="I1743"/>
  <c r="I1744"/>
  <c r="E1738"/>
  <c r="I1738"/>
  <c r="E1728"/>
  <c r="I1728"/>
  <c r="E1702"/>
  <c r="I1685"/>
  <c r="J1679"/>
  <c r="J1678"/>
  <c r="J1636"/>
  <c r="J1666"/>
  <c r="J1646"/>
  <c r="J1693"/>
  <c r="J1692"/>
  <c r="J1665"/>
  <c r="E1693"/>
  <c r="E1678"/>
  <c r="I1678"/>
  <c r="I1676"/>
  <c r="E1666"/>
  <c r="I1667"/>
  <c r="E1645"/>
  <c r="E1633"/>
  <c r="I1633"/>
  <c r="J1616"/>
  <c r="J1615"/>
  <c r="E1624"/>
  <c r="I1624"/>
  <c r="E1616"/>
  <c r="I1616"/>
  <c r="J1597"/>
  <c r="J1598"/>
  <c r="J1591"/>
  <c r="J1603"/>
  <c r="I1606"/>
  <c r="J1583"/>
  <c r="E1611"/>
  <c r="I1611"/>
  <c r="I1598"/>
  <c r="E1597"/>
  <c r="E1590"/>
  <c r="I1590"/>
  <c r="E1585"/>
  <c r="I1570"/>
  <c r="I1576"/>
  <c r="J1561"/>
  <c r="J1576"/>
  <c r="J1574"/>
  <c r="I1529"/>
  <c r="I1507"/>
  <c r="I1565"/>
  <c r="I1551"/>
  <c r="J1551"/>
  <c r="I1567"/>
  <c r="J1529"/>
  <c r="J1504"/>
  <c r="J1530"/>
  <c r="J1525"/>
  <c r="J1513"/>
  <c r="J1514"/>
  <c r="J1533"/>
  <c r="I1547"/>
  <c r="E1575"/>
  <c r="I1575"/>
  <c r="I1564"/>
  <c r="E1534"/>
  <c r="I1534"/>
  <c r="I1535"/>
  <c r="E1537"/>
  <c r="E1554"/>
  <c r="I1555"/>
  <c r="E1542"/>
  <c r="E1525"/>
  <c r="I1525"/>
  <c r="I1519"/>
  <c r="E1518"/>
  <c r="I1518"/>
  <c r="E1521"/>
  <c r="J1408"/>
  <c r="J1426"/>
  <c r="J1316"/>
  <c r="J1381"/>
  <c r="J1479"/>
  <c r="J1409"/>
  <c r="J1441"/>
  <c r="J1311"/>
  <c r="J1287"/>
  <c r="I1490"/>
  <c r="I1267"/>
  <c r="J1478"/>
  <c r="I1495"/>
  <c r="I1514"/>
  <c r="E1513"/>
  <c r="E1510"/>
  <c r="I1510"/>
  <c r="I1504"/>
  <c r="J1474"/>
  <c r="J1473"/>
  <c r="J1483"/>
  <c r="J1482"/>
  <c r="J1495"/>
  <c r="J1494"/>
  <c r="I1498"/>
  <c r="J1477"/>
  <c r="J1466"/>
  <c r="I1466"/>
  <c r="I1496"/>
  <c r="E1494"/>
  <c r="E1483"/>
  <c r="I1483"/>
  <c r="E1478"/>
  <c r="E1477"/>
  <c r="I1477"/>
  <c r="I1474"/>
  <c r="E1473"/>
  <c r="E1465"/>
  <c r="I1465"/>
  <c r="J1456"/>
  <c r="J1457"/>
  <c r="J1459"/>
  <c r="J1460"/>
  <c r="I1430"/>
  <c r="J1430"/>
  <c r="J1442"/>
  <c r="J1432"/>
  <c r="J1433"/>
  <c r="I1301"/>
  <c r="J1327"/>
  <c r="J1282"/>
  <c r="I1302"/>
  <c r="J1302"/>
  <c r="I1287"/>
  <c r="J1363"/>
  <c r="J1391"/>
  <c r="I1273"/>
  <c r="J1281"/>
  <c r="I1327"/>
  <c r="J1313"/>
  <c r="J1394"/>
  <c r="J1354"/>
  <c r="J1357"/>
  <c r="J1358"/>
  <c r="J1385"/>
  <c r="J1384"/>
  <c r="J1362"/>
  <c r="J1376"/>
  <c r="J1342"/>
  <c r="J1295"/>
  <c r="J1307"/>
  <c r="E1322"/>
  <c r="E1321"/>
  <c r="E1313"/>
  <c r="I1313"/>
  <c r="E1306"/>
  <c r="E1294"/>
  <c r="E1284"/>
  <c r="E1266"/>
  <c r="E1265"/>
  <c r="J1203"/>
  <c r="I1212"/>
  <c r="J1200"/>
  <c r="J1257"/>
  <c r="I1245"/>
  <c r="I1221"/>
  <c r="J1232"/>
  <c r="I1229"/>
  <c r="J1332"/>
  <c r="E1332"/>
  <c r="I1278"/>
  <c r="I1237"/>
  <c r="I1182"/>
  <c r="J1241"/>
  <c r="J1242"/>
  <c r="J1228"/>
  <c r="J1229"/>
  <c r="I1242"/>
  <c r="J1182"/>
  <c r="J1256"/>
  <c r="J1255"/>
  <c r="J1192"/>
  <c r="I1222"/>
  <c r="I1230"/>
  <c r="E1224"/>
  <c r="I1224"/>
  <c r="I1225"/>
  <c r="E1256"/>
  <c r="E1255"/>
  <c r="E1215"/>
  <c r="I1215"/>
  <c r="I1216"/>
  <c r="I1219"/>
  <c r="E1251"/>
  <c r="I1251"/>
  <c r="I1243"/>
  <c r="E1232"/>
  <c r="I1232"/>
  <c r="I1203"/>
  <c r="E1778"/>
  <c r="I1778"/>
  <c r="I1779"/>
  <c r="E1897"/>
  <c r="I1897"/>
  <c r="I1898"/>
  <c r="J1124"/>
  <c r="E1879"/>
  <c r="I1880"/>
  <c r="E1913"/>
  <c r="I1914"/>
  <c r="E1884"/>
  <c r="I1885"/>
  <c r="E1873"/>
  <c r="I1874"/>
  <c r="E1908"/>
  <c r="I1909"/>
  <c r="J1097"/>
  <c r="E1868"/>
  <c r="I1869"/>
  <c r="E1903"/>
  <c r="I1904"/>
  <c r="J1088"/>
  <c r="J1129"/>
  <c r="J1130"/>
  <c r="J1128"/>
  <c r="I1124"/>
  <c r="J1122"/>
  <c r="J1113"/>
  <c r="J1152"/>
  <c r="J1153"/>
  <c r="J1110"/>
  <c r="E1132"/>
  <c r="E1118"/>
  <c r="E1110"/>
  <c r="I1110"/>
  <c r="I988"/>
  <c r="E1096"/>
  <c r="I1019"/>
  <c r="J1019"/>
  <c r="J1065"/>
  <c r="J1000"/>
  <c r="I1013"/>
  <c r="I1000"/>
  <c r="J988"/>
  <c r="J1003"/>
  <c r="I1092"/>
  <c r="J1013"/>
  <c r="J1016"/>
  <c r="I1032"/>
  <c r="E1006"/>
  <c r="J1006"/>
  <c r="J1053"/>
  <c r="J1054"/>
  <c r="I1054"/>
  <c r="I1067"/>
  <c r="I1034"/>
  <c r="I994"/>
  <c r="J993"/>
  <c r="J994"/>
  <c r="J986"/>
  <c r="I986"/>
  <c r="J1027"/>
  <c r="I1027"/>
  <c r="E1016"/>
  <c r="I1016"/>
  <c r="I976"/>
  <c r="J976"/>
  <c r="E993"/>
  <c r="E985"/>
  <c r="I974"/>
  <c r="J947"/>
  <c r="J948"/>
  <c r="I968"/>
  <c r="J961"/>
  <c r="I1040"/>
  <c r="E1039"/>
  <c r="J929"/>
  <c r="I953"/>
  <c r="I950"/>
  <c r="I951"/>
  <c r="I947"/>
  <c r="J968"/>
  <c r="J959"/>
  <c r="I723"/>
  <c r="J759"/>
  <c r="J753"/>
  <c r="E946"/>
  <c r="J711"/>
  <c r="I786"/>
  <c r="I872"/>
  <c r="J760"/>
  <c r="I848"/>
  <c r="I863"/>
  <c r="I754"/>
  <c r="I845"/>
  <c r="J754"/>
  <c r="I792"/>
  <c r="I783"/>
  <c r="I851"/>
  <c r="J791"/>
  <c r="J736"/>
  <c r="J789"/>
  <c r="E794"/>
  <c r="I794"/>
  <c r="J839"/>
  <c r="I971"/>
  <c r="E970"/>
  <c r="E967"/>
  <c r="J840"/>
  <c r="I727"/>
  <c r="I797"/>
  <c r="E939"/>
  <c r="I939"/>
  <c r="I940"/>
  <c r="J854"/>
  <c r="J855"/>
  <c r="J875"/>
  <c r="J876"/>
  <c r="J775"/>
  <c r="I775"/>
  <c r="J781"/>
  <c r="I818"/>
  <c r="J785"/>
  <c r="I830"/>
  <c r="I765"/>
  <c r="I744"/>
  <c r="J730"/>
  <c r="J751"/>
  <c r="J726"/>
  <c r="J727"/>
  <c r="I842"/>
  <c r="I762"/>
  <c r="I741"/>
  <c r="J803"/>
  <c r="J804"/>
  <c r="J732"/>
  <c r="J733"/>
  <c r="I827"/>
  <c r="I839"/>
  <c r="I772"/>
  <c r="J772"/>
  <c r="I735"/>
  <c r="J735"/>
  <c r="I876"/>
  <c r="I759"/>
  <c r="I747"/>
  <c r="I785"/>
  <c r="I882"/>
  <c r="E881"/>
  <c r="I881"/>
  <c r="E878"/>
  <c r="I879"/>
  <c r="E875"/>
  <c r="E869"/>
  <c r="I869"/>
  <c r="E866"/>
  <c r="I866"/>
  <c r="E854"/>
  <c r="I855"/>
  <c r="I849"/>
  <c r="E833"/>
  <c r="I833"/>
  <c r="I834"/>
  <c r="I825"/>
  <c r="E824"/>
  <c r="I824"/>
  <c r="E821"/>
  <c r="I821"/>
  <c r="I822"/>
  <c r="I819"/>
  <c r="E815"/>
  <c r="I815"/>
  <c r="E809"/>
  <c r="I809"/>
  <c r="I810"/>
  <c r="E800"/>
  <c r="I800"/>
  <c r="E788"/>
  <c r="I788"/>
  <c r="I789"/>
  <c r="E780"/>
  <c r="J330"/>
  <c r="E756"/>
  <c r="I757"/>
  <c r="E738"/>
  <c r="I733"/>
  <c r="E732"/>
  <c r="I732"/>
  <c r="E720"/>
  <c r="I730"/>
  <c r="E729"/>
  <c r="I729"/>
  <c r="E726"/>
  <c r="J908"/>
  <c r="I887"/>
  <c r="J911"/>
  <c r="I908"/>
  <c r="I886"/>
  <c r="I580"/>
  <c r="E711"/>
  <c r="I712"/>
  <c r="E708"/>
  <c r="J890"/>
  <c r="I892"/>
  <c r="I896"/>
  <c r="E885"/>
  <c r="J900"/>
  <c r="I923"/>
  <c r="E922"/>
  <c r="I667"/>
  <c r="H790" i="1"/>
  <c r="E664" i="2"/>
  <c r="E663"/>
  <c r="E660"/>
  <c r="J604"/>
  <c r="E653"/>
  <c r="I653"/>
  <c r="J530"/>
  <c r="J601"/>
  <c r="I573"/>
  <c r="I330"/>
  <c r="I495"/>
  <c r="J628"/>
  <c r="J551"/>
  <c r="J625"/>
  <c r="I392"/>
  <c r="J627"/>
  <c r="I631"/>
  <c r="E613"/>
  <c r="E610"/>
  <c r="I610"/>
  <c r="I611"/>
  <c r="J578"/>
  <c r="I422"/>
  <c r="E515"/>
  <c r="I515"/>
  <c r="I513"/>
  <c r="J542"/>
  <c r="J430"/>
  <c r="I577"/>
  <c r="I596"/>
  <c r="I544"/>
  <c r="J560"/>
  <c r="I578"/>
  <c r="J557"/>
  <c r="J597"/>
  <c r="I408"/>
  <c r="I597"/>
  <c r="J590"/>
  <c r="I591"/>
  <c r="E590"/>
  <c r="I590"/>
  <c r="J580"/>
  <c r="J581"/>
  <c r="J574"/>
  <c r="E572"/>
  <c r="I574"/>
  <c r="E568"/>
  <c r="I568"/>
  <c r="I548"/>
  <c r="J548"/>
  <c r="J554"/>
  <c r="J190"/>
  <c r="J333"/>
  <c r="E500"/>
  <c r="J440"/>
  <c r="E323"/>
  <c r="E440"/>
  <c r="I440"/>
  <c r="J364"/>
  <c r="J100"/>
  <c r="J131"/>
  <c r="I300"/>
  <c r="J339"/>
  <c r="J31"/>
  <c r="J119"/>
  <c r="J460"/>
  <c r="J506"/>
  <c r="I506"/>
  <c r="J480"/>
  <c r="I407"/>
  <c r="J413"/>
  <c r="I490"/>
  <c r="J367"/>
  <c r="J405"/>
  <c r="J365"/>
  <c r="J515"/>
  <c r="J445"/>
  <c r="J265"/>
  <c r="E339"/>
  <c r="I339"/>
  <c r="I237"/>
  <c r="I358"/>
  <c r="J389"/>
  <c r="J495"/>
  <c r="J379"/>
  <c r="J78"/>
  <c r="I248"/>
  <c r="J107"/>
  <c r="J72"/>
  <c r="J541"/>
  <c r="I503"/>
  <c r="J510"/>
  <c r="J422"/>
  <c r="J407"/>
  <c r="J412"/>
  <c r="I131"/>
  <c r="I218"/>
  <c r="I163"/>
  <c r="I397"/>
  <c r="J418"/>
  <c r="I53"/>
  <c r="J181"/>
  <c r="I141"/>
  <c r="I461"/>
  <c r="J520"/>
  <c r="I394"/>
  <c r="J399"/>
  <c r="J374"/>
  <c r="J117"/>
  <c r="J525"/>
  <c r="J526"/>
  <c r="J536"/>
  <c r="J369"/>
  <c r="I92"/>
  <c r="I453"/>
  <c r="J370"/>
  <c r="I365"/>
  <c r="J408"/>
  <c r="J500"/>
  <c r="J475"/>
  <c r="J384"/>
  <c r="J465"/>
  <c r="J450"/>
  <c r="J149"/>
  <c r="J470"/>
  <c r="J446"/>
  <c r="J490"/>
  <c r="I312"/>
  <c r="I520"/>
  <c r="I266"/>
  <c r="J438"/>
  <c r="E553"/>
  <c r="I554"/>
  <c r="J355"/>
  <c r="J455"/>
  <c r="I455"/>
  <c r="I475"/>
  <c r="J417"/>
  <c r="J505"/>
  <c r="E530"/>
  <c r="I530"/>
  <c r="I526"/>
  <c r="E525"/>
  <c r="I525"/>
  <c r="E510"/>
  <c r="E505"/>
  <c r="I505"/>
  <c r="E485"/>
  <c r="I485"/>
  <c r="E480"/>
  <c r="I480"/>
  <c r="E470"/>
  <c r="I470"/>
  <c r="E465"/>
  <c r="I465"/>
  <c r="E460"/>
  <c r="E450"/>
  <c r="E445"/>
  <c r="I445"/>
  <c r="I446"/>
  <c r="I436"/>
  <c r="E435"/>
  <c r="E430"/>
  <c r="I430"/>
  <c r="E427"/>
  <c r="I427"/>
  <c r="I428"/>
  <c r="E417"/>
  <c r="I417"/>
  <c r="I418"/>
  <c r="I413"/>
  <c r="E412"/>
  <c r="I412"/>
  <c r="I405"/>
  <c r="E404"/>
  <c r="I404"/>
  <c r="E399"/>
  <c r="I399"/>
  <c r="E389"/>
  <c r="E384"/>
  <c r="I384"/>
  <c r="E379"/>
  <c r="I379"/>
  <c r="E374"/>
  <c r="I374"/>
  <c r="E364"/>
  <c r="I364"/>
  <c r="E355"/>
  <c r="I356"/>
  <c r="I333"/>
  <c r="J268"/>
  <c r="I222"/>
  <c r="I197"/>
  <c r="J163"/>
  <c r="J232"/>
  <c r="J206"/>
  <c r="I188"/>
  <c r="J140"/>
  <c r="I257"/>
  <c r="J242"/>
  <c r="I89"/>
  <c r="I85"/>
  <c r="I16"/>
  <c r="J239"/>
  <c r="I111"/>
  <c r="J305"/>
  <c r="E347"/>
  <c r="I347"/>
  <c r="I172"/>
  <c r="I93"/>
  <c r="I180"/>
  <c r="I17"/>
  <c r="E309"/>
  <c r="E308"/>
  <c r="I310"/>
  <c r="E1808"/>
  <c r="I1809"/>
  <c r="E117"/>
  <c r="I117"/>
  <c r="I118"/>
  <c r="E690"/>
  <c r="I691"/>
  <c r="E239"/>
  <c r="I240"/>
  <c r="E260"/>
  <c r="I260"/>
  <c r="I261"/>
  <c r="E280"/>
  <c r="I281"/>
  <c r="I1166"/>
  <c r="I1178"/>
  <c r="I1060"/>
  <c r="J1060"/>
  <c r="E1426"/>
  <c r="I1426"/>
  <c r="I1428"/>
  <c r="E1796"/>
  <c r="I1796"/>
  <c r="I1797"/>
  <c r="E1372"/>
  <c r="I1373"/>
  <c r="E1964"/>
  <c r="I1965"/>
  <c r="E961"/>
  <c r="I961"/>
  <c r="I962"/>
  <c r="E931"/>
  <c r="I931"/>
  <c r="I932"/>
  <c r="E1782"/>
  <c r="I1783"/>
  <c r="E670"/>
  <c r="I670"/>
  <c r="I671"/>
  <c r="E1851"/>
  <c r="I1852"/>
  <c r="E1406"/>
  <c r="I1407"/>
  <c r="E1439"/>
  <c r="I1439"/>
  <c r="I1440"/>
  <c r="E1811"/>
  <c r="I1812"/>
  <c r="E1448"/>
  <c r="I1449"/>
  <c r="E1387"/>
  <c r="I1387"/>
  <c r="I1388"/>
  <c r="E1358"/>
  <c r="I1359"/>
  <c r="E1395"/>
  <c r="I1395"/>
  <c r="I1396"/>
  <c r="E1071"/>
  <c r="I1072"/>
  <c r="I1966"/>
  <c r="I1968"/>
  <c r="E20"/>
  <c r="I21"/>
  <c r="E83"/>
  <c r="I83"/>
  <c r="I84"/>
  <c r="E693"/>
  <c r="I694"/>
  <c r="E648"/>
  <c r="I649"/>
  <c r="E1829"/>
  <c r="I1830"/>
  <c r="I288"/>
  <c r="J288"/>
  <c r="I1993"/>
  <c r="J1993"/>
  <c r="E207"/>
  <c r="I207"/>
  <c r="I208"/>
  <c r="I63"/>
  <c r="I64"/>
  <c r="I177"/>
  <c r="I254"/>
  <c r="I204"/>
  <c r="I205"/>
  <c r="I252"/>
  <c r="I140"/>
  <c r="I278"/>
  <c r="I267"/>
  <c r="I189"/>
  <c r="I161"/>
  <c r="I301"/>
  <c r="I210"/>
  <c r="I265"/>
  <c r="I1063"/>
  <c r="J1063"/>
  <c r="E637"/>
  <c r="I637"/>
  <c r="I638"/>
  <c r="E1157"/>
  <c r="I1157"/>
  <c r="I1158"/>
  <c r="E138"/>
  <c r="I138"/>
  <c r="I139"/>
  <c r="E645"/>
  <c r="I646"/>
  <c r="E679"/>
  <c r="I680"/>
  <c r="E303"/>
  <c r="I304"/>
  <c r="E1433"/>
  <c r="I1433"/>
  <c r="I1434"/>
  <c r="E1442"/>
  <c r="I1443"/>
  <c r="E1350"/>
  <c r="I1351"/>
  <c r="E1155"/>
  <c r="I1155"/>
  <c r="I1156"/>
  <c r="E642"/>
  <c r="I643"/>
  <c r="I1998"/>
  <c r="J1998"/>
  <c r="E258"/>
  <c r="I258"/>
  <c r="I259"/>
  <c r="E1833"/>
  <c r="I1834"/>
  <c r="E807"/>
  <c r="I808"/>
  <c r="E1377"/>
  <c r="I1377"/>
  <c r="I1378"/>
  <c r="I287"/>
  <c r="J287"/>
  <c r="E1249"/>
  <c r="I1250"/>
  <c r="E1344"/>
  <c r="I1344"/>
  <c r="I1345"/>
  <c r="E1714"/>
  <c r="I1714"/>
  <c r="I1715"/>
  <c r="I1169"/>
  <c r="E1814"/>
  <c r="I1814"/>
  <c r="I1815"/>
  <c r="E1198"/>
  <c r="I1199"/>
  <c r="E1424"/>
  <c r="I1424"/>
  <c r="I1425"/>
  <c r="E1460"/>
  <c r="I1461"/>
  <c r="E1409"/>
  <c r="I1410"/>
  <c r="E1776"/>
  <c r="I1777"/>
  <c r="E1342"/>
  <c r="I1342"/>
  <c r="I1343"/>
  <c r="E1369"/>
  <c r="I1370"/>
  <c r="E1145"/>
  <c r="I1146"/>
  <c r="E28"/>
  <c r="I29"/>
  <c r="E608"/>
  <c r="E95"/>
  <c r="I96"/>
  <c r="E35"/>
  <c r="I35"/>
  <c r="I36"/>
  <c r="E108"/>
  <c r="I108"/>
  <c r="I109"/>
  <c r="E125"/>
  <c r="I125"/>
  <c r="I126"/>
  <c r="E1856"/>
  <c r="I1856"/>
  <c r="I1857"/>
  <c r="E703"/>
  <c r="I703"/>
  <c r="I704"/>
  <c r="E682"/>
  <c r="I682"/>
  <c r="I683"/>
  <c r="E1711"/>
  <c r="I1712"/>
  <c r="J1997"/>
  <c r="I1997"/>
  <c r="E292"/>
  <c r="I293"/>
  <c r="E1065"/>
  <c r="I1066"/>
  <c r="E174"/>
  <c r="I174"/>
  <c r="I175"/>
  <c r="I296"/>
  <c r="I299"/>
  <c r="I65"/>
  <c r="J53"/>
  <c r="I77"/>
  <c r="I38"/>
  <c r="I316"/>
  <c r="J16"/>
  <c r="I195"/>
  <c r="I103"/>
  <c r="J89"/>
  <c r="I313"/>
  <c r="I196"/>
  <c r="I133"/>
  <c r="I212"/>
  <c r="E1385"/>
  <c r="I1385"/>
  <c r="I1386"/>
  <c r="E980"/>
  <c r="I981"/>
  <c r="E1788"/>
  <c r="I1789"/>
  <c r="E1798"/>
  <c r="I1798"/>
  <c r="I1799"/>
  <c r="E1153"/>
  <c r="I1153"/>
  <c r="I1154"/>
  <c r="E617"/>
  <c r="I618"/>
  <c r="E1412"/>
  <c r="I1413"/>
  <c r="E1816"/>
  <c r="I1816"/>
  <c r="I1817"/>
  <c r="E1150"/>
  <c r="I1151"/>
  <c r="E620"/>
  <c r="I621"/>
  <c r="E101"/>
  <c r="I101"/>
  <c r="I102"/>
  <c r="E67"/>
  <c r="I67"/>
  <c r="I68"/>
  <c r="E965"/>
  <c r="I965"/>
  <c r="I966"/>
  <c r="E1803"/>
  <c r="I1803"/>
  <c r="I1804"/>
  <c r="E306"/>
  <c r="I307"/>
  <c r="E701"/>
  <c r="I701"/>
  <c r="I702"/>
  <c r="E1195"/>
  <c r="I1196"/>
  <c r="E1422"/>
  <c r="I1422"/>
  <c r="I1423"/>
  <c r="E1457"/>
  <c r="I1458"/>
  <c r="E1822"/>
  <c r="I1823"/>
  <c r="E1403"/>
  <c r="I1404"/>
  <c r="E1454"/>
  <c r="I1455"/>
  <c r="E1366"/>
  <c r="I1367"/>
  <c r="E1142"/>
  <c r="I1143"/>
  <c r="I60"/>
  <c r="J60"/>
  <c r="E98"/>
  <c r="I99"/>
  <c r="E123"/>
  <c r="I123"/>
  <c r="I124"/>
  <c r="E1854"/>
  <c r="I1854"/>
  <c r="I1855"/>
  <c r="E639"/>
  <c r="I639"/>
  <c r="I640"/>
  <c r="E676"/>
  <c r="E1130"/>
  <c r="I1131"/>
  <c r="E1753"/>
  <c r="I1753"/>
  <c r="I1754"/>
  <c r="I286"/>
  <c r="J286"/>
  <c r="E1051"/>
  <c r="I1052"/>
  <c r="I221"/>
  <c r="E336"/>
  <c r="I336"/>
  <c r="I337"/>
  <c r="I219"/>
  <c r="I49"/>
  <c r="J86"/>
  <c r="I213"/>
  <c r="I270"/>
  <c r="I160"/>
  <c r="I132"/>
  <c r="E959"/>
  <c r="I959"/>
  <c r="I960"/>
  <c r="J1109"/>
  <c r="I1109"/>
  <c r="E1435"/>
  <c r="I1435"/>
  <c r="I1436"/>
  <c r="E1445"/>
  <c r="I1446"/>
  <c r="E1355"/>
  <c r="I1356"/>
  <c r="E1724"/>
  <c r="I1725"/>
  <c r="E215"/>
  <c r="I216"/>
  <c r="I1172"/>
  <c r="E943"/>
  <c r="I944"/>
  <c r="E1805"/>
  <c r="I1805"/>
  <c r="I1806"/>
  <c r="I1862"/>
  <c r="E1379"/>
  <c r="I1379"/>
  <c r="I1380"/>
  <c r="E115"/>
  <c r="I115"/>
  <c r="I116"/>
  <c r="E135"/>
  <c r="I136"/>
  <c r="E687"/>
  <c r="I687"/>
  <c r="I688"/>
  <c r="E1721"/>
  <c r="I1722"/>
  <c r="E229"/>
  <c r="I230"/>
  <c r="E276"/>
  <c r="I276"/>
  <c r="I277"/>
  <c r="E201"/>
  <c r="I201"/>
  <c r="I202"/>
  <c r="E937"/>
  <c r="I938"/>
  <c r="E1417"/>
  <c r="I1418"/>
  <c r="E1347"/>
  <c r="I1348"/>
  <c r="E45"/>
  <c r="E44"/>
  <c r="E43"/>
  <c r="I46"/>
  <c r="E1716"/>
  <c r="I1716"/>
  <c r="I1717"/>
  <c r="I1992"/>
  <c r="J1992"/>
  <c r="E274"/>
  <c r="I274"/>
  <c r="I275"/>
  <c r="E199"/>
  <c r="I199"/>
  <c r="I200"/>
  <c r="E934"/>
  <c r="I935"/>
  <c r="E127"/>
  <c r="I127"/>
  <c r="I128"/>
  <c r="E604"/>
  <c r="I604"/>
  <c r="I605"/>
  <c r="E1076"/>
  <c r="I1077"/>
  <c r="I1163"/>
  <c r="I1175"/>
  <c r="E963"/>
  <c r="I963"/>
  <c r="I964"/>
  <c r="E1785"/>
  <c r="I1786"/>
  <c r="E699"/>
  <c r="I699"/>
  <c r="I700"/>
  <c r="E929"/>
  <c r="I929"/>
  <c r="I930"/>
  <c r="E1420"/>
  <c r="I1420"/>
  <c r="I1421"/>
  <c r="E1437"/>
  <c r="I1437"/>
  <c r="I1438"/>
  <c r="E1819"/>
  <c r="I1820"/>
  <c r="E1451"/>
  <c r="I1452"/>
  <c r="E1389"/>
  <c r="I1389"/>
  <c r="I1390"/>
  <c r="E1363"/>
  <c r="I1364"/>
  <c r="E1397"/>
  <c r="I1397"/>
  <c r="I1398"/>
  <c r="E1139"/>
  <c r="I1140"/>
  <c r="E1848"/>
  <c r="I1849"/>
  <c r="E87"/>
  <c r="I87"/>
  <c r="I88"/>
  <c r="E1210"/>
  <c r="I1211"/>
  <c r="E696"/>
  <c r="I697"/>
  <c r="E651"/>
  <c r="I652"/>
  <c r="E1751"/>
  <c r="I1751"/>
  <c r="I1752"/>
  <c r="E182"/>
  <c r="I183"/>
  <c r="E185"/>
  <c r="I186"/>
  <c r="E166"/>
  <c r="I167"/>
  <c r="I162"/>
  <c r="I114"/>
  <c r="I41"/>
  <c r="I104"/>
  <c r="I154"/>
  <c r="J187"/>
  <c r="J156"/>
  <c r="I153"/>
  <c r="I249"/>
  <c r="I130"/>
  <c r="I225"/>
  <c r="I147"/>
  <c r="I164"/>
  <c r="I90"/>
  <c r="E344"/>
  <c r="I344"/>
  <c r="I320"/>
  <c r="I315"/>
  <c r="J291"/>
  <c r="J309"/>
  <c r="J302"/>
  <c r="I311"/>
  <c r="J311"/>
  <c r="I295"/>
  <c r="J122"/>
  <c r="I113"/>
  <c r="J113"/>
  <c r="J137"/>
  <c r="I129"/>
  <c r="J129"/>
  <c r="J108"/>
  <c r="J132"/>
  <c r="J69"/>
  <c r="I48"/>
  <c r="J48"/>
  <c r="J45"/>
  <c r="J34"/>
  <c r="J30"/>
  <c r="I40"/>
  <c r="J40"/>
  <c r="I159"/>
  <c r="I176"/>
  <c r="J176"/>
  <c r="J203"/>
  <c r="I203"/>
  <c r="I146"/>
  <c r="J146"/>
  <c r="J193"/>
  <c r="I152"/>
  <c r="I224"/>
  <c r="J224"/>
  <c r="J160"/>
  <c r="J159"/>
  <c r="J231"/>
  <c r="J238"/>
  <c r="J198"/>
  <c r="J241"/>
  <c r="J148"/>
  <c r="J228"/>
  <c r="I171"/>
  <c r="J171"/>
  <c r="I217"/>
  <c r="J217"/>
  <c r="J165"/>
  <c r="I236"/>
  <c r="I179"/>
  <c r="J179"/>
  <c r="J214"/>
  <c r="J211"/>
  <c r="I211"/>
  <c r="J250"/>
  <c r="J262"/>
  <c r="I52"/>
  <c r="J52"/>
  <c r="J13"/>
  <c r="I22"/>
  <c r="J22"/>
  <c r="L2340" i="1"/>
  <c r="L1326"/>
  <c r="L1325"/>
  <c r="H2708"/>
  <c r="H2749"/>
  <c r="H2738"/>
  <c r="H2549"/>
  <c r="H2548"/>
  <c r="L2234"/>
  <c r="L2235"/>
  <c r="L2236"/>
  <c r="J2229"/>
  <c r="J2228"/>
  <c r="J2227"/>
  <c r="J2226"/>
  <c r="M2232"/>
  <c r="H2200"/>
  <c r="M1189"/>
  <c r="L1526"/>
  <c r="L2038"/>
  <c r="J1702"/>
  <c r="K1950"/>
  <c r="K1949"/>
  <c r="H2174"/>
  <c r="L2174"/>
  <c r="M2175"/>
  <c r="M872"/>
  <c r="L1340"/>
  <c r="M1564"/>
  <c r="I1702"/>
  <c r="L1564"/>
  <c r="L2040"/>
  <c r="M2097"/>
  <c r="L1160"/>
  <c r="L1692"/>
  <c r="M2166"/>
  <c r="M2174"/>
  <c r="L2172"/>
  <c r="L2177"/>
  <c r="M1951"/>
  <c r="L2178"/>
  <c r="M924"/>
  <c r="M1160"/>
  <c r="L1467"/>
  <c r="M774"/>
  <c r="M1705"/>
  <c r="J1950"/>
  <c r="J1949"/>
  <c r="M1518"/>
  <c r="K1702"/>
  <c r="L1702"/>
  <c r="I1950"/>
  <c r="I1949"/>
  <c r="L2023"/>
  <c r="L2157"/>
  <c r="M2172"/>
  <c r="M2039"/>
  <c r="L2039"/>
  <c r="M2096"/>
  <c r="H895"/>
  <c r="H894"/>
  <c r="L1519"/>
  <c r="L1677"/>
  <c r="L1735"/>
  <c r="L1953"/>
  <c r="H2022"/>
  <c r="L2022"/>
  <c r="H2096"/>
  <c r="H2095"/>
  <c r="L2095"/>
  <c r="L1172"/>
  <c r="L1136"/>
  <c r="L776"/>
  <c r="L1703"/>
  <c r="M2038"/>
  <c r="L2158"/>
  <c r="L1162"/>
  <c r="L1169"/>
  <c r="M1169"/>
  <c r="L1193"/>
  <c r="M2095"/>
  <c r="M1703"/>
  <c r="L1951"/>
  <c r="L808"/>
  <c r="L1341"/>
  <c r="M1735"/>
  <c r="H1950"/>
  <c r="H1949"/>
  <c r="K1558"/>
  <c r="L1559"/>
  <c r="M1559"/>
  <c r="L1518"/>
  <c r="L1132"/>
  <c r="L1511"/>
  <c r="M1560"/>
  <c r="I1168"/>
  <c r="M1168"/>
  <c r="I663"/>
  <c r="L1024"/>
  <c r="M1467"/>
  <c r="L1560"/>
  <c r="L1691"/>
  <c r="M776"/>
  <c r="H832"/>
  <c r="H831"/>
  <c r="H830"/>
  <c r="H824"/>
  <c r="H823"/>
  <c r="M1057"/>
  <c r="L1183"/>
  <c r="L1525"/>
  <c r="L1512"/>
  <c r="M955"/>
  <c r="I815"/>
  <c r="M1340"/>
  <c r="L1466"/>
  <c r="M1519"/>
  <c r="L1153"/>
  <c r="M1341"/>
  <c r="L1190"/>
  <c r="L1192"/>
  <c r="L1163"/>
  <c r="L970"/>
  <c r="L1180"/>
  <c r="L1184"/>
  <c r="L900"/>
  <c r="L1025"/>
  <c r="M1136"/>
  <c r="M1190"/>
  <c r="M1132"/>
  <c r="L820"/>
  <c r="L1189"/>
  <c r="L811"/>
  <c r="L875"/>
  <c r="L907"/>
  <c r="L1154"/>
  <c r="K894"/>
  <c r="L954"/>
  <c r="M954"/>
  <c r="M844"/>
  <c r="M1181"/>
  <c r="L844"/>
  <c r="L1181"/>
  <c r="K819"/>
  <c r="M826"/>
  <c r="H874"/>
  <c r="H873"/>
  <c r="K969"/>
  <c r="L969"/>
  <c r="K1056"/>
  <c r="L1057"/>
  <c r="K1135"/>
  <c r="M1162"/>
  <c r="K1171"/>
  <c r="L1171"/>
  <c r="L1178"/>
  <c r="M1180"/>
  <c r="M1184"/>
  <c r="M1192"/>
  <c r="H841"/>
  <c r="H840"/>
  <c r="M1163"/>
  <c r="M717"/>
  <c r="K832"/>
  <c r="K831"/>
  <c r="K830"/>
  <c r="K824"/>
  <c r="L827"/>
  <c r="M666"/>
  <c r="L681"/>
  <c r="L719"/>
  <c r="L826"/>
  <c r="H866"/>
  <c r="M873"/>
  <c r="H906"/>
  <c r="H905"/>
  <c r="M907"/>
  <c r="L915"/>
  <c r="L949"/>
  <c r="M1133"/>
  <c r="M1153"/>
  <c r="L895"/>
  <c r="M1154"/>
  <c r="K663"/>
  <c r="M681"/>
  <c r="H815"/>
  <c r="L816"/>
  <c r="M825"/>
  <c r="L835"/>
  <c r="L909"/>
  <c r="M970"/>
  <c r="L1133"/>
  <c r="K1159"/>
  <c r="M1183"/>
  <c r="K807"/>
  <c r="J663"/>
  <c r="M802"/>
  <c r="M842"/>
  <c r="M1193"/>
  <c r="L1166"/>
  <c r="L1165"/>
  <c r="M1165"/>
  <c r="M1166"/>
  <c r="M1172"/>
  <c r="L1168"/>
  <c r="E271" i="2"/>
  <c r="I271"/>
  <c r="E242"/>
  <c r="E628"/>
  <c r="E190"/>
  <c r="E187"/>
  <c r="E262"/>
  <c r="I262"/>
  <c r="E193"/>
  <c r="I193"/>
  <c r="E250"/>
  <c r="I250"/>
  <c r="E560"/>
  <c r="E232"/>
  <c r="E156"/>
  <c r="E155"/>
  <c r="E149"/>
  <c r="E1937"/>
  <c r="L800" i="1"/>
  <c r="L803"/>
  <c r="M801"/>
  <c r="I906"/>
  <c r="I905"/>
  <c r="I832"/>
  <c r="I831"/>
  <c r="I830"/>
  <c r="I824"/>
  <c r="I823"/>
  <c r="M803"/>
  <c r="M827"/>
  <c r="L849"/>
  <c r="M874"/>
  <c r="L924"/>
  <c r="L802"/>
  <c r="M949"/>
  <c r="J810"/>
  <c r="J806"/>
  <c r="L801"/>
  <c r="L813"/>
  <c r="L817"/>
  <c r="L825"/>
  <c r="L833"/>
  <c r="M909"/>
  <c r="M915"/>
  <c r="M925"/>
  <c r="K948"/>
  <c r="M926"/>
  <c r="M817"/>
  <c r="M833"/>
  <c r="K914"/>
  <c r="L926"/>
  <c r="H680"/>
  <c r="H679"/>
  <c r="L679"/>
  <c r="L689"/>
  <c r="K773"/>
  <c r="K772"/>
  <c r="I810"/>
  <c r="I806"/>
  <c r="M800"/>
  <c r="M808"/>
  <c r="M816"/>
  <c r="M820"/>
  <c r="M828"/>
  <c r="K841"/>
  <c r="L842"/>
  <c r="L850"/>
  <c r="M875"/>
  <c r="L899"/>
  <c r="L925"/>
  <c r="M843"/>
  <c r="L843"/>
  <c r="L828"/>
  <c r="K906"/>
  <c r="E285" i="2"/>
  <c r="E284"/>
  <c r="E283"/>
  <c r="E1991"/>
  <c r="E1990"/>
  <c r="E1989"/>
  <c r="J841" i="1"/>
  <c r="J840"/>
  <c r="I841"/>
  <c r="I840"/>
  <c r="J832"/>
  <c r="J831"/>
  <c r="J830"/>
  <c r="J824"/>
  <c r="J823"/>
  <c r="J815"/>
  <c r="K810"/>
  <c r="H810"/>
  <c r="H806"/>
  <c r="H773"/>
  <c r="L550"/>
  <c r="I680"/>
  <c r="I679"/>
  <c r="M679"/>
  <c r="H718"/>
  <c r="M664"/>
  <c r="K688"/>
  <c r="L774"/>
  <c r="M719"/>
  <c r="M689"/>
  <c r="M718"/>
  <c r="E684" i="2"/>
  <c r="E672"/>
  <c r="J773" i="1"/>
  <c r="J772"/>
  <c r="I773"/>
  <c r="I772"/>
  <c r="E72" i="2"/>
  <c r="I72"/>
  <c r="E119"/>
  <c r="E69"/>
  <c r="I69"/>
  <c r="E78"/>
  <c r="E75"/>
  <c r="I75"/>
  <c r="H663" i="1"/>
  <c r="L664"/>
  <c r="L463"/>
  <c r="M550"/>
  <c r="M312"/>
  <c r="E1996" i="2"/>
  <c r="E1995"/>
  <c r="E1994"/>
  <c r="K553" i="1"/>
  <c r="L554"/>
  <c r="M554"/>
  <c r="L540"/>
  <c r="M549"/>
  <c r="M461"/>
  <c r="L541"/>
  <c r="L549"/>
  <c r="L555"/>
  <c r="M555"/>
  <c r="L133"/>
  <c r="L513"/>
  <c r="M540"/>
  <c r="M541"/>
  <c r="M462"/>
  <c r="J2533"/>
  <c r="J2532"/>
  <c r="J2531"/>
  <c r="J2515"/>
  <c r="M522"/>
  <c r="H462"/>
  <c r="H461"/>
  <c r="L461"/>
  <c r="H516"/>
  <c r="H36"/>
  <c r="H35"/>
  <c r="L35"/>
  <c r="L237"/>
  <c r="K2533"/>
  <c r="K2532"/>
  <c r="K2531"/>
  <c r="K2515"/>
  <c r="J2701"/>
  <c r="J2700"/>
  <c r="E1918" i="2"/>
  <c r="E1889"/>
  <c r="E31"/>
  <c r="K519" i="1"/>
  <c r="L520"/>
  <c r="I521"/>
  <c r="I520"/>
  <c r="I519"/>
  <c r="L522"/>
  <c r="L312"/>
  <c r="J2425"/>
  <c r="J2424"/>
  <c r="J2423"/>
  <c r="J2422"/>
  <c r="J2421"/>
  <c r="J2420"/>
  <c r="M168"/>
  <c r="M237"/>
  <c r="I151"/>
  <c r="K165"/>
  <c r="K164"/>
  <c r="K236"/>
  <c r="K311"/>
  <c r="K2464"/>
  <c r="K2463"/>
  <c r="K2462"/>
  <c r="K2461"/>
  <c r="K2460"/>
  <c r="K2459"/>
  <c r="K151"/>
  <c r="M463"/>
  <c r="E1391" i="2"/>
  <c r="E1381"/>
  <c r="M166" i="1"/>
  <c r="K2425"/>
  <c r="K2424"/>
  <c r="K2423"/>
  <c r="K2422"/>
  <c r="K2421"/>
  <c r="K2420"/>
  <c r="I2585"/>
  <c r="I2584"/>
  <c r="I2583"/>
  <c r="I2582"/>
  <c r="I2581"/>
  <c r="I2580"/>
  <c r="K2724"/>
  <c r="K2723"/>
  <c r="K2718"/>
  <c r="K2717"/>
  <c r="K2716"/>
  <c r="K2715"/>
  <c r="K132"/>
  <c r="L132"/>
  <c r="L154"/>
  <c r="L152"/>
  <c r="I2572"/>
  <c r="I2571"/>
  <c r="I2570"/>
  <c r="I2569"/>
  <c r="I2568"/>
  <c r="I2567"/>
  <c r="K2501"/>
  <c r="I2533"/>
  <c r="I2532"/>
  <c r="I2531"/>
  <c r="H2585"/>
  <c r="H2584"/>
  <c r="H2583"/>
  <c r="H2582"/>
  <c r="H2581"/>
  <c r="H2580"/>
  <c r="I2595"/>
  <c r="I2701"/>
  <c r="I2700"/>
  <c r="I2464"/>
  <c r="I2463"/>
  <c r="I2462"/>
  <c r="I2461"/>
  <c r="I2460"/>
  <c r="I2459"/>
  <c r="K2654"/>
  <c r="K2653"/>
  <c r="K2652"/>
  <c r="K2651"/>
  <c r="K2650"/>
  <c r="K2649"/>
  <c r="I2680"/>
  <c r="I2679"/>
  <c r="I2678"/>
  <c r="I2677"/>
  <c r="I2676"/>
  <c r="I2675"/>
  <c r="M133"/>
  <c r="H165"/>
  <c r="J2464"/>
  <c r="J2463"/>
  <c r="J2462"/>
  <c r="J2461"/>
  <c r="J2460"/>
  <c r="J2459"/>
  <c r="I2509"/>
  <c r="H2638"/>
  <c r="H2637"/>
  <c r="H2636"/>
  <c r="H2635"/>
  <c r="H2634"/>
  <c r="H2633"/>
  <c r="K2693"/>
  <c r="J151"/>
  <c r="J2501"/>
  <c r="J2572"/>
  <c r="J2571"/>
  <c r="J2570"/>
  <c r="J2569"/>
  <c r="J2568"/>
  <c r="J2567"/>
  <c r="K2585"/>
  <c r="K2584"/>
  <c r="K2583"/>
  <c r="K2582"/>
  <c r="K2581"/>
  <c r="K2580"/>
  <c r="J2724"/>
  <c r="J2723"/>
  <c r="J2718"/>
  <c r="J2717"/>
  <c r="J2716"/>
  <c r="J2715"/>
  <c r="L166"/>
  <c r="J165"/>
  <c r="J164"/>
  <c r="I165"/>
  <c r="H151"/>
  <c r="I2693"/>
  <c r="K2667"/>
  <c r="K2666"/>
  <c r="K2665"/>
  <c r="K2664"/>
  <c r="K2663"/>
  <c r="K2662"/>
  <c r="K2701"/>
  <c r="K2700"/>
  <c r="G2549"/>
  <c r="G2548"/>
  <c r="I2501"/>
  <c r="H2533"/>
  <c r="H2532"/>
  <c r="H2531"/>
  <c r="H2515"/>
  <c r="I2622"/>
  <c r="I2621"/>
  <c r="I2620"/>
  <c r="I2609"/>
  <c r="K2638"/>
  <c r="K2637"/>
  <c r="K2636"/>
  <c r="K2635"/>
  <c r="K2634"/>
  <c r="K2633"/>
  <c r="H2693"/>
  <c r="H2501"/>
  <c r="H2509"/>
  <c r="J2585"/>
  <c r="J2584"/>
  <c r="J2583"/>
  <c r="J2582"/>
  <c r="J2581"/>
  <c r="J2580"/>
  <c r="H2622"/>
  <c r="H2621"/>
  <c r="H2620"/>
  <c r="H2609"/>
  <c r="I2541"/>
  <c r="I2540"/>
  <c r="E1160" i="2"/>
  <c r="L22" i="1"/>
  <c r="L21"/>
  <c r="H2724"/>
  <c r="I2724"/>
  <c r="I2723"/>
  <c r="G2724"/>
  <c r="G2723"/>
  <c r="G2718"/>
  <c r="G2717"/>
  <c r="G2716"/>
  <c r="G2715"/>
  <c r="H2701"/>
  <c r="H2700"/>
  <c r="J2693"/>
  <c r="G2693"/>
  <c r="G2692"/>
  <c r="G2691"/>
  <c r="G2690"/>
  <c r="G2689"/>
  <c r="G2688"/>
  <c r="K2680"/>
  <c r="K2679"/>
  <c r="K2678"/>
  <c r="K2677"/>
  <c r="K2676"/>
  <c r="K2675"/>
  <c r="J2680"/>
  <c r="J2679"/>
  <c r="J2678"/>
  <c r="J2677"/>
  <c r="J2676"/>
  <c r="J2675"/>
  <c r="H2680"/>
  <c r="H2679"/>
  <c r="H2678"/>
  <c r="H2677"/>
  <c r="H2676"/>
  <c r="H2675"/>
  <c r="G2680"/>
  <c r="G2679"/>
  <c r="G2678"/>
  <c r="G2677"/>
  <c r="G2676"/>
  <c r="G2675"/>
  <c r="J2667"/>
  <c r="J2666"/>
  <c r="J2665"/>
  <c r="J2664"/>
  <c r="J2663"/>
  <c r="J2662"/>
  <c r="I2667"/>
  <c r="I2666"/>
  <c r="I2665"/>
  <c r="I2664"/>
  <c r="I2663"/>
  <c r="I2662"/>
  <c r="H2667"/>
  <c r="H2666"/>
  <c r="H2665"/>
  <c r="H2664"/>
  <c r="H2663"/>
  <c r="H2662"/>
  <c r="G2667"/>
  <c r="G2666"/>
  <c r="G2665"/>
  <c r="G2664"/>
  <c r="G2663"/>
  <c r="G2662"/>
  <c r="J2654"/>
  <c r="J2653"/>
  <c r="J2652"/>
  <c r="J2651"/>
  <c r="J2650"/>
  <c r="J2649"/>
  <c r="I2654"/>
  <c r="I2653"/>
  <c r="I2652"/>
  <c r="I2651"/>
  <c r="I2650"/>
  <c r="I2649"/>
  <c r="H2654"/>
  <c r="H2653"/>
  <c r="H2652"/>
  <c r="H2651"/>
  <c r="H2650"/>
  <c r="H2649"/>
  <c r="G2654"/>
  <c r="G2653"/>
  <c r="G2652"/>
  <c r="G2651"/>
  <c r="G2650"/>
  <c r="G2649"/>
  <c r="J2638"/>
  <c r="J2637"/>
  <c r="J2636"/>
  <c r="J2635"/>
  <c r="J2634"/>
  <c r="J2633"/>
  <c r="I2638"/>
  <c r="I2637"/>
  <c r="I2636"/>
  <c r="I2635"/>
  <c r="I2634"/>
  <c r="I2633"/>
  <c r="G2638"/>
  <c r="G2637"/>
  <c r="G2636"/>
  <c r="G2635"/>
  <c r="G2634"/>
  <c r="G2633"/>
  <c r="J2622"/>
  <c r="J2621"/>
  <c r="J2620"/>
  <c r="J2609"/>
  <c r="K2622"/>
  <c r="K2621"/>
  <c r="K2620"/>
  <c r="K2609"/>
  <c r="K2595"/>
  <c r="H2595"/>
  <c r="J2595"/>
  <c r="G2622"/>
  <c r="G2621"/>
  <c r="G2620"/>
  <c r="G2609"/>
  <c r="G2595"/>
  <c r="G2585"/>
  <c r="G2584"/>
  <c r="G2583"/>
  <c r="G2582"/>
  <c r="G2581"/>
  <c r="G2580"/>
  <c r="K2572"/>
  <c r="K2571"/>
  <c r="K2570"/>
  <c r="K2569"/>
  <c r="K2568"/>
  <c r="K2567"/>
  <c r="H2572"/>
  <c r="H2571"/>
  <c r="H2570"/>
  <c r="H2569"/>
  <c r="H2568"/>
  <c r="H2567"/>
  <c r="G2572"/>
  <c r="G2571"/>
  <c r="G2570"/>
  <c r="G2569"/>
  <c r="G2568"/>
  <c r="G2567"/>
  <c r="I2548"/>
  <c r="K2541"/>
  <c r="K2540"/>
  <c r="J2541"/>
  <c r="J2540"/>
  <c r="H2541"/>
  <c r="H2540"/>
  <c r="G2541"/>
  <c r="G2540"/>
  <c r="G2533"/>
  <c r="G2532"/>
  <c r="G2531"/>
  <c r="G2515"/>
  <c r="J2509"/>
  <c r="K2509"/>
  <c r="G2509"/>
  <c r="G2501"/>
  <c r="I2485"/>
  <c r="I2484"/>
  <c r="I2475"/>
  <c r="I2474"/>
  <c r="I2473"/>
  <c r="I2472"/>
  <c r="K2485"/>
  <c r="K2484"/>
  <c r="K2475"/>
  <c r="K2474"/>
  <c r="K2473"/>
  <c r="K2472"/>
  <c r="J2485"/>
  <c r="J2484"/>
  <c r="J2475"/>
  <c r="J2474"/>
  <c r="J2473"/>
  <c r="J2472"/>
  <c r="H2485"/>
  <c r="G2485"/>
  <c r="G2484"/>
  <c r="G2475"/>
  <c r="G2474"/>
  <c r="G2473"/>
  <c r="G2472"/>
  <c r="H2464"/>
  <c r="H2463"/>
  <c r="H2462"/>
  <c r="H2461"/>
  <c r="H2460"/>
  <c r="H2459"/>
  <c r="G2464"/>
  <c r="G2463"/>
  <c r="G2462"/>
  <c r="G2461"/>
  <c r="G2460"/>
  <c r="G2459"/>
  <c r="K2451"/>
  <c r="K2450"/>
  <c r="K2437"/>
  <c r="K2436"/>
  <c r="K2435"/>
  <c r="K2434"/>
  <c r="J2451"/>
  <c r="J2450"/>
  <c r="J2437"/>
  <c r="J2436"/>
  <c r="J2435"/>
  <c r="J2434"/>
  <c r="I2451"/>
  <c r="I2450"/>
  <c r="I2437"/>
  <c r="I2436"/>
  <c r="I2435"/>
  <c r="I2434"/>
  <c r="H2451"/>
  <c r="H2450"/>
  <c r="H2437"/>
  <c r="H2436"/>
  <c r="H2435"/>
  <c r="G2451"/>
  <c r="G2450"/>
  <c r="G2437"/>
  <c r="G2436"/>
  <c r="G2435"/>
  <c r="G2434"/>
  <c r="I2425"/>
  <c r="I2424"/>
  <c r="I2423"/>
  <c r="I2422"/>
  <c r="I2421"/>
  <c r="I2420"/>
  <c r="H2425"/>
  <c r="H2424"/>
  <c r="H2423"/>
  <c r="H2422"/>
  <c r="H2421"/>
  <c r="H2420"/>
  <c r="G2425"/>
  <c r="G2424"/>
  <c r="G2423"/>
  <c r="G2422"/>
  <c r="G2421"/>
  <c r="G2420"/>
  <c r="K2416"/>
  <c r="J2416"/>
  <c r="I2416"/>
  <c r="H2416"/>
  <c r="K2414"/>
  <c r="J2414"/>
  <c r="I2414"/>
  <c r="H2414"/>
  <c r="K2412"/>
  <c r="J2412"/>
  <c r="I2412"/>
  <c r="H2412"/>
  <c r="G2416"/>
  <c r="G2414"/>
  <c r="G2412"/>
  <c r="K2404"/>
  <c r="J2404"/>
  <c r="J2403"/>
  <c r="J2402"/>
  <c r="J2401"/>
  <c r="J2400"/>
  <c r="I2404"/>
  <c r="I2403"/>
  <c r="H2404"/>
  <c r="H2403"/>
  <c r="K2398"/>
  <c r="K2397"/>
  <c r="K2393"/>
  <c r="J2398"/>
  <c r="J2397"/>
  <c r="J2393"/>
  <c r="I2398"/>
  <c r="I2397"/>
  <c r="I2393"/>
  <c r="H2398"/>
  <c r="H2397"/>
  <c r="G2404"/>
  <c r="G2403"/>
  <c r="G2402"/>
  <c r="G2401"/>
  <c r="G2400"/>
  <c r="G2398"/>
  <c r="G2397"/>
  <c r="G2393"/>
  <c r="G2392"/>
  <c r="G2391"/>
  <c r="K2383"/>
  <c r="K2382"/>
  <c r="J2383"/>
  <c r="J2382"/>
  <c r="I2383"/>
  <c r="H2383"/>
  <c r="H2382"/>
  <c r="K2380"/>
  <c r="K2379"/>
  <c r="J2380"/>
  <c r="J2379"/>
  <c r="I2380"/>
  <c r="I2379"/>
  <c r="H2380"/>
  <c r="H2379"/>
  <c r="K2377"/>
  <c r="K2376"/>
  <c r="J2377"/>
  <c r="J2376"/>
  <c r="I2377"/>
  <c r="I2376"/>
  <c r="H2377"/>
  <c r="H2376"/>
  <c r="K2373"/>
  <c r="K2372"/>
  <c r="J2373"/>
  <c r="J2372"/>
  <c r="I2373"/>
  <c r="H2373"/>
  <c r="H2372"/>
  <c r="K2370"/>
  <c r="J2370"/>
  <c r="I2370"/>
  <c r="H2370"/>
  <c r="K2368"/>
  <c r="J2368"/>
  <c r="I2368"/>
  <c r="H2368"/>
  <c r="K2365"/>
  <c r="K2364"/>
  <c r="J2365"/>
  <c r="J2364"/>
  <c r="I2365"/>
  <c r="I2364"/>
  <c r="H2365"/>
  <c r="H2364"/>
  <c r="G2383"/>
  <c r="G2382"/>
  <c r="G2380"/>
  <c r="G2379"/>
  <c r="G2377"/>
  <c r="G2376"/>
  <c r="G2373"/>
  <c r="G2372"/>
  <c r="G2370"/>
  <c r="G2368"/>
  <c r="G2365"/>
  <c r="G2364"/>
  <c r="K2360"/>
  <c r="J2360"/>
  <c r="I2360"/>
  <c r="H2360"/>
  <c r="K2358"/>
  <c r="J2358"/>
  <c r="I2358"/>
  <c r="H2358"/>
  <c r="G2360"/>
  <c r="G2358"/>
  <c r="K2350"/>
  <c r="J2350"/>
  <c r="J2349"/>
  <c r="J2348"/>
  <c r="J2347"/>
  <c r="J2346"/>
  <c r="J2345"/>
  <c r="I2350"/>
  <c r="H2350"/>
  <c r="H2349"/>
  <c r="H2348"/>
  <c r="H2347"/>
  <c r="K2331"/>
  <c r="J2331"/>
  <c r="I2331"/>
  <c r="H2331"/>
  <c r="K2329"/>
  <c r="J2329"/>
  <c r="I2329"/>
  <c r="H2329"/>
  <c r="K2326"/>
  <c r="J2326"/>
  <c r="I2326"/>
  <c r="H2326"/>
  <c r="K2324"/>
  <c r="J2324"/>
  <c r="I2324"/>
  <c r="H2324"/>
  <c r="K2322"/>
  <c r="J2322"/>
  <c r="I2322"/>
  <c r="H2322"/>
  <c r="K2318"/>
  <c r="K2317"/>
  <c r="J2318"/>
  <c r="J2317"/>
  <c r="I2318"/>
  <c r="I2317"/>
  <c r="H2318"/>
  <c r="H2317"/>
  <c r="K2315"/>
  <c r="K2314"/>
  <c r="J2315"/>
  <c r="J2314"/>
  <c r="I2315"/>
  <c r="I2314"/>
  <c r="H2315"/>
  <c r="H2314"/>
  <c r="K2311"/>
  <c r="J2311"/>
  <c r="I2311"/>
  <c r="H2311"/>
  <c r="K2309"/>
  <c r="J2309"/>
  <c r="I2309"/>
  <c r="H2309"/>
  <c r="K2306"/>
  <c r="K2305"/>
  <c r="J2306"/>
  <c r="J2305"/>
  <c r="I2306"/>
  <c r="I2305"/>
  <c r="H2306"/>
  <c r="H2305"/>
  <c r="K2302"/>
  <c r="J2302"/>
  <c r="I2302"/>
  <c r="H2302"/>
  <c r="K2300"/>
  <c r="J2300"/>
  <c r="I2300"/>
  <c r="H2300"/>
  <c r="K2295"/>
  <c r="K2294"/>
  <c r="J2295"/>
  <c r="J2294"/>
  <c r="I2295"/>
  <c r="I2294"/>
  <c r="H2295"/>
  <c r="H2294"/>
  <c r="K2292"/>
  <c r="J2292"/>
  <c r="J2291"/>
  <c r="I2292"/>
  <c r="I2291"/>
  <c r="H2292"/>
  <c r="H2291"/>
  <c r="K2288"/>
  <c r="K2287"/>
  <c r="K2286"/>
  <c r="J2288"/>
  <c r="J2287"/>
  <c r="J2286"/>
  <c r="I2288"/>
  <c r="I2287"/>
  <c r="I2286"/>
  <c r="H2288"/>
  <c r="H2287"/>
  <c r="K2284"/>
  <c r="J2284"/>
  <c r="J2283"/>
  <c r="J2282"/>
  <c r="I2284"/>
  <c r="I2283"/>
  <c r="I2282"/>
  <c r="H2284"/>
  <c r="H2283"/>
  <c r="H2282"/>
  <c r="K2280"/>
  <c r="K2279"/>
  <c r="J2280"/>
  <c r="J2279"/>
  <c r="I2280"/>
  <c r="I2279"/>
  <c r="H2280"/>
  <c r="H2279"/>
  <c r="K2277"/>
  <c r="K2276"/>
  <c r="J2277"/>
  <c r="J2276"/>
  <c r="I2277"/>
  <c r="H2277"/>
  <c r="H2276"/>
  <c r="K2274"/>
  <c r="J2274"/>
  <c r="I2274"/>
  <c r="H2274"/>
  <c r="K2272"/>
  <c r="J2272"/>
  <c r="I2272"/>
  <c r="H2272"/>
  <c r="G2333"/>
  <c r="G2331"/>
  <c r="G2329"/>
  <c r="G2326"/>
  <c r="G2324"/>
  <c r="G2322"/>
  <c r="G2318"/>
  <c r="G2317"/>
  <c r="G2315"/>
  <c r="G2314"/>
  <c r="G2311"/>
  <c r="G2309"/>
  <c r="G2306"/>
  <c r="G2305"/>
  <c r="G2302"/>
  <c r="G2300"/>
  <c r="G2295"/>
  <c r="G2294"/>
  <c r="G2292"/>
  <c r="G2291"/>
  <c r="G2288"/>
  <c r="G2287"/>
  <c r="G2286"/>
  <c r="G2284"/>
  <c r="G2283"/>
  <c r="G2282"/>
  <c r="G2280"/>
  <c r="G2279"/>
  <c r="G2277"/>
  <c r="G2276"/>
  <c r="G2274"/>
  <c r="G2272"/>
  <c r="K2267"/>
  <c r="K2266"/>
  <c r="J2267"/>
  <c r="J2266"/>
  <c r="J2265"/>
  <c r="J2264"/>
  <c r="I2267"/>
  <c r="I2266"/>
  <c r="H2267"/>
  <c r="H2266"/>
  <c r="H2265"/>
  <c r="H2264"/>
  <c r="G2267"/>
  <c r="G2266"/>
  <c r="G2265"/>
  <c r="G2264"/>
  <c r="K2262"/>
  <c r="K2261"/>
  <c r="K2260"/>
  <c r="K2259"/>
  <c r="J2262"/>
  <c r="J2261"/>
  <c r="J2260"/>
  <c r="J2259"/>
  <c r="I2262"/>
  <c r="I2261"/>
  <c r="I2260"/>
  <c r="I2259"/>
  <c r="H2262"/>
  <c r="H2261"/>
  <c r="H2260"/>
  <c r="H2259"/>
  <c r="G2262"/>
  <c r="G2261"/>
  <c r="G2260"/>
  <c r="G2259"/>
  <c r="K2256"/>
  <c r="J2256"/>
  <c r="J2255"/>
  <c r="J2254"/>
  <c r="J2253"/>
  <c r="I2256"/>
  <c r="I2255"/>
  <c r="I2254"/>
  <c r="I2253"/>
  <c r="H2256"/>
  <c r="H2255"/>
  <c r="H2254"/>
  <c r="H2253"/>
  <c r="K2251"/>
  <c r="J2251"/>
  <c r="J2250"/>
  <c r="I2251"/>
  <c r="I2250"/>
  <c r="H2251"/>
  <c r="H2250"/>
  <c r="K2248"/>
  <c r="J2248"/>
  <c r="I2248"/>
  <c r="H2248"/>
  <c r="K2246"/>
  <c r="J2246"/>
  <c r="I2246"/>
  <c r="H2246"/>
  <c r="K2244"/>
  <c r="J2244"/>
  <c r="I2244"/>
  <c r="H2244"/>
  <c r="K2224"/>
  <c r="K2223"/>
  <c r="J2224"/>
  <c r="J2223"/>
  <c r="J2222"/>
  <c r="J2221"/>
  <c r="J2220"/>
  <c r="I2224"/>
  <c r="I2223"/>
  <c r="I2222"/>
  <c r="I2221"/>
  <c r="I2220"/>
  <c r="H2224"/>
  <c r="H2223"/>
  <c r="H2222"/>
  <c r="H2221"/>
  <c r="H2220"/>
  <c r="G2256"/>
  <c r="G2255"/>
  <c r="G2254"/>
  <c r="G2253"/>
  <c r="G2251"/>
  <c r="G2250"/>
  <c r="G2248"/>
  <c r="G2246"/>
  <c r="G2244"/>
  <c r="G2224"/>
  <c r="G2223"/>
  <c r="G2222"/>
  <c r="G2221"/>
  <c r="G2220"/>
  <c r="K2215"/>
  <c r="J2215"/>
  <c r="I2215"/>
  <c r="H2215"/>
  <c r="K2213"/>
  <c r="J2213"/>
  <c r="I2213"/>
  <c r="H2213"/>
  <c r="K2211"/>
  <c r="J2211"/>
  <c r="I2211"/>
  <c r="H2211"/>
  <c r="G2215"/>
  <c r="G2213"/>
  <c r="G2211"/>
  <c r="K2194"/>
  <c r="K2193"/>
  <c r="J2194"/>
  <c r="J2193"/>
  <c r="J2188"/>
  <c r="J2187"/>
  <c r="J2191"/>
  <c r="J2190"/>
  <c r="J2186"/>
  <c r="I2194"/>
  <c r="I2193"/>
  <c r="H2194"/>
  <c r="H2193"/>
  <c r="K2191"/>
  <c r="K2190"/>
  <c r="I2191"/>
  <c r="I2190"/>
  <c r="H2191"/>
  <c r="H2190"/>
  <c r="K2188"/>
  <c r="K2187"/>
  <c r="I2188"/>
  <c r="I2187"/>
  <c r="H2188"/>
  <c r="H2187"/>
  <c r="G2194"/>
  <c r="G2193"/>
  <c r="G2191"/>
  <c r="G2190"/>
  <c r="G2188"/>
  <c r="G2187"/>
  <c r="K2169"/>
  <c r="J2169"/>
  <c r="J2168"/>
  <c r="I2169"/>
  <c r="I2168"/>
  <c r="H2169"/>
  <c r="H2168"/>
  <c r="K2161"/>
  <c r="K2160"/>
  <c r="J2161"/>
  <c r="J2160"/>
  <c r="I2161"/>
  <c r="I2160"/>
  <c r="H2161"/>
  <c r="H2160"/>
  <c r="K2155"/>
  <c r="K2154"/>
  <c r="J2155"/>
  <c r="J2154"/>
  <c r="J2153"/>
  <c r="I2155"/>
  <c r="I2154"/>
  <c r="I2153"/>
  <c r="H2155"/>
  <c r="H2154"/>
  <c r="H2153"/>
  <c r="K2150"/>
  <c r="K2149"/>
  <c r="J2150"/>
  <c r="J2149"/>
  <c r="J2148"/>
  <c r="I2150"/>
  <c r="I2149"/>
  <c r="I2148"/>
  <c r="H2150"/>
  <c r="H2149"/>
  <c r="H2148"/>
  <c r="K2146"/>
  <c r="K2145"/>
  <c r="J2146"/>
  <c r="J2145"/>
  <c r="J2144"/>
  <c r="I2146"/>
  <c r="I2145"/>
  <c r="I2144"/>
  <c r="H2146"/>
  <c r="H2145"/>
  <c r="H2144"/>
  <c r="K2138"/>
  <c r="J2138"/>
  <c r="I2138"/>
  <c r="H2138"/>
  <c r="K2136"/>
  <c r="J2136"/>
  <c r="I2136"/>
  <c r="H2136"/>
  <c r="K2134"/>
  <c r="J2134"/>
  <c r="I2134"/>
  <c r="H2134"/>
  <c r="G2169"/>
  <c r="G2168"/>
  <c r="G2163"/>
  <c r="G2161"/>
  <c r="G2155"/>
  <c r="G2154"/>
  <c r="G2150"/>
  <c r="G2149"/>
  <c r="G2148"/>
  <c r="G2146"/>
  <c r="G2145"/>
  <c r="G2144"/>
  <c r="G2138"/>
  <c r="G2136"/>
  <c r="G2134"/>
  <c r="L2126"/>
  <c r="L2114"/>
  <c r="L2111"/>
  <c r="L2108"/>
  <c r="L2106"/>
  <c r="L2104"/>
  <c r="L2094"/>
  <c r="L2090"/>
  <c r="L2087"/>
  <c r="L2085"/>
  <c r="L2081"/>
  <c r="L2074"/>
  <c r="L2072"/>
  <c r="L2068"/>
  <c r="L2066"/>
  <c r="K2125"/>
  <c r="K2124"/>
  <c r="J2125"/>
  <c r="J2124"/>
  <c r="J2123"/>
  <c r="J2122"/>
  <c r="J2121"/>
  <c r="J2120"/>
  <c r="I2125"/>
  <c r="H2125"/>
  <c r="H2124"/>
  <c r="H2123"/>
  <c r="H2122"/>
  <c r="H2121"/>
  <c r="H2120"/>
  <c r="K2113"/>
  <c r="J2113"/>
  <c r="J2112"/>
  <c r="I2113"/>
  <c r="I2112"/>
  <c r="H2113"/>
  <c r="H2112"/>
  <c r="K2107"/>
  <c r="J2107"/>
  <c r="I2107"/>
  <c r="H2107"/>
  <c r="K2105"/>
  <c r="J2105"/>
  <c r="I2105"/>
  <c r="H2105"/>
  <c r="K2103"/>
  <c r="J2103"/>
  <c r="I2103"/>
  <c r="H2103"/>
  <c r="K2093"/>
  <c r="K2092"/>
  <c r="J2093"/>
  <c r="J2092"/>
  <c r="J2091"/>
  <c r="I2093"/>
  <c r="H2093"/>
  <c r="H2092"/>
  <c r="H2091"/>
  <c r="K2086"/>
  <c r="J2086"/>
  <c r="I2086"/>
  <c r="H2086"/>
  <c r="K2084"/>
  <c r="J2084"/>
  <c r="I2084"/>
  <c r="H2084"/>
  <c r="K2080"/>
  <c r="K2075"/>
  <c r="J2080"/>
  <c r="J2075"/>
  <c r="I2080"/>
  <c r="I2075"/>
  <c r="H2080"/>
  <c r="H2075"/>
  <c r="K2073"/>
  <c r="J2073"/>
  <c r="I2073"/>
  <c r="H2073"/>
  <c r="K2071"/>
  <c r="J2071"/>
  <c r="I2071"/>
  <c r="H2071"/>
  <c r="K2067"/>
  <c r="J2067"/>
  <c r="I2067"/>
  <c r="H2067"/>
  <c r="K2065"/>
  <c r="J2065"/>
  <c r="I2065"/>
  <c r="H2065"/>
  <c r="G2125"/>
  <c r="G2124"/>
  <c r="G2123"/>
  <c r="G2122"/>
  <c r="G2121"/>
  <c r="G2120"/>
  <c r="G2113"/>
  <c r="G2112"/>
  <c r="G2109"/>
  <c r="G2107"/>
  <c r="G2105"/>
  <c r="G2103"/>
  <c r="G2093"/>
  <c r="G2092"/>
  <c r="G2091"/>
  <c r="G2088"/>
  <c r="G2086"/>
  <c r="G2084"/>
  <c r="G2080"/>
  <c r="G2075"/>
  <c r="G2073"/>
  <c r="G2071"/>
  <c r="G2067"/>
  <c r="G2065"/>
  <c r="K2056"/>
  <c r="K2055"/>
  <c r="J2056"/>
  <c r="J2055"/>
  <c r="I2056"/>
  <c r="I2055"/>
  <c r="H2056"/>
  <c r="H2055"/>
  <c r="K2052"/>
  <c r="J2052"/>
  <c r="I2052"/>
  <c r="H2052"/>
  <c r="K2050"/>
  <c r="J2050"/>
  <c r="I2050"/>
  <c r="H2050"/>
  <c r="K2048"/>
  <c r="J2048"/>
  <c r="I2048"/>
  <c r="H2048"/>
  <c r="G2056"/>
  <c r="G2055"/>
  <c r="G2052"/>
  <c r="G2050"/>
  <c r="G2048"/>
  <c r="K2020"/>
  <c r="J2020"/>
  <c r="J2019"/>
  <c r="J2018"/>
  <c r="I2020"/>
  <c r="I2019"/>
  <c r="I2018"/>
  <c r="H2020"/>
  <c r="H2019"/>
  <c r="K2016"/>
  <c r="J2016"/>
  <c r="J2015"/>
  <c r="I2016"/>
  <c r="I2015"/>
  <c r="H2016"/>
  <c r="H2015"/>
  <c r="K2013"/>
  <c r="J2013"/>
  <c r="J2012"/>
  <c r="I2013"/>
  <c r="I2012"/>
  <c r="H2013"/>
  <c r="H2012"/>
  <c r="K2009"/>
  <c r="J2009"/>
  <c r="J2008"/>
  <c r="I2009"/>
  <c r="I2008"/>
  <c r="H2009"/>
  <c r="H2008"/>
  <c r="K2006"/>
  <c r="J2006"/>
  <c r="J2005"/>
  <c r="I2006"/>
  <c r="I2005"/>
  <c r="H2006"/>
  <c r="H2005"/>
  <c r="K2002"/>
  <c r="K2001"/>
  <c r="J2002"/>
  <c r="J2001"/>
  <c r="J2000"/>
  <c r="I2002"/>
  <c r="I2001"/>
  <c r="I2000"/>
  <c r="H2002"/>
  <c r="H2001"/>
  <c r="H2000"/>
  <c r="G2016"/>
  <c r="G2015"/>
  <c r="K2027"/>
  <c r="K2026"/>
  <c r="J2027"/>
  <c r="J2026"/>
  <c r="J2025"/>
  <c r="I2027"/>
  <c r="I2026"/>
  <c r="I2025"/>
  <c r="H2027"/>
  <c r="H2026"/>
  <c r="H2025"/>
  <c r="K2036"/>
  <c r="J2036"/>
  <c r="J2035"/>
  <c r="J2034"/>
  <c r="I2036"/>
  <c r="I2035"/>
  <c r="I2034"/>
  <c r="H2036"/>
  <c r="H2035"/>
  <c r="H2034"/>
  <c r="K2032"/>
  <c r="J2032"/>
  <c r="J2031"/>
  <c r="J2030"/>
  <c r="I2032"/>
  <c r="I2031"/>
  <c r="I2030"/>
  <c r="H2032"/>
  <c r="H2031"/>
  <c r="H2030"/>
  <c r="G2027"/>
  <c r="G2026"/>
  <c r="G2025"/>
  <c r="G2020"/>
  <c r="G2019"/>
  <c r="G2018"/>
  <c r="G2013"/>
  <c r="G2012"/>
  <c r="G2009"/>
  <c r="G2008"/>
  <c r="G2006"/>
  <c r="G2005"/>
  <c r="G2002"/>
  <c r="G2001"/>
  <c r="G2000"/>
  <c r="G2036"/>
  <c r="G2035"/>
  <c r="G2034"/>
  <c r="G2032"/>
  <c r="G2031"/>
  <c r="G2030"/>
  <c r="K1996"/>
  <c r="J1996"/>
  <c r="I1996"/>
  <c r="H1996"/>
  <c r="K1994"/>
  <c r="J1994"/>
  <c r="I1994"/>
  <c r="H1994"/>
  <c r="K1991"/>
  <c r="J1991"/>
  <c r="I1991"/>
  <c r="H1991"/>
  <c r="K1989"/>
  <c r="J1989"/>
  <c r="I1989"/>
  <c r="H1989"/>
  <c r="K1986"/>
  <c r="J1986"/>
  <c r="I1986"/>
  <c r="H1986"/>
  <c r="K1984"/>
  <c r="J1984"/>
  <c r="I1984"/>
  <c r="H1984"/>
  <c r="K1981"/>
  <c r="J1981"/>
  <c r="I1981"/>
  <c r="H1981"/>
  <c r="K1979"/>
  <c r="J1979"/>
  <c r="I1979"/>
  <c r="H1979"/>
  <c r="K1976"/>
  <c r="J1976"/>
  <c r="I1976"/>
  <c r="H1976"/>
  <c r="K1974"/>
  <c r="J1974"/>
  <c r="I1974"/>
  <c r="H1974"/>
  <c r="K1971"/>
  <c r="J1971"/>
  <c r="I1971"/>
  <c r="H1971"/>
  <c r="K1969"/>
  <c r="J1969"/>
  <c r="I1969"/>
  <c r="H1969"/>
  <c r="K1966"/>
  <c r="J1966"/>
  <c r="J1965"/>
  <c r="I1966"/>
  <c r="I1965"/>
  <c r="H1966"/>
  <c r="H1965"/>
  <c r="K1962"/>
  <c r="K1961"/>
  <c r="J1962"/>
  <c r="J1961"/>
  <c r="I1962"/>
  <c r="I1961"/>
  <c r="H1962"/>
  <c r="H1961"/>
  <c r="K1959"/>
  <c r="K1958"/>
  <c r="J1959"/>
  <c r="J1958"/>
  <c r="I1959"/>
  <c r="I1958"/>
  <c r="H1959"/>
  <c r="H1958"/>
  <c r="G1996"/>
  <c r="G1994"/>
  <c r="G1991"/>
  <c r="G1989"/>
  <c r="G1986"/>
  <c r="G1984"/>
  <c r="G1981"/>
  <c r="G1979"/>
  <c r="G1976"/>
  <c r="G1974"/>
  <c r="G1971"/>
  <c r="G1969"/>
  <c r="G1966"/>
  <c r="G1965"/>
  <c r="G1959"/>
  <c r="G1958"/>
  <c r="G1962"/>
  <c r="G1961"/>
  <c r="K1946"/>
  <c r="J1946"/>
  <c r="I1946"/>
  <c r="H1946"/>
  <c r="K1944"/>
  <c r="J1944"/>
  <c r="I1944"/>
  <c r="H1944"/>
  <c r="K1939"/>
  <c r="K1938"/>
  <c r="K1937"/>
  <c r="J1939"/>
  <c r="J1938"/>
  <c r="J1937"/>
  <c r="J1936"/>
  <c r="I1939"/>
  <c r="I1938"/>
  <c r="I1937"/>
  <c r="I1936"/>
  <c r="H1939"/>
  <c r="H1938"/>
  <c r="H1937"/>
  <c r="H1936"/>
  <c r="K1934"/>
  <c r="J1934"/>
  <c r="I1934"/>
  <c r="H1934"/>
  <c r="K1932"/>
  <c r="J1932"/>
  <c r="J1931"/>
  <c r="J1930"/>
  <c r="I1932"/>
  <c r="I1931"/>
  <c r="I1930"/>
  <c r="H1932"/>
  <c r="H1931"/>
  <c r="H1930"/>
  <c r="K1928"/>
  <c r="J1928"/>
  <c r="I1928"/>
  <c r="H1928"/>
  <c r="K1925"/>
  <c r="J1925"/>
  <c r="J1924"/>
  <c r="I1925"/>
  <c r="I1924"/>
  <c r="H1925"/>
  <c r="H1924"/>
  <c r="K1922"/>
  <c r="J1922"/>
  <c r="I1922"/>
  <c r="H1922"/>
  <c r="K1920"/>
  <c r="J1920"/>
  <c r="I1920"/>
  <c r="H1920"/>
  <c r="K1917"/>
  <c r="J1917"/>
  <c r="I1917"/>
  <c r="H1917"/>
  <c r="K1915"/>
  <c r="J1915"/>
  <c r="I1915"/>
  <c r="H1915"/>
  <c r="K1912"/>
  <c r="J1912"/>
  <c r="I1912"/>
  <c r="H1912"/>
  <c r="K1910"/>
  <c r="J1910"/>
  <c r="I1910"/>
  <c r="H1910"/>
  <c r="K1907"/>
  <c r="J1907"/>
  <c r="I1907"/>
  <c r="H1907"/>
  <c r="K1905"/>
  <c r="J1905"/>
  <c r="I1905"/>
  <c r="H1905"/>
  <c r="K1902"/>
  <c r="J1902"/>
  <c r="I1902"/>
  <c r="H1902"/>
  <c r="K1900"/>
  <c r="J1900"/>
  <c r="I1900"/>
  <c r="H1900"/>
  <c r="K1897"/>
  <c r="J1897"/>
  <c r="I1897"/>
  <c r="H1897"/>
  <c r="K1895"/>
  <c r="J1895"/>
  <c r="I1895"/>
  <c r="H1895"/>
  <c r="K1892"/>
  <c r="J1892"/>
  <c r="I1892"/>
  <c r="H1892"/>
  <c r="K1890"/>
  <c r="J1890"/>
  <c r="I1890"/>
  <c r="H1890"/>
  <c r="K1887"/>
  <c r="J1887"/>
  <c r="I1887"/>
  <c r="H1887"/>
  <c r="K1885"/>
  <c r="J1885"/>
  <c r="I1885"/>
  <c r="H1885"/>
  <c r="K1882"/>
  <c r="J1882"/>
  <c r="I1882"/>
  <c r="H1882"/>
  <c r="K1880"/>
  <c r="J1880"/>
  <c r="I1880"/>
  <c r="H1880"/>
  <c r="K1877"/>
  <c r="J1877"/>
  <c r="I1877"/>
  <c r="H1877"/>
  <c r="K1875"/>
  <c r="J1875"/>
  <c r="I1875"/>
  <c r="H1875"/>
  <c r="K1872"/>
  <c r="J1872"/>
  <c r="I1872"/>
  <c r="H1872"/>
  <c r="K1870"/>
  <c r="J1870"/>
  <c r="I1870"/>
  <c r="H1870"/>
  <c r="K1867"/>
  <c r="J1867"/>
  <c r="I1867"/>
  <c r="H1867"/>
  <c r="K1865"/>
  <c r="J1865"/>
  <c r="I1865"/>
  <c r="H1865"/>
  <c r="K1862"/>
  <c r="J1862"/>
  <c r="I1862"/>
  <c r="H1862"/>
  <c r="K1860"/>
  <c r="J1860"/>
  <c r="I1860"/>
  <c r="H1860"/>
  <c r="K1857"/>
  <c r="J1857"/>
  <c r="I1857"/>
  <c r="H1857"/>
  <c r="K1855"/>
  <c r="J1855"/>
  <c r="I1855"/>
  <c r="H1855"/>
  <c r="K1852"/>
  <c r="J1852"/>
  <c r="I1852"/>
  <c r="H1852"/>
  <c r="K1850"/>
  <c r="J1850"/>
  <c r="I1850"/>
  <c r="H1850"/>
  <c r="K1847"/>
  <c r="J1847"/>
  <c r="I1847"/>
  <c r="H1847"/>
  <c r="K1845"/>
  <c r="J1845"/>
  <c r="I1845"/>
  <c r="H1845"/>
  <c r="K1842"/>
  <c r="J1842"/>
  <c r="I1842"/>
  <c r="H1842"/>
  <c r="K1840"/>
  <c r="J1840"/>
  <c r="I1840"/>
  <c r="H1840"/>
  <c r="K1837"/>
  <c r="J1837"/>
  <c r="J1836"/>
  <c r="I1837"/>
  <c r="I1836"/>
  <c r="H1837"/>
  <c r="H1836"/>
  <c r="K1834"/>
  <c r="J1834"/>
  <c r="I1834"/>
  <c r="H1834"/>
  <c r="K1832"/>
  <c r="J1832"/>
  <c r="I1832"/>
  <c r="H1832"/>
  <c r="K1829"/>
  <c r="J1829"/>
  <c r="I1829"/>
  <c r="H1829"/>
  <c r="K1827"/>
  <c r="J1827"/>
  <c r="I1827"/>
  <c r="H1827"/>
  <c r="K1824"/>
  <c r="J1824"/>
  <c r="I1824"/>
  <c r="H1824"/>
  <c r="K1822"/>
  <c r="J1822"/>
  <c r="I1822"/>
  <c r="H1822"/>
  <c r="K1819"/>
  <c r="J1819"/>
  <c r="I1819"/>
  <c r="H1819"/>
  <c r="K1817"/>
  <c r="J1817"/>
  <c r="I1817"/>
  <c r="H1817"/>
  <c r="K1814"/>
  <c r="J1814"/>
  <c r="J1813"/>
  <c r="I1814"/>
  <c r="I1813"/>
  <c r="H1814"/>
  <c r="H1813"/>
  <c r="K1811"/>
  <c r="J1811"/>
  <c r="I1811"/>
  <c r="H1811"/>
  <c r="K1809"/>
  <c r="J1809"/>
  <c r="I1809"/>
  <c r="H1809"/>
  <c r="K1806"/>
  <c r="J1806"/>
  <c r="I1806"/>
  <c r="H1806"/>
  <c r="K1804"/>
  <c r="J1804"/>
  <c r="I1804"/>
  <c r="H1804"/>
  <c r="K1801"/>
  <c r="J1801"/>
  <c r="I1801"/>
  <c r="H1801"/>
  <c r="K1799"/>
  <c r="J1799"/>
  <c r="I1799"/>
  <c r="H1799"/>
  <c r="K1796"/>
  <c r="J1796"/>
  <c r="I1796"/>
  <c r="H1796"/>
  <c r="K1794"/>
  <c r="J1794"/>
  <c r="I1794"/>
  <c r="H1794"/>
  <c r="K1791"/>
  <c r="J1791"/>
  <c r="I1791"/>
  <c r="H1791"/>
  <c r="K1789"/>
  <c r="J1789"/>
  <c r="I1789"/>
  <c r="H1789"/>
  <c r="K1786"/>
  <c r="J1786"/>
  <c r="I1786"/>
  <c r="H1786"/>
  <c r="K1784"/>
  <c r="J1784"/>
  <c r="I1784"/>
  <c r="H1784"/>
  <c r="K1781"/>
  <c r="J1781"/>
  <c r="J1780"/>
  <c r="I1781"/>
  <c r="I1780"/>
  <c r="H1781"/>
  <c r="H1780"/>
  <c r="K1778"/>
  <c r="J1778"/>
  <c r="J1777"/>
  <c r="I1778"/>
  <c r="I1777"/>
  <c r="H1778"/>
  <c r="H1777"/>
  <c r="G1946"/>
  <c r="G1944"/>
  <c r="G1939"/>
  <c r="G1938"/>
  <c r="G1937"/>
  <c r="G1936"/>
  <c r="G1934"/>
  <c r="G1932"/>
  <c r="G1931"/>
  <c r="G1930"/>
  <c r="G1928"/>
  <c r="G1927"/>
  <c r="G1925"/>
  <c r="G1924"/>
  <c r="G1922"/>
  <c r="G1920"/>
  <c r="G1917"/>
  <c r="G1915"/>
  <c r="G1912"/>
  <c r="G1910"/>
  <c r="G1907"/>
  <c r="G1905"/>
  <c r="G1902"/>
  <c r="G1900"/>
  <c r="G1897"/>
  <c r="G1895"/>
  <c r="G1892"/>
  <c r="G1890"/>
  <c r="G1887"/>
  <c r="G1885"/>
  <c r="G1882"/>
  <c r="G1880"/>
  <c r="G1877"/>
  <c r="G1875"/>
  <c r="G1872"/>
  <c r="G1870"/>
  <c r="G1867"/>
  <c r="G1865"/>
  <c r="G1862"/>
  <c r="G1860"/>
  <c r="G1857"/>
  <c r="G1855"/>
  <c r="G1852"/>
  <c r="G1850"/>
  <c r="G1847"/>
  <c r="G1845"/>
  <c r="G1842"/>
  <c r="G1840"/>
  <c r="G1837"/>
  <c r="G1836"/>
  <c r="G1834"/>
  <c r="G1832"/>
  <c r="G1829"/>
  <c r="G1827"/>
  <c r="G1824"/>
  <c r="G1822"/>
  <c r="G1819"/>
  <c r="G1817"/>
  <c r="G1814"/>
  <c r="G1813"/>
  <c r="G1811"/>
  <c r="G1809"/>
  <c r="G1806"/>
  <c r="G1804"/>
  <c r="G1801"/>
  <c r="G1799"/>
  <c r="G1796"/>
  <c r="G1794"/>
  <c r="G1791"/>
  <c r="G1789"/>
  <c r="G1786"/>
  <c r="G1784"/>
  <c r="G1781"/>
  <c r="G1780"/>
  <c r="G1778"/>
  <c r="G1777"/>
  <c r="K1772"/>
  <c r="K1771"/>
  <c r="K1770"/>
  <c r="J1772"/>
  <c r="J1771"/>
  <c r="J1770"/>
  <c r="I1772"/>
  <c r="I1771"/>
  <c r="I1770"/>
  <c r="H1772"/>
  <c r="H1771"/>
  <c r="K1765"/>
  <c r="J1765"/>
  <c r="J1764"/>
  <c r="J1763"/>
  <c r="I1765"/>
  <c r="I1764"/>
  <c r="I1763"/>
  <c r="H1765"/>
  <c r="H1764"/>
  <c r="H1763"/>
  <c r="K1760"/>
  <c r="K1759"/>
  <c r="K1758"/>
  <c r="J1760"/>
  <c r="J1759"/>
  <c r="J1758"/>
  <c r="I1760"/>
  <c r="I1759"/>
  <c r="H1760"/>
  <c r="H1759"/>
  <c r="K1756"/>
  <c r="K1755"/>
  <c r="K1754"/>
  <c r="J1756"/>
  <c r="J1755"/>
  <c r="J1754"/>
  <c r="I1756"/>
  <c r="I1755"/>
  <c r="I1754"/>
  <c r="H1756"/>
  <c r="H1755"/>
  <c r="H1754"/>
  <c r="K1752"/>
  <c r="K1751"/>
  <c r="J1752"/>
  <c r="J1751"/>
  <c r="I1752"/>
  <c r="I1751"/>
  <c r="H1752"/>
  <c r="H1751"/>
  <c r="K1749"/>
  <c r="J1749"/>
  <c r="I1749"/>
  <c r="H1749"/>
  <c r="K1747"/>
  <c r="J1747"/>
  <c r="I1747"/>
  <c r="H1747"/>
  <c r="K1744"/>
  <c r="K1743"/>
  <c r="J1744"/>
  <c r="J1743"/>
  <c r="I1744"/>
  <c r="I1743"/>
  <c r="H1744"/>
  <c r="K1740"/>
  <c r="J1740"/>
  <c r="I1740"/>
  <c r="H1740"/>
  <c r="K1737"/>
  <c r="J1737"/>
  <c r="I1737"/>
  <c r="H1737"/>
  <c r="K1733"/>
  <c r="J1733"/>
  <c r="I1733"/>
  <c r="H1733"/>
  <c r="K1731"/>
  <c r="J1731"/>
  <c r="I1731"/>
  <c r="H1731"/>
  <c r="G1772"/>
  <c r="G1771"/>
  <c r="G1770"/>
  <c r="G1765"/>
  <c r="G1764"/>
  <c r="G1763"/>
  <c r="G1760"/>
  <c r="G1759"/>
  <c r="G1758"/>
  <c r="G1756"/>
  <c r="G1755"/>
  <c r="G1754"/>
  <c r="G1752"/>
  <c r="G1751"/>
  <c r="G1749"/>
  <c r="G1747"/>
  <c r="G1744"/>
  <c r="G1743"/>
  <c r="G1740"/>
  <c r="G1737"/>
  <c r="G1733"/>
  <c r="G1731"/>
  <c r="K1725"/>
  <c r="J1725"/>
  <c r="I1725"/>
  <c r="H1725"/>
  <c r="K1723"/>
  <c r="J1723"/>
  <c r="I1723"/>
  <c r="H1723"/>
  <c r="G1725"/>
  <c r="G1723"/>
  <c r="K1715"/>
  <c r="K1714"/>
  <c r="J1715"/>
  <c r="J1714"/>
  <c r="I1715"/>
  <c r="I1714"/>
  <c r="H1715"/>
  <c r="H1714"/>
  <c r="K1712"/>
  <c r="K1711"/>
  <c r="J1712"/>
  <c r="J1711"/>
  <c r="I1712"/>
  <c r="I1711"/>
  <c r="H1712"/>
  <c r="H1711"/>
  <c r="K1708"/>
  <c r="K1707"/>
  <c r="J1708"/>
  <c r="J1707"/>
  <c r="I1708"/>
  <c r="I1707"/>
  <c r="H1708"/>
  <c r="H1707"/>
  <c r="G1715"/>
  <c r="G1714"/>
  <c r="G1712"/>
  <c r="G1711"/>
  <c r="G1708"/>
  <c r="G1707"/>
  <c r="K1695"/>
  <c r="J1695"/>
  <c r="J1694"/>
  <c r="J1690"/>
  <c r="I1695"/>
  <c r="I1694"/>
  <c r="I1690"/>
  <c r="H1695"/>
  <c r="H1694"/>
  <c r="H1690"/>
  <c r="K1688"/>
  <c r="J1688"/>
  <c r="I1688"/>
  <c r="H1688"/>
  <c r="K1685"/>
  <c r="J1685"/>
  <c r="I1685"/>
  <c r="H1685"/>
  <c r="K1683"/>
  <c r="J1683"/>
  <c r="I1683"/>
  <c r="H1683"/>
  <c r="K1679"/>
  <c r="J1679"/>
  <c r="I1679"/>
  <c r="H1679"/>
  <c r="K1675"/>
  <c r="J1675"/>
  <c r="I1675"/>
  <c r="H1675"/>
  <c r="K1673"/>
  <c r="J1673"/>
  <c r="I1673"/>
  <c r="H1673"/>
  <c r="K1670"/>
  <c r="J1670"/>
  <c r="J1669"/>
  <c r="I1670"/>
  <c r="I1669"/>
  <c r="H1670"/>
  <c r="H1669"/>
  <c r="K1666"/>
  <c r="J1666"/>
  <c r="I1666"/>
  <c r="H1666"/>
  <c r="K1664"/>
  <c r="J1664"/>
  <c r="I1664"/>
  <c r="H1664"/>
  <c r="K1662"/>
  <c r="J1662"/>
  <c r="I1662"/>
  <c r="H1662"/>
  <c r="K1660"/>
  <c r="J1660"/>
  <c r="I1660"/>
  <c r="H1660"/>
  <c r="K1655"/>
  <c r="J1655"/>
  <c r="J1654"/>
  <c r="J1653"/>
  <c r="J1652"/>
  <c r="I1655"/>
  <c r="I1654"/>
  <c r="I1653"/>
  <c r="I1652"/>
  <c r="H1655"/>
  <c r="H1654"/>
  <c r="H1653"/>
  <c r="H1652"/>
  <c r="G1695"/>
  <c r="G1694"/>
  <c r="G1690"/>
  <c r="G1688"/>
  <c r="G1685"/>
  <c r="G1683"/>
  <c r="G1679"/>
  <c r="G1675"/>
  <c r="G1673"/>
  <c r="G1670"/>
  <c r="G1669"/>
  <c r="G1666"/>
  <c r="G1664"/>
  <c r="G1662"/>
  <c r="G1660"/>
  <c r="G1655"/>
  <c r="G1654"/>
  <c r="G1653"/>
  <c r="G1652"/>
  <c r="K1647"/>
  <c r="K1646"/>
  <c r="K1645"/>
  <c r="J1647"/>
  <c r="J1646"/>
  <c r="J1645"/>
  <c r="J1644"/>
  <c r="I1647"/>
  <c r="H1647"/>
  <c r="H1646"/>
  <c r="K1642"/>
  <c r="K1641"/>
  <c r="K1640"/>
  <c r="J1642"/>
  <c r="J1641"/>
  <c r="J1640"/>
  <c r="J1639"/>
  <c r="J1638"/>
  <c r="I1642"/>
  <c r="I1641"/>
  <c r="H1642"/>
  <c r="H1641"/>
  <c r="G1647"/>
  <c r="G1646"/>
  <c r="G1645"/>
  <c r="G1644"/>
  <c r="G1642"/>
  <c r="G1641"/>
  <c r="G1640"/>
  <c r="G1639"/>
  <c r="G1638"/>
  <c r="K1633"/>
  <c r="J1633"/>
  <c r="J1632"/>
  <c r="I1633"/>
  <c r="I1632"/>
  <c r="H1633"/>
  <c r="H1632"/>
  <c r="K1630"/>
  <c r="J1630"/>
  <c r="I1630"/>
  <c r="H1630"/>
  <c r="K1628"/>
  <c r="J1628"/>
  <c r="I1628"/>
  <c r="H1628"/>
  <c r="G1633"/>
  <c r="G1632"/>
  <c r="G1630"/>
  <c r="G1628"/>
  <c r="K1619"/>
  <c r="J1619"/>
  <c r="I1619"/>
  <c r="H1619"/>
  <c r="K1616"/>
  <c r="J1616"/>
  <c r="I1616"/>
  <c r="H1616"/>
  <c r="K1614"/>
  <c r="J1614"/>
  <c r="I1614"/>
  <c r="H1614"/>
  <c r="K1611"/>
  <c r="J1611"/>
  <c r="J1610"/>
  <c r="I1611"/>
  <c r="I1610"/>
  <c r="H1611"/>
  <c r="H1610"/>
  <c r="K1608"/>
  <c r="J1608"/>
  <c r="J1607"/>
  <c r="I1608"/>
  <c r="I1607"/>
  <c r="H1608"/>
  <c r="H1607"/>
  <c r="K1604"/>
  <c r="J1604"/>
  <c r="J1603"/>
  <c r="I1604"/>
  <c r="I1603"/>
  <c r="H1604"/>
  <c r="K1601"/>
  <c r="J1601"/>
  <c r="I1601"/>
  <c r="H1601"/>
  <c r="K1599"/>
  <c r="J1599"/>
  <c r="I1599"/>
  <c r="H1599"/>
  <c r="G1619"/>
  <c r="G1616"/>
  <c r="G1614"/>
  <c r="G1611"/>
  <c r="G1610"/>
  <c r="G1608"/>
  <c r="G1607"/>
  <c r="G1604"/>
  <c r="G1603"/>
  <c r="G1601"/>
  <c r="G1599"/>
  <c r="H1586"/>
  <c r="I1586"/>
  <c r="J1586"/>
  <c r="K1586"/>
  <c r="K1591"/>
  <c r="J1591"/>
  <c r="J1590"/>
  <c r="I1591"/>
  <c r="I1590"/>
  <c r="H1591"/>
  <c r="H1590"/>
  <c r="K1588"/>
  <c r="J1588"/>
  <c r="I1588"/>
  <c r="H1588"/>
  <c r="K1584"/>
  <c r="J1584"/>
  <c r="I1584"/>
  <c r="H1584"/>
  <c r="G1591"/>
  <c r="G1590"/>
  <c r="G1588"/>
  <c r="G1586"/>
  <c r="G1584"/>
  <c r="K1575"/>
  <c r="K1574"/>
  <c r="J1575"/>
  <c r="J1574"/>
  <c r="J1573"/>
  <c r="J1572"/>
  <c r="J1571"/>
  <c r="I1575"/>
  <c r="I1574"/>
  <c r="I1573"/>
  <c r="I1572"/>
  <c r="I1571"/>
  <c r="H1575"/>
  <c r="H1574"/>
  <c r="H1573"/>
  <c r="H1572"/>
  <c r="H1571"/>
  <c r="K1569"/>
  <c r="K1568"/>
  <c r="J1569"/>
  <c r="J1568"/>
  <c r="I1569"/>
  <c r="I1568"/>
  <c r="H1569"/>
  <c r="H1568"/>
  <c r="K1566"/>
  <c r="K1563"/>
  <c r="J1566"/>
  <c r="J1563"/>
  <c r="I1566"/>
  <c r="I1563"/>
  <c r="H1566"/>
  <c r="H1563"/>
  <c r="K1556"/>
  <c r="K1555"/>
  <c r="J1556"/>
  <c r="J1555"/>
  <c r="J1554"/>
  <c r="I1556"/>
  <c r="I1555"/>
  <c r="I1554"/>
  <c r="H1556"/>
  <c r="H1555"/>
  <c r="H1554"/>
  <c r="K1552"/>
  <c r="J1552"/>
  <c r="I1552"/>
  <c r="H1552"/>
  <c r="K1550"/>
  <c r="J1550"/>
  <c r="I1550"/>
  <c r="H1550"/>
  <c r="K1546"/>
  <c r="K1545"/>
  <c r="J1546"/>
  <c r="J1545"/>
  <c r="I1546"/>
  <c r="H1546"/>
  <c r="H1545"/>
  <c r="K1543"/>
  <c r="J1543"/>
  <c r="J1542"/>
  <c r="I1543"/>
  <c r="I1542"/>
  <c r="H1543"/>
  <c r="H1542"/>
  <c r="K1537"/>
  <c r="J1537"/>
  <c r="I1537"/>
  <c r="H1537"/>
  <c r="K1535"/>
  <c r="J1535"/>
  <c r="I1535"/>
  <c r="H1535"/>
  <c r="K1533"/>
  <c r="J1533"/>
  <c r="I1533"/>
  <c r="H1533"/>
  <c r="K1529"/>
  <c r="K1528"/>
  <c r="K1524"/>
  <c r="J1529"/>
  <c r="J1528"/>
  <c r="J1524"/>
  <c r="I1529"/>
  <c r="I1528"/>
  <c r="I1524"/>
  <c r="H1529"/>
  <c r="H1528"/>
  <c r="H1524"/>
  <c r="K1522"/>
  <c r="K1521"/>
  <c r="K1517"/>
  <c r="J1522"/>
  <c r="J1521"/>
  <c r="J1517"/>
  <c r="I1522"/>
  <c r="I1521"/>
  <c r="I1517"/>
  <c r="H1522"/>
  <c r="H1521"/>
  <c r="H1517"/>
  <c r="K1515"/>
  <c r="J1515"/>
  <c r="J1514"/>
  <c r="J1510"/>
  <c r="I1515"/>
  <c r="I1514"/>
  <c r="I1510"/>
  <c r="H1515"/>
  <c r="H1514"/>
  <c r="H1510"/>
  <c r="G1575"/>
  <c r="G1574"/>
  <c r="G1573"/>
  <c r="G1572"/>
  <c r="G1571"/>
  <c r="G1569"/>
  <c r="G1568"/>
  <c r="G1566"/>
  <c r="G1563"/>
  <c r="G1556"/>
  <c r="G1555"/>
  <c r="G1554"/>
  <c r="G1552"/>
  <c r="G1550"/>
  <c r="G1546"/>
  <c r="G1545"/>
  <c r="G1543"/>
  <c r="G1542"/>
  <c r="G1539"/>
  <c r="G1537"/>
  <c r="G1535"/>
  <c r="G1533"/>
  <c r="G1529"/>
  <c r="G1528"/>
  <c r="G1524"/>
  <c r="G1522"/>
  <c r="G1521"/>
  <c r="G1517"/>
  <c r="G1515"/>
  <c r="G1514"/>
  <c r="G1510"/>
  <c r="K1506"/>
  <c r="J1506"/>
  <c r="I1506"/>
  <c r="H1506"/>
  <c r="K1504"/>
  <c r="J1504"/>
  <c r="I1504"/>
  <c r="H1504"/>
  <c r="K1502"/>
  <c r="J1502"/>
  <c r="I1502"/>
  <c r="H1502"/>
  <c r="K1500"/>
  <c r="J1500"/>
  <c r="I1500"/>
  <c r="H1500"/>
  <c r="K1496"/>
  <c r="J1496"/>
  <c r="J1495"/>
  <c r="J1494"/>
  <c r="I1496"/>
  <c r="I1495"/>
  <c r="I1494"/>
  <c r="H1496"/>
  <c r="H1495"/>
  <c r="H1494"/>
  <c r="K1492"/>
  <c r="J1492"/>
  <c r="J1491"/>
  <c r="I1492"/>
  <c r="I1491"/>
  <c r="H1492"/>
  <c r="H1491"/>
  <c r="K1489"/>
  <c r="K1488"/>
  <c r="J1489"/>
  <c r="J1488"/>
  <c r="I1489"/>
  <c r="I1488"/>
  <c r="H1489"/>
  <c r="H1488"/>
  <c r="K1486"/>
  <c r="K1485"/>
  <c r="J1486"/>
  <c r="J1485"/>
  <c r="I1486"/>
  <c r="I1485"/>
  <c r="H1486"/>
  <c r="H1485"/>
  <c r="K1483"/>
  <c r="J1483"/>
  <c r="J1482"/>
  <c r="I1483"/>
  <c r="I1482"/>
  <c r="H1483"/>
  <c r="H1482"/>
  <c r="K1478"/>
  <c r="K1477"/>
  <c r="J1478"/>
  <c r="J1477"/>
  <c r="J1476"/>
  <c r="J1475"/>
  <c r="I1478"/>
  <c r="H1478"/>
  <c r="G1506"/>
  <c r="G1504"/>
  <c r="G1502"/>
  <c r="G1500"/>
  <c r="G1496"/>
  <c r="G1495"/>
  <c r="G1494"/>
  <c r="G1492"/>
  <c r="G1491"/>
  <c r="G1489"/>
  <c r="G1488"/>
  <c r="G1486"/>
  <c r="G1485"/>
  <c r="G1483"/>
  <c r="G1482"/>
  <c r="G1478"/>
  <c r="G1477"/>
  <c r="G1476"/>
  <c r="G1475"/>
  <c r="K1470"/>
  <c r="K1469"/>
  <c r="K1465"/>
  <c r="J1470"/>
  <c r="J1469"/>
  <c r="I1470"/>
  <c r="I1469"/>
  <c r="I1465"/>
  <c r="H1470"/>
  <c r="H1469"/>
  <c r="G1470"/>
  <c r="G1469"/>
  <c r="G1465"/>
  <c r="G1464"/>
  <c r="G1463"/>
  <c r="G1462"/>
  <c r="K1458"/>
  <c r="K1457"/>
  <c r="J1458"/>
  <c r="J1457"/>
  <c r="I1458"/>
  <c r="I1457"/>
  <c r="H1458"/>
  <c r="H1457"/>
  <c r="K1455"/>
  <c r="K1454"/>
  <c r="J1455"/>
  <c r="J1454"/>
  <c r="I1455"/>
  <c r="I1454"/>
  <c r="H1455"/>
  <c r="H1454"/>
  <c r="K1451"/>
  <c r="K1450"/>
  <c r="J1451"/>
  <c r="J1450"/>
  <c r="I1451"/>
  <c r="I1450"/>
  <c r="H1451"/>
  <c r="H1450"/>
  <c r="K1448"/>
  <c r="K1447"/>
  <c r="J1448"/>
  <c r="J1447"/>
  <c r="I1448"/>
  <c r="I1447"/>
  <c r="H1448"/>
  <c r="H1447"/>
  <c r="G1458"/>
  <c r="G1457"/>
  <c r="G1455"/>
  <c r="G1454"/>
  <c r="G1451"/>
  <c r="G1450"/>
  <c r="G1448"/>
  <c r="G1447"/>
  <c r="K1442"/>
  <c r="K1441"/>
  <c r="J1442"/>
  <c r="J1441"/>
  <c r="I1442"/>
  <c r="I1441"/>
  <c r="H1442"/>
  <c r="H1441"/>
  <c r="K1439"/>
  <c r="K1438"/>
  <c r="J1439"/>
  <c r="J1438"/>
  <c r="I1439"/>
  <c r="I1438"/>
  <c r="H1439"/>
  <c r="H1438"/>
  <c r="G1442"/>
  <c r="G1441"/>
  <c r="G1439"/>
  <c r="G1438"/>
  <c r="K1433"/>
  <c r="J1433"/>
  <c r="J1432"/>
  <c r="I1433"/>
  <c r="H1433"/>
  <c r="H1432"/>
  <c r="K1430"/>
  <c r="K1429"/>
  <c r="J1430"/>
  <c r="J1429"/>
  <c r="I1430"/>
  <c r="I1429"/>
  <c r="H1430"/>
  <c r="H1429"/>
  <c r="G1433"/>
  <c r="G1432"/>
  <c r="G1430"/>
  <c r="G1429"/>
  <c r="K1418"/>
  <c r="J1418"/>
  <c r="J1417"/>
  <c r="J1416"/>
  <c r="J1415"/>
  <c r="J1414"/>
  <c r="J1413"/>
  <c r="I1418"/>
  <c r="I1417"/>
  <c r="I1416"/>
  <c r="I1415"/>
  <c r="I1414"/>
  <c r="I1413"/>
  <c r="H1418"/>
  <c r="H1417"/>
  <c r="H1416"/>
  <c r="H1415"/>
  <c r="H1414"/>
  <c r="H1413"/>
  <c r="G1418"/>
  <c r="G1417"/>
  <c r="G1416"/>
  <c r="G1415"/>
  <c r="G1414"/>
  <c r="G1413"/>
  <c r="K1410"/>
  <c r="J1410"/>
  <c r="J1409"/>
  <c r="J1408"/>
  <c r="J1407"/>
  <c r="J1406"/>
  <c r="J1405"/>
  <c r="I1410"/>
  <c r="I1409"/>
  <c r="H1410"/>
  <c r="H1409"/>
  <c r="G1410"/>
  <c r="G1409"/>
  <c r="G1408"/>
  <c r="G1407"/>
  <c r="G1406"/>
  <c r="G1405"/>
  <c r="K1402"/>
  <c r="J1402"/>
  <c r="J1401"/>
  <c r="J1400"/>
  <c r="I1402"/>
  <c r="I1401"/>
  <c r="H1402"/>
  <c r="H1401"/>
  <c r="H1400"/>
  <c r="G1402"/>
  <c r="G1401"/>
  <c r="G1400"/>
  <c r="K1398"/>
  <c r="J1398"/>
  <c r="I1398"/>
  <c r="H1398"/>
  <c r="K1396"/>
  <c r="J1396"/>
  <c r="I1396"/>
  <c r="H1396"/>
  <c r="K1394"/>
  <c r="J1394"/>
  <c r="I1394"/>
  <c r="H1394"/>
  <c r="G1398"/>
  <c r="G1396"/>
  <c r="G1394"/>
  <c r="K1387"/>
  <c r="J1387"/>
  <c r="J1386"/>
  <c r="J1385"/>
  <c r="I1387"/>
  <c r="I1386"/>
  <c r="I1385"/>
  <c r="H1387"/>
  <c r="H1386"/>
  <c r="H1385"/>
  <c r="G1388"/>
  <c r="G1387"/>
  <c r="G1386"/>
  <c r="G1385"/>
  <c r="K1382"/>
  <c r="J1382"/>
  <c r="J1381"/>
  <c r="J1380"/>
  <c r="J1379"/>
  <c r="I1382"/>
  <c r="I1381"/>
  <c r="I1380"/>
  <c r="I1379"/>
  <c r="H1382"/>
  <c r="H1381"/>
  <c r="G1382"/>
  <c r="G1381"/>
  <c r="G1380"/>
  <c r="G1379"/>
  <c r="K1377"/>
  <c r="J1377"/>
  <c r="J1376"/>
  <c r="I1377"/>
  <c r="I1376"/>
  <c r="H1377"/>
  <c r="H1376"/>
  <c r="K1374"/>
  <c r="J1374"/>
  <c r="I1374"/>
  <c r="H1374"/>
  <c r="K1372"/>
  <c r="J1372"/>
  <c r="I1372"/>
  <c r="H1372"/>
  <c r="K1370"/>
  <c r="J1370"/>
  <c r="I1370"/>
  <c r="H1370"/>
  <c r="K1368"/>
  <c r="J1368"/>
  <c r="I1368"/>
  <c r="H1368"/>
  <c r="K1362"/>
  <c r="J1362"/>
  <c r="J1361"/>
  <c r="J1360"/>
  <c r="J1359"/>
  <c r="J1358"/>
  <c r="I1362"/>
  <c r="I1361"/>
  <c r="I1360"/>
  <c r="I1359"/>
  <c r="I1358"/>
  <c r="H1362"/>
  <c r="H1361"/>
  <c r="H1360"/>
  <c r="H1359"/>
  <c r="H1358"/>
  <c r="K1356"/>
  <c r="J1356"/>
  <c r="J1355"/>
  <c r="I1356"/>
  <c r="I1355"/>
  <c r="H1356"/>
  <c r="H1355"/>
  <c r="K1353"/>
  <c r="K1352"/>
  <c r="J1353"/>
  <c r="J1352"/>
  <c r="I1353"/>
  <c r="I1352"/>
  <c r="H1353"/>
  <c r="H1352"/>
  <c r="G1377"/>
  <c r="G1376"/>
  <c r="G1374"/>
  <c r="G1372"/>
  <c r="G1370"/>
  <c r="G1368"/>
  <c r="G1362"/>
  <c r="G1361"/>
  <c r="G1360"/>
  <c r="G1359"/>
  <c r="G1358"/>
  <c r="G1356"/>
  <c r="G1355"/>
  <c r="G1353"/>
  <c r="G1352"/>
  <c r="K1344"/>
  <c r="J1344"/>
  <c r="J1343"/>
  <c r="I1344"/>
  <c r="I1343"/>
  <c r="H1344"/>
  <c r="H1343"/>
  <c r="G1344"/>
  <c r="G1343"/>
  <c r="G1339"/>
  <c r="G1338"/>
  <c r="G1337"/>
  <c r="K1334"/>
  <c r="K1333"/>
  <c r="J1334"/>
  <c r="J1333"/>
  <c r="J1332"/>
  <c r="J1331"/>
  <c r="I1334"/>
  <c r="I1333"/>
  <c r="I1332"/>
  <c r="I1331"/>
  <c r="H1334"/>
  <c r="H1333"/>
  <c r="H1332"/>
  <c r="H1331"/>
  <c r="K1329"/>
  <c r="J1329"/>
  <c r="J1328"/>
  <c r="J1324"/>
  <c r="I1329"/>
  <c r="I1328"/>
  <c r="I1324"/>
  <c r="H1329"/>
  <c r="H1328"/>
  <c r="H1324"/>
  <c r="K1322"/>
  <c r="K1321"/>
  <c r="J1322"/>
  <c r="J1321"/>
  <c r="I1322"/>
  <c r="I1321"/>
  <c r="H1322"/>
  <c r="H1321"/>
  <c r="K1313"/>
  <c r="J1313"/>
  <c r="I1313"/>
  <c r="H1313"/>
  <c r="K1311"/>
  <c r="J1311"/>
  <c r="I1311"/>
  <c r="H1311"/>
  <c r="K1307"/>
  <c r="J1307"/>
  <c r="J1306"/>
  <c r="I1307"/>
  <c r="I1306"/>
  <c r="H1307"/>
  <c r="H1306"/>
  <c r="K1304"/>
  <c r="K1303"/>
  <c r="J1304"/>
  <c r="J1303"/>
  <c r="J1300"/>
  <c r="I1304"/>
  <c r="I1303"/>
  <c r="I1300"/>
  <c r="H1304"/>
  <c r="H1303"/>
  <c r="K1298"/>
  <c r="K1297"/>
  <c r="J1298"/>
  <c r="J1297"/>
  <c r="I1298"/>
  <c r="I1297"/>
  <c r="H1298"/>
  <c r="H1297"/>
  <c r="K1294"/>
  <c r="J1294"/>
  <c r="J1293"/>
  <c r="I1294"/>
  <c r="I1293"/>
  <c r="H1294"/>
  <c r="H1293"/>
  <c r="K1291"/>
  <c r="J1291"/>
  <c r="J1290"/>
  <c r="I1291"/>
  <c r="I1290"/>
  <c r="H1291"/>
  <c r="H1290"/>
  <c r="K1288"/>
  <c r="J1288"/>
  <c r="J1287"/>
  <c r="I1288"/>
  <c r="I1287"/>
  <c r="H1288"/>
  <c r="H1287"/>
  <c r="K1285"/>
  <c r="K1284"/>
  <c r="J1285"/>
  <c r="J1284"/>
  <c r="I1285"/>
  <c r="I1284"/>
  <c r="H1285"/>
  <c r="H1284"/>
  <c r="K1282"/>
  <c r="J1282"/>
  <c r="J1281"/>
  <c r="I1282"/>
  <c r="I1281"/>
  <c r="H1282"/>
  <c r="H1281"/>
  <c r="K1279"/>
  <c r="J1279"/>
  <c r="J1278"/>
  <c r="I1279"/>
  <c r="I1278"/>
  <c r="H1279"/>
  <c r="H1278"/>
  <c r="K1276"/>
  <c r="J1276"/>
  <c r="J1275"/>
  <c r="I1276"/>
  <c r="I1275"/>
  <c r="H1276"/>
  <c r="H1275"/>
  <c r="K1273"/>
  <c r="K1272"/>
  <c r="J1273"/>
  <c r="J1272"/>
  <c r="I1273"/>
  <c r="I1272"/>
  <c r="H1273"/>
  <c r="H1272"/>
  <c r="K1270"/>
  <c r="J1270"/>
  <c r="J1269"/>
  <c r="I1270"/>
  <c r="I1269"/>
  <c r="H1270"/>
  <c r="H1269"/>
  <c r="K1267"/>
  <c r="J1267"/>
  <c r="J1266"/>
  <c r="I1267"/>
  <c r="I1266"/>
  <c r="H1267"/>
  <c r="H1266"/>
  <c r="K1264"/>
  <c r="J1264"/>
  <c r="J1263"/>
  <c r="I1264"/>
  <c r="I1263"/>
  <c r="H1264"/>
  <c r="H1263"/>
  <c r="K1261"/>
  <c r="K1260"/>
  <c r="J1261"/>
  <c r="J1260"/>
  <c r="I1261"/>
  <c r="I1260"/>
  <c r="H1261"/>
  <c r="H1260"/>
  <c r="K1258"/>
  <c r="J1258"/>
  <c r="J1257"/>
  <c r="I1258"/>
  <c r="I1257"/>
  <c r="H1258"/>
  <c r="H1257"/>
  <c r="K1255"/>
  <c r="J1255"/>
  <c r="J1254"/>
  <c r="I1255"/>
  <c r="I1254"/>
  <c r="H1255"/>
  <c r="H1254"/>
  <c r="K1252"/>
  <c r="J1252"/>
  <c r="J1251"/>
  <c r="I1252"/>
  <c r="I1251"/>
  <c r="H1252"/>
  <c r="H1251"/>
  <c r="K1249"/>
  <c r="K1248"/>
  <c r="J1249"/>
  <c r="J1248"/>
  <c r="I1249"/>
  <c r="I1248"/>
  <c r="H1249"/>
  <c r="H1248"/>
  <c r="K1246"/>
  <c r="J1246"/>
  <c r="J1245"/>
  <c r="I1246"/>
  <c r="I1245"/>
  <c r="H1246"/>
  <c r="H1245"/>
  <c r="K1243"/>
  <c r="J1243"/>
  <c r="J1242"/>
  <c r="I1243"/>
  <c r="I1242"/>
  <c r="H1243"/>
  <c r="H1242"/>
  <c r="K1240"/>
  <c r="J1240"/>
  <c r="J1239"/>
  <c r="I1240"/>
  <c r="I1239"/>
  <c r="H1240"/>
  <c r="H1239"/>
  <c r="K1237"/>
  <c r="K1236"/>
  <c r="J1237"/>
  <c r="J1236"/>
  <c r="I1237"/>
  <c r="I1236"/>
  <c r="H1237"/>
  <c r="H1236"/>
  <c r="K1234"/>
  <c r="J1234"/>
  <c r="J1233"/>
  <c r="I1234"/>
  <c r="I1233"/>
  <c r="H1234"/>
  <c r="H1233"/>
  <c r="K1231"/>
  <c r="J1231"/>
  <c r="J1230"/>
  <c r="I1231"/>
  <c r="I1230"/>
  <c r="H1231"/>
  <c r="H1230"/>
  <c r="K1228"/>
  <c r="J1228"/>
  <c r="J1227"/>
  <c r="I1228"/>
  <c r="I1227"/>
  <c r="H1228"/>
  <c r="H1227"/>
  <c r="K1225"/>
  <c r="K1224"/>
  <c r="J1225"/>
  <c r="J1224"/>
  <c r="I1225"/>
  <c r="I1224"/>
  <c r="H1225"/>
  <c r="H1224"/>
  <c r="K1222"/>
  <c r="J1222"/>
  <c r="J1221"/>
  <c r="I1222"/>
  <c r="I1221"/>
  <c r="H1222"/>
  <c r="H1221"/>
  <c r="K1219"/>
  <c r="J1219"/>
  <c r="J1218"/>
  <c r="I1219"/>
  <c r="I1218"/>
  <c r="H1219"/>
  <c r="H1218"/>
  <c r="K1216"/>
  <c r="J1216"/>
  <c r="J1215"/>
  <c r="I1216"/>
  <c r="I1215"/>
  <c r="H1216"/>
  <c r="H1215"/>
  <c r="K1213"/>
  <c r="K1212"/>
  <c r="J1213"/>
  <c r="J1212"/>
  <c r="I1213"/>
  <c r="I1212"/>
  <c r="H1213"/>
  <c r="H1212"/>
  <c r="K1210"/>
  <c r="J1210"/>
  <c r="J1209"/>
  <c r="I1210"/>
  <c r="I1209"/>
  <c r="H1210"/>
  <c r="H1209"/>
  <c r="K1207"/>
  <c r="J1207"/>
  <c r="J1206"/>
  <c r="I1207"/>
  <c r="I1206"/>
  <c r="H1207"/>
  <c r="H1206"/>
  <c r="K1204"/>
  <c r="J1204"/>
  <c r="J1203"/>
  <c r="I1204"/>
  <c r="I1203"/>
  <c r="H1204"/>
  <c r="H1203"/>
  <c r="K1201"/>
  <c r="J1201"/>
  <c r="I1201"/>
  <c r="H1201"/>
  <c r="K1199"/>
  <c r="J1199"/>
  <c r="I1199"/>
  <c r="H1199"/>
  <c r="K1196"/>
  <c r="K1195"/>
  <c r="J1196"/>
  <c r="J1195"/>
  <c r="I1196"/>
  <c r="H1196"/>
  <c r="H1195"/>
  <c r="K1187"/>
  <c r="K1186"/>
  <c r="J1187"/>
  <c r="J1186"/>
  <c r="I1187"/>
  <c r="I1186"/>
  <c r="H1187"/>
  <c r="K1175"/>
  <c r="K1174"/>
  <c r="J1175"/>
  <c r="J1174"/>
  <c r="I1175"/>
  <c r="I1174"/>
  <c r="H1175"/>
  <c r="H1174"/>
  <c r="K1157"/>
  <c r="J1157"/>
  <c r="J1156"/>
  <c r="I1157"/>
  <c r="I1156"/>
  <c r="H1157"/>
  <c r="H1156"/>
  <c r="K1151"/>
  <c r="K1150"/>
  <c r="J1151"/>
  <c r="J1150"/>
  <c r="I1151"/>
  <c r="H1151"/>
  <c r="H1150"/>
  <c r="K1148"/>
  <c r="K1147"/>
  <c r="J1148"/>
  <c r="J1147"/>
  <c r="J1145"/>
  <c r="J1144"/>
  <c r="I1148"/>
  <c r="H1148"/>
  <c r="H1147"/>
  <c r="H1145"/>
  <c r="H1144"/>
  <c r="K1142"/>
  <c r="J1142"/>
  <c r="J1141"/>
  <c r="I1142"/>
  <c r="I1141"/>
  <c r="H1142"/>
  <c r="H1141"/>
  <c r="K1139"/>
  <c r="J1139"/>
  <c r="J1138"/>
  <c r="I1139"/>
  <c r="I1138"/>
  <c r="H1139"/>
  <c r="H1138"/>
  <c r="K1130"/>
  <c r="K1129"/>
  <c r="J1130"/>
  <c r="J1129"/>
  <c r="I1130"/>
  <c r="I1129"/>
  <c r="H1130"/>
  <c r="H1129"/>
  <c r="K1127"/>
  <c r="J1127"/>
  <c r="J1126"/>
  <c r="I1127"/>
  <c r="I1126"/>
  <c r="H1127"/>
  <c r="H1126"/>
  <c r="G1334"/>
  <c r="G1333"/>
  <c r="G1332"/>
  <c r="G1331"/>
  <c r="G1329"/>
  <c r="G1328"/>
  <c r="G1324"/>
  <c r="G1322"/>
  <c r="G1321"/>
  <c r="G1318"/>
  <c r="G1315"/>
  <c r="G1313"/>
  <c r="G1311"/>
  <c r="G1307"/>
  <c r="G1306"/>
  <c r="G1304"/>
  <c r="G1303"/>
  <c r="G1300"/>
  <c r="G1298"/>
  <c r="G1297"/>
  <c r="G1294"/>
  <c r="G1293"/>
  <c r="G1291"/>
  <c r="G1290"/>
  <c r="G1288"/>
  <c r="G1287"/>
  <c r="G1285"/>
  <c r="G1284"/>
  <c r="G1282"/>
  <c r="G1281"/>
  <c r="G1279"/>
  <c r="G1278"/>
  <c r="G1276"/>
  <c r="G1275"/>
  <c r="G1273"/>
  <c r="G1272"/>
  <c r="G1270"/>
  <c r="G1269"/>
  <c r="G1267"/>
  <c r="G1266"/>
  <c r="G1264"/>
  <c r="G1263"/>
  <c r="G1261"/>
  <c r="G1260"/>
  <c r="G1258"/>
  <c r="G1257"/>
  <c r="G1255"/>
  <c r="G1254"/>
  <c r="G1252"/>
  <c r="G1251"/>
  <c r="G1249"/>
  <c r="G1248"/>
  <c r="G1246"/>
  <c r="G1245"/>
  <c r="G1243"/>
  <c r="G1242"/>
  <c r="G1240"/>
  <c r="G1239"/>
  <c r="G1237"/>
  <c r="G1236"/>
  <c r="G1234"/>
  <c r="G1233"/>
  <c r="G1231"/>
  <c r="G1230"/>
  <c r="G1228"/>
  <c r="G1227"/>
  <c r="G1225"/>
  <c r="G1224"/>
  <c r="G1222"/>
  <c r="G1221"/>
  <c r="G1219"/>
  <c r="G1218"/>
  <c r="G1216"/>
  <c r="G1215"/>
  <c r="G1213"/>
  <c r="G1212"/>
  <c r="G1210"/>
  <c r="G1209"/>
  <c r="G1207"/>
  <c r="G1206"/>
  <c r="G1204"/>
  <c r="G1203"/>
  <c r="G1201"/>
  <c r="G1199"/>
  <c r="G1196"/>
  <c r="G1195"/>
  <c r="G1187"/>
  <c r="G1186"/>
  <c r="G1175"/>
  <c r="G1174"/>
  <c r="G1157"/>
  <c r="G1156"/>
  <c r="G1151"/>
  <c r="G1150"/>
  <c r="G1148"/>
  <c r="G1147"/>
  <c r="G1145"/>
  <c r="G1144"/>
  <c r="G1142"/>
  <c r="G1141"/>
  <c r="G1139"/>
  <c r="G1138"/>
  <c r="G1130"/>
  <c r="G1129"/>
  <c r="G1127"/>
  <c r="G1126"/>
  <c r="K1119"/>
  <c r="J1119"/>
  <c r="J1118"/>
  <c r="J1117"/>
  <c r="J1116"/>
  <c r="J1115"/>
  <c r="I1119"/>
  <c r="I1118"/>
  <c r="H1119"/>
  <c r="H1118"/>
  <c r="K1113"/>
  <c r="K1112"/>
  <c r="H1337" i="2"/>
  <c r="J1113" i="1"/>
  <c r="J1112"/>
  <c r="I1113"/>
  <c r="I1112"/>
  <c r="H1113"/>
  <c r="G1119"/>
  <c r="G1118"/>
  <c r="G1117"/>
  <c r="G1116"/>
  <c r="G1115"/>
  <c r="G1113"/>
  <c r="G1112"/>
  <c r="G1111"/>
  <c r="G1110"/>
  <c r="K1105"/>
  <c r="K1104"/>
  <c r="K1103"/>
  <c r="J1105"/>
  <c r="J1104"/>
  <c r="J1103"/>
  <c r="J1102"/>
  <c r="J1101"/>
  <c r="I1105"/>
  <c r="I1104"/>
  <c r="H1105"/>
  <c r="H1104"/>
  <c r="K1099"/>
  <c r="J1099"/>
  <c r="J1098"/>
  <c r="I1099"/>
  <c r="I1098"/>
  <c r="H1099"/>
  <c r="H1098"/>
  <c r="K1096"/>
  <c r="K1095"/>
  <c r="J1096"/>
  <c r="J1095"/>
  <c r="I1096"/>
  <c r="I1095"/>
  <c r="H1096"/>
  <c r="H1095"/>
  <c r="K1093"/>
  <c r="K1092"/>
  <c r="J1093"/>
  <c r="J1092"/>
  <c r="I1093"/>
  <c r="I1092"/>
  <c r="H1093"/>
  <c r="H1092"/>
  <c r="K1090"/>
  <c r="J1090"/>
  <c r="I1090"/>
  <c r="H1090"/>
  <c r="K1088"/>
  <c r="J1088"/>
  <c r="I1088"/>
  <c r="H1088"/>
  <c r="K1085"/>
  <c r="K1084"/>
  <c r="J1085"/>
  <c r="J1084"/>
  <c r="I1085"/>
  <c r="I1084"/>
  <c r="H1085"/>
  <c r="H1084"/>
  <c r="K1082"/>
  <c r="J1082"/>
  <c r="I1082"/>
  <c r="H1082"/>
  <c r="K1080"/>
  <c r="J1080"/>
  <c r="I1080"/>
  <c r="H1080"/>
  <c r="K1077"/>
  <c r="J1077"/>
  <c r="I1077"/>
  <c r="H1077"/>
  <c r="K1075"/>
  <c r="J1075"/>
  <c r="I1075"/>
  <c r="H1075"/>
  <c r="K1072"/>
  <c r="K1071"/>
  <c r="J1072"/>
  <c r="J1071"/>
  <c r="I1072"/>
  <c r="I1071"/>
  <c r="H1072"/>
  <c r="H1071"/>
  <c r="K1068"/>
  <c r="K1067"/>
  <c r="J1068"/>
  <c r="J1067"/>
  <c r="I1068"/>
  <c r="I1067"/>
  <c r="H1068"/>
  <c r="H1067"/>
  <c r="K1065"/>
  <c r="K1064"/>
  <c r="J1065"/>
  <c r="J1064"/>
  <c r="I1065"/>
  <c r="I1064"/>
  <c r="H1065"/>
  <c r="H1064"/>
  <c r="G1105"/>
  <c r="G1104"/>
  <c r="G1103"/>
  <c r="G1102"/>
  <c r="G1101"/>
  <c r="G1099"/>
  <c r="G1098"/>
  <c r="G1096"/>
  <c r="G1095"/>
  <c r="G1093"/>
  <c r="G1092"/>
  <c r="G1090"/>
  <c r="G1088"/>
  <c r="G1085"/>
  <c r="G1084"/>
  <c r="G1082"/>
  <c r="G1080"/>
  <c r="G1077"/>
  <c r="G1075"/>
  <c r="G1072"/>
  <c r="G1071"/>
  <c r="G1068"/>
  <c r="G1067"/>
  <c r="G1065"/>
  <c r="G1064"/>
  <c r="K1053"/>
  <c r="J1053"/>
  <c r="J1052"/>
  <c r="J1051"/>
  <c r="I1053"/>
  <c r="I1052"/>
  <c r="I1051"/>
  <c r="H1053"/>
  <c r="H1052"/>
  <c r="H1051"/>
  <c r="K1049"/>
  <c r="K1048"/>
  <c r="J1049"/>
  <c r="J1048"/>
  <c r="J1047"/>
  <c r="J1046"/>
  <c r="I1049"/>
  <c r="H1049"/>
  <c r="H1048"/>
  <c r="G1053"/>
  <c r="G1052"/>
  <c r="G1051"/>
  <c r="G1049"/>
  <c r="G1048"/>
  <c r="G1047"/>
  <c r="G1046"/>
  <c r="K1044"/>
  <c r="K1043"/>
  <c r="J1044"/>
  <c r="J1043"/>
  <c r="J1042"/>
  <c r="I1044"/>
  <c r="I1043"/>
  <c r="I1042"/>
  <c r="H1044"/>
  <c r="H1043"/>
  <c r="H1042"/>
  <c r="K1040"/>
  <c r="K1039"/>
  <c r="K1038"/>
  <c r="J1040"/>
  <c r="J1039"/>
  <c r="J1038"/>
  <c r="I1040"/>
  <c r="I1039"/>
  <c r="H1040"/>
  <c r="H1039"/>
  <c r="H1038"/>
  <c r="K1036"/>
  <c r="K1035"/>
  <c r="J1036"/>
  <c r="J1035"/>
  <c r="J1034"/>
  <c r="I1036"/>
  <c r="I1035"/>
  <c r="I1034"/>
  <c r="H1036"/>
  <c r="H1035"/>
  <c r="H1034"/>
  <c r="G1044"/>
  <c r="G1043"/>
  <c r="G1042"/>
  <c r="G1040"/>
  <c r="G1039"/>
  <c r="G1038"/>
  <c r="G1036"/>
  <c r="G1035"/>
  <c r="G1034"/>
  <c r="K1030"/>
  <c r="K1029"/>
  <c r="J1030"/>
  <c r="J1029"/>
  <c r="J1028"/>
  <c r="J1027"/>
  <c r="I1030"/>
  <c r="I1029"/>
  <c r="I1028"/>
  <c r="I1027"/>
  <c r="H1030"/>
  <c r="H1029"/>
  <c r="H1028"/>
  <c r="H1027"/>
  <c r="K1022"/>
  <c r="K1021"/>
  <c r="J1022"/>
  <c r="J1021"/>
  <c r="I1022"/>
  <c r="I1021"/>
  <c r="H1022"/>
  <c r="H1021"/>
  <c r="K1019"/>
  <c r="J1019"/>
  <c r="I1019"/>
  <c r="H1019"/>
  <c r="K1016"/>
  <c r="J1016"/>
  <c r="I1016"/>
  <c r="H1016"/>
  <c r="K1014"/>
  <c r="J1014"/>
  <c r="I1014"/>
  <c r="H1014"/>
  <c r="K1008"/>
  <c r="J1008"/>
  <c r="I1008"/>
  <c r="H1008"/>
  <c r="K1006"/>
  <c r="J1006"/>
  <c r="I1006"/>
  <c r="H1006"/>
  <c r="K1004"/>
  <c r="J1004"/>
  <c r="I1004"/>
  <c r="H1004"/>
  <c r="K1001"/>
  <c r="J1001"/>
  <c r="I1001"/>
  <c r="H1001"/>
  <c r="K999"/>
  <c r="J999"/>
  <c r="I999"/>
  <c r="H999"/>
  <c r="G1030"/>
  <c r="G1029"/>
  <c r="G1028"/>
  <c r="G1027"/>
  <c r="G1022"/>
  <c r="G1021"/>
  <c r="G1019"/>
  <c r="G1016"/>
  <c r="G1014"/>
  <c r="G1010"/>
  <c r="G1008"/>
  <c r="G1006"/>
  <c r="G1004"/>
  <c r="G1001"/>
  <c r="G999"/>
  <c r="K994"/>
  <c r="J994"/>
  <c r="J993"/>
  <c r="I994"/>
  <c r="I993"/>
  <c r="H994"/>
  <c r="H993"/>
  <c r="K991"/>
  <c r="K990"/>
  <c r="J991"/>
  <c r="J990"/>
  <c r="I991"/>
  <c r="I990"/>
  <c r="H991"/>
  <c r="H990"/>
  <c r="G994"/>
  <c r="G993"/>
  <c r="G991"/>
  <c r="G990"/>
  <c r="K987"/>
  <c r="K986"/>
  <c r="J987"/>
  <c r="J986"/>
  <c r="I987"/>
  <c r="I986"/>
  <c r="H987"/>
  <c r="H986"/>
  <c r="K984"/>
  <c r="J984"/>
  <c r="I984"/>
  <c r="H984"/>
  <c r="K982"/>
  <c r="J982"/>
  <c r="I982"/>
  <c r="H982"/>
  <c r="K978"/>
  <c r="J978"/>
  <c r="I978"/>
  <c r="H978"/>
  <c r="K976"/>
  <c r="J976"/>
  <c r="I976"/>
  <c r="H976"/>
  <c r="K973"/>
  <c r="J973"/>
  <c r="J972"/>
  <c r="I973"/>
  <c r="I972"/>
  <c r="H973"/>
  <c r="H972"/>
  <c r="G987"/>
  <c r="G986"/>
  <c r="G984"/>
  <c r="G982"/>
  <c r="G978"/>
  <c r="G976"/>
  <c r="G973"/>
  <c r="G972"/>
  <c r="K965"/>
  <c r="K964"/>
  <c r="J965"/>
  <c r="J964"/>
  <c r="I965"/>
  <c r="I964"/>
  <c r="H965"/>
  <c r="H964"/>
  <c r="K962"/>
  <c r="J962"/>
  <c r="J961"/>
  <c r="I962"/>
  <c r="I961"/>
  <c r="H962"/>
  <c r="H961"/>
  <c r="K958"/>
  <c r="K957"/>
  <c r="J958"/>
  <c r="J957"/>
  <c r="I958"/>
  <c r="I957"/>
  <c r="H958"/>
  <c r="H957"/>
  <c r="G965"/>
  <c r="G964"/>
  <c r="G962"/>
  <c r="G961"/>
  <c r="G958"/>
  <c r="G957"/>
  <c r="K945"/>
  <c r="J945"/>
  <c r="J944"/>
  <c r="J943"/>
  <c r="J942"/>
  <c r="J941"/>
  <c r="I945"/>
  <c r="I944"/>
  <c r="I943"/>
  <c r="I942"/>
  <c r="I941"/>
  <c r="H945"/>
  <c r="H944"/>
  <c r="H943"/>
  <c r="H942"/>
  <c r="H941"/>
  <c r="G945"/>
  <c r="G944"/>
  <c r="G943"/>
  <c r="G942"/>
  <c r="G941"/>
  <c r="K938"/>
  <c r="J938"/>
  <c r="J937"/>
  <c r="J936"/>
  <c r="J935"/>
  <c r="J934"/>
  <c r="I938"/>
  <c r="I937"/>
  <c r="I936"/>
  <c r="I935"/>
  <c r="I934"/>
  <c r="H938"/>
  <c r="H937"/>
  <c r="H936"/>
  <c r="H935"/>
  <c r="H934"/>
  <c r="G938"/>
  <c r="G937"/>
  <c r="G936"/>
  <c r="G935"/>
  <c r="G934"/>
  <c r="K932"/>
  <c r="J932"/>
  <c r="J931"/>
  <c r="J930"/>
  <c r="J929"/>
  <c r="J928"/>
  <c r="I932"/>
  <c r="I931"/>
  <c r="I930"/>
  <c r="I929"/>
  <c r="I928"/>
  <c r="H932"/>
  <c r="H931"/>
  <c r="H930"/>
  <c r="H929"/>
  <c r="H928"/>
  <c r="G932"/>
  <c r="G931"/>
  <c r="G930"/>
  <c r="G929"/>
  <c r="G928"/>
  <c r="K922"/>
  <c r="J922"/>
  <c r="J921"/>
  <c r="I922"/>
  <c r="I921"/>
  <c r="H922"/>
  <c r="H921"/>
  <c r="K918"/>
  <c r="J918"/>
  <c r="J917"/>
  <c r="I918"/>
  <c r="I917"/>
  <c r="H918"/>
  <c r="H917"/>
  <c r="G922"/>
  <c r="G921"/>
  <c r="G918"/>
  <c r="G917"/>
  <c r="K903"/>
  <c r="J903"/>
  <c r="J902"/>
  <c r="J898"/>
  <c r="I903"/>
  <c r="I902"/>
  <c r="I898"/>
  <c r="H903"/>
  <c r="H902"/>
  <c r="K892"/>
  <c r="J892"/>
  <c r="J891"/>
  <c r="J890"/>
  <c r="I892"/>
  <c r="I891"/>
  <c r="I890"/>
  <c r="H892"/>
  <c r="H891"/>
  <c r="H890"/>
  <c r="K888"/>
  <c r="J888"/>
  <c r="J887"/>
  <c r="J886"/>
  <c r="I888"/>
  <c r="I887"/>
  <c r="I886"/>
  <c r="H888"/>
  <c r="H887"/>
  <c r="H886"/>
  <c r="K884"/>
  <c r="J884"/>
  <c r="J883"/>
  <c r="I884"/>
  <c r="I883"/>
  <c r="H884"/>
  <c r="H883"/>
  <c r="K881"/>
  <c r="J881"/>
  <c r="J880"/>
  <c r="I881"/>
  <c r="I880"/>
  <c r="H881"/>
  <c r="H880"/>
  <c r="G903"/>
  <c r="G902"/>
  <c r="G898"/>
  <c r="G892"/>
  <c r="G891"/>
  <c r="G890"/>
  <c r="G888"/>
  <c r="G887"/>
  <c r="G886"/>
  <c r="G884"/>
  <c r="G883"/>
  <c r="G881"/>
  <c r="G880"/>
  <c r="K862"/>
  <c r="K861"/>
  <c r="J862"/>
  <c r="J861"/>
  <c r="J860"/>
  <c r="I862"/>
  <c r="I861"/>
  <c r="I860"/>
  <c r="H862"/>
  <c r="H861"/>
  <c r="H860"/>
  <c r="K856"/>
  <c r="J856"/>
  <c r="J855"/>
  <c r="J854"/>
  <c r="I856"/>
  <c r="I855"/>
  <c r="I854"/>
  <c r="H855"/>
  <c r="H854"/>
  <c r="G862"/>
  <c r="G861"/>
  <c r="G860"/>
  <c r="G856"/>
  <c r="G855"/>
  <c r="G854"/>
  <c r="K794"/>
  <c r="J794"/>
  <c r="I794"/>
  <c r="H794"/>
  <c r="K790"/>
  <c r="H664" i="2"/>
  <c r="J790" i="1"/>
  <c r="G664" i="2"/>
  <c r="G663"/>
  <c r="G660"/>
  <c r="G635"/>
  <c r="I790" i="1"/>
  <c r="F664" i="2"/>
  <c r="F663"/>
  <c r="F660"/>
  <c r="F635"/>
  <c r="K788" i="1"/>
  <c r="J788"/>
  <c r="I788"/>
  <c r="H788"/>
  <c r="K785"/>
  <c r="J785"/>
  <c r="I785"/>
  <c r="H785"/>
  <c r="K783"/>
  <c r="J783"/>
  <c r="I783"/>
  <c r="H783"/>
  <c r="K781"/>
  <c r="J781"/>
  <c r="I781"/>
  <c r="H781"/>
  <c r="G794"/>
  <c r="G790"/>
  <c r="G788"/>
  <c r="G785"/>
  <c r="G783"/>
  <c r="G781"/>
  <c r="K770"/>
  <c r="K769"/>
  <c r="J770"/>
  <c r="J769"/>
  <c r="J768"/>
  <c r="I770"/>
  <c r="I769"/>
  <c r="I768"/>
  <c r="H770"/>
  <c r="H769"/>
  <c r="H768"/>
  <c r="K766"/>
  <c r="K765"/>
  <c r="J766"/>
  <c r="J765"/>
  <c r="I766"/>
  <c r="I765"/>
  <c r="H766"/>
  <c r="H765"/>
  <c r="K763"/>
  <c r="J763"/>
  <c r="I763"/>
  <c r="H763"/>
  <c r="K760"/>
  <c r="J760"/>
  <c r="I760"/>
  <c r="H760"/>
  <c r="K758"/>
  <c r="J758"/>
  <c r="I758"/>
  <c r="H758"/>
  <c r="K755"/>
  <c r="J755"/>
  <c r="J754"/>
  <c r="I755"/>
  <c r="I754"/>
  <c r="H755"/>
  <c r="H754"/>
  <c r="K751"/>
  <c r="J751"/>
  <c r="J750"/>
  <c r="I751"/>
  <c r="I750"/>
  <c r="H751"/>
  <c r="H750"/>
  <c r="K748"/>
  <c r="K747"/>
  <c r="J748"/>
  <c r="J747"/>
  <c r="I748"/>
  <c r="I747"/>
  <c r="H748"/>
  <c r="H747"/>
  <c r="K745"/>
  <c r="J745"/>
  <c r="J744"/>
  <c r="I745"/>
  <c r="I744"/>
  <c r="H745"/>
  <c r="H744"/>
  <c r="K742"/>
  <c r="K741"/>
  <c r="J742"/>
  <c r="J741"/>
  <c r="I742"/>
  <c r="I741"/>
  <c r="H742"/>
  <c r="H741"/>
  <c r="K739"/>
  <c r="K738"/>
  <c r="J739"/>
  <c r="J738"/>
  <c r="I739"/>
  <c r="I738"/>
  <c r="H739"/>
  <c r="H738"/>
  <c r="K735"/>
  <c r="J735"/>
  <c r="J734"/>
  <c r="I735"/>
  <c r="I734"/>
  <c r="H735"/>
  <c r="H734"/>
  <c r="K732"/>
  <c r="K731"/>
  <c r="J732"/>
  <c r="J731"/>
  <c r="I732"/>
  <c r="I731"/>
  <c r="H732"/>
  <c r="H731"/>
  <c r="G770"/>
  <c r="G769"/>
  <c r="G768"/>
  <c r="G766"/>
  <c r="G765"/>
  <c r="G763"/>
  <c r="G760"/>
  <c r="G758"/>
  <c r="G755"/>
  <c r="G754"/>
  <c r="G751"/>
  <c r="G750"/>
  <c r="G748"/>
  <c r="G747"/>
  <c r="G745"/>
  <c r="G744"/>
  <c r="G742"/>
  <c r="G741"/>
  <c r="G739"/>
  <c r="G738"/>
  <c r="G735"/>
  <c r="G734"/>
  <c r="G732"/>
  <c r="G731"/>
  <c r="K724"/>
  <c r="K723"/>
  <c r="J724"/>
  <c r="J723"/>
  <c r="J722"/>
  <c r="J721"/>
  <c r="I724"/>
  <c r="I723"/>
  <c r="I722"/>
  <c r="I721"/>
  <c r="H724"/>
  <c r="H723"/>
  <c r="H722"/>
  <c r="H721"/>
  <c r="G724"/>
  <c r="G723"/>
  <c r="G722"/>
  <c r="G721"/>
  <c r="K715"/>
  <c r="K714"/>
  <c r="J715"/>
  <c r="J714"/>
  <c r="I715"/>
  <c r="I714"/>
  <c r="H715"/>
  <c r="H714"/>
  <c r="K712"/>
  <c r="J712"/>
  <c r="J711"/>
  <c r="I712"/>
  <c r="I711"/>
  <c r="H712"/>
  <c r="H711"/>
  <c r="K709"/>
  <c r="K708"/>
  <c r="J709"/>
  <c r="J708"/>
  <c r="I709"/>
  <c r="I708"/>
  <c r="H709"/>
  <c r="H708"/>
  <c r="G715"/>
  <c r="G714"/>
  <c r="G712"/>
  <c r="G711"/>
  <c r="G709"/>
  <c r="G708"/>
  <c r="K702"/>
  <c r="J702"/>
  <c r="J701"/>
  <c r="I702"/>
  <c r="I701"/>
  <c r="H702"/>
  <c r="H701"/>
  <c r="K699"/>
  <c r="J699"/>
  <c r="J698"/>
  <c r="I699"/>
  <c r="I698"/>
  <c r="H699"/>
  <c r="H698"/>
  <c r="K696"/>
  <c r="J696"/>
  <c r="J695"/>
  <c r="I696"/>
  <c r="I695"/>
  <c r="H696"/>
  <c r="H695"/>
  <c r="G702"/>
  <c r="G701"/>
  <c r="G699"/>
  <c r="G698"/>
  <c r="G696"/>
  <c r="G695"/>
  <c r="K677"/>
  <c r="J677"/>
  <c r="I677"/>
  <c r="H677"/>
  <c r="K675"/>
  <c r="J675"/>
  <c r="I675"/>
  <c r="H675"/>
  <c r="K671"/>
  <c r="J671"/>
  <c r="J670"/>
  <c r="J669"/>
  <c r="J668"/>
  <c r="I671"/>
  <c r="I670"/>
  <c r="I669"/>
  <c r="I668"/>
  <c r="H671"/>
  <c r="H670"/>
  <c r="H669"/>
  <c r="H668"/>
  <c r="G677"/>
  <c r="G675"/>
  <c r="G671"/>
  <c r="G670"/>
  <c r="G669"/>
  <c r="G668"/>
  <c r="K661"/>
  <c r="J661"/>
  <c r="J660"/>
  <c r="I661"/>
  <c r="I660"/>
  <c r="H661"/>
  <c r="H660"/>
  <c r="G661"/>
  <c r="G660"/>
  <c r="K658"/>
  <c r="J658"/>
  <c r="I658"/>
  <c r="H658"/>
  <c r="K656"/>
  <c r="J656"/>
  <c r="I656"/>
  <c r="H656"/>
  <c r="K654"/>
  <c r="J654"/>
  <c r="I654"/>
  <c r="H654"/>
  <c r="K652"/>
  <c r="J652"/>
  <c r="I652"/>
  <c r="H652"/>
  <c r="G658"/>
  <c r="G656"/>
  <c r="G654"/>
  <c r="G652"/>
  <c r="K648"/>
  <c r="J648"/>
  <c r="I648"/>
  <c r="H648"/>
  <c r="K646"/>
  <c r="J646"/>
  <c r="I646"/>
  <c r="H646"/>
  <c r="K644"/>
  <c r="J644"/>
  <c r="I644"/>
  <c r="H644"/>
  <c r="K642"/>
  <c r="J642"/>
  <c r="I642"/>
  <c r="H642"/>
  <c r="K639"/>
  <c r="J639"/>
  <c r="I639"/>
  <c r="H639"/>
  <c r="K637"/>
  <c r="J637"/>
  <c r="I637"/>
  <c r="H637"/>
  <c r="G648"/>
  <c r="G646"/>
  <c r="G644"/>
  <c r="G642"/>
  <c r="G639"/>
  <c r="G637"/>
  <c r="K633"/>
  <c r="K632"/>
  <c r="J633"/>
  <c r="J632"/>
  <c r="I633"/>
  <c r="I632"/>
  <c r="H633"/>
  <c r="H632"/>
  <c r="K630"/>
  <c r="J630"/>
  <c r="J629"/>
  <c r="I630"/>
  <c r="I629"/>
  <c r="H630"/>
  <c r="H629"/>
  <c r="K627"/>
  <c r="J627"/>
  <c r="J626"/>
  <c r="I627"/>
  <c r="I626"/>
  <c r="H627"/>
  <c r="H626"/>
  <c r="G633"/>
  <c r="G632"/>
  <c r="G630"/>
  <c r="G629"/>
  <c r="G627"/>
  <c r="G626"/>
  <c r="K622"/>
  <c r="J622"/>
  <c r="I622"/>
  <c r="H622"/>
  <c r="K620"/>
  <c r="J620"/>
  <c r="I620"/>
  <c r="H620"/>
  <c r="G622"/>
  <c r="G620"/>
  <c r="K616"/>
  <c r="J616"/>
  <c r="I616"/>
  <c r="H616"/>
  <c r="K613"/>
  <c r="J613"/>
  <c r="I613"/>
  <c r="H613"/>
  <c r="K611"/>
  <c r="K610"/>
  <c r="J611"/>
  <c r="I611"/>
  <c r="H611"/>
  <c r="G616"/>
  <c r="G613"/>
  <c r="G611"/>
  <c r="K604"/>
  <c r="J604"/>
  <c r="J603"/>
  <c r="I604"/>
  <c r="I603"/>
  <c r="H604"/>
  <c r="H603"/>
  <c r="K601"/>
  <c r="J601"/>
  <c r="J600"/>
  <c r="I601"/>
  <c r="I600"/>
  <c r="H601"/>
  <c r="H600"/>
  <c r="G604"/>
  <c r="G603"/>
  <c r="G601"/>
  <c r="G600"/>
  <c r="K597"/>
  <c r="J597"/>
  <c r="J596"/>
  <c r="I597"/>
  <c r="I596"/>
  <c r="H597"/>
  <c r="H596"/>
  <c r="K594"/>
  <c r="J594"/>
  <c r="J593"/>
  <c r="I594"/>
  <c r="I593"/>
  <c r="H594"/>
  <c r="H593"/>
  <c r="G597"/>
  <c r="G596"/>
  <c r="G594"/>
  <c r="G593"/>
  <c r="K590"/>
  <c r="K589"/>
  <c r="J590"/>
  <c r="J589"/>
  <c r="I590"/>
  <c r="I589"/>
  <c r="H590"/>
  <c r="H589"/>
  <c r="K587"/>
  <c r="J587"/>
  <c r="J586"/>
  <c r="J582"/>
  <c r="I587"/>
  <c r="I586"/>
  <c r="H587"/>
  <c r="H586"/>
  <c r="I584"/>
  <c r="I583"/>
  <c r="H584"/>
  <c r="H583"/>
  <c r="G590"/>
  <c r="G589"/>
  <c r="G587"/>
  <c r="G586"/>
  <c r="G584"/>
  <c r="G583"/>
  <c r="K578"/>
  <c r="K577"/>
  <c r="J578"/>
  <c r="J577"/>
  <c r="J576"/>
  <c r="J575"/>
  <c r="J574"/>
  <c r="I578"/>
  <c r="I577"/>
  <c r="I576"/>
  <c r="I575"/>
  <c r="I574"/>
  <c r="H578"/>
  <c r="H577"/>
  <c r="H576"/>
  <c r="H575"/>
  <c r="H574"/>
  <c r="G578"/>
  <c r="G577"/>
  <c r="G576"/>
  <c r="G575"/>
  <c r="G574"/>
  <c r="K571"/>
  <c r="K570"/>
  <c r="J571"/>
  <c r="J570"/>
  <c r="J569"/>
  <c r="J568"/>
  <c r="J567"/>
  <c r="I571"/>
  <c r="I570"/>
  <c r="I569"/>
  <c r="I568"/>
  <c r="I567"/>
  <c r="H571"/>
  <c r="H570"/>
  <c r="H569"/>
  <c r="H568"/>
  <c r="H567"/>
  <c r="G571"/>
  <c r="G570"/>
  <c r="G569"/>
  <c r="G568"/>
  <c r="G567"/>
  <c r="K565"/>
  <c r="J565"/>
  <c r="J564"/>
  <c r="I565"/>
  <c r="I564"/>
  <c r="H565"/>
  <c r="H564"/>
  <c r="K562"/>
  <c r="J562"/>
  <c r="J561"/>
  <c r="I562"/>
  <c r="I561"/>
  <c r="H562"/>
  <c r="H561"/>
  <c r="G565"/>
  <c r="G564"/>
  <c r="G562"/>
  <c r="G561"/>
  <c r="K546"/>
  <c r="J546"/>
  <c r="I546"/>
  <c r="H546"/>
  <c r="K544"/>
  <c r="J544"/>
  <c r="I544"/>
  <c r="H544"/>
  <c r="G546"/>
  <c r="G544"/>
  <c r="K538"/>
  <c r="J538"/>
  <c r="I538"/>
  <c r="H538"/>
  <c r="K536"/>
  <c r="J536"/>
  <c r="I536"/>
  <c r="H536"/>
  <c r="K532"/>
  <c r="K531"/>
  <c r="J532"/>
  <c r="J531"/>
  <c r="J530"/>
  <c r="I532"/>
  <c r="H532"/>
  <c r="H531"/>
  <c r="H530"/>
  <c r="K528"/>
  <c r="K527"/>
  <c r="K526"/>
  <c r="J528"/>
  <c r="J527"/>
  <c r="J526"/>
  <c r="I528"/>
  <c r="I527"/>
  <c r="H528"/>
  <c r="H527"/>
  <c r="G538"/>
  <c r="G536"/>
  <c r="G532"/>
  <c r="G531"/>
  <c r="G530"/>
  <c r="G528"/>
  <c r="G527"/>
  <c r="G526"/>
  <c r="K510"/>
  <c r="J510"/>
  <c r="J509"/>
  <c r="J508"/>
  <c r="J507"/>
  <c r="I510"/>
  <c r="I509"/>
  <c r="I508"/>
  <c r="I507"/>
  <c r="H510"/>
  <c r="H509"/>
  <c r="K505"/>
  <c r="J505"/>
  <c r="J504"/>
  <c r="J503"/>
  <c r="I505"/>
  <c r="I504"/>
  <c r="I503"/>
  <c r="H505"/>
  <c r="H504"/>
  <c r="H503"/>
  <c r="K501"/>
  <c r="K500"/>
  <c r="J501"/>
  <c r="J500"/>
  <c r="I501"/>
  <c r="I500"/>
  <c r="H501"/>
  <c r="H500"/>
  <c r="K497"/>
  <c r="J497"/>
  <c r="J496"/>
  <c r="I497"/>
  <c r="I496"/>
  <c r="H497"/>
  <c r="H496"/>
  <c r="K494"/>
  <c r="K493"/>
  <c r="J494"/>
  <c r="J493"/>
  <c r="I494"/>
  <c r="I493"/>
  <c r="H494"/>
  <c r="H493"/>
  <c r="G510"/>
  <c r="G509"/>
  <c r="G508"/>
  <c r="G507"/>
  <c r="G505"/>
  <c r="G504"/>
  <c r="G503"/>
  <c r="G501"/>
  <c r="G500"/>
  <c r="G497"/>
  <c r="G496"/>
  <c r="G494"/>
  <c r="G493"/>
  <c r="K486"/>
  <c r="K485"/>
  <c r="K484"/>
  <c r="J486"/>
  <c r="J485"/>
  <c r="J484"/>
  <c r="I486"/>
  <c r="H486"/>
  <c r="H485"/>
  <c r="K482"/>
  <c r="K481"/>
  <c r="J482"/>
  <c r="J481"/>
  <c r="J480"/>
  <c r="J479"/>
  <c r="I482"/>
  <c r="I481"/>
  <c r="I480"/>
  <c r="I479"/>
  <c r="H482"/>
  <c r="K476"/>
  <c r="K475"/>
  <c r="K474"/>
  <c r="J476"/>
  <c r="J475"/>
  <c r="J474"/>
  <c r="I476"/>
  <c r="I475"/>
  <c r="H476"/>
  <c r="H475"/>
  <c r="K472"/>
  <c r="K471"/>
  <c r="J472"/>
  <c r="J471"/>
  <c r="J470"/>
  <c r="J469"/>
  <c r="I472"/>
  <c r="I471"/>
  <c r="I470"/>
  <c r="I469"/>
  <c r="H472"/>
  <c r="H471"/>
  <c r="H470"/>
  <c r="H469"/>
  <c r="G486"/>
  <c r="G485"/>
  <c r="G484"/>
  <c r="G482"/>
  <c r="G481"/>
  <c r="G480"/>
  <c r="G479"/>
  <c r="G476"/>
  <c r="G475"/>
  <c r="G474"/>
  <c r="G472"/>
  <c r="G471"/>
  <c r="G470"/>
  <c r="G469"/>
  <c r="K437"/>
  <c r="K436"/>
  <c r="J437"/>
  <c r="J436"/>
  <c r="J435"/>
  <c r="J434"/>
  <c r="I437"/>
  <c r="I436"/>
  <c r="I435"/>
  <c r="I434"/>
  <c r="H437"/>
  <c r="H436"/>
  <c r="H435"/>
  <c r="H434"/>
  <c r="K459"/>
  <c r="J459"/>
  <c r="I459"/>
  <c r="H459"/>
  <c r="G459"/>
  <c r="K457"/>
  <c r="J457"/>
  <c r="I457"/>
  <c r="H457"/>
  <c r="K455"/>
  <c r="J455"/>
  <c r="I455"/>
  <c r="H455"/>
  <c r="G457"/>
  <c r="G455"/>
  <c r="K452"/>
  <c r="J452"/>
  <c r="J451"/>
  <c r="I452"/>
  <c r="I451"/>
  <c r="H452"/>
  <c r="H451"/>
  <c r="G452"/>
  <c r="G451"/>
  <c r="K448"/>
  <c r="K447"/>
  <c r="J448"/>
  <c r="J447"/>
  <c r="I448"/>
  <c r="I447"/>
  <c r="H448"/>
  <c r="H447"/>
  <c r="K445"/>
  <c r="J445"/>
  <c r="J444"/>
  <c r="I445"/>
  <c r="I444"/>
  <c r="H445"/>
  <c r="H444"/>
  <c r="K442"/>
  <c r="K441"/>
  <c r="J442"/>
  <c r="J441"/>
  <c r="I442"/>
  <c r="I441"/>
  <c r="H442"/>
  <c r="H441"/>
  <c r="G448"/>
  <c r="G447"/>
  <c r="G445"/>
  <c r="G444"/>
  <c r="G442"/>
  <c r="G441"/>
  <c r="G437"/>
  <c r="G436"/>
  <c r="G435"/>
  <c r="G434"/>
  <c r="K429"/>
  <c r="J429"/>
  <c r="I429"/>
  <c r="H429"/>
  <c r="K427"/>
  <c r="J427"/>
  <c r="I427"/>
  <c r="H427"/>
  <c r="K423"/>
  <c r="J423"/>
  <c r="I423"/>
  <c r="H423"/>
  <c r="K421"/>
  <c r="J421"/>
  <c r="I421"/>
  <c r="H421"/>
  <c r="K419"/>
  <c r="J419"/>
  <c r="I419"/>
  <c r="H419"/>
  <c r="G429"/>
  <c r="G427"/>
  <c r="G423"/>
  <c r="G421"/>
  <c r="G419"/>
  <c r="K415"/>
  <c r="K414"/>
  <c r="J415"/>
  <c r="J414"/>
  <c r="I415"/>
  <c r="I414"/>
  <c r="H415"/>
  <c r="H414"/>
  <c r="K412"/>
  <c r="K411"/>
  <c r="J412"/>
  <c r="J411"/>
  <c r="I412"/>
  <c r="I411"/>
  <c r="H412"/>
  <c r="H411"/>
  <c r="K409"/>
  <c r="J409"/>
  <c r="J408"/>
  <c r="I409"/>
  <c r="I408"/>
  <c r="H409"/>
  <c r="H408"/>
  <c r="K406"/>
  <c r="J406"/>
  <c r="J405"/>
  <c r="I406"/>
  <c r="I405"/>
  <c r="H406"/>
  <c r="H405"/>
  <c r="G415"/>
  <c r="G414"/>
  <c r="G412"/>
  <c r="G411"/>
  <c r="G409"/>
  <c r="G408"/>
  <c r="G406"/>
  <c r="G405"/>
  <c r="K402"/>
  <c r="J402"/>
  <c r="J401"/>
  <c r="I402"/>
  <c r="I401"/>
  <c r="H402"/>
  <c r="H401"/>
  <c r="K399"/>
  <c r="J399"/>
  <c r="J398"/>
  <c r="I399"/>
  <c r="I398"/>
  <c r="H399"/>
  <c r="H398"/>
  <c r="G402"/>
  <c r="G401"/>
  <c r="G399"/>
  <c r="G398"/>
  <c r="K395"/>
  <c r="K394"/>
  <c r="J395"/>
  <c r="J394"/>
  <c r="I395"/>
  <c r="H395"/>
  <c r="H394"/>
  <c r="K392"/>
  <c r="K391"/>
  <c r="J392"/>
  <c r="J391"/>
  <c r="I392"/>
  <c r="I391"/>
  <c r="H392"/>
  <c r="H391"/>
  <c r="K389"/>
  <c r="J389"/>
  <c r="I389"/>
  <c r="H389"/>
  <c r="K387"/>
  <c r="J387"/>
  <c r="I387"/>
  <c r="H387"/>
  <c r="G395"/>
  <c r="G394"/>
  <c r="G392"/>
  <c r="G391"/>
  <c r="G389"/>
  <c r="G387"/>
  <c r="K381"/>
  <c r="K380"/>
  <c r="J381"/>
  <c r="J380"/>
  <c r="I381"/>
  <c r="H381"/>
  <c r="H380"/>
  <c r="K378"/>
  <c r="K377"/>
  <c r="J378"/>
  <c r="J377"/>
  <c r="I378"/>
  <c r="I377"/>
  <c r="H378"/>
  <c r="H377"/>
  <c r="K375"/>
  <c r="J375"/>
  <c r="J374"/>
  <c r="I375"/>
  <c r="I374"/>
  <c r="H375"/>
  <c r="H374"/>
  <c r="G381"/>
  <c r="G380"/>
  <c r="G378"/>
  <c r="G377"/>
  <c r="G375"/>
  <c r="G374"/>
  <c r="K368"/>
  <c r="J368"/>
  <c r="I368"/>
  <c r="H368"/>
  <c r="K366"/>
  <c r="J366"/>
  <c r="I366"/>
  <c r="H366"/>
  <c r="K364"/>
  <c r="J364"/>
  <c r="I364"/>
  <c r="H364"/>
  <c r="K362"/>
  <c r="J362"/>
  <c r="I362"/>
  <c r="H362"/>
  <c r="G368"/>
  <c r="G366"/>
  <c r="G364"/>
  <c r="G362"/>
  <c r="K327"/>
  <c r="K326"/>
  <c r="J327"/>
  <c r="J326"/>
  <c r="I327"/>
  <c r="I326"/>
  <c r="H327"/>
  <c r="H326"/>
  <c r="K324"/>
  <c r="K323"/>
  <c r="J324"/>
  <c r="J323"/>
  <c r="I324"/>
  <c r="I323"/>
  <c r="H324"/>
  <c r="H323"/>
  <c r="K321"/>
  <c r="J321"/>
  <c r="J320"/>
  <c r="I321"/>
  <c r="I320"/>
  <c r="H321"/>
  <c r="H320"/>
  <c r="K318"/>
  <c r="K317"/>
  <c r="J318"/>
  <c r="J317"/>
  <c r="I318"/>
  <c r="I317"/>
  <c r="H318"/>
  <c r="H317"/>
  <c r="K315"/>
  <c r="K314"/>
  <c r="J315"/>
  <c r="J314"/>
  <c r="I315"/>
  <c r="I314"/>
  <c r="H315"/>
  <c r="H314"/>
  <c r="K308"/>
  <c r="J308"/>
  <c r="J307"/>
  <c r="I308"/>
  <c r="I307"/>
  <c r="H308"/>
  <c r="H307"/>
  <c r="K305"/>
  <c r="K304"/>
  <c r="J305"/>
  <c r="J304"/>
  <c r="I305"/>
  <c r="I304"/>
  <c r="H305"/>
  <c r="H304"/>
  <c r="K302"/>
  <c r="J302"/>
  <c r="J301"/>
  <c r="I302"/>
  <c r="I301"/>
  <c r="H302"/>
  <c r="H301"/>
  <c r="G327"/>
  <c r="G326"/>
  <c r="G324"/>
  <c r="G323"/>
  <c r="G321"/>
  <c r="G320"/>
  <c r="G318"/>
  <c r="G317"/>
  <c r="G315"/>
  <c r="G314"/>
  <c r="G308"/>
  <c r="G307"/>
  <c r="G305"/>
  <c r="G304"/>
  <c r="G302"/>
  <c r="G301"/>
  <c r="K271"/>
  <c r="J271"/>
  <c r="I271"/>
  <c r="H271"/>
  <c r="G271"/>
  <c r="K296"/>
  <c r="K295"/>
  <c r="J296"/>
  <c r="J295"/>
  <c r="J294"/>
  <c r="I296"/>
  <c r="H296"/>
  <c r="H295"/>
  <c r="H294"/>
  <c r="K292"/>
  <c r="J292"/>
  <c r="J291"/>
  <c r="I292"/>
  <c r="I291"/>
  <c r="H292"/>
  <c r="H291"/>
  <c r="K289"/>
  <c r="K288"/>
  <c r="J289"/>
  <c r="J288"/>
  <c r="I289"/>
  <c r="I288"/>
  <c r="H289"/>
  <c r="H288"/>
  <c r="K286"/>
  <c r="K285"/>
  <c r="J286"/>
  <c r="J285"/>
  <c r="I286"/>
  <c r="I285"/>
  <c r="H286"/>
  <c r="H285"/>
  <c r="K283"/>
  <c r="J283"/>
  <c r="J282"/>
  <c r="I283"/>
  <c r="I282"/>
  <c r="H283"/>
  <c r="H282"/>
  <c r="K280"/>
  <c r="J280"/>
  <c r="J279"/>
  <c r="I280"/>
  <c r="I279"/>
  <c r="H280"/>
  <c r="H279"/>
  <c r="K277"/>
  <c r="K276"/>
  <c r="J277"/>
  <c r="J276"/>
  <c r="I277"/>
  <c r="H277"/>
  <c r="K273"/>
  <c r="K270"/>
  <c r="K269"/>
  <c r="J273"/>
  <c r="J270"/>
  <c r="J269"/>
  <c r="I273"/>
  <c r="I270"/>
  <c r="I269"/>
  <c r="H273"/>
  <c r="H270"/>
  <c r="K266"/>
  <c r="K265"/>
  <c r="J266"/>
  <c r="J265"/>
  <c r="I266"/>
  <c r="I265"/>
  <c r="H266"/>
  <c r="H265"/>
  <c r="K263"/>
  <c r="K262"/>
  <c r="J263"/>
  <c r="J262"/>
  <c r="I263"/>
  <c r="I262"/>
  <c r="H263"/>
  <c r="H262"/>
  <c r="K260"/>
  <c r="K259"/>
  <c r="J260"/>
  <c r="J259"/>
  <c r="I260"/>
  <c r="I259"/>
  <c r="H260"/>
  <c r="H259"/>
  <c r="G296"/>
  <c r="G295"/>
  <c r="G294"/>
  <c r="G292"/>
  <c r="G291"/>
  <c r="G289"/>
  <c r="G288"/>
  <c r="G286"/>
  <c r="G285"/>
  <c r="G283"/>
  <c r="G282"/>
  <c r="G280"/>
  <c r="G279"/>
  <c r="G277"/>
  <c r="G276"/>
  <c r="G273"/>
  <c r="G270"/>
  <c r="G269"/>
  <c r="G266"/>
  <c r="G265"/>
  <c r="G263"/>
  <c r="G262"/>
  <c r="G260"/>
  <c r="G259"/>
  <c r="K353"/>
  <c r="J353"/>
  <c r="J352"/>
  <c r="J351"/>
  <c r="J350"/>
  <c r="J349"/>
  <c r="J348"/>
  <c r="I353"/>
  <c r="I352"/>
  <c r="I351"/>
  <c r="I350"/>
  <c r="I349"/>
  <c r="I348"/>
  <c r="H353"/>
  <c r="H352"/>
  <c r="H351"/>
  <c r="H350"/>
  <c r="H349"/>
  <c r="H348"/>
  <c r="G353"/>
  <c r="G352"/>
  <c r="G351"/>
  <c r="G350"/>
  <c r="G349"/>
  <c r="G348"/>
  <c r="K252"/>
  <c r="J252"/>
  <c r="I252"/>
  <c r="H252"/>
  <c r="K250"/>
  <c r="J250"/>
  <c r="I250"/>
  <c r="H250"/>
  <c r="K248"/>
  <c r="J248"/>
  <c r="I248"/>
  <c r="H248"/>
  <c r="K243"/>
  <c r="J243"/>
  <c r="J242"/>
  <c r="J241"/>
  <c r="J240"/>
  <c r="I243"/>
  <c r="I242"/>
  <c r="I241"/>
  <c r="I240"/>
  <c r="H243"/>
  <c r="H242"/>
  <c r="H241"/>
  <c r="H240"/>
  <c r="G252"/>
  <c r="G250"/>
  <c r="G248"/>
  <c r="G243"/>
  <c r="G242"/>
  <c r="G241"/>
  <c r="G240"/>
  <c r="K233"/>
  <c r="K232"/>
  <c r="J233"/>
  <c r="J232"/>
  <c r="J231"/>
  <c r="I233"/>
  <c r="I232"/>
  <c r="I231"/>
  <c r="H233"/>
  <c r="H232"/>
  <c r="H231"/>
  <c r="K229"/>
  <c r="J229"/>
  <c r="I229"/>
  <c r="H229"/>
  <c r="K227"/>
  <c r="J227"/>
  <c r="I227"/>
  <c r="H227"/>
  <c r="K225"/>
  <c r="J225"/>
  <c r="I225"/>
  <c r="H225"/>
  <c r="K223"/>
  <c r="J223"/>
  <c r="I223"/>
  <c r="H223"/>
  <c r="K219"/>
  <c r="J219"/>
  <c r="J218"/>
  <c r="J217"/>
  <c r="I219"/>
  <c r="I218"/>
  <c r="I217"/>
  <c r="H219"/>
  <c r="H218"/>
  <c r="H217"/>
  <c r="G233"/>
  <c r="G232"/>
  <c r="G231"/>
  <c r="G229"/>
  <c r="G227"/>
  <c r="G225"/>
  <c r="G223"/>
  <c r="G219"/>
  <c r="G218"/>
  <c r="G217"/>
  <c r="K211"/>
  <c r="J211"/>
  <c r="J210"/>
  <c r="J209"/>
  <c r="J208"/>
  <c r="J207"/>
  <c r="J206"/>
  <c r="I211"/>
  <c r="I210"/>
  <c r="I209"/>
  <c r="I208"/>
  <c r="I207"/>
  <c r="I206"/>
  <c r="H211"/>
  <c r="H210"/>
  <c r="H209"/>
  <c r="H208"/>
  <c r="H207"/>
  <c r="H206"/>
  <c r="G211"/>
  <c r="G210"/>
  <c r="G209"/>
  <c r="G208"/>
  <c r="G207"/>
  <c r="G206"/>
  <c r="K202"/>
  <c r="K201"/>
  <c r="J202"/>
  <c r="J201"/>
  <c r="I202"/>
  <c r="H202"/>
  <c r="H201"/>
  <c r="K199"/>
  <c r="K198"/>
  <c r="J199"/>
  <c r="J198"/>
  <c r="I199"/>
  <c r="I198"/>
  <c r="H199"/>
  <c r="H198"/>
  <c r="G202"/>
  <c r="G201"/>
  <c r="G199"/>
  <c r="G198"/>
  <c r="K191"/>
  <c r="J191"/>
  <c r="J190"/>
  <c r="J189"/>
  <c r="J188"/>
  <c r="J187"/>
  <c r="J186"/>
  <c r="I191"/>
  <c r="I190"/>
  <c r="I189"/>
  <c r="I188"/>
  <c r="I187"/>
  <c r="I186"/>
  <c r="H191"/>
  <c r="H190"/>
  <c r="H189"/>
  <c r="H188"/>
  <c r="H187"/>
  <c r="H186"/>
  <c r="G191"/>
  <c r="G190"/>
  <c r="G189"/>
  <c r="G188"/>
  <c r="G187"/>
  <c r="G186"/>
  <c r="K183"/>
  <c r="J183"/>
  <c r="J182"/>
  <c r="J181"/>
  <c r="I183"/>
  <c r="I182"/>
  <c r="I181"/>
  <c r="H183"/>
  <c r="H182"/>
  <c r="H181"/>
  <c r="K179"/>
  <c r="K178"/>
  <c r="J179"/>
  <c r="J178"/>
  <c r="I179"/>
  <c r="I178"/>
  <c r="H179"/>
  <c r="H178"/>
  <c r="K176"/>
  <c r="J176"/>
  <c r="J175"/>
  <c r="J174"/>
  <c r="I176"/>
  <c r="I175"/>
  <c r="I174"/>
  <c r="H176"/>
  <c r="H175"/>
  <c r="H174"/>
  <c r="G183"/>
  <c r="G182"/>
  <c r="G181"/>
  <c r="G179"/>
  <c r="G178"/>
  <c r="G176"/>
  <c r="G175"/>
  <c r="G174"/>
  <c r="K162"/>
  <c r="J162"/>
  <c r="I162"/>
  <c r="H162"/>
  <c r="K160"/>
  <c r="J160"/>
  <c r="I160"/>
  <c r="H160"/>
  <c r="K157"/>
  <c r="K156"/>
  <c r="J157"/>
  <c r="J156"/>
  <c r="I157"/>
  <c r="I156"/>
  <c r="H157"/>
  <c r="H156"/>
  <c r="G162"/>
  <c r="G160"/>
  <c r="G157"/>
  <c r="G156"/>
  <c r="K145"/>
  <c r="K144"/>
  <c r="J145"/>
  <c r="J144"/>
  <c r="J143"/>
  <c r="J142"/>
  <c r="J141"/>
  <c r="I145"/>
  <c r="I144"/>
  <c r="I143"/>
  <c r="I142"/>
  <c r="I141"/>
  <c r="H145"/>
  <c r="H144"/>
  <c r="H143"/>
  <c r="H142"/>
  <c r="H141"/>
  <c r="G145"/>
  <c r="G144"/>
  <c r="G143"/>
  <c r="G142"/>
  <c r="G141"/>
  <c r="K116"/>
  <c r="K115"/>
  <c r="J116"/>
  <c r="J115"/>
  <c r="I116"/>
  <c r="H116"/>
  <c r="H115"/>
  <c r="G116"/>
  <c r="G115"/>
  <c r="K139"/>
  <c r="K138"/>
  <c r="J139"/>
  <c r="J138"/>
  <c r="I139"/>
  <c r="I138"/>
  <c r="H139"/>
  <c r="H138"/>
  <c r="K136"/>
  <c r="K135"/>
  <c r="J136"/>
  <c r="J135"/>
  <c r="I136"/>
  <c r="I135"/>
  <c r="H136"/>
  <c r="H135"/>
  <c r="K129"/>
  <c r="K128"/>
  <c r="J129"/>
  <c r="J128"/>
  <c r="J127"/>
  <c r="I129"/>
  <c r="I128"/>
  <c r="I127"/>
  <c r="H129"/>
  <c r="H128"/>
  <c r="H127"/>
  <c r="K125"/>
  <c r="K124"/>
  <c r="J125"/>
  <c r="J124"/>
  <c r="I125"/>
  <c r="I124"/>
  <c r="H125"/>
  <c r="H124"/>
  <c r="K122"/>
  <c r="J122"/>
  <c r="J121"/>
  <c r="I122"/>
  <c r="I121"/>
  <c r="H122"/>
  <c r="H121"/>
  <c r="G139"/>
  <c r="G138"/>
  <c r="G136"/>
  <c r="G135"/>
  <c r="G129"/>
  <c r="G128"/>
  <c r="G127"/>
  <c r="G125"/>
  <c r="G124"/>
  <c r="G122"/>
  <c r="G121"/>
  <c r="K113"/>
  <c r="K112"/>
  <c r="J113"/>
  <c r="J112"/>
  <c r="I113"/>
  <c r="I112"/>
  <c r="H113"/>
  <c r="H112"/>
  <c r="G113"/>
  <c r="G112"/>
  <c r="K105"/>
  <c r="J105"/>
  <c r="J104"/>
  <c r="I105"/>
  <c r="I104"/>
  <c r="H105"/>
  <c r="H104"/>
  <c r="K102"/>
  <c r="K101"/>
  <c r="J102"/>
  <c r="J101"/>
  <c r="I102"/>
  <c r="I101"/>
  <c r="H102"/>
  <c r="H101"/>
  <c r="G105"/>
  <c r="G104"/>
  <c r="G102"/>
  <c r="G101"/>
  <c r="K96"/>
  <c r="K95"/>
  <c r="J96"/>
  <c r="J95"/>
  <c r="I96"/>
  <c r="I95"/>
  <c r="H96"/>
  <c r="H95"/>
  <c r="G96"/>
  <c r="G95"/>
  <c r="K93"/>
  <c r="J93"/>
  <c r="J92"/>
  <c r="I93"/>
  <c r="I92"/>
  <c r="H93"/>
  <c r="H92"/>
  <c r="G93"/>
  <c r="G92"/>
  <c r="K88"/>
  <c r="J88"/>
  <c r="J87"/>
  <c r="J86"/>
  <c r="I88"/>
  <c r="I87"/>
  <c r="I86"/>
  <c r="H88"/>
  <c r="H87"/>
  <c r="H86"/>
  <c r="K84"/>
  <c r="J84"/>
  <c r="J83"/>
  <c r="I84"/>
  <c r="I83"/>
  <c r="H84"/>
  <c r="H83"/>
  <c r="K81"/>
  <c r="J81"/>
  <c r="J80"/>
  <c r="I81"/>
  <c r="I80"/>
  <c r="H81"/>
  <c r="H80"/>
  <c r="G88"/>
  <c r="G87"/>
  <c r="G86"/>
  <c r="G84"/>
  <c r="G83"/>
  <c r="G81"/>
  <c r="G80"/>
  <c r="K73"/>
  <c r="J73"/>
  <c r="J72"/>
  <c r="I73"/>
  <c r="I72"/>
  <c r="H73"/>
  <c r="H72"/>
  <c r="K70"/>
  <c r="K69"/>
  <c r="J70"/>
  <c r="J69"/>
  <c r="I70"/>
  <c r="I69"/>
  <c r="H70"/>
  <c r="H69"/>
  <c r="G73"/>
  <c r="G72"/>
  <c r="G70"/>
  <c r="G69"/>
  <c r="K64"/>
  <c r="J64"/>
  <c r="J56"/>
  <c r="J58"/>
  <c r="J62"/>
  <c r="J55"/>
  <c r="I64"/>
  <c r="H64"/>
  <c r="K62"/>
  <c r="I62"/>
  <c r="H62"/>
  <c r="K58"/>
  <c r="I58"/>
  <c r="H58"/>
  <c r="K56"/>
  <c r="I56"/>
  <c r="H56"/>
  <c r="H53"/>
  <c r="I53"/>
  <c r="J53"/>
  <c r="K53"/>
  <c r="K51"/>
  <c r="J51"/>
  <c r="I51"/>
  <c r="H51"/>
  <c r="K49"/>
  <c r="J49"/>
  <c r="I49"/>
  <c r="H49"/>
  <c r="K47"/>
  <c r="J47"/>
  <c r="I47"/>
  <c r="H47"/>
  <c r="G64"/>
  <c r="G62"/>
  <c r="G58"/>
  <c r="G56"/>
  <c r="G53"/>
  <c r="G51"/>
  <c r="G49"/>
  <c r="G47"/>
  <c r="K43"/>
  <c r="J43"/>
  <c r="J42"/>
  <c r="J41"/>
  <c r="I43"/>
  <c r="I42"/>
  <c r="I41"/>
  <c r="H43"/>
  <c r="H42"/>
  <c r="H41"/>
  <c r="G43"/>
  <c r="G42"/>
  <c r="G41"/>
  <c r="K33"/>
  <c r="K32"/>
  <c r="J33"/>
  <c r="J32"/>
  <c r="J31"/>
  <c r="J30"/>
  <c r="I33"/>
  <c r="I32"/>
  <c r="I31"/>
  <c r="I30"/>
  <c r="H33"/>
  <c r="H32"/>
  <c r="H31"/>
  <c r="G33"/>
  <c r="G32"/>
  <c r="G31"/>
  <c r="G30"/>
  <c r="K28"/>
  <c r="J28"/>
  <c r="J27"/>
  <c r="I28"/>
  <c r="I27"/>
  <c r="H28"/>
  <c r="H27"/>
  <c r="K25"/>
  <c r="J25"/>
  <c r="J24"/>
  <c r="I25"/>
  <c r="I24"/>
  <c r="H25"/>
  <c r="H24"/>
  <c r="G28"/>
  <c r="G27"/>
  <c r="G25"/>
  <c r="G24"/>
  <c r="K14"/>
  <c r="J14"/>
  <c r="J13"/>
  <c r="J12"/>
  <c r="J11"/>
  <c r="J10"/>
  <c r="J9"/>
  <c r="I14"/>
  <c r="I13"/>
  <c r="I12"/>
  <c r="I11"/>
  <c r="I10"/>
  <c r="I9"/>
  <c r="H14"/>
  <c r="H13"/>
  <c r="H12"/>
  <c r="H11"/>
  <c r="H10"/>
  <c r="H9"/>
  <c r="G14"/>
  <c r="G13"/>
  <c r="G12"/>
  <c r="G11"/>
  <c r="G10"/>
  <c r="G9"/>
  <c r="M2731"/>
  <c r="L2731"/>
  <c r="M2730"/>
  <c r="L2730"/>
  <c r="M2729"/>
  <c r="L2729"/>
  <c r="M2728"/>
  <c r="L2728"/>
  <c r="M2727"/>
  <c r="L2727"/>
  <c r="M2726"/>
  <c r="L2726"/>
  <c r="M2725"/>
  <c r="L2725"/>
  <c r="M2722"/>
  <c r="L2722"/>
  <c r="M2721"/>
  <c r="L2721"/>
  <c r="M2720"/>
  <c r="L2720"/>
  <c r="M2719"/>
  <c r="L2719"/>
  <c r="M2706"/>
  <c r="L2706"/>
  <c r="M2705"/>
  <c r="L2705"/>
  <c r="M2704"/>
  <c r="L2704"/>
  <c r="M2703"/>
  <c r="L2703"/>
  <c r="M2702"/>
  <c r="L2702"/>
  <c r="M2699"/>
  <c r="L2699"/>
  <c r="M2698"/>
  <c r="L2698"/>
  <c r="M2697"/>
  <c r="L2697"/>
  <c r="M2696"/>
  <c r="L2696"/>
  <c r="M2695"/>
  <c r="L2695"/>
  <c r="M2694"/>
  <c r="L2694"/>
  <c r="M2686"/>
  <c r="L2686"/>
  <c r="M2685"/>
  <c r="L2685"/>
  <c r="M2684"/>
  <c r="L2684"/>
  <c r="M2683"/>
  <c r="L2683"/>
  <c r="M2682"/>
  <c r="L2682"/>
  <c r="M2681"/>
  <c r="L2681"/>
  <c r="M2660"/>
  <c r="L2660"/>
  <c r="M2659"/>
  <c r="L2659"/>
  <c r="M2658"/>
  <c r="L2658"/>
  <c r="M2657"/>
  <c r="L2657"/>
  <c r="M2656"/>
  <c r="L2656"/>
  <c r="M2655"/>
  <c r="L2655"/>
  <c r="M2647"/>
  <c r="L2647"/>
  <c r="M2646"/>
  <c r="L2646"/>
  <c r="M2645"/>
  <c r="L2645"/>
  <c r="M2644"/>
  <c r="L2644"/>
  <c r="M2643"/>
  <c r="L2643"/>
  <c r="M2642"/>
  <c r="L2642"/>
  <c r="M2641"/>
  <c r="L2641"/>
  <c r="M2640"/>
  <c r="L2640"/>
  <c r="M2639"/>
  <c r="L2639"/>
  <c r="M2631"/>
  <c r="L2631"/>
  <c r="M2630"/>
  <c r="L2630"/>
  <c r="M2629"/>
  <c r="L2629"/>
  <c r="L2627"/>
  <c r="M2626"/>
  <c r="L2626"/>
  <c r="M2625"/>
  <c r="L2625"/>
  <c r="M2624"/>
  <c r="L2624"/>
  <c r="M2623"/>
  <c r="L2623"/>
  <c r="M2619"/>
  <c r="L2619"/>
  <c r="M2618"/>
  <c r="L2618"/>
  <c r="M2617"/>
  <c r="L2617"/>
  <c r="M2616"/>
  <c r="L2616"/>
  <c r="M2615"/>
  <c r="L2615"/>
  <c r="L2614"/>
  <c r="L2613"/>
  <c r="L2612"/>
  <c r="L2611"/>
  <c r="L2610"/>
  <c r="M2608"/>
  <c r="L2608"/>
  <c r="M2607"/>
  <c r="L2607"/>
  <c r="M2606"/>
  <c r="L2606"/>
  <c r="M2605"/>
  <c r="L2605"/>
  <c r="M2604"/>
  <c r="L2604"/>
  <c r="M2603"/>
  <c r="L2603"/>
  <c r="M2602"/>
  <c r="L2602"/>
  <c r="M2601"/>
  <c r="L2601"/>
  <c r="M2600"/>
  <c r="L2600"/>
  <c r="M2599"/>
  <c r="L2599"/>
  <c r="M2598"/>
  <c r="L2598"/>
  <c r="M2597"/>
  <c r="L2597"/>
  <c r="M2596"/>
  <c r="L2596"/>
  <c r="M2591"/>
  <c r="L2591"/>
  <c r="M2590"/>
  <c r="L2590"/>
  <c r="M2589"/>
  <c r="L2589"/>
  <c r="M2588"/>
  <c r="L2588"/>
  <c r="M2587"/>
  <c r="L2587"/>
  <c r="M2586"/>
  <c r="L2586"/>
  <c r="M2578"/>
  <c r="L2578"/>
  <c r="M2577"/>
  <c r="L2577"/>
  <c r="M2576"/>
  <c r="L2576"/>
  <c r="M2575"/>
  <c r="L2575"/>
  <c r="M2574"/>
  <c r="L2574"/>
  <c r="M2573"/>
  <c r="L2573"/>
  <c r="L2565"/>
  <c r="L2564"/>
  <c r="L2563"/>
  <c r="L2562"/>
  <c r="L2561"/>
  <c r="L2560"/>
  <c r="M2558"/>
  <c r="L2558"/>
  <c r="M2557"/>
  <c r="L2557"/>
  <c r="M2556"/>
  <c r="L2556"/>
  <c r="M2555"/>
  <c r="L2555"/>
  <c r="M2554"/>
  <c r="L2554"/>
  <c r="M2553"/>
  <c r="L2553"/>
  <c r="L2547"/>
  <c r="L2546"/>
  <c r="L2545"/>
  <c r="L2544"/>
  <c r="L2543"/>
  <c r="L2542"/>
  <c r="M2537"/>
  <c r="L2537"/>
  <c r="M2536"/>
  <c r="L2536"/>
  <c r="M2535"/>
  <c r="L2535"/>
  <c r="M2534"/>
  <c r="L2534"/>
  <c r="L2530"/>
  <c r="L2529"/>
  <c r="L2528"/>
  <c r="L2527"/>
  <c r="L2526"/>
  <c r="L2525"/>
  <c r="L2524"/>
  <c r="L2523"/>
  <c r="L2522"/>
  <c r="L2521"/>
  <c r="L2520"/>
  <c r="L2519"/>
  <c r="L2518"/>
  <c r="L2517"/>
  <c r="L2516"/>
  <c r="M2513"/>
  <c r="L2513"/>
  <c r="M2512"/>
  <c r="L2512"/>
  <c r="M2511"/>
  <c r="L2511"/>
  <c r="M2510"/>
  <c r="L2510"/>
  <c r="M2508"/>
  <c r="L2508"/>
  <c r="M2507"/>
  <c r="L2507"/>
  <c r="M2506"/>
  <c r="L2506"/>
  <c r="M2505"/>
  <c r="L2505"/>
  <c r="M2504"/>
  <c r="L2504"/>
  <c r="M2503"/>
  <c r="L2503"/>
  <c r="M2502"/>
  <c r="L2502"/>
  <c r="M2495"/>
  <c r="L2495"/>
  <c r="M2494"/>
  <c r="L2494"/>
  <c r="M2493"/>
  <c r="L2493"/>
  <c r="M2492"/>
  <c r="L2492"/>
  <c r="M2490"/>
  <c r="L2490"/>
  <c r="M2489"/>
  <c r="L2489"/>
  <c r="M2488"/>
  <c r="L2488"/>
  <c r="M2487"/>
  <c r="L2487"/>
  <c r="M2486"/>
  <c r="L2486"/>
  <c r="M2483"/>
  <c r="L2483"/>
  <c r="M2482"/>
  <c r="L2482"/>
  <c r="M2481"/>
  <c r="L2481"/>
  <c r="M2480"/>
  <c r="L2480"/>
  <c r="M2479"/>
  <c r="L2479"/>
  <c r="M2478"/>
  <c r="L2478"/>
  <c r="M2477"/>
  <c r="L2477"/>
  <c r="M2476"/>
  <c r="L2476"/>
  <c r="M2470"/>
  <c r="L2470"/>
  <c r="M2469"/>
  <c r="L2469"/>
  <c r="M2468"/>
  <c r="L2468"/>
  <c r="M2467"/>
  <c r="L2467"/>
  <c r="M2466"/>
  <c r="L2466"/>
  <c r="M2465"/>
  <c r="L2465"/>
  <c r="M2457"/>
  <c r="L2457"/>
  <c r="M2456"/>
  <c r="L2456"/>
  <c r="M2455"/>
  <c r="L2455"/>
  <c r="M2454"/>
  <c r="L2454"/>
  <c r="M2453"/>
  <c r="L2453"/>
  <c r="M2452"/>
  <c r="L2452"/>
  <c r="M2449"/>
  <c r="L2449"/>
  <c r="M2448"/>
  <c r="L2448"/>
  <c r="M2447"/>
  <c r="L2447"/>
  <c r="M2446"/>
  <c r="L2446"/>
  <c r="M2445"/>
  <c r="L2445"/>
  <c r="M2444"/>
  <c r="L2444"/>
  <c r="M2443"/>
  <c r="L2443"/>
  <c r="M2442"/>
  <c r="L2442"/>
  <c r="M2441"/>
  <c r="L2441"/>
  <c r="M2440"/>
  <c r="L2440"/>
  <c r="M2439"/>
  <c r="L2439"/>
  <c r="M2438"/>
  <c r="L2438"/>
  <c r="M2430"/>
  <c r="L2430"/>
  <c r="M2429"/>
  <c r="L2429"/>
  <c r="M2428"/>
  <c r="L2428"/>
  <c r="M2427"/>
  <c r="L2427"/>
  <c r="M2426"/>
  <c r="L2426"/>
  <c r="M2418"/>
  <c r="L2418"/>
  <c r="M2417"/>
  <c r="L2417"/>
  <c r="M2415"/>
  <c r="L2415"/>
  <c r="M2413"/>
  <c r="L2413"/>
  <c r="M2399"/>
  <c r="L2399"/>
  <c r="M2384"/>
  <c r="L2384"/>
  <c r="M2381"/>
  <c r="L2381"/>
  <c r="M2378"/>
  <c r="L2378"/>
  <c r="M2374"/>
  <c r="L2374"/>
  <c r="M2371"/>
  <c r="L2371"/>
  <c r="L2369"/>
  <c r="M2366"/>
  <c r="L2366"/>
  <c r="M2361"/>
  <c r="L2361"/>
  <c r="L2359"/>
  <c r="M2351"/>
  <c r="L2351"/>
  <c r="M2335"/>
  <c r="L2335"/>
  <c r="M2332"/>
  <c r="L2332"/>
  <c r="M2330"/>
  <c r="L2330"/>
  <c r="M2327"/>
  <c r="L2327"/>
  <c r="M2325"/>
  <c r="L2325"/>
  <c r="M2323"/>
  <c r="L2323"/>
  <c r="M2303"/>
  <c r="L2303"/>
  <c r="M2301"/>
  <c r="L2301"/>
  <c r="M2296"/>
  <c r="L2296"/>
  <c r="M2293"/>
  <c r="L2293"/>
  <c r="M2289"/>
  <c r="L2289"/>
  <c r="M2285"/>
  <c r="L2285"/>
  <c r="M2281"/>
  <c r="L2281"/>
  <c r="M2278"/>
  <c r="L2278"/>
  <c r="M2275"/>
  <c r="L2275"/>
  <c r="M2273"/>
  <c r="L2273"/>
  <c r="M2263"/>
  <c r="L2263"/>
  <c r="M2257"/>
  <c r="L2257"/>
  <c r="M2252"/>
  <c r="L2252"/>
  <c r="M2249"/>
  <c r="L2249"/>
  <c r="M2247"/>
  <c r="L2247"/>
  <c r="M2245"/>
  <c r="L2245"/>
  <c r="M2225"/>
  <c r="L2225"/>
  <c r="M2216"/>
  <c r="L2216"/>
  <c r="M2214"/>
  <c r="L2214"/>
  <c r="M2212"/>
  <c r="L2212"/>
  <c r="M2195"/>
  <c r="L2195"/>
  <c r="M2192"/>
  <c r="L2192"/>
  <c r="M2189"/>
  <c r="L2189"/>
  <c r="M2170"/>
  <c r="L2170"/>
  <c r="L2162"/>
  <c r="L2156"/>
  <c r="L2151"/>
  <c r="M2147"/>
  <c r="L2147"/>
  <c r="M2139"/>
  <c r="L2139"/>
  <c r="M2137"/>
  <c r="L2137"/>
  <c r="M2135"/>
  <c r="L2135"/>
  <c r="M2126"/>
  <c r="M2114"/>
  <c r="M2111"/>
  <c r="M2108"/>
  <c r="M2106"/>
  <c r="M2104"/>
  <c r="M2094"/>
  <c r="M2090"/>
  <c r="M2087"/>
  <c r="M2085"/>
  <c r="M2074"/>
  <c r="M2072"/>
  <c r="M2068"/>
  <c r="M2066"/>
  <c r="M2057"/>
  <c r="L2057"/>
  <c r="M2054"/>
  <c r="L2054"/>
  <c r="M2053"/>
  <c r="L2053"/>
  <c r="M2051"/>
  <c r="L2051"/>
  <c r="M2049"/>
  <c r="L2049"/>
  <c r="L2037"/>
  <c r="M2033"/>
  <c r="L2033"/>
  <c r="M2028"/>
  <c r="L2028"/>
  <c r="M2017"/>
  <c r="L2017"/>
  <c r="L2014"/>
  <c r="M2010"/>
  <c r="L2010"/>
  <c r="M2007"/>
  <c r="L2007"/>
  <c r="M2003"/>
  <c r="L2003"/>
  <c r="M1997"/>
  <c r="L1997"/>
  <c r="M1995"/>
  <c r="L1995"/>
  <c r="M1992"/>
  <c r="L1992"/>
  <c r="M1990"/>
  <c r="L1990"/>
  <c r="M1987"/>
  <c r="L1987"/>
  <c r="M1985"/>
  <c r="L1985"/>
  <c r="M1982"/>
  <c r="L1982"/>
  <c r="M1980"/>
  <c r="L1980"/>
  <c r="M1977"/>
  <c r="L1977"/>
  <c r="M1975"/>
  <c r="L1975"/>
  <c r="M1972"/>
  <c r="L1972"/>
  <c r="M1970"/>
  <c r="L1970"/>
  <c r="M1967"/>
  <c r="L1967"/>
  <c r="M1963"/>
  <c r="L1963"/>
  <c r="L1960"/>
  <c r="M1948"/>
  <c r="L1948"/>
  <c r="M1947"/>
  <c r="L1947"/>
  <c r="M1945"/>
  <c r="L1945"/>
  <c r="L1940"/>
  <c r="M1935"/>
  <c r="L1935"/>
  <c r="M1933"/>
  <c r="L1933"/>
  <c r="M1929"/>
  <c r="L1929"/>
  <c r="M1926"/>
  <c r="L1926"/>
  <c r="M1923"/>
  <c r="L1923"/>
  <c r="M1921"/>
  <c r="L1921"/>
  <c r="M1918"/>
  <c r="L1918"/>
  <c r="M1916"/>
  <c r="L1916"/>
  <c r="M1913"/>
  <c r="L1913"/>
  <c r="M1911"/>
  <c r="L1911"/>
  <c r="M1908"/>
  <c r="L1908"/>
  <c r="M1906"/>
  <c r="L1906"/>
  <c r="M1903"/>
  <c r="L1903"/>
  <c r="M1901"/>
  <c r="L1901"/>
  <c r="M1898"/>
  <c r="L1898"/>
  <c r="M1896"/>
  <c r="L1896"/>
  <c r="M1893"/>
  <c r="L1893"/>
  <c r="M1891"/>
  <c r="L1891"/>
  <c r="M1888"/>
  <c r="L1888"/>
  <c r="M1886"/>
  <c r="L1886"/>
  <c r="L1883"/>
  <c r="L1881"/>
  <c r="M1878"/>
  <c r="L1878"/>
  <c r="M1876"/>
  <c r="L1876"/>
  <c r="M1873"/>
  <c r="L1873"/>
  <c r="M1871"/>
  <c r="L1871"/>
  <c r="M1868"/>
  <c r="L1868"/>
  <c r="M1866"/>
  <c r="L1866"/>
  <c r="M1863"/>
  <c r="L1863"/>
  <c r="M1861"/>
  <c r="L1861"/>
  <c r="M1858"/>
  <c r="L1858"/>
  <c r="M1856"/>
  <c r="L1856"/>
  <c r="M1853"/>
  <c r="L1853"/>
  <c r="M1851"/>
  <c r="L1851"/>
  <c r="M1848"/>
  <c r="L1848"/>
  <c r="M1846"/>
  <c r="L1846"/>
  <c r="M1843"/>
  <c r="L1843"/>
  <c r="M1841"/>
  <c r="L1841"/>
  <c r="M1838"/>
  <c r="L1838"/>
  <c r="M1835"/>
  <c r="L1835"/>
  <c r="M1833"/>
  <c r="L1833"/>
  <c r="M1830"/>
  <c r="L1830"/>
  <c r="M1828"/>
  <c r="L1828"/>
  <c r="M1825"/>
  <c r="L1825"/>
  <c r="M1823"/>
  <c r="L1823"/>
  <c r="M1820"/>
  <c r="L1820"/>
  <c r="M1818"/>
  <c r="L1818"/>
  <c r="M1815"/>
  <c r="L1815"/>
  <c r="M1812"/>
  <c r="L1812"/>
  <c r="M1810"/>
  <c r="L1810"/>
  <c r="M1807"/>
  <c r="L1807"/>
  <c r="M1805"/>
  <c r="L1805"/>
  <c r="M1802"/>
  <c r="L1802"/>
  <c r="M1800"/>
  <c r="L1800"/>
  <c r="M1797"/>
  <c r="L1797"/>
  <c r="M1795"/>
  <c r="L1795"/>
  <c r="M1792"/>
  <c r="L1792"/>
  <c r="M1790"/>
  <c r="L1790"/>
  <c r="M1787"/>
  <c r="L1787"/>
  <c r="M1785"/>
  <c r="L1785"/>
  <c r="L1782"/>
  <c r="M1779"/>
  <c r="L1779"/>
  <c r="M1773"/>
  <c r="L1773"/>
  <c r="M1766"/>
  <c r="L1766"/>
  <c r="M1762"/>
  <c r="L1762"/>
  <c r="M1761"/>
  <c r="L1761"/>
  <c r="M1757"/>
  <c r="L1757"/>
  <c r="M1753"/>
  <c r="L1753"/>
  <c r="M1750"/>
  <c r="L1750"/>
  <c r="M1748"/>
  <c r="L1748"/>
  <c r="L1745"/>
  <c r="M1742"/>
  <c r="L1742"/>
  <c r="M1741"/>
  <c r="L1741"/>
  <c r="M1739"/>
  <c r="L1739"/>
  <c r="M1738"/>
  <c r="L1738"/>
  <c r="M1734"/>
  <c r="L1734"/>
  <c r="M1732"/>
  <c r="L1732"/>
  <c r="M1726"/>
  <c r="L1726"/>
  <c r="M1724"/>
  <c r="L1724"/>
  <c r="M1716"/>
  <c r="L1716"/>
  <c r="M1713"/>
  <c r="L1713"/>
  <c r="M1710"/>
  <c r="L1710"/>
  <c r="M1709"/>
  <c r="L1709"/>
  <c r="L1696"/>
  <c r="M1689"/>
  <c r="L1689"/>
  <c r="M1687"/>
  <c r="L1687"/>
  <c r="M1686"/>
  <c r="L1686"/>
  <c r="M1684"/>
  <c r="L1684"/>
  <c r="M1681"/>
  <c r="L1681"/>
  <c r="L1680"/>
  <c r="M1676"/>
  <c r="L1676"/>
  <c r="M1674"/>
  <c r="L1674"/>
  <c r="M1671"/>
  <c r="L1671"/>
  <c r="M1668"/>
  <c r="L1668"/>
  <c r="M1667"/>
  <c r="L1667"/>
  <c r="M1665"/>
  <c r="L1665"/>
  <c r="M1663"/>
  <c r="L1663"/>
  <c r="M1661"/>
  <c r="L1661"/>
  <c r="L1656"/>
  <c r="L1648"/>
  <c r="M1643"/>
  <c r="L1643"/>
  <c r="M1620"/>
  <c r="L1620"/>
  <c r="M1618"/>
  <c r="L1618"/>
  <c r="M1617"/>
  <c r="L1617"/>
  <c r="L1615"/>
  <c r="M1612"/>
  <c r="L1612"/>
  <c r="M1609"/>
  <c r="L1609"/>
  <c r="L1605"/>
  <c r="L1602"/>
  <c r="L1600"/>
  <c r="M1592"/>
  <c r="L1592"/>
  <c r="M1589"/>
  <c r="L1589"/>
  <c r="M1587"/>
  <c r="L1587"/>
  <c r="M1585"/>
  <c r="L1585"/>
  <c r="M1570"/>
  <c r="L1570"/>
  <c r="L1567"/>
  <c r="M1557"/>
  <c r="L1557"/>
  <c r="M1553"/>
  <c r="L1553"/>
  <c r="M1551"/>
  <c r="L1551"/>
  <c r="M1547"/>
  <c r="L1547"/>
  <c r="M1544"/>
  <c r="L1544"/>
  <c r="M1541"/>
  <c r="L1541"/>
  <c r="M1538"/>
  <c r="L1538"/>
  <c r="M1536"/>
  <c r="L1536"/>
  <c r="M1534"/>
  <c r="L1534"/>
  <c r="M1530"/>
  <c r="L1530"/>
  <c r="M1523"/>
  <c r="L1523"/>
  <c r="L1516"/>
  <c r="M1507"/>
  <c r="L1507"/>
  <c r="L1505"/>
  <c r="M1503"/>
  <c r="L1503"/>
  <c r="M1501"/>
  <c r="L1501"/>
  <c r="L1497"/>
  <c r="M1493"/>
  <c r="L1493"/>
  <c r="M1490"/>
  <c r="L1490"/>
  <c r="M1487"/>
  <c r="L1487"/>
  <c r="M1484"/>
  <c r="L1484"/>
  <c r="L1479"/>
  <c r="L1471"/>
  <c r="M1459"/>
  <c r="L1459"/>
  <c r="M1456"/>
  <c r="L1456"/>
  <c r="M1452"/>
  <c r="L1452"/>
  <c r="M1449"/>
  <c r="L1449"/>
  <c r="L1443"/>
  <c r="M1440"/>
  <c r="L1440"/>
  <c r="M1434"/>
  <c r="L1434"/>
  <c r="M1431"/>
  <c r="L1431"/>
  <c r="L1423"/>
  <c r="L1422"/>
  <c r="L1421"/>
  <c r="L1420"/>
  <c r="M1419"/>
  <c r="L1419"/>
  <c r="M1411"/>
  <c r="L1411"/>
  <c r="L1403"/>
  <c r="M1399"/>
  <c r="L1399"/>
  <c r="M1397"/>
  <c r="L1397"/>
  <c r="M1395"/>
  <c r="L1395"/>
  <c r="M1389"/>
  <c r="L1389"/>
  <c r="L1383"/>
  <c r="M1378"/>
  <c r="L1378"/>
  <c r="M1375"/>
  <c r="L1375"/>
  <c r="L1373"/>
  <c r="M1371"/>
  <c r="L1371"/>
  <c r="M1369"/>
  <c r="L1369"/>
  <c r="L1363"/>
  <c r="M1357"/>
  <c r="L1357"/>
  <c r="M1354"/>
  <c r="L1354"/>
  <c r="L1345"/>
  <c r="M1335"/>
  <c r="L1335"/>
  <c r="M1323"/>
  <c r="L1323"/>
  <c r="M1320"/>
  <c r="L1320"/>
  <c r="L1317"/>
  <c r="M1314"/>
  <c r="L1314"/>
  <c r="M1312"/>
  <c r="L1312"/>
  <c r="L1308"/>
  <c r="L1305"/>
  <c r="M1302"/>
  <c r="L1302"/>
  <c r="L1299"/>
  <c r="M1295"/>
  <c r="L1295"/>
  <c r="L1292"/>
  <c r="M1289"/>
  <c r="L1289"/>
  <c r="M1286"/>
  <c r="L1286"/>
  <c r="M1283"/>
  <c r="L1283"/>
  <c r="M1280"/>
  <c r="L1280"/>
  <c r="L1277"/>
  <c r="L1274"/>
  <c r="L1271"/>
  <c r="M1268"/>
  <c r="L1268"/>
  <c r="M1265"/>
  <c r="L1265"/>
  <c r="M1262"/>
  <c r="L1262"/>
  <c r="M1259"/>
  <c r="L1259"/>
  <c r="L1256"/>
  <c r="M1253"/>
  <c r="L1253"/>
  <c r="L1250"/>
  <c r="M1247"/>
  <c r="L1247"/>
  <c r="M1244"/>
  <c r="L1244"/>
  <c r="M1241"/>
  <c r="L1241"/>
  <c r="M1238"/>
  <c r="L1238"/>
  <c r="L1235"/>
  <c r="M1232"/>
  <c r="L1232"/>
  <c r="M1229"/>
  <c r="L1229"/>
  <c r="M1226"/>
  <c r="L1226"/>
  <c r="L1223"/>
  <c r="L1220"/>
  <c r="L1217"/>
  <c r="L1214"/>
  <c r="M1211"/>
  <c r="L1211"/>
  <c r="M1208"/>
  <c r="L1208"/>
  <c r="M1205"/>
  <c r="L1205"/>
  <c r="M1202"/>
  <c r="L1202"/>
  <c r="M1200"/>
  <c r="L1200"/>
  <c r="M1197"/>
  <c r="L1197"/>
  <c r="M1188"/>
  <c r="L1188"/>
  <c r="L1176"/>
  <c r="M1152"/>
  <c r="L1152"/>
  <c r="M1149"/>
  <c r="L1149"/>
  <c r="M1143"/>
  <c r="L1143"/>
  <c r="M1131"/>
  <c r="L1131"/>
  <c r="L1128"/>
  <c r="M1120"/>
  <c r="L1120"/>
  <c r="M1114"/>
  <c r="L1114"/>
  <c r="M1106"/>
  <c r="L1106"/>
  <c r="M1100"/>
  <c r="L1100"/>
  <c r="M1097"/>
  <c r="L1097"/>
  <c r="M1094"/>
  <c r="L1094"/>
  <c r="M1091"/>
  <c r="L1091"/>
  <c r="M1089"/>
  <c r="L1089"/>
  <c r="M1086"/>
  <c r="L1086"/>
  <c r="M1083"/>
  <c r="L1083"/>
  <c r="M1081"/>
  <c r="L1081"/>
  <c r="M1078"/>
  <c r="L1078"/>
  <c r="M1076"/>
  <c r="L1076"/>
  <c r="M1073"/>
  <c r="L1073"/>
  <c r="M1069"/>
  <c r="L1069"/>
  <c r="M1066"/>
  <c r="L1066"/>
  <c r="M1054"/>
  <c r="L1054"/>
  <c r="M1050"/>
  <c r="L1050"/>
  <c r="L1045"/>
  <c r="M1041"/>
  <c r="L1041"/>
  <c r="M1037"/>
  <c r="L1037"/>
  <c r="M1032"/>
  <c r="L1032"/>
  <c r="M1031"/>
  <c r="L1031"/>
  <c r="M1023"/>
  <c r="L1023"/>
  <c r="M1020"/>
  <c r="L1020"/>
  <c r="L1018"/>
  <c r="L1017"/>
  <c r="M1015"/>
  <c r="L1015"/>
  <c r="M1012"/>
  <c r="L1012"/>
  <c r="L1009"/>
  <c r="M1007"/>
  <c r="L1007"/>
  <c r="M1005"/>
  <c r="L1005"/>
  <c r="M1002"/>
  <c r="L1002"/>
  <c r="M1000"/>
  <c r="L1000"/>
  <c r="M996"/>
  <c r="L996"/>
  <c r="M995"/>
  <c r="L995"/>
  <c r="L992"/>
  <c r="M988"/>
  <c r="L988"/>
  <c r="L985"/>
  <c r="M983"/>
  <c r="L983"/>
  <c r="M980"/>
  <c r="L980"/>
  <c r="M979"/>
  <c r="L979"/>
  <c r="M977"/>
  <c r="L977"/>
  <c r="L974"/>
  <c r="M967"/>
  <c r="L967"/>
  <c r="M966"/>
  <c r="L966"/>
  <c r="L963"/>
  <c r="M960"/>
  <c r="L960"/>
  <c r="M959"/>
  <c r="L959"/>
  <c r="M946"/>
  <c r="L946"/>
  <c r="M940"/>
  <c r="L940"/>
  <c r="M939"/>
  <c r="L939"/>
  <c r="M933"/>
  <c r="L933"/>
  <c r="M923"/>
  <c r="L923"/>
  <c r="M920"/>
  <c r="L920"/>
  <c r="M919"/>
  <c r="L919"/>
  <c r="L904"/>
  <c r="M893"/>
  <c r="L893"/>
  <c r="M889"/>
  <c r="L889"/>
  <c r="M885"/>
  <c r="L885"/>
  <c r="M882"/>
  <c r="L882"/>
  <c r="L795"/>
  <c r="M791"/>
  <c r="L791"/>
  <c r="M789"/>
  <c r="L789"/>
  <c r="M786"/>
  <c r="L786"/>
  <c r="M784"/>
  <c r="L784"/>
  <c r="M782"/>
  <c r="L782"/>
  <c r="L771"/>
  <c r="M767"/>
  <c r="L767"/>
  <c r="L764"/>
  <c r="M762"/>
  <c r="L762"/>
  <c r="M761"/>
  <c r="L761"/>
  <c r="M759"/>
  <c r="L759"/>
  <c r="M753"/>
  <c r="L753"/>
  <c r="M752"/>
  <c r="L752"/>
  <c r="M749"/>
  <c r="L749"/>
  <c r="M746"/>
  <c r="L746"/>
  <c r="M743"/>
  <c r="L743"/>
  <c r="L740"/>
  <c r="L736"/>
  <c r="L733"/>
  <c r="M725"/>
  <c r="L725"/>
  <c r="M716"/>
  <c r="L716"/>
  <c r="M713"/>
  <c r="L713"/>
  <c r="M710"/>
  <c r="L710"/>
  <c r="L703"/>
  <c r="L700"/>
  <c r="M697"/>
  <c r="L697"/>
  <c r="L676"/>
  <c r="M672"/>
  <c r="L672"/>
  <c r="M662"/>
  <c r="L662"/>
  <c r="M659"/>
  <c r="L659"/>
  <c r="M657"/>
  <c r="L657"/>
  <c r="M655"/>
  <c r="L655"/>
  <c r="M653"/>
  <c r="L653"/>
  <c r="M650"/>
  <c r="L650"/>
  <c r="M649"/>
  <c r="L649"/>
  <c r="M647"/>
  <c r="L647"/>
  <c r="M645"/>
  <c r="L645"/>
  <c r="M643"/>
  <c r="L643"/>
  <c r="M640"/>
  <c r="L640"/>
  <c r="M638"/>
  <c r="L638"/>
  <c r="M634"/>
  <c r="L634"/>
  <c r="L631"/>
  <c r="M628"/>
  <c r="L628"/>
  <c r="M624"/>
  <c r="L624"/>
  <c r="M623"/>
  <c r="L623"/>
  <c r="M621"/>
  <c r="L621"/>
  <c r="M618"/>
  <c r="L618"/>
  <c r="M617"/>
  <c r="L617"/>
  <c r="M615"/>
  <c r="L615"/>
  <c r="M614"/>
  <c r="L614"/>
  <c r="M612"/>
  <c r="L612"/>
  <c r="M605"/>
  <c r="L605"/>
  <c r="M602"/>
  <c r="L602"/>
  <c r="M598"/>
  <c r="L598"/>
  <c r="L595"/>
  <c r="M591"/>
  <c r="L591"/>
  <c r="M588"/>
  <c r="L588"/>
  <c r="M585"/>
  <c r="L585"/>
  <c r="M579"/>
  <c r="L579"/>
  <c r="M573"/>
  <c r="L573"/>
  <c r="M572"/>
  <c r="L572"/>
  <c r="L566"/>
  <c r="M563"/>
  <c r="L563"/>
  <c r="M547"/>
  <c r="L547"/>
  <c r="M545"/>
  <c r="L545"/>
  <c r="M539"/>
  <c r="L539"/>
  <c r="M537"/>
  <c r="L537"/>
  <c r="M533"/>
  <c r="L533"/>
  <c r="M529"/>
  <c r="L529"/>
  <c r="M506"/>
  <c r="L506"/>
  <c r="M502"/>
  <c r="L502"/>
  <c r="M499"/>
  <c r="L499"/>
  <c r="M498"/>
  <c r="L498"/>
  <c r="L495"/>
  <c r="M487"/>
  <c r="L487"/>
  <c r="M483"/>
  <c r="L483"/>
  <c r="M477"/>
  <c r="L477"/>
  <c r="M473"/>
  <c r="L473"/>
  <c r="M460"/>
  <c r="L460"/>
  <c r="M458"/>
  <c r="L458"/>
  <c r="M456"/>
  <c r="L456"/>
  <c r="L453"/>
  <c r="L449"/>
  <c r="L446"/>
  <c r="M443"/>
  <c r="L443"/>
  <c r="M438"/>
  <c r="L438"/>
  <c r="M430"/>
  <c r="L430"/>
  <c r="M428"/>
  <c r="L428"/>
  <c r="M425"/>
  <c r="L425"/>
  <c r="M424"/>
  <c r="L424"/>
  <c r="M422"/>
  <c r="L422"/>
  <c r="M420"/>
  <c r="L420"/>
  <c r="L416"/>
  <c r="M413"/>
  <c r="L413"/>
  <c r="L410"/>
  <c r="M407"/>
  <c r="L407"/>
  <c r="M403"/>
  <c r="L403"/>
  <c r="M400"/>
  <c r="L400"/>
  <c r="L396"/>
  <c r="M393"/>
  <c r="L393"/>
  <c r="M390"/>
  <c r="L390"/>
  <c r="M388"/>
  <c r="L388"/>
  <c r="L382"/>
  <c r="L379"/>
  <c r="L376"/>
  <c r="M370"/>
  <c r="L370"/>
  <c r="M369"/>
  <c r="L369"/>
  <c r="L367"/>
  <c r="M365"/>
  <c r="L365"/>
  <c r="M363"/>
  <c r="L363"/>
  <c r="M328"/>
  <c r="L328"/>
  <c r="M325"/>
  <c r="L325"/>
  <c r="M322"/>
  <c r="L322"/>
  <c r="M319"/>
  <c r="L319"/>
  <c r="M316"/>
  <c r="L316"/>
  <c r="L309"/>
  <c r="M306"/>
  <c r="L306"/>
  <c r="L303"/>
  <c r="L297"/>
  <c r="M293"/>
  <c r="L293"/>
  <c r="M290"/>
  <c r="L290"/>
  <c r="M287"/>
  <c r="L287"/>
  <c r="M284"/>
  <c r="L284"/>
  <c r="M281"/>
  <c r="L281"/>
  <c r="M278"/>
  <c r="L278"/>
  <c r="M274"/>
  <c r="L274"/>
  <c r="M272"/>
  <c r="L272"/>
  <c r="M267"/>
  <c r="L267"/>
  <c r="M264"/>
  <c r="L264"/>
  <c r="M261"/>
  <c r="L261"/>
  <c r="M253"/>
  <c r="L253"/>
  <c r="M251"/>
  <c r="L251"/>
  <c r="M249"/>
  <c r="L249"/>
  <c r="L244"/>
  <c r="L234"/>
  <c r="M230"/>
  <c r="L230"/>
  <c r="M228"/>
  <c r="L228"/>
  <c r="M226"/>
  <c r="L226"/>
  <c r="M224"/>
  <c r="L224"/>
  <c r="L220"/>
  <c r="M212"/>
  <c r="L212"/>
  <c r="M203"/>
  <c r="L203"/>
  <c r="M200"/>
  <c r="L200"/>
  <c r="M192"/>
  <c r="L192"/>
  <c r="M180"/>
  <c r="L180"/>
  <c r="M177"/>
  <c r="L177"/>
  <c r="L163"/>
  <c r="M161"/>
  <c r="L161"/>
  <c r="L158"/>
  <c r="M146"/>
  <c r="L146"/>
  <c r="M140"/>
  <c r="L140"/>
  <c r="M137"/>
  <c r="L137"/>
  <c r="L130"/>
  <c r="M126"/>
  <c r="L126"/>
  <c r="M123"/>
  <c r="L123"/>
  <c r="M117"/>
  <c r="L117"/>
  <c r="M114"/>
  <c r="L114"/>
  <c r="L106"/>
  <c r="M103"/>
  <c r="L103"/>
  <c r="M97"/>
  <c r="L97"/>
  <c r="M94"/>
  <c r="L94"/>
  <c r="M89"/>
  <c r="L89"/>
  <c r="L85"/>
  <c r="L82"/>
  <c r="M74"/>
  <c r="L74"/>
  <c r="M71"/>
  <c r="L71"/>
  <c r="M66"/>
  <c r="L66"/>
  <c r="M65"/>
  <c r="L65"/>
  <c r="M63"/>
  <c r="L63"/>
  <c r="M59"/>
  <c r="L59"/>
  <c r="M57"/>
  <c r="L57"/>
  <c r="M54"/>
  <c r="L54"/>
  <c r="M52"/>
  <c r="L52"/>
  <c r="M50"/>
  <c r="L50"/>
  <c r="M48"/>
  <c r="L48"/>
  <c r="L44"/>
  <c r="M34"/>
  <c r="L34"/>
  <c r="L29"/>
  <c r="L26"/>
  <c r="M15"/>
  <c r="L15"/>
  <c r="H338"/>
  <c r="L339"/>
  <c r="E1088" i="2"/>
  <c r="I1090"/>
  <c r="K787" i="1"/>
  <c r="M2228"/>
  <c r="I787"/>
  <c r="L2230"/>
  <c r="H663" i="2"/>
  <c r="J664"/>
  <c r="I664"/>
  <c r="H343" i="1"/>
  <c r="L344"/>
  <c r="K619"/>
  <c r="K606"/>
  <c r="J787"/>
  <c r="L2337"/>
  <c r="I2748"/>
  <c r="M2748"/>
  <c r="M2707"/>
  <c r="M2336"/>
  <c r="I1948" i="2"/>
  <c r="E1947"/>
  <c r="H2186" i="1"/>
  <c r="H2185"/>
  <c r="H2199"/>
  <c r="H2184"/>
  <c r="E1927" i="2"/>
  <c r="H1927" i="1"/>
  <c r="E540" i="2"/>
  <c r="E539"/>
  <c r="E538"/>
  <c r="I913"/>
  <c r="E911"/>
  <c r="H2115" i="1"/>
  <c r="L2115"/>
  <c r="L2116"/>
  <c r="I663" i="2"/>
  <c r="K2186" i="1"/>
  <c r="K1927"/>
  <c r="I1927"/>
  <c r="M1927"/>
  <c r="H540" i="2"/>
  <c r="J1927" i="1"/>
  <c r="G540" i="2"/>
  <c r="G539"/>
  <c r="G538"/>
  <c r="G354"/>
  <c r="G318"/>
  <c r="F540"/>
  <c r="H1336"/>
  <c r="J1111" i="1"/>
  <c r="J1110"/>
  <c r="J1109"/>
  <c r="G1337" i="2"/>
  <c r="G1336"/>
  <c r="G1335"/>
  <c r="G1331"/>
  <c r="I1111" i="1"/>
  <c r="I1110"/>
  <c r="F1337" i="2"/>
  <c r="E1978"/>
  <c r="I1978"/>
  <c r="K2064" i="1"/>
  <c r="J2064"/>
  <c r="I2064"/>
  <c r="I2186"/>
  <c r="K2180"/>
  <c r="L2181"/>
  <c r="M2181"/>
  <c r="J2392"/>
  <c r="J2391"/>
  <c r="J2390"/>
  <c r="I2392"/>
  <c r="I2391"/>
  <c r="M2337"/>
  <c r="I2234"/>
  <c r="M2235"/>
  <c r="L2226"/>
  <c r="M2229"/>
  <c r="M2708"/>
  <c r="M2735"/>
  <c r="M2738"/>
  <c r="M2737"/>
  <c r="M2736"/>
  <c r="M2734"/>
  <c r="I2747"/>
  <c r="L894"/>
  <c r="M772"/>
  <c r="E2000" i="2"/>
  <c r="I2000"/>
  <c r="I1964"/>
  <c r="E1960"/>
  <c r="J1846"/>
  <c r="I1835"/>
  <c r="J1801"/>
  <c r="I1760"/>
  <c r="I1585"/>
  <c r="J1774"/>
  <c r="I1703"/>
  <c r="J1728"/>
  <c r="J1727"/>
  <c r="J1827"/>
  <c r="J1794"/>
  <c r="J1703"/>
  <c r="J1723"/>
  <c r="J1719"/>
  <c r="E1541"/>
  <c r="E1629"/>
  <c r="I1693"/>
  <c r="E1692"/>
  <c r="I1692"/>
  <c r="E1727"/>
  <c r="I1727"/>
  <c r="I1702"/>
  <c r="J1645"/>
  <c r="I1645"/>
  <c r="E1674"/>
  <c r="E1665"/>
  <c r="I1665"/>
  <c r="I1666"/>
  <c r="E1615"/>
  <c r="I1615"/>
  <c r="J1581"/>
  <c r="I1597"/>
  <c r="I1603"/>
  <c r="E1581"/>
  <c r="I1554"/>
  <c r="J1554"/>
  <c r="I1513"/>
  <c r="I1542"/>
  <c r="J1541"/>
  <c r="J1542"/>
  <c r="E1574"/>
  <c r="I1574"/>
  <c r="E1533"/>
  <c r="I1533"/>
  <c r="I1537"/>
  <c r="E1517"/>
  <c r="I1517"/>
  <c r="J1419"/>
  <c r="I1521"/>
  <c r="J1361"/>
  <c r="I1494"/>
  <c r="J1353"/>
  <c r="E1503"/>
  <c r="J1465"/>
  <c r="I1473"/>
  <c r="E1482"/>
  <c r="I1482"/>
  <c r="I1478"/>
  <c r="E1464"/>
  <c r="I1429"/>
  <c r="J1429"/>
  <c r="J1415"/>
  <c r="J1401"/>
  <c r="J1375"/>
  <c r="I1284"/>
  <c r="J1277"/>
  <c r="J1284"/>
  <c r="I1321"/>
  <c r="J1341"/>
  <c r="J1321"/>
  <c r="J1322"/>
  <c r="J1266"/>
  <c r="J1293"/>
  <c r="J1294"/>
  <c r="I1294"/>
  <c r="J1306"/>
  <c r="I1200"/>
  <c r="I1322"/>
  <c r="E1305"/>
  <c r="I1305"/>
  <c r="I1306"/>
  <c r="E1293"/>
  <c r="E1277"/>
  <c r="I1277"/>
  <c r="I1266"/>
  <c r="I1255"/>
  <c r="I1332"/>
  <c r="I1185"/>
  <c r="I1256"/>
  <c r="E1228"/>
  <c r="I1228"/>
  <c r="J1096"/>
  <c r="E1867"/>
  <c r="I1868"/>
  <c r="E1883"/>
  <c r="I1883"/>
  <c r="I1884"/>
  <c r="E1902"/>
  <c r="I1902"/>
  <c r="I1903"/>
  <c r="E1936"/>
  <c r="I1936"/>
  <c r="I1937"/>
  <c r="E1872"/>
  <c r="I1872"/>
  <c r="I1873"/>
  <c r="E1888"/>
  <c r="I1889"/>
  <c r="E1926"/>
  <c r="I1926"/>
  <c r="I1927"/>
  <c r="E1907"/>
  <c r="I1907"/>
  <c r="I1908"/>
  <c r="E1878"/>
  <c r="I1878"/>
  <c r="I1879"/>
  <c r="J1119"/>
  <c r="E1917"/>
  <c r="I1918"/>
  <c r="E1912"/>
  <c r="I1912"/>
  <c r="I1913"/>
  <c r="J1148"/>
  <c r="I1006"/>
  <c r="I1119"/>
  <c r="J1118"/>
  <c r="J1081"/>
  <c r="I1132"/>
  <c r="E1095"/>
  <c r="I1095"/>
  <c r="I985"/>
  <c r="I1096"/>
  <c r="I1053"/>
  <c r="I1031"/>
  <c r="J1045"/>
  <c r="I1045"/>
  <c r="I1030"/>
  <c r="J1026"/>
  <c r="I1026"/>
  <c r="I993"/>
  <c r="J985"/>
  <c r="J967"/>
  <c r="E984"/>
  <c r="I854"/>
  <c r="E1038"/>
  <c r="I1039"/>
  <c r="J928"/>
  <c r="J957"/>
  <c r="J958"/>
  <c r="I803"/>
  <c r="I878"/>
  <c r="I711"/>
  <c r="I970"/>
  <c r="I967"/>
  <c r="I780"/>
  <c r="I791"/>
  <c r="I771"/>
  <c r="J771"/>
  <c r="I774"/>
  <c r="J774"/>
  <c r="J750"/>
  <c r="I750"/>
  <c r="I726"/>
  <c r="I875"/>
  <c r="J780"/>
  <c r="I756"/>
  <c r="I708"/>
  <c r="J899"/>
  <c r="J903"/>
  <c r="I895"/>
  <c r="J889"/>
  <c r="J885"/>
  <c r="I889"/>
  <c r="I922"/>
  <c r="E918"/>
  <c r="J323"/>
  <c r="J623"/>
  <c r="J600"/>
  <c r="I628"/>
  <c r="E627"/>
  <c r="J589"/>
  <c r="E137"/>
  <c r="I137"/>
  <c r="I572"/>
  <c r="E589"/>
  <c r="I589"/>
  <c r="J572"/>
  <c r="J573"/>
  <c r="E567"/>
  <c r="I567"/>
  <c r="J547"/>
  <c r="J553"/>
  <c r="J394"/>
  <c r="E173"/>
  <c r="I173"/>
  <c r="I460"/>
  <c r="J435"/>
  <c r="I500"/>
  <c r="I389"/>
  <c r="J82"/>
  <c r="E1152"/>
  <c r="I1152"/>
  <c r="J162"/>
  <c r="I510"/>
  <c r="E34"/>
  <c r="I34"/>
  <c r="J75"/>
  <c r="I435"/>
  <c r="I541"/>
  <c r="J535"/>
  <c r="I535"/>
  <c r="E1750"/>
  <c r="I1750"/>
  <c r="I187"/>
  <c r="E354"/>
  <c r="I369"/>
  <c r="I560"/>
  <c r="E557"/>
  <c r="I557"/>
  <c r="E1853"/>
  <c r="I1853"/>
  <c r="I450"/>
  <c r="E636"/>
  <c r="I309"/>
  <c r="I553"/>
  <c r="I355"/>
  <c r="I323"/>
  <c r="E198"/>
  <c r="I198"/>
  <c r="I45"/>
  <c r="E86"/>
  <c r="I86"/>
  <c r="J63"/>
  <c r="E1432"/>
  <c r="I1432"/>
  <c r="E231"/>
  <c r="I231"/>
  <c r="I232"/>
  <c r="J1062"/>
  <c r="I1062"/>
  <c r="E681"/>
  <c r="I681"/>
  <c r="I684"/>
  <c r="E181"/>
  <c r="I181"/>
  <c r="I182"/>
  <c r="E1818"/>
  <c r="I1818"/>
  <c r="I1819"/>
  <c r="E1821"/>
  <c r="I1821"/>
  <c r="I1822"/>
  <c r="E1710"/>
  <c r="I1710"/>
  <c r="I1711"/>
  <c r="E607"/>
  <c r="E647"/>
  <c r="I647"/>
  <c r="I648"/>
  <c r="E1405"/>
  <c r="I1405"/>
  <c r="I1406"/>
  <c r="E184"/>
  <c r="I184"/>
  <c r="I185"/>
  <c r="E1450"/>
  <c r="I1450"/>
  <c r="I1451"/>
  <c r="E678"/>
  <c r="I678"/>
  <c r="I679"/>
  <c r="E30"/>
  <c r="I30"/>
  <c r="I31"/>
  <c r="I1861"/>
  <c r="I59"/>
  <c r="J59"/>
  <c r="E1402"/>
  <c r="I1403"/>
  <c r="E1194"/>
  <c r="I1195"/>
  <c r="E1149"/>
  <c r="I1149"/>
  <c r="I1150"/>
  <c r="E94"/>
  <c r="I94"/>
  <c r="I95"/>
  <c r="E1368"/>
  <c r="I1368"/>
  <c r="I1369"/>
  <c r="E1459"/>
  <c r="I1459"/>
  <c r="I1460"/>
  <c r="E1828"/>
  <c r="I1829"/>
  <c r="E19"/>
  <c r="I20"/>
  <c r="E1357"/>
  <c r="I1357"/>
  <c r="I1358"/>
  <c r="E1781"/>
  <c r="I1781"/>
  <c r="I1782"/>
  <c r="E1371"/>
  <c r="I1371"/>
  <c r="I1372"/>
  <c r="I190"/>
  <c r="E958"/>
  <c r="E698"/>
  <c r="I698"/>
  <c r="E122"/>
  <c r="I122"/>
  <c r="E255"/>
  <c r="I255"/>
  <c r="I1168"/>
  <c r="E241"/>
  <c r="I241"/>
  <c r="I242"/>
  <c r="E165"/>
  <c r="I165"/>
  <c r="I166"/>
  <c r="E650"/>
  <c r="I650"/>
  <c r="I651"/>
  <c r="E1847"/>
  <c r="I1847"/>
  <c r="I1848"/>
  <c r="E1075"/>
  <c r="I1076"/>
  <c r="I1171"/>
  <c r="E1444"/>
  <c r="I1444"/>
  <c r="I1445"/>
  <c r="E1248"/>
  <c r="I1249"/>
  <c r="E1832"/>
  <c r="I1832"/>
  <c r="I1833"/>
  <c r="E302"/>
  <c r="I303"/>
  <c r="I1059"/>
  <c r="J1059"/>
  <c r="E689"/>
  <c r="I689"/>
  <c r="I690"/>
  <c r="E1341"/>
  <c r="E1802"/>
  <c r="I1802"/>
  <c r="E100"/>
  <c r="I100"/>
  <c r="E601"/>
  <c r="I156"/>
  <c r="E1376"/>
  <c r="I1376"/>
  <c r="I1381"/>
  <c r="E112"/>
  <c r="I112"/>
  <c r="I119"/>
  <c r="E942"/>
  <c r="I942"/>
  <c r="I943"/>
  <c r="J1108"/>
  <c r="I1108"/>
  <c r="E1456"/>
  <c r="I1456"/>
  <c r="I1457"/>
  <c r="E305"/>
  <c r="I305"/>
  <c r="I306"/>
  <c r="E1787"/>
  <c r="I1787"/>
  <c r="I1788"/>
  <c r="E1064"/>
  <c r="I1065"/>
  <c r="E27"/>
  <c r="I27"/>
  <c r="I28"/>
  <c r="E1197"/>
  <c r="I1197"/>
  <c r="I1198"/>
  <c r="E692"/>
  <c r="I692"/>
  <c r="I693"/>
  <c r="E1447"/>
  <c r="I1447"/>
  <c r="I1448"/>
  <c r="E228"/>
  <c r="I228"/>
  <c r="I229"/>
  <c r="E1129"/>
  <c r="I1129"/>
  <c r="I1130"/>
  <c r="E1441"/>
  <c r="I1441"/>
  <c r="I1442"/>
  <c r="E1807"/>
  <c r="I1807"/>
  <c r="I1808"/>
  <c r="E669"/>
  <c r="I669"/>
  <c r="I672"/>
  <c r="J285"/>
  <c r="I285"/>
  <c r="I1174"/>
  <c r="I220"/>
  <c r="J220"/>
  <c r="E1141"/>
  <c r="I1141"/>
  <c r="I1142"/>
  <c r="I1996"/>
  <c r="J1996"/>
  <c r="E695"/>
  <c r="I695"/>
  <c r="I696"/>
  <c r="E1138"/>
  <c r="I1139"/>
  <c r="E279"/>
  <c r="I279"/>
  <c r="I280"/>
  <c r="E1384"/>
  <c r="I1384"/>
  <c r="I1391"/>
  <c r="I1971"/>
  <c r="E1453"/>
  <c r="I1453"/>
  <c r="I1454"/>
  <c r="E619"/>
  <c r="I619"/>
  <c r="I620"/>
  <c r="E616"/>
  <c r="I616"/>
  <c r="I617"/>
  <c r="E979"/>
  <c r="I979"/>
  <c r="I980"/>
  <c r="E291"/>
  <c r="I292"/>
  <c r="E1144"/>
  <c r="I1144"/>
  <c r="I1145"/>
  <c r="E1408"/>
  <c r="I1408"/>
  <c r="I1409"/>
  <c r="E1810"/>
  <c r="I1810"/>
  <c r="I1811"/>
  <c r="I155"/>
  <c r="J155"/>
  <c r="E1419"/>
  <c r="E107"/>
  <c r="I107"/>
  <c r="E1813"/>
  <c r="I1813"/>
  <c r="E268"/>
  <c r="I268"/>
  <c r="E1365"/>
  <c r="I1365"/>
  <c r="I1366"/>
  <c r="E1411"/>
  <c r="I1411"/>
  <c r="I1412"/>
  <c r="E1775"/>
  <c r="I1776"/>
  <c r="E1070"/>
  <c r="I1070"/>
  <c r="I1071"/>
  <c r="E1850"/>
  <c r="I1850"/>
  <c r="I1851"/>
  <c r="I1991"/>
  <c r="J1991"/>
  <c r="E1209"/>
  <c r="I1209"/>
  <c r="I1210"/>
  <c r="E1416"/>
  <c r="I1417"/>
  <c r="E1723"/>
  <c r="I1723"/>
  <c r="I1724"/>
  <c r="E644"/>
  <c r="I644"/>
  <c r="I645"/>
  <c r="E148"/>
  <c r="I149"/>
  <c r="I1177"/>
  <c r="E1346"/>
  <c r="I1346"/>
  <c r="I1347"/>
  <c r="E134"/>
  <c r="I134"/>
  <c r="I135"/>
  <c r="E214"/>
  <c r="I214"/>
  <c r="I215"/>
  <c r="E1349"/>
  <c r="I1349"/>
  <c r="I1350"/>
  <c r="E1362"/>
  <c r="I1363"/>
  <c r="E1784"/>
  <c r="I1784"/>
  <c r="I1785"/>
  <c r="I1162"/>
  <c r="E933"/>
  <c r="I933"/>
  <c r="I934"/>
  <c r="E936"/>
  <c r="I936"/>
  <c r="I937"/>
  <c r="E1720"/>
  <c r="I1721"/>
  <c r="E1354"/>
  <c r="I1355"/>
  <c r="E1050"/>
  <c r="I1051"/>
  <c r="E675"/>
  <c r="E97"/>
  <c r="I97"/>
  <c r="I98"/>
  <c r="E806"/>
  <c r="E707"/>
  <c r="I807"/>
  <c r="E641"/>
  <c r="I641"/>
  <c r="I642"/>
  <c r="I1165"/>
  <c r="E238"/>
  <c r="I238"/>
  <c r="I239"/>
  <c r="E928"/>
  <c r="E1795"/>
  <c r="E1394"/>
  <c r="I1394"/>
  <c r="E1713"/>
  <c r="E206"/>
  <c r="I206"/>
  <c r="I78"/>
  <c r="E319"/>
  <c r="I294"/>
  <c r="I308"/>
  <c r="J308"/>
  <c r="I314"/>
  <c r="J112"/>
  <c r="J66"/>
  <c r="I47"/>
  <c r="J47"/>
  <c r="I44"/>
  <c r="J44"/>
  <c r="J26"/>
  <c r="J39"/>
  <c r="I39"/>
  <c r="I170"/>
  <c r="J170"/>
  <c r="I235"/>
  <c r="J178"/>
  <c r="I178"/>
  <c r="J145"/>
  <c r="I145"/>
  <c r="I223"/>
  <c r="J223"/>
  <c r="J173"/>
  <c r="J255"/>
  <c r="J51"/>
  <c r="I51"/>
  <c r="J12"/>
  <c r="L2228" i="1"/>
  <c r="L2229"/>
  <c r="H2707"/>
  <c r="L2707"/>
  <c r="L2708"/>
  <c r="H2748"/>
  <c r="L2749"/>
  <c r="H2737"/>
  <c r="L2738"/>
  <c r="H2393"/>
  <c r="H2392"/>
  <c r="H2391"/>
  <c r="L2227"/>
  <c r="L2199"/>
  <c r="L2200"/>
  <c r="J1672"/>
  <c r="K1701"/>
  <c r="I1730"/>
  <c r="H2018"/>
  <c r="K1730"/>
  <c r="J2004"/>
  <c r="J2011"/>
  <c r="J1999"/>
  <c r="M1702"/>
  <c r="G2004"/>
  <c r="G2011"/>
  <c r="G1999"/>
  <c r="L2096"/>
  <c r="K1672"/>
  <c r="J1730"/>
  <c r="I2004"/>
  <c r="I2011"/>
  <c r="I1999"/>
  <c r="K806"/>
  <c r="L806"/>
  <c r="J1701"/>
  <c r="J1700"/>
  <c r="J1699"/>
  <c r="J1698"/>
  <c r="I1701"/>
  <c r="I1700"/>
  <c r="I1699"/>
  <c r="I1698"/>
  <c r="L663"/>
  <c r="M1950"/>
  <c r="I1672"/>
  <c r="H2064"/>
  <c r="M1949"/>
  <c r="L1949"/>
  <c r="I953"/>
  <c r="H1598"/>
  <c r="H1603"/>
  <c r="H1597"/>
  <c r="M663"/>
  <c r="L1950"/>
  <c r="I805"/>
  <c r="I799"/>
  <c r="I798"/>
  <c r="I797"/>
  <c r="H2011"/>
  <c r="H2004"/>
  <c r="H1730"/>
  <c r="H1701"/>
  <c r="H1700"/>
  <c r="H1699"/>
  <c r="H1698"/>
  <c r="M1558"/>
  <c r="L1558"/>
  <c r="H805"/>
  <c r="H799"/>
  <c r="H798"/>
  <c r="H797"/>
  <c r="L832"/>
  <c r="H1672"/>
  <c r="J953"/>
  <c r="J1296"/>
  <c r="L830"/>
  <c r="J1465"/>
  <c r="J1464"/>
  <c r="J1463"/>
  <c r="J1462"/>
  <c r="H1465"/>
  <c r="H1464"/>
  <c r="H1463"/>
  <c r="H1462"/>
  <c r="I913"/>
  <c r="I912"/>
  <c r="I911"/>
  <c r="M1492"/>
  <c r="J1339"/>
  <c r="J1338"/>
  <c r="J1337"/>
  <c r="I1339"/>
  <c r="I1338"/>
  <c r="I1337"/>
  <c r="M773"/>
  <c r="H1339"/>
  <c r="H1338"/>
  <c r="H1337"/>
  <c r="J913"/>
  <c r="J912"/>
  <c r="H953"/>
  <c r="M819"/>
  <c r="L819"/>
  <c r="M830"/>
  <c r="K815"/>
  <c r="M815"/>
  <c r="L866"/>
  <c r="H865"/>
  <c r="L1135"/>
  <c r="M1135"/>
  <c r="L874"/>
  <c r="L873"/>
  <c r="H872"/>
  <c r="L872"/>
  <c r="M969"/>
  <c r="G1798"/>
  <c r="M807"/>
  <c r="L807"/>
  <c r="M1159"/>
  <c r="L1159"/>
  <c r="K1055"/>
  <c r="L1056"/>
  <c r="M1056"/>
  <c r="M832"/>
  <c r="L831"/>
  <c r="M1171"/>
  <c r="I1296"/>
  <c r="K840"/>
  <c r="M841"/>
  <c r="L841"/>
  <c r="M831"/>
  <c r="K905"/>
  <c r="L906"/>
  <c r="M906"/>
  <c r="M914"/>
  <c r="L914"/>
  <c r="K947"/>
  <c r="L948"/>
  <c r="M948"/>
  <c r="H2500"/>
  <c r="H2499"/>
  <c r="H2498"/>
  <c r="L680"/>
  <c r="M810"/>
  <c r="L810"/>
  <c r="J757"/>
  <c r="J737"/>
  <c r="M680"/>
  <c r="L505"/>
  <c r="L2459"/>
  <c r="K823"/>
  <c r="L824"/>
  <c r="M824"/>
  <c r="H913"/>
  <c r="H912"/>
  <c r="H911"/>
  <c r="M1660"/>
  <c r="H898"/>
  <c r="E1988" i="2"/>
  <c r="J805" i="1"/>
  <c r="J799"/>
  <c r="J798"/>
  <c r="J797"/>
  <c r="K687"/>
  <c r="L688"/>
  <c r="M688"/>
  <c r="L773"/>
  <c r="H772"/>
  <c r="L772"/>
  <c r="M788"/>
  <c r="L2420"/>
  <c r="L1932"/>
  <c r="H787"/>
  <c r="K1993"/>
  <c r="L718"/>
  <c r="H717"/>
  <c r="L717"/>
  <c r="E66" i="2"/>
  <c r="E62"/>
  <c r="L2501" i="1"/>
  <c r="L36"/>
  <c r="M1483"/>
  <c r="L2013"/>
  <c r="L2246"/>
  <c r="L2414"/>
  <c r="H30"/>
  <c r="H2357"/>
  <c r="H2356"/>
  <c r="H2355"/>
  <c r="L225"/>
  <c r="L1311"/>
  <c r="M1485"/>
  <c r="M2700"/>
  <c r="H1499"/>
  <c r="H1498"/>
  <c r="I131"/>
  <c r="M387"/>
  <c r="L419"/>
  <c r="K552"/>
  <c r="K548"/>
  <c r="L553"/>
  <c r="M553"/>
  <c r="M62"/>
  <c r="M2163"/>
  <c r="G79"/>
  <c r="G78"/>
  <c r="L613"/>
  <c r="I674"/>
  <c r="I673"/>
  <c r="L712"/>
  <c r="L1492"/>
  <c r="L1515"/>
  <c r="L1535"/>
  <c r="L1539"/>
  <c r="L1552"/>
  <c r="K1798"/>
  <c r="J2692"/>
  <c r="J2691"/>
  <c r="M2693"/>
  <c r="L2633"/>
  <c r="I310"/>
  <c r="L652"/>
  <c r="L1655"/>
  <c r="L1666"/>
  <c r="I1914"/>
  <c r="I1973"/>
  <c r="I1988"/>
  <c r="L1994"/>
  <c r="M2050"/>
  <c r="M2583"/>
  <c r="L620"/>
  <c r="L1294"/>
  <c r="H1798"/>
  <c r="H1803"/>
  <c r="H1854"/>
  <c r="H1859"/>
  <c r="H1869"/>
  <c r="H1884"/>
  <c r="H1889"/>
  <c r="H1904"/>
  <c r="H1909"/>
  <c r="M2213"/>
  <c r="M225"/>
  <c r="L546"/>
  <c r="M1001"/>
  <c r="M1315"/>
  <c r="M656"/>
  <c r="L1801"/>
  <c r="L1806"/>
  <c r="L1811"/>
  <c r="L1817"/>
  <c r="M1872"/>
  <c r="M1887"/>
  <c r="L1892"/>
  <c r="L1902"/>
  <c r="M1907"/>
  <c r="M1912"/>
  <c r="L1917"/>
  <c r="L1922"/>
  <c r="L1991"/>
  <c r="L516"/>
  <c r="H515"/>
  <c r="L515"/>
  <c r="K131"/>
  <c r="I2299"/>
  <c r="I2298"/>
  <c r="M132"/>
  <c r="M2459"/>
  <c r="J131"/>
  <c r="I159"/>
  <c r="I150"/>
  <c r="J310"/>
  <c r="I1613"/>
  <c r="I1606"/>
  <c r="I1598"/>
  <c r="I1597"/>
  <c r="I1596"/>
  <c r="L2136"/>
  <c r="J2500"/>
  <c r="J2499"/>
  <c r="J2498"/>
  <c r="L1789"/>
  <c r="L1804"/>
  <c r="M1824"/>
  <c r="M1829"/>
  <c r="M1845"/>
  <c r="M1850"/>
  <c r="M1855"/>
  <c r="M1860"/>
  <c r="M2322"/>
  <c r="J159"/>
  <c r="J150"/>
  <c r="J149"/>
  <c r="J148"/>
  <c r="I2290"/>
  <c r="L462"/>
  <c r="H310"/>
  <c r="M613"/>
  <c r="J674"/>
  <c r="J673"/>
  <c r="J1869"/>
  <c r="J1943"/>
  <c r="J1942"/>
  <c r="J1941"/>
  <c r="M2531"/>
  <c r="M520"/>
  <c r="L519"/>
  <c r="M519"/>
  <c r="H508"/>
  <c r="H507"/>
  <c r="K235"/>
  <c r="M236"/>
  <c r="L236"/>
  <c r="M2464"/>
  <c r="M419"/>
  <c r="H543"/>
  <c r="L642"/>
  <c r="K674"/>
  <c r="K673"/>
  <c r="J975"/>
  <c r="J1074"/>
  <c r="K1983"/>
  <c r="J1993"/>
  <c r="L2292"/>
  <c r="M1049"/>
  <c r="M64"/>
  <c r="M532"/>
  <c r="M538"/>
  <c r="K543"/>
  <c r="J651"/>
  <c r="J1198"/>
  <c r="J1125"/>
  <c r="M2373"/>
  <c r="L2724"/>
  <c r="L311"/>
  <c r="M311"/>
  <c r="M324"/>
  <c r="L387"/>
  <c r="J478"/>
  <c r="L538"/>
  <c r="L932"/>
  <c r="L1410"/>
  <c r="G1793"/>
  <c r="M1981"/>
  <c r="H2210"/>
  <c r="H2209"/>
  <c r="H2208"/>
  <c r="H2207"/>
  <c r="H2206"/>
  <c r="I2243"/>
  <c r="I2242"/>
  <c r="I2241"/>
  <c r="I2240"/>
  <c r="G2308"/>
  <c r="G2304"/>
  <c r="M2580"/>
  <c r="M2420"/>
  <c r="M1670"/>
  <c r="L2541"/>
  <c r="I361"/>
  <c r="I360"/>
  <c r="I359"/>
  <c r="I358"/>
  <c r="K535"/>
  <c r="H674"/>
  <c r="H673"/>
  <c r="I694"/>
  <c r="I693"/>
  <c r="I692"/>
  <c r="M758"/>
  <c r="L1370"/>
  <c r="M1374"/>
  <c r="M1733"/>
  <c r="M1740"/>
  <c r="K1746"/>
  <c r="I1844"/>
  <c r="L2125"/>
  <c r="L2279"/>
  <c r="L2322"/>
  <c r="L500"/>
  <c r="L497"/>
  <c r="L437"/>
  <c r="L302"/>
  <c r="L544"/>
  <c r="M1799"/>
  <c r="M1099"/>
  <c r="G1549"/>
  <c r="G1548"/>
  <c r="M2567"/>
  <c r="L2675"/>
  <c r="M136"/>
  <c r="M2701"/>
  <c r="G111"/>
  <c r="G110"/>
  <c r="G109"/>
  <c r="G131"/>
  <c r="M250"/>
  <c r="M544"/>
  <c r="H998"/>
  <c r="M1199"/>
  <c r="L1344"/>
  <c r="L1433"/>
  <c r="J1613"/>
  <c r="J1606"/>
  <c r="J1598"/>
  <c r="J1597"/>
  <c r="J1596"/>
  <c r="M1819"/>
  <c r="M2032"/>
  <c r="L2065"/>
  <c r="L2075"/>
  <c r="L2109"/>
  <c r="L2124"/>
  <c r="M2246"/>
  <c r="M2251"/>
  <c r="L2509"/>
  <c r="I2500"/>
  <c r="I2499"/>
  <c r="I2498"/>
  <c r="L1819"/>
  <c r="L1845"/>
  <c r="H131"/>
  <c r="J1914"/>
  <c r="M1370"/>
  <c r="K55"/>
  <c r="L62"/>
  <c r="G543"/>
  <c r="L587"/>
  <c r="L604"/>
  <c r="L760"/>
  <c r="L922"/>
  <c r="L1053"/>
  <c r="L1080"/>
  <c r="L1418"/>
  <c r="I1659"/>
  <c r="L1673"/>
  <c r="L1679"/>
  <c r="J1821"/>
  <c r="M1944"/>
  <c r="L2016"/>
  <c r="L2302"/>
  <c r="L2326"/>
  <c r="L2331"/>
  <c r="L1809"/>
  <c r="L1082"/>
  <c r="J1659"/>
  <c r="K1821"/>
  <c r="L1001"/>
  <c r="G91"/>
  <c r="G90"/>
  <c r="K111"/>
  <c r="I173"/>
  <c r="I172"/>
  <c r="I171"/>
  <c r="M459"/>
  <c r="M616"/>
  <c r="L661"/>
  <c r="M790"/>
  <c r="M978"/>
  <c r="L1944"/>
  <c r="M1969"/>
  <c r="M1974"/>
  <c r="L1989"/>
  <c r="L2067"/>
  <c r="L2073"/>
  <c r="L2084"/>
  <c r="L2088"/>
  <c r="L2103"/>
  <c r="M2107"/>
  <c r="M2113"/>
  <c r="L2700"/>
  <c r="L2693"/>
  <c r="L1478"/>
  <c r="L53"/>
  <c r="J641"/>
  <c r="I2271"/>
  <c r="J2367"/>
  <c r="J2363"/>
  <c r="M202"/>
  <c r="G397"/>
  <c r="M402"/>
  <c r="L406"/>
  <c r="J426"/>
  <c r="J610"/>
  <c r="H619"/>
  <c r="L671"/>
  <c r="J780"/>
  <c r="M1019"/>
  <c r="L1313"/>
  <c r="L1318"/>
  <c r="M1500"/>
  <c r="M1662"/>
  <c r="L1737"/>
  <c r="M1925"/>
  <c r="M1946"/>
  <c r="J1973"/>
  <c r="J1978"/>
  <c r="J1988"/>
  <c r="I1993"/>
  <c r="J2271"/>
  <c r="J2270"/>
  <c r="J2357"/>
  <c r="J2356"/>
  <c r="J2355"/>
  <c r="J1562"/>
  <c r="K1562"/>
  <c r="I164"/>
  <c r="M164"/>
  <c r="M165"/>
  <c r="H164"/>
  <c r="L165"/>
  <c r="M2501"/>
  <c r="G1849"/>
  <c r="L2002"/>
  <c r="M2073"/>
  <c r="M277"/>
  <c r="M2462"/>
  <c r="M2532"/>
  <c r="H300"/>
  <c r="M1673"/>
  <c r="G1904"/>
  <c r="M1789"/>
  <c r="H1808"/>
  <c r="L675"/>
  <c r="L1872"/>
  <c r="L1925"/>
  <c r="L2580"/>
  <c r="L2584"/>
  <c r="L2638"/>
  <c r="I20"/>
  <c r="I19"/>
  <c r="I18"/>
  <c r="M49"/>
  <c r="J173"/>
  <c r="J172"/>
  <c r="J171"/>
  <c r="J247"/>
  <c r="J246"/>
  <c r="J245"/>
  <c r="J239"/>
  <c r="M423"/>
  <c r="L452"/>
  <c r="I582"/>
  <c r="L594"/>
  <c r="G636"/>
  <c r="K641"/>
  <c r="L646"/>
  <c r="L702"/>
  <c r="H757"/>
  <c r="H737"/>
  <c r="M783"/>
  <c r="L994"/>
  <c r="L1187"/>
  <c r="K1198"/>
  <c r="L1219"/>
  <c r="L1231"/>
  <c r="L1243"/>
  <c r="M1267"/>
  <c r="L1291"/>
  <c r="M1313"/>
  <c r="L1388"/>
  <c r="M1396"/>
  <c r="H1428"/>
  <c r="H1427"/>
  <c r="H1426"/>
  <c r="K1603"/>
  <c r="L1614"/>
  <c r="L1744"/>
  <c r="G1831"/>
  <c r="M1809"/>
  <c r="I1854"/>
  <c r="I1869"/>
  <c r="I1874"/>
  <c r="I1879"/>
  <c r="M1885"/>
  <c r="I1904"/>
  <c r="I1909"/>
  <c r="L1915"/>
  <c r="L1920"/>
  <c r="I1957"/>
  <c r="H1973"/>
  <c r="L1981"/>
  <c r="H2047"/>
  <c r="H2046"/>
  <c r="H2045"/>
  <c r="H2044"/>
  <c r="H2043"/>
  <c r="L2052"/>
  <c r="L2071"/>
  <c r="L2105"/>
  <c r="L2274"/>
  <c r="I2515"/>
  <c r="M2515"/>
  <c r="M2633"/>
  <c r="K2692"/>
  <c r="K2691"/>
  <c r="L1566"/>
  <c r="M292"/>
  <c r="L1974"/>
  <c r="M1368"/>
  <c r="M1664"/>
  <c r="L2582"/>
  <c r="L277"/>
  <c r="L1368"/>
  <c r="G1884"/>
  <c r="M1822"/>
  <c r="M1852"/>
  <c r="L2161"/>
  <c r="I2372"/>
  <c r="M2372"/>
  <c r="L1207"/>
  <c r="L1556"/>
  <c r="M1892"/>
  <c r="M2326"/>
  <c r="M2461"/>
  <c r="M2581"/>
  <c r="M2585"/>
  <c r="L160"/>
  <c r="J418"/>
  <c r="M427"/>
  <c r="J535"/>
  <c r="J543"/>
  <c r="I981"/>
  <c r="G1446"/>
  <c r="K1499"/>
  <c r="K1498"/>
  <c r="H1682"/>
  <c r="H1783"/>
  <c r="J1816"/>
  <c r="L1822"/>
  <c r="H1826"/>
  <c r="H1844"/>
  <c r="L1852"/>
  <c r="I1943"/>
  <c r="I1942"/>
  <c r="I1941"/>
  <c r="M2223"/>
  <c r="M2595"/>
  <c r="L2649"/>
  <c r="L2583"/>
  <c r="M2484"/>
  <c r="L1085"/>
  <c r="M2136"/>
  <c r="G20"/>
  <c r="G19"/>
  <c r="G18"/>
  <c r="M2679"/>
  <c r="M1151"/>
  <c r="L1372"/>
  <c r="I1481"/>
  <c r="M652"/>
  <c r="M1072"/>
  <c r="L1486"/>
  <c r="M1569"/>
  <c r="M1679"/>
  <c r="M2460"/>
  <c r="L2581"/>
  <c r="L2585"/>
  <c r="M51"/>
  <c r="I55"/>
  <c r="H222"/>
  <c r="H221"/>
  <c r="H216"/>
  <c r="H215"/>
  <c r="H247"/>
  <c r="H246"/>
  <c r="H245"/>
  <c r="H239"/>
  <c r="H214"/>
  <c r="L250"/>
  <c r="L271"/>
  <c r="L427"/>
  <c r="L457"/>
  <c r="L482"/>
  <c r="I543"/>
  <c r="J619"/>
  <c r="L747"/>
  <c r="H975"/>
  <c r="H1074"/>
  <c r="H1079"/>
  <c r="K1087"/>
  <c r="L1568"/>
  <c r="L1670"/>
  <c r="L1683"/>
  <c r="L1688"/>
  <c r="L1781"/>
  <c r="L1786"/>
  <c r="I1816"/>
  <c r="L1840"/>
  <c r="L1865"/>
  <c r="K1874"/>
  <c r="L1880"/>
  <c r="K1957"/>
  <c r="G2271"/>
  <c r="G2270"/>
  <c r="H2290"/>
  <c r="I2308"/>
  <c r="I2304"/>
  <c r="I2539"/>
  <c r="K2047"/>
  <c r="K2046"/>
  <c r="L1760"/>
  <c r="M1902"/>
  <c r="M2463"/>
  <c r="M2533"/>
  <c r="M2582"/>
  <c r="M1040"/>
  <c r="L1304"/>
  <c r="L2412"/>
  <c r="L2485"/>
  <c r="M2649"/>
  <c r="L1072"/>
  <c r="L2191"/>
  <c r="M2584"/>
  <c r="J20"/>
  <c r="J19"/>
  <c r="J18"/>
  <c r="J79"/>
  <c r="J78"/>
  <c r="L176"/>
  <c r="L229"/>
  <c r="K247"/>
  <c r="K246"/>
  <c r="L283"/>
  <c r="M429"/>
  <c r="I619"/>
  <c r="H641"/>
  <c r="L658"/>
  <c r="M751"/>
  <c r="L973"/>
  <c r="L978"/>
  <c r="M1077"/>
  <c r="J1087"/>
  <c r="L1591"/>
  <c r="L1604"/>
  <c r="L1616"/>
  <c r="H1816"/>
  <c r="J1844"/>
  <c r="J1854"/>
  <c r="J1874"/>
  <c r="J1879"/>
  <c r="J1884"/>
  <c r="J1899"/>
  <c r="J1909"/>
  <c r="M1915"/>
  <c r="M2052"/>
  <c r="K2539"/>
  <c r="I2692"/>
  <c r="I2691"/>
  <c r="L151"/>
  <c r="J111"/>
  <c r="J110"/>
  <c r="J109"/>
  <c r="H111"/>
  <c r="H110"/>
  <c r="H109"/>
  <c r="L105"/>
  <c r="H79"/>
  <c r="H78"/>
  <c r="L84"/>
  <c r="L81"/>
  <c r="H55"/>
  <c r="L56"/>
  <c r="G2186"/>
  <c r="G2185"/>
  <c r="G2184"/>
  <c r="J2029"/>
  <c r="L286"/>
  <c r="L2092"/>
  <c r="M620"/>
  <c r="H1351"/>
  <c r="H1350"/>
  <c r="H1349"/>
  <c r="G1839"/>
  <c r="J2185"/>
  <c r="J2184"/>
  <c r="M497"/>
  <c r="L1860"/>
  <c r="M1010"/>
  <c r="M2723"/>
  <c r="L219"/>
  <c r="L266"/>
  <c r="L790"/>
  <c r="L1096"/>
  <c r="M1113"/>
  <c r="L1315"/>
  <c r="L1396"/>
  <c r="M1486"/>
  <c r="M1642"/>
  <c r="L1733"/>
  <c r="L1829"/>
  <c r="L1912"/>
  <c r="M2002"/>
  <c r="L2032"/>
  <c r="L2050"/>
  <c r="M211"/>
  <c r="I222"/>
  <c r="I221"/>
  <c r="I216"/>
  <c r="I215"/>
  <c r="K307"/>
  <c r="L307"/>
  <c r="L321"/>
  <c r="M362"/>
  <c r="L366"/>
  <c r="M437"/>
  <c r="M639"/>
  <c r="I641"/>
  <c r="M892"/>
  <c r="L982"/>
  <c r="I998"/>
  <c r="H1198"/>
  <c r="H1393"/>
  <c r="H1392"/>
  <c r="H1384"/>
  <c r="L1402"/>
  <c r="M1568"/>
  <c r="G1627"/>
  <c r="G1626"/>
  <c r="G1625"/>
  <c r="G1624"/>
  <c r="G1623"/>
  <c r="G1622"/>
  <c r="L1660"/>
  <c r="K1669"/>
  <c r="M1669"/>
  <c r="M1685"/>
  <c r="L1695"/>
  <c r="J1788"/>
  <c r="J1793"/>
  <c r="H1864"/>
  <c r="H1874"/>
  <c r="K1894"/>
  <c r="M1900"/>
  <c r="L1905"/>
  <c r="M1910"/>
  <c r="L1934"/>
  <c r="I1983"/>
  <c r="M1994"/>
  <c r="K2031"/>
  <c r="L2031"/>
  <c r="K2015"/>
  <c r="L2015"/>
  <c r="H2299"/>
  <c r="H2298"/>
  <c r="J2308"/>
  <c r="J2304"/>
  <c r="K2367"/>
  <c r="K2363"/>
  <c r="L2379"/>
  <c r="L2548"/>
  <c r="L1543"/>
  <c r="G981"/>
  <c r="G1682"/>
  <c r="M229"/>
  <c r="J300"/>
  <c r="M482"/>
  <c r="L2637"/>
  <c r="L436"/>
  <c r="L654"/>
  <c r="G975"/>
  <c r="M1433"/>
  <c r="M271"/>
  <c r="L1022"/>
  <c r="L1255"/>
  <c r="M1489"/>
  <c r="L1500"/>
  <c r="L1529"/>
  <c r="M2067"/>
  <c r="L2532"/>
  <c r="M2636"/>
  <c r="I91"/>
  <c r="I90"/>
  <c r="J361"/>
  <c r="J360"/>
  <c r="J359"/>
  <c r="J358"/>
  <c r="K386"/>
  <c r="K385"/>
  <c r="L455"/>
  <c r="H481"/>
  <c r="H480"/>
  <c r="H479"/>
  <c r="I535"/>
  <c r="I610"/>
  <c r="L745"/>
  <c r="L918"/>
  <c r="G1079"/>
  <c r="L1119"/>
  <c r="M1196"/>
  <c r="L1204"/>
  <c r="L1246"/>
  <c r="K1482"/>
  <c r="M1482"/>
  <c r="I1722"/>
  <c r="I1721"/>
  <c r="I1720"/>
  <c r="I1719"/>
  <c r="G1854"/>
  <c r="G1894"/>
  <c r="M1796"/>
  <c r="I1821"/>
  <c r="L1857"/>
  <c r="L1862"/>
  <c r="K2112"/>
  <c r="L2080"/>
  <c r="J2133"/>
  <c r="J2132"/>
  <c r="J2131"/>
  <c r="J2130"/>
  <c r="J2129"/>
  <c r="L2213"/>
  <c r="L2272"/>
  <c r="L2276"/>
  <c r="L2300"/>
  <c r="K2321"/>
  <c r="L2350"/>
  <c r="L2404"/>
  <c r="L2398"/>
  <c r="K1367"/>
  <c r="I2029"/>
  <c r="L2113"/>
  <c r="M1712"/>
  <c r="L2295"/>
  <c r="M1075"/>
  <c r="G1562"/>
  <c r="M1546"/>
  <c r="H1914"/>
  <c r="I2328"/>
  <c r="M305"/>
  <c r="L1483"/>
  <c r="J91"/>
  <c r="J90"/>
  <c r="J77"/>
  <c r="M741"/>
  <c r="L1113"/>
  <c r="L1545"/>
  <c r="G1816"/>
  <c r="L49"/>
  <c r="L402"/>
  <c r="L739"/>
  <c r="M766"/>
  <c r="L1563"/>
  <c r="M1591"/>
  <c r="M1688"/>
  <c r="M1865"/>
  <c r="M2224"/>
  <c r="L2463"/>
  <c r="M2635"/>
  <c r="K80"/>
  <c r="K83"/>
  <c r="L83"/>
  <c r="L88"/>
  <c r="H91"/>
  <c r="H90"/>
  <c r="M116"/>
  <c r="H159"/>
  <c r="H150"/>
  <c r="K218"/>
  <c r="L218"/>
  <c r="L243"/>
  <c r="J386"/>
  <c r="J385"/>
  <c r="H426"/>
  <c r="I454"/>
  <c r="I450"/>
  <c r="L493"/>
  <c r="H535"/>
  <c r="L597"/>
  <c r="L601"/>
  <c r="H610"/>
  <c r="L622"/>
  <c r="I636"/>
  <c r="L644"/>
  <c r="L648"/>
  <c r="L758"/>
  <c r="L783"/>
  <c r="L794"/>
  <c r="L881"/>
  <c r="G1013"/>
  <c r="L1004"/>
  <c r="L1008"/>
  <c r="L1019"/>
  <c r="I1048"/>
  <c r="I1047"/>
  <c r="I1046"/>
  <c r="H1087"/>
  <c r="H1112"/>
  <c r="M1148"/>
  <c r="L1307"/>
  <c r="M1318"/>
  <c r="L1377"/>
  <c r="K1381"/>
  <c r="K1380"/>
  <c r="I1477"/>
  <c r="I1476"/>
  <c r="I1475"/>
  <c r="M1543"/>
  <c r="L1569"/>
  <c r="L1588"/>
  <c r="M1616"/>
  <c r="H1722"/>
  <c r="H1721"/>
  <c r="H1720"/>
  <c r="H1719"/>
  <c r="H1788"/>
  <c r="L1796"/>
  <c r="M1804"/>
  <c r="H1839"/>
  <c r="I1894"/>
  <c r="H1968"/>
  <c r="L1986"/>
  <c r="M1991"/>
  <c r="L2006"/>
  <c r="M2071"/>
  <c r="M2086"/>
  <c r="M2169"/>
  <c r="J2321"/>
  <c r="M2370"/>
  <c r="K2411"/>
  <c r="K2410"/>
  <c r="M2416"/>
  <c r="M2450"/>
  <c r="L2093"/>
  <c r="L2533"/>
  <c r="M2637"/>
  <c r="H1186"/>
  <c r="G1899"/>
  <c r="L1442"/>
  <c r="I426"/>
  <c r="I531"/>
  <c r="I530"/>
  <c r="M1006"/>
  <c r="H1562"/>
  <c r="G1722"/>
  <c r="G1721"/>
  <c r="G1720"/>
  <c r="G1719"/>
  <c r="I2083"/>
  <c r="I2082"/>
  <c r="L305"/>
  <c r="M176"/>
  <c r="M289"/>
  <c r="M412"/>
  <c r="L494"/>
  <c r="L1088"/>
  <c r="L1298"/>
  <c r="L1504"/>
  <c r="L1799"/>
  <c r="L1928"/>
  <c r="M2016"/>
  <c r="L2224"/>
  <c r="L2531"/>
  <c r="M2724"/>
  <c r="M160"/>
  <c r="J222"/>
  <c r="J221"/>
  <c r="J216"/>
  <c r="J215"/>
  <c r="L399"/>
  <c r="L627"/>
  <c r="H636"/>
  <c r="G757"/>
  <c r="G737"/>
  <c r="J879"/>
  <c r="J878"/>
  <c r="J877"/>
  <c r="J998"/>
  <c r="J1013"/>
  <c r="I1198"/>
  <c r="L1356"/>
  <c r="I1393"/>
  <c r="I1392"/>
  <c r="H1446"/>
  <c r="K1491"/>
  <c r="M1491"/>
  <c r="L1496"/>
  <c r="M1506"/>
  <c r="K1514"/>
  <c r="K1510"/>
  <c r="M1723"/>
  <c r="J1746"/>
  <c r="G1788"/>
  <c r="M1778"/>
  <c r="K1788"/>
  <c r="M1794"/>
  <c r="J1798"/>
  <c r="L1832"/>
  <c r="L1837"/>
  <c r="L1842"/>
  <c r="I1864"/>
  <c r="L1966"/>
  <c r="L1971"/>
  <c r="H1993"/>
  <c r="J2047"/>
  <c r="J2046"/>
  <c r="J2045"/>
  <c r="J2044"/>
  <c r="J2043"/>
  <c r="M2125"/>
  <c r="L2086"/>
  <c r="L2107"/>
  <c r="H2133"/>
  <c r="H2132"/>
  <c r="H2131"/>
  <c r="H2130"/>
  <c r="H2129"/>
  <c r="L2248"/>
  <c r="L2256"/>
  <c r="L2370"/>
  <c r="J2411"/>
  <c r="J2410"/>
  <c r="J2409"/>
  <c r="J2408"/>
  <c r="J2407"/>
  <c r="L28"/>
  <c r="H20"/>
  <c r="H19"/>
  <c r="H18"/>
  <c r="L14"/>
  <c r="I2718"/>
  <c r="I2717"/>
  <c r="I2716"/>
  <c r="I2715"/>
  <c r="M2715"/>
  <c r="H2723"/>
  <c r="L2723"/>
  <c r="H2692"/>
  <c r="H2691"/>
  <c r="L2701"/>
  <c r="M2677"/>
  <c r="M2676"/>
  <c r="M2675"/>
  <c r="L2679"/>
  <c r="M2678"/>
  <c r="M2680"/>
  <c r="L2676"/>
  <c r="L2680"/>
  <c r="L2678"/>
  <c r="L2677"/>
  <c r="L2651"/>
  <c r="L2652"/>
  <c r="M2651"/>
  <c r="M2650"/>
  <c r="L2650"/>
  <c r="L2654"/>
  <c r="M2653"/>
  <c r="M2654"/>
  <c r="L2653"/>
  <c r="M2652"/>
  <c r="M2634"/>
  <c r="M2638"/>
  <c r="L2636"/>
  <c r="L2635"/>
  <c r="L2634"/>
  <c r="L2621"/>
  <c r="M2620"/>
  <c r="M2622"/>
  <c r="L2620"/>
  <c r="L2622"/>
  <c r="M2621"/>
  <c r="L2609"/>
  <c r="M2609"/>
  <c r="I2594"/>
  <c r="I2593"/>
  <c r="J2594"/>
  <c r="J2593"/>
  <c r="K2594"/>
  <c r="K2593"/>
  <c r="L2595"/>
  <c r="H2594"/>
  <c r="H2593"/>
  <c r="G2594"/>
  <c r="G2593"/>
  <c r="L2571"/>
  <c r="L2567"/>
  <c r="L2569"/>
  <c r="M2570"/>
  <c r="M2568"/>
  <c r="M2572"/>
  <c r="L2568"/>
  <c r="L2572"/>
  <c r="L2570"/>
  <c r="M2569"/>
  <c r="M2571"/>
  <c r="M2549"/>
  <c r="M2548"/>
  <c r="J2539"/>
  <c r="H2539"/>
  <c r="L2540"/>
  <c r="L2549"/>
  <c r="G2539"/>
  <c r="L2515"/>
  <c r="K2500"/>
  <c r="M2509"/>
  <c r="G2500"/>
  <c r="G2499"/>
  <c r="G2498"/>
  <c r="M2485"/>
  <c r="M2472"/>
  <c r="H2484"/>
  <c r="M2475"/>
  <c r="M2474"/>
  <c r="M2473"/>
  <c r="L2460"/>
  <c r="L2464"/>
  <c r="L2462"/>
  <c r="L2461"/>
  <c r="M2451"/>
  <c r="M2434"/>
  <c r="H2434"/>
  <c r="L2450"/>
  <c r="L2451"/>
  <c r="L2424"/>
  <c r="M2422"/>
  <c r="L2422"/>
  <c r="M2423"/>
  <c r="L2423"/>
  <c r="M2421"/>
  <c r="M2425"/>
  <c r="L2421"/>
  <c r="L2425"/>
  <c r="M2424"/>
  <c r="H2411"/>
  <c r="H2410"/>
  <c r="H2409"/>
  <c r="H2408"/>
  <c r="H2407"/>
  <c r="L2416"/>
  <c r="I2411"/>
  <c r="I2410"/>
  <c r="I2409"/>
  <c r="I2408"/>
  <c r="I2407"/>
  <c r="M2412"/>
  <c r="M2414"/>
  <c r="G2411"/>
  <c r="G2410"/>
  <c r="G2409"/>
  <c r="G2408"/>
  <c r="G2407"/>
  <c r="K2403"/>
  <c r="K2402"/>
  <c r="K2401"/>
  <c r="M2398"/>
  <c r="I2402"/>
  <c r="I2401"/>
  <c r="I2400"/>
  <c r="H2402"/>
  <c r="H2401"/>
  <c r="H2400"/>
  <c r="L2397"/>
  <c r="M2397"/>
  <c r="G2390"/>
  <c r="L2382"/>
  <c r="M2383"/>
  <c r="K2375"/>
  <c r="M2379"/>
  <c r="L2373"/>
  <c r="I2367"/>
  <c r="H2367"/>
  <c r="L2372"/>
  <c r="J2375"/>
  <c r="L2364"/>
  <c r="M2376"/>
  <c r="L2376"/>
  <c r="H2375"/>
  <c r="M2364"/>
  <c r="L2383"/>
  <c r="M2377"/>
  <c r="L2365"/>
  <c r="L2377"/>
  <c r="M2380"/>
  <c r="M2365"/>
  <c r="L2368"/>
  <c r="L2380"/>
  <c r="I2382"/>
  <c r="M2382"/>
  <c r="G2375"/>
  <c r="G2367"/>
  <c r="G2363"/>
  <c r="L2360"/>
  <c r="K2357"/>
  <c r="K2356"/>
  <c r="M2360"/>
  <c r="I2357"/>
  <c r="I2356"/>
  <c r="I2355"/>
  <c r="L2358"/>
  <c r="G2357"/>
  <c r="G2356"/>
  <c r="G2355"/>
  <c r="M2350"/>
  <c r="K2349"/>
  <c r="K2348"/>
  <c r="L2348"/>
  <c r="I2349"/>
  <c r="I2348"/>
  <c r="I2347"/>
  <c r="I2346"/>
  <c r="I2345"/>
  <c r="H2346"/>
  <c r="H2345"/>
  <c r="L2333"/>
  <c r="J2328"/>
  <c r="M2333"/>
  <c r="H2328"/>
  <c r="K2328"/>
  <c r="L2324"/>
  <c r="I2321"/>
  <c r="H2321"/>
  <c r="J2313"/>
  <c r="I2313"/>
  <c r="H2313"/>
  <c r="H2308"/>
  <c r="H2304"/>
  <c r="M2302"/>
  <c r="J2299"/>
  <c r="J2298"/>
  <c r="J2290"/>
  <c r="L2284"/>
  <c r="M2277"/>
  <c r="M2274"/>
  <c r="H2271"/>
  <c r="H2270"/>
  <c r="K2313"/>
  <c r="M2279"/>
  <c r="L2294"/>
  <c r="M2294"/>
  <c r="L2287"/>
  <c r="H2286"/>
  <c r="L2286"/>
  <c r="M2286"/>
  <c r="M2287"/>
  <c r="M2295"/>
  <c r="M2331"/>
  <c r="K2271"/>
  <c r="K2283"/>
  <c r="K2291"/>
  <c r="K2299"/>
  <c r="K2308"/>
  <c r="L2277"/>
  <c r="L2329"/>
  <c r="M2329"/>
  <c r="M2272"/>
  <c r="M2280"/>
  <c r="M2284"/>
  <c r="M2288"/>
  <c r="M2292"/>
  <c r="M2300"/>
  <c r="M2324"/>
  <c r="I2276"/>
  <c r="M2276"/>
  <c r="L2280"/>
  <c r="L2288"/>
  <c r="G2328"/>
  <c r="G2321"/>
  <c r="G2313"/>
  <c r="G2299"/>
  <c r="G2298"/>
  <c r="G2290"/>
  <c r="I2265"/>
  <c r="I2264"/>
  <c r="K2265"/>
  <c r="L2262"/>
  <c r="M2262"/>
  <c r="H2243"/>
  <c r="H2242"/>
  <c r="H2241"/>
  <c r="H2240"/>
  <c r="J2243"/>
  <c r="J2242"/>
  <c r="J2241"/>
  <c r="J2240"/>
  <c r="M2244"/>
  <c r="L2223"/>
  <c r="M2248"/>
  <c r="L2251"/>
  <c r="K2222"/>
  <c r="K2243"/>
  <c r="K2250"/>
  <c r="K2255"/>
  <c r="M2256"/>
  <c r="L2244"/>
  <c r="G2243"/>
  <c r="G2242"/>
  <c r="G2241"/>
  <c r="G2240"/>
  <c r="I2210"/>
  <c r="I2209"/>
  <c r="I2208"/>
  <c r="I2207"/>
  <c r="I2206"/>
  <c r="M2215"/>
  <c r="L2215"/>
  <c r="K2210"/>
  <c r="J2210"/>
  <c r="J2209"/>
  <c r="J2208"/>
  <c r="J2207"/>
  <c r="J2206"/>
  <c r="M2211"/>
  <c r="L2211"/>
  <c r="G2210"/>
  <c r="G2209"/>
  <c r="G2208"/>
  <c r="G2207"/>
  <c r="G2206"/>
  <c r="I2185"/>
  <c r="I2184"/>
  <c r="K2185"/>
  <c r="K2184"/>
  <c r="M2194"/>
  <c r="M2191"/>
  <c r="L2188"/>
  <c r="L2150"/>
  <c r="L2149"/>
  <c r="H2143"/>
  <c r="J2143"/>
  <c r="L2163"/>
  <c r="L2155"/>
  <c r="I2133"/>
  <c r="I2132"/>
  <c r="I2131"/>
  <c r="I2130"/>
  <c r="I2129"/>
  <c r="M2138"/>
  <c r="K2133"/>
  <c r="L2145"/>
  <c r="M2145"/>
  <c r="K2144"/>
  <c r="I2143"/>
  <c r="M2134"/>
  <c r="L2134"/>
  <c r="L2194"/>
  <c r="M2146"/>
  <c r="L2138"/>
  <c r="L2169"/>
  <c r="L2146"/>
  <c r="L2154"/>
  <c r="K2148"/>
  <c r="K2168"/>
  <c r="K2153"/>
  <c r="M2188"/>
  <c r="G2160"/>
  <c r="G2153"/>
  <c r="G2152"/>
  <c r="G2143"/>
  <c r="G2133"/>
  <c r="G2132"/>
  <c r="G2131"/>
  <c r="G2130"/>
  <c r="G2129"/>
  <c r="M2109"/>
  <c r="J2102"/>
  <c r="J2101"/>
  <c r="J2100"/>
  <c r="J2099"/>
  <c r="I2102"/>
  <c r="I2101"/>
  <c r="I2100"/>
  <c r="I2099"/>
  <c r="H2102"/>
  <c r="H2101"/>
  <c r="H2100"/>
  <c r="H2099"/>
  <c r="M2105"/>
  <c r="M2103"/>
  <c r="M2093"/>
  <c r="M2088"/>
  <c r="H2083"/>
  <c r="H2082"/>
  <c r="K2083"/>
  <c r="J2083"/>
  <c r="J2082"/>
  <c r="J2063"/>
  <c r="H2063"/>
  <c r="K2091"/>
  <c r="L2091"/>
  <c r="K2123"/>
  <c r="L2123"/>
  <c r="M2075"/>
  <c r="I2092"/>
  <c r="I2091"/>
  <c r="I2124"/>
  <c r="I2123"/>
  <c r="I2122"/>
  <c r="I2121"/>
  <c r="I2120"/>
  <c r="M2065"/>
  <c r="K2102"/>
  <c r="M2084"/>
  <c r="G2102"/>
  <c r="G2101"/>
  <c r="G2100"/>
  <c r="G2099"/>
  <c r="G2083"/>
  <c r="G2082"/>
  <c r="G2064"/>
  <c r="G2063"/>
  <c r="I2047"/>
  <c r="I2046"/>
  <c r="I2045"/>
  <c r="I2044"/>
  <c r="I2043"/>
  <c r="M2055"/>
  <c r="L2055"/>
  <c r="M2048"/>
  <c r="M2056"/>
  <c r="L2048"/>
  <c r="L2056"/>
  <c r="G2047"/>
  <c r="G2046"/>
  <c r="G2045"/>
  <c r="G2044"/>
  <c r="G2043"/>
  <c r="K2012"/>
  <c r="M2006"/>
  <c r="M2009"/>
  <c r="L2001"/>
  <c r="L2009"/>
  <c r="K2000"/>
  <c r="K2005"/>
  <c r="K2008"/>
  <c r="K2019"/>
  <c r="K2018"/>
  <c r="M2001"/>
  <c r="M2026"/>
  <c r="L2026"/>
  <c r="K2025"/>
  <c r="M2027"/>
  <c r="L2027"/>
  <c r="H2029"/>
  <c r="L2036"/>
  <c r="K2035"/>
  <c r="G2029"/>
  <c r="L1996"/>
  <c r="H1988"/>
  <c r="M1989"/>
  <c r="M1984"/>
  <c r="L1984"/>
  <c r="J1983"/>
  <c r="H1983"/>
  <c r="I1978"/>
  <c r="H1978"/>
  <c r="L1979"/>
  <c r="K1973"/>
  <c r="L1976"/>
  <c r="M1971"/>
  <c r="J1968"/>
  <c r="I1968"/>
  <c r="L1969"/>
  <c r="J1957"/>
  <c r="H1957"/>
  <c r="L1959"/>
  <c r="M1976"/>
  <c r="M1996"/>
  <c r="M1979"/>
  <c r="K1965"/>
  <c r="K1968"/>
  <c r="K1978"/>
  <c r="K1988"/>
  <c r="M1966"/>
  <c r="M1986"/>
  <c r="G1993"/>
  <c r="G1988"/>
  <c r="G1983"/>
  <c r="G1978"/>
  <c r="G1973"/>
  <c r="G1968"/>
  <c r="G1957"/>
  <c r="M1962"/>
  <c r="L1962"/>
  <c r="L1961"/>
  <c r="M1961"/>
  <c r="H1943"/>
  <c r="H1942"/>
  <c r="H1941"/>
  <c r="L1939"/>
  <c r="M1934"/>
  <c r="M1932"/>
  <c r="M1928"/>
  <c r="K1924"/>
  <c r="I1919"/>
  <c r="H1919"/>
  <c r="M1922"/>
  <c r="J1919"/>
  <c r="M1920"/>
  <c r="M1905"/>
  <c r="K1904"/>
  <c r="J1904"/>
  <c r="I1899"/>
  <c r="H1899"/>
  <c r="L1900"/>
  <c r="H1894"/>
  <c r="L1897"/>
  <c r="J1894"/>
  <c r="M1895"/>
  <c r="L1895"/>
  <c r="I1889"/>
  <c r="J1889"/>
  <c r="M1890"/>
  <c r="I1884"/>
  <c r="L1885"/>
  <c r="L1882"/>
  <c r="H1879"/>
  <c r="L1877"/>
  <c r="M1875"/>
  <c r="L1875"/>
  <c r="M1870"/>
  <c r="K1869"/>
  <c r="L1867"/>
  <c r="J1864"/>
  <c r="J1859"/>
  <c r="I1859"/>
  <c r="M1862"/>
  <c r="L1855"/>
  <c r="J1849"/>
  <c r="I1849"/>
  <c r="H1849"/>
  <c r="M1847"/>
  <c r="K1844"/>
  <c r="I1839"/>
  <c r="M1842"/>
  <c r="J1839"/>
  <c r="M1840"/>
  <c r="I1831"/>
  <c r="H1831"/>
  <c r="L1834"/>
  <c r="K1831"/>
  <c r="M1832"/>
  <c r="J1831"/>
  <c r="J1826"/>
  <c r="I1826"/>
  <c r="L1827"/>
  <c r="L1824"/>
  <c r="H1821"/>
  <c r="M1814"/>
  <c r="I1808"/>
  <c r="K1808"/>
  <c r="J1808"/>
  <c r="J1803"/>
  <c r="I1803"/>
  <c r="M1806"/>
  <c r="I1798"/>
  <c r="I1793"/>
  <c r="H1793"/>
  <c r="I1788"/>
  <c r="L1791"/>
  <c r="I1783"/>
  <c r="M1786"/>
  <c r="J1783"/>
  <c r="L1784"/>
  <c r="M1784"/>
  <c r="L1937"/>
  <c r="K1936"/>
  <c r="K1864"/>
  <c r="K1943"/>
  <c r="M1791"/>
  <c r="L1907"/>
  <c r="M1834"/>
  <c r="L1778"/>
  <c r="L1794"/>
  <c r="L1814"/>
  <c r="L1850"/>
  <c r="L1870"/>
  <c r="L1890"/>
  <c r="L1910"/>
  <c r="L1938"/>
  <c r="L1946"/>
  <c r="K1777"/>
  <c r="K1780"/>
  <c r="K1783"/>
  <c r="K1793"/>
  <c r="K1803"/>
  <c r="K1813"/>
  <c r="K1816"/>
  <c r="K1826"/>
  <c r="K1836"/>
  <c r="K1839"/>
  <c r="K1849"/>
  <c r="K1859"/>
  <c r="K1879"/>
  <c r="K1889"/>
  <c r="K1899"/>
  <c r="K1909"/>
  <c r="K1919"/>
  <c r="K1931"/>
  <c r="K1854"/>
  <c r="M1811"/>
  <c r="M1827"/>
  <c r="M1801"/>
  <c r="M1817"/>
  <c r="M1837"/>
  <c r="M1857"/>
  <c r="M1877"/>
  <c r="M1897"/>
  <c r="M1917"/>
  <c r="K1914"/>
  <c r="M1867"/>
  <c r="L1847"/>
  <c r="L1887"/>
  <c r="K1884"/>
  <c r="G1943"/>
  <c r="G1942"/>
  <c r="G1941"/>
  <c r="G1919"/>
  <c r="G1914"/>
  <c r="G1909"/>
  <c r="G1889"/>
  <c r="G1879"/>
  <c r="G1874"/>
  <c r="G1869"/>
  <c r="G1864"/>
  <c r="G1859"/>
  <c r="G1844"/>
  <c r="G1826"/>
  <c r="G1821"/>
  <c r="G1808"/>
  <c r="G1803"/>
  <c r="G1783"/>
  <c r="L1765"/>
  <c r="L1756"/>
  <c r="L1752"/>
  <c r="M1751"/>
  <c r="L1751"/>
  <c r="L1749"/>
  <c r="M1749"/>
  <c r="M1747"/>
  <c r="L1747"/>
  <c r="H1743"/>
  <c r="L1743"/>
  <c r="L1740"/>
  <c r="M1737"/>
  <c r="H1770"/>
  <c r="L1770"/>
  <c r="L1771"/>
  <c r="M1770"/>
  <c r="I1758"/>
  <c r="M1758"/>
  <c r="M1759"/>
  <c r="M1755"/>
  <c r="L1755"/>
  <c r="H1758"/>
  <c r="L1758"/>
  <c r="L1759"/>
  <c r="H1746"/>
  <c r="M1752"/>
  <c r="M1756"/>
  <c r="M1760"/>
  <c r="M1771"/>
  <c r="K1764"/>
  <c r="K1763"/>
  <c r="I1746"/>
  <c r="M1731"/>
  <c r="M1765"/>
  <c r="M1772"/>
  <c r="L1731"/>
  <c r="L1772"/>
  <c r="G1746"/>
  <c r="G1730"/>
  <c r="J1722"/>
  <c r="J1721"/>
  <c r="J1720"/>
  <c r="J1719"/>
  <c r="M1725"/>
  <c r="L1725"/>
  <c r="L1723"/>
  <c r="K1722"/>
  <c r="L1715"/>
  <c r="M1708"/>
  <c r="M1714"/>
  <c r="L1714"/>
  <c r="L1707"/>
  <c r="M1707"/>
  <c r="L1711"/>
  <c r="M1711"/>
  <c r="L1708"/>
  <c r="L1712"/>
  <c r="M1715"/>
  <c r="G1701"/>
  <c r="G1700"/>
  <c r="G1699"/>
  <c r="G1698"/>
  <c r="J1682"/>
  <c r="I1682"/>
  <c r="K1682"/>
  <c r="M1683"/>
  <c r="M1675"/>
  <c r="M1666"/>
  <c r="L1664"/>
  <c r="H1659"/>
  <c r="L1662"/>
  <c r="L1685"/>
  <c r="K1654"/>
  <c r="K1659"/>
  <c r="K1694"/>
  <c r="K1690"/>
  <c r="L1675"/>
  <c r="G1672"/>
  <c r="G1659"/>
  <c r="L1642"/>
  <c r="K1639"/>
  <c r="L1646"/>
  <c r="H1645"/>
  <c r="H1644"/>
  <c r="K1644"/>
  <c r="M1641"/>
  <c r="I1640"/>
  <c r="I1639"/>
  <c r="I1638"/>
  <c r="H1640"/>
  <c r="H1639"/>
  <c r="H1638"/>
  <c r="L1641"/>
  <c r="J1637"/>
  <c r="L1647"/>
  <c r="I1646"/>
  <c r="G1637"/>
  <c r="J1627"/>
  <c r="J1626"/>
  <c r="J1625"/>
  <c r="J1624"/>
  <c r="J1623"/>
  <c r="J1622"/>
  <c r="I1627"/>
  <c r="I1626"/>
  <c r="I1625"/>
  <c r="I1624"/>
  <c r="I1623"/>
  <c r="I1622"/>
  <c r="H1627"/>
  <c r="H1626"/>
  <c r="H1625"/>
  <c r="H1624"/>
  <c r="H1623"/>
  <c r="H1622"/>
  <c r="K1632"/>
  <c r="K1627"/>
  <c r="L1599"/>
  <c r="L1601"/>
  <c r="L1608"/>
  <c r="L1611"/>
  <c r="L1619"/>
  <c r="H1613"/>
  <c r="H1606"/>
  <c r="M1608"/>
  <c r="M1611"/>
  <c r="M1619"/>
  <c r="K1598"/>
  <c r="K1597"/>
  <c r="K1607"/>
  <c r="K1610"/>
  <c r="K1613"/>
  <c r="K1606"/>
  <c r="G1613"/>
  <c r="G1606"/>
  <c r="G1598"/>
  <c r="G1597"/>
  <c r="L1584"/>
  <c r="M1586"/>
  <c r="H1583"/>
  <c r="H1582"/>
  <c r="H1581"/>
  <c r="H1580"/>
  <c r="H1579"/>
  <c r="L1586"/>
  <c r="I1583"/>
  <c r="I1582"/>
  <c r="I1581"/>
  <c r="I1580"/>
  <c r="I1579"/>
  <c r="J1583"/>
  <c r="J1582"/>
  <c r="J1581"/>
  <c r="J1580"/>
  <c r="J1579"/>
  <c r="K1583"/>
  <c r="K1590"/>
  <c r="M1584"/>
  <c r="M1588"/>
  <c r="G1583"/>
  <c r="G1582"/>
  <c r="G1581"/>
  <c r="G1580"/>
  <c r="G1579"/>
  <c r="I1562"/>
  <c r="M1563"/>
  <c r="K1549"/>
  <c r="K1548"/>
  <c r="J1549"/>
  <c r="J1548"/>
  <c r="M1552"/>
  <c r="I1549"/>
  <c r="I1548"/>
  <c r="H1549"/>
  <c r="H1548"/>
  <c r="L1546"/>
  <c r="I1545"/>
  <c r="M1545"/>
  <c r="K1542"/>
  <c r="M1542"/>
  <c r="M1539"/>
  <c r="I1532"/>
  <c r="M1537"/>
  <c r="L1537"/>
  <c r="M1535"/>
  <c r="K1532"/>
  <c r="J1532"/>
  <c r="J1531"/>
  <c r="H1532"/>
  <c r="H1531"/>
  <c r="M1529"/>
  <c r="L1521"/>
  <c r="M1521"/>
  <c r="K1573"/>
  <c r="L1524"/>
  <c r="M1524"/>
  <c r="L1555"/>
  <c r="M1555"/>
  <c r="K1554"/>
  <c r="M1556"/>
  <c r="M1522"/>
  <c r="M1533"/>
  <c r="M1550"/>
  <c r="L1522"/>
  <c r="L1533"/>
  <c r="L1550"/>
  <c r="M1528"/>
  <c r="L1528"/>
  <c r="G1532"/>
  <c r="I1499"/>
  <c r="I1498"/>
  <c r="L1502"/>
  <c r="J1499"/>
  <c r="J1498"/>
  <c r="L1489"/>
  <c r="L1488"/>
  <c r="H1481"/>
  <c r="J1481"/>
  <c r="H1477"/>
  <c r="H1476"/>
  <c r="H1475"/>
  <c r="M1502"/>
  <c r="L1485"/>
  <c r="K1476"/>
  <c r="K1495"/>
  <c r="L1506"/>
  <c r="M1488"/>
  <c r="G1499"/>
  <c r="G1498"/>
  <c r="G1481"/>
  <c r="L1470"/>
  <c r="I1464"/>
  <c r="I1463"/>
  <c r="I1462"/>
  <c r="L1469"/>
  <c r="L1457"/>
  <c r="K1453"/>
  <c r="M1457"/>
  <c r="I1446"/>
  <c r="J1446"/>
  <c r="M1451"/>
  <c r="L1451"/>
  <c r="M1448"/>
  <c r="L1448"/>
  <c r="I1453"/>
  <c r="M1454"/>
  <c r="L1454"/>
  <c r="H1453"/>
  <c r="L1447"/>
  <c r="K1446"/>
  <c r="M1447"/>
  <c r="L1450"/>
  <c r="M1450"/>
  <c r="J1453"/>
  <c r="M1455"/>
  <c r="L1455"/>
  <c r="M1458"/>
  <c r="L1458"/>
  <c r="G1453"/>
  <c r="H1437"/>
  <c r="H1436"/>
  <c r="H1435"/>
  <c r="J1437"/>
  <c r="J1436"/>
  <c r="J1435"/>
  <c r="L1441"/>
  <c r="M1438"/>
  <c r="K1437"/>
  <c r="L1438"/>
  <c r="I1437"/>
  <c r="I1436"/>
  <c r="I1435"/>
  <c r="L1439"/>
  <c r="M1439"/>
  <c r="G1437"/>
  <c r="G1436"/>
  <c r="G1435"/>
  <c r="J1428"/>
  <c r="J1427"/>
  <c r="J1426"/>
  <c r="L1429"/>
  <c r="M1429"/>
  <c r="M1430"/>
  <c r="L1430"/>
  <c r="K1432"/>
  <c r="K1428"/>
  <c r="I1432"/>
  <c r="I1428"/>
  <c r="I1427"/>
  <c r="I1426"/>
  <c r="G1428"/>
  <c r="G1427"/>
  <c r="G1426"/>
  <c r="K1417"/>
  <c r="M1418"/>
  <c r="K1409"/>
  <c r="K1408"/>
  <c r="K1407"/>
  <c r="I1408"/>
  <c r="I1407"/>
  <c r="I1406"/>
  <c r="I1405"/>
  <c r="H1408"/>
  <c r="H1407"/>
  <c r="H1406"/>
  <c r="H1405"/>
  <c r="M1410"/>
  <c r="K1401"/>
  <c r="K1400"/>
  <c r="I1400"/>
  <c r="L1394"/>
  <c r="J1393"/>
  <c r="J1392"/>
  <c r="J1384"/>
  <c r="M1398"/>
  <c r="M1394"/>
  <c r="L1398"/>
  <c r="K1393"/>
  <c r="G1393"/>
  <c r="G1392"/>
  <c r="G1384"/>
  <c r="L1387"/>
  <c r="M1387"/>
  <c r="K1386"/>
  <c r="M1388"/>
  <c r="H1380"/>
  <c r="H1379"/>
  <c r="L1382"/>
  <c r="L1374"/>
  <c r="H1367"/>
  <c r="H1366"/>
  <c r="H1365"/>
  <c r="H1364"/>
  <c r="J1367"/>
  <c r="J1366"/>
  <c r="J1365"/>
  <c r="J1364"/>
  <c r="I1367"/>
  <c r="I1366"/>
  <c r="I1365"/>
  <c r="I1364"/>
  <c r="L1362"/>
  <c r="M1356"/>
  <c r="J1351"/>
  <c r="J1350"/>
  <c r="J1349"/>
  <c r="K1355"/>
  <c r="L1355"/>
  <c r="I1351"/>
  <c r="I1350"/>
  <c r="I1349"/>
  <c r="L1352"/>
  <c r="M1353"/>
  <c r="L1353"/>
  <c r="M1352"/>
  <c r="K1361"/>
  <c r="K1376"/>
  <c r="M1377"/>
  <c r="G1367"/>
  <c r="G1351"/>
  <c r="G1350"/>
  <c r="G1349"/>
  <c r="K1343"/>
  <c r="K1339"/>
  <c r="L1329"/>
  <c r="M1321"/>
  <c r="L1321"/>
  <c r="M1322"/>
  <c r="L1322"/>
  <c r="J1310"/>
  <c r="J1309"/>
  <c r="I1310"/>
  <c r="I1309"/>
  <c r="H1310"/>
  <c r="H1309"/>
  <c r="M1311"/>
  <c r="K1306"/>
  <c r="L1306"/>
  <c r="H1300"/>
  <c r="H1296"/>
  <c r="L1303"/>
  <c r="L1288"/>
  <c r="M1282"/>
  <c r="L1279"/>
  <c r="M1279"/>
  <c r="L1276"/>
  <c r="L1267"/>
  <c r="L1264"/>
  <c r="L1258"/>
  <c r="L1252"/>
  <c r="M1243"/>
  <c r="L1240"/>
  <c r="M1231"/>
  <c r="L1228"/>
  <c r="L1216"/>
  <c r="L1210"/>
  <c r="M1207"/>
  <c r="L1201"/>
  <c r="L1199"/>
  <c r="L1195"/>
  <c r="L1196"/>
  <c r="I1195"/>
  <c r="M1195"/>
  <c r="M1187"/>
  <c r="L1174"/>
  <c r="L1175"/>
  <c r="L1150"/>
  <c r="I1150"/>
  <c r="M1150"/>
  <c r="L1151"/>
  <c r="L1148"/>
  <c r="I1147"/>
  <c r="I1145"/>
  <c r="I1144"/>
  <c r="L1147"/>
  <c r="M1142"/>
  <c r="L1142"/>
  <c r="L1129"/>
  <c r="M1129"/>
  <c r="L1333"/>
  <c r="M1333"/>
  <c r="K1332"/>
  <c r="L1212"/>
  <c r="L1224"/>
  <c r="M1224"/>
  <c r="L1236"/>
  <c r="M1236"/>
  <c r="L1248"/>
  <c r="L1260"/>
  <c r="M1260"/>
  <c r="L1272"/>
  <c r="L1284"/>
  <c r="M1284"/>
  <c r="M1210"/>
  <c r="M1258"/>
  <c r="L1282"/>
  <c r="M1130"/>
  <c r="M1201"/>
  <c r="M1225"/>
  <c r="M1237"/>
  <c r="M1261"/>
  <c r="M1285"/>
  <c r="M1334"/>
  <c r="L1130"/>
  <c r="L1213"/>
  <c r="L1225"/>
  <c r="L1237"/>
  <c r="L1249"/>
  <c r="L1261"/>
  <c r="L1273"/>
  <c r="L1285"/>
  <c r="L1297"/>
  <c r="L1334"/>
  <c r="K1126"/>
  <c r="K1138"/>
  <c r="K1141"/>
  <c r="K1203"/>
  <c r="K1206"/>
  <c r="K1209"/>
  <c r="K1215"/>
  <c r="K1218"/>
  <c r="K1221"/>
  <c r="K1227"/>
  <c r="K1230"/>
  <c r="K1233"/>
  <c r="K1239"/>
  <c r="K1242"/>
  <c r="K1245"/>
  <c r="K1251"/>
  <c r="K1254"/>
  <c r="K1257"/>
  <c r="K1263"/>
  <c r="K1266"/>
  <c r="K1269"/>
  <c r="K1275"/>
  <c r="K1278"/>
  <c r="K1281"/>
  <c r="K1287"/>
  <c r="K1290"/>
  <c r="K1293"/>
  <c r="K1310"/>
  <c r="K1328"/>
  <c r="K1324"/>
  <c r="M1246"/>
  <c r="L1127"/>
  <c r="L1222"/>
  <c r="L1234"/>
  <c r="L1270"/>
  <c r="M1186"/>
  <c r="M1204"/>
  <c r="M1228"/>
  <c r="M1240"/>
  <c r="M1252"/>
  <c r="M1264"/>
  <c r="M1288"/>
  <c r="M1294"/>
  <c r="G1310"/>
  <c r="G1309"/>
  <c r="G1296"/>
  <c r="G1198"/>
  <c r="G1125"/>
  <c r="M1119"/>
  <c r="K1118"/>
  <c r="K1117"/>
  <c r="K1116"/>
  <c r="I1117"/>
  <c r="I1116"/>
  <c r="I1115"/>
  <c r="I1109"/>
  <c r="H1117"/>
  <c r="H1116"/>
  <c r="H1115"/>
  <c r="M1112"/>
  <c r="K1111"/>
  <c r="G1109"/>
  <c r="L1065"/>
  <c r="J1063"/>
  <c r="L1068"/>
  <c r="I1063"/>
  <c r="H1063"/>
  <c r="M1068"/>
  <c r="L1077"/>
  <c r="J1079"/>
  <c r="M1080"/>
  <c r="K1079"/>
  <c r="M1082"/>
  <c r="M1084"/>
  <c r="L1084"/>
  <c r="M1088"/>
  <c r="I1087"/>
  <c r="L1090"/>
  <c r="L1093"/>
  <c r="M1096"/>
  <c r="L1099"/>
  <c r="L1105"/>
  <c r="I1103"/>
  <c r="I1102"/>
  <c r="I1101"/>
  <c r="M1104"/>
  <c r="M1071"/>
  <c r="H1103"/>
  <c r="H1102"/>
  <c r="H1101"/>
  <c r="L1104"/>
  <c r="K1102"/>
  <c r="K1063"/>
  <c r="M1064"/>
  <c r="L1064"/>
  <c r="L1071"/>
  <c r="L1092"/>
  <c r="M1092"/>
  <c r="L1095"/>
  <c r="M1095"/>
  <c r="L1067"/>
  <c r="M1067"/>
  <c r="I1079"/>
  <c r="K1074"/>
  <c r="M1065"/>
  <c r="M1085"/>
  <c r="M1093"/>
  <c r="M1105"/>
  <c r="K1098"/>
  <c r="L1075"/>
  <c r="M1090"/>
  <c r="I1074"/>
  <c r="G1087"/>
  <c r="G1074"/>
  <c r="G1063"/>
  <c r="L1049"/>
  <c r="H1047"/>
  <c r="H1046"/>
  <c r="L1048"/>
  <c r="K1047"/>
  <c r="K1052"/>
  <c r="M1053"/>
  <c r="L1040"/>
  <c r="L1043"/>
  <c r="K1042"/>
  <c r="L1038"/>
  <c r="J1033"/>
  <c r="L1035"/>
  <c r="M1035"/>
  <c r="K1034"/>
  <c r="I1038"/>
  <c r="I1033"/>
  <c r="M1039"/>
  <c r="H1033"/>
  <c r="M1036"/>
  <c r="L1036"/>
  <c r="L1044"/>
  <c r="L1039"/>
  <c r="G1033"/>
  <c r="M1030"/>
  <c r="K1013"/>
  <c r="H1013"/>
  <c r="I1013"/>
  <c r="L1016"/>
  <c r="L1014"/>
  <c r="J1003"/>
  <c r="H1003"/>
  <c r="L1010"/>
  <c r="I1003"/>
  <c r="L1006"/>
  <c r="M1004"/>
  <c r="K1003"/>
  <c r="L999"/>
  <c r="L1029"/>
  <c r="M1029"/>
  <c r="K1028"/>
  <c r="M1021"/>
  <c r="L1021"/>
  <c r="L1030"/>
  <c r="M1014"/>
  <c r="M1022"/>
  <c r="K998"/>
  <c r="M999"/>
  <c r="G1003"/>
  <c r="G998"/>
  <c r="H989"/>
  <c r="L990"/>
  <c r="J989"/>
  <c r="I989"/>
  <c r="L991"/>
  <c r="K993"/>
  <c r="M994"/>
  <c r="G989"/>
  <c r="M986"/>
  <c r="L986"/>
  <c r="J981"/>
  <c r="H981"/>
  <c r="L984"/>
  <c r="M982"/>
  <c r="K981"/>
  <c r="I975"/>
  <c r="L976"/>
  <c r="M987"/>
  <c r="L987"/>
  <c r="K972"/>
  <c r="K975"/>
  <c r="M976"/>
  <c r="L964"/>
  <c r="M964"/>
  <c r="M957"/>
  <c r="L957"/>
  <c r="M958"/>
  <c r="L958"/>
  <c r="L962"/>
  <c r="M965"/>
  <c r="L965"/>
  <c r="K961"/>
  <c r="K953"/>
  <c r="G953"/>
  <c r="L945"/>
  <c r="M945"/>
  <c r="K944"/>
  <c r="L938"/>
  <c r="M938"/>
  <c r="K937"/>
  <c r="M932"/>
  <c r="K931"/>
  <c r="K917"/>
  <c r="K921"/>
  <c r="M918"/>
  <c r="M922"/>
  <c r="G913"/>
  <c r="G912"/>
  <c r="G911"/>
  <c r="K891"/>
  <c r="K890"/>
  <c r="L890"/>
  <c r="L892"/>
  <c r="M888"/>
  <c r="M884"/>
  <c r="K883"/>
  <c r="L883"/>
  <c r="H879"/>
  <c r="L884"/>
  <c r="K880"/>
  <c r="M880"/>
  <c r="I879"/>
  <c r="I878"/>
  <c r="I877"/>
  <c r="L888"/>
  <c r="L903"/>
  <c r="M881"/>
  <c r="K887"/>
  <c r="K902"/>
  <c r="K898"/>
  <c r="G879"/>
  <c r="G878"/>
  <c r="G877"/>
  <c r="K855"/>
  <c r="K860"/>
  <c r="J853"/>
  <c r="J852"/>
  <c r="J839"/>
  <c r="H853"/>
  <c r="I853"/>
  <c r="I852"/>
  <c r="I839"/>
  <c r="G853"/>
  <c r="G852"/>
  <c r="G839"/>
  <c r="L696"/>
  <c r="L699"/>
  <c r="J694"/>
  <c r="J693"/>
  <c r="J692"/>
  <c r="L785"/>
  <c r="H780"/>
  <c r="I780"/>
  <c r="L781"/>
  <c r="L788"/>
  <c r="K780"/>
  <c r="M781"/>
  <c r="M785"/>
  <c r="G787"/>
  <c r="G780"/>
  <c r="M765"/>
  <c r="L765"/>
  <c r="L766"/>
  <c r="L763"/>
  <c r="K757"/>
  <c r="I757"/>
  <c r="I737"/>
  <c r="K754"/>
  <c r="L751"/>
  <c r="K750"/>
  <c r="L750"/>
  <c r="L748"/>
  <c r="M747"/>
  <c r="K744"/>
  <c r="L744"/>
  <c r="M745"/>
  <c r="M742"/>
  <c r="L741"/>
  <c r="L742"/>
  <c r="L735"/>
  <c r="I730"/>
  <c r="I729"/>
  <c r="L769"/>
  <c r="K768"/>
  <c r="L731"/>
  <c r="J730"/>
  <c r="J729"/>
  <c r="H730"/>
  <c r="H729"/>
  <c r="L738"/>
  <c r="L770"/>
  <c r="K734"/>
  <c r="M748"/>
  <c r="M760"/>
  <c r="L732"/>
  <c r="G730"/>
  <c r="G729"/>
  <c r="L723"/>
  <c r="M723"/>
  <c r="K722"/>
  <c r="M724"/>
  <c r="L724"/>
  <c r="M712"/>
  <c r="I707"/>
  <c r="M714"/>
  <c r="L714"/>
  <c r="M708"/>
  <c r="L708"/>
  <c r="J707"/>
  <c r="H707"/>
  <c r="M715"/>
  <c r="L715"/>
  <c r="K711"/>
  <c r="M709"/>
  <c r="L709"/>
  <c r="G707"/>
  <c r="G706"/>
  <c r="G705"/>
  <c r="H694"/>
  <c r="H693"/>
  <c r="H692"/>
  <c r="M696"/>
  <c r="K695"/>
  <c r="K698"/>
  <c r="K701"/>
  <c r="G694"/>
  <c r="G693"/>
  <c r="G692"/>
  <c r="L677"/>
  <c r="M677"/>
  <c r="K670"/>
  <c r="M671"/>
  <c r="G674"/>
  <c r="G673"/>
  <c r="K660"/>
  <c r="L660"/>
  <c r="M661"/>
  <c r="M658"/>
  <c r="L656"/>
  <c r="H651"/>
  <c r="M654"/>
  <c r="I651"/>
  <c r="K651"/>
  <c r="G651"/>
  <c r="M646"/>
  <c r="M642"/>
  <c r="L639"/>
  <c r="J636"/>
  <c r="M637"/>
  <c r="L637"/>
  <c r="K636"/>
  <c r="M644"/>
  <c r="M648"/>
  <c r="G641"/>
  <c r="J625"/>
  <c r="I625"/>
  <c r="L632"/>
  <c r="M632"/>
  <c r="H625"/>
  <c r="L630"/>
  <c r="M633"/>
  <c r="L633"/>
  <c r="K626"/>
  <c r="M627"/>
  <c r="K629"/>
  <c r="G625"/>
  <c r="M622"/>
  <c r="G619"/>
  <c r="L616"/>
  <c r="M611"/>
  <c r="L611"/>
  <c r="G610"/>
  <c r="H599"/>
  <c r="J599"/>
  <c r="I599"/>
  <c r="M601"/>
  <c r="K600"/>
  <c r="K603"/>
  <c r="M604"/>
  <c r="G599"/>
  <c r="M597"/>
  <c r="H592"/>
  <c r="J592"/>
  <c r="I592"/>
  <c r="K593"/>
  <c r="K596"/>
  <c r="G592"/>
  <c r="M590"/>
  <c r="L584"/>
  <c r="L589"/>
  <c r="M589"/>
  <c r="H582"/>
  <c r="L590"/>
  <c r="M584"/>
  <c r="K586"/>
  <c r="K582"/>
  <c r="M587"/>
  <c r="G582"/>
  <c r="K576"/>
  <c r="L577"/>
  <c r="M577"/>
  <c r="M578"/>
  <c r="L578"/>
  <c r="M571"/>
  <c r="L570"/>
  <c r="K569"/>
  <c r="M570"/>
  <c r="L571"/>
  <c r="L565"/>
  <c r="I560"/>
  <c r="I559"/>
  <c r="I558"/>
  <c r="L562"/>
  <c r="H560"/>
  <c r="H559"/>
  <c r="H558"/>
  <c r="J560"/>
  <c r="J559"/>
  <c r="J558"/>
  <c r="K561"/>
  <c r="K564"/>
  <c r="M562"/>
  <c r="G560"/>
  <c r="G559"/>
  <c r="G558"/>
  <c r="M546"/>
  <c r="L532"/>
  <c r="L527"/>
  <c r="H526"/>
  <c r="K530"/>
  <c r="L531"/>
  <c r="M527"/>
  <c r="I526"/>
  <c r="M526"/>
  <c r="L528"/>
  <c r="M528"/>
  <c r="M536"/>
  <c r="L536"/>
  <c r="G535"/>
  <c r="I492"/>
  <c r="I491"/>
  <c r="I490"/>
  <c r="M501"/>
  <c r="L501"/>
  <c r="J492"/>
  <c r="J491"/>
  <c r="J490"/>
  <c r="H492"/>
  <c r="H491"/>
  <c r="K496"/>
  <c r="M496"/>
  <c r="M500"/>
  <c r="K504"/>
  <c r="K509"/>
  <c r="M505"/>
  <c r="G492"/>
  <c r="G491"/>
  <c r="G490"/>
  <c r="M472"/>
  <c r="L472"/>
  <c r="J468"/>
  <c r="M486"/>
  <c r="H484"/>
  <c r="L485"/>
  <c r="L475"/>
  <c r="H474"/>
  <c r="H468"/>
  <c r="M481"/>
  <c r="K480"/>
  <c r="L471"/>
  <c r="M471"/>
  <c r="K470"/>
  <c r="M475"/>
  <c r="I474"/>
  <c r="M474"/>
  <c r="M476"/>
  <c r="L486"/>
  <c r="L476"/>
  <c r="I485"/>
  <c r="G478"/>
  <c r="G468"/>
  <c r="M436"/>
  <c r="K435"/>
  <c r="L459"/>
  <c r="J454"/>
  <c r="J450"/>
  <c r="H454"/>
  <c r="H450"/>
  <c r="M457"/>
  <c r="K454"/>
  <c r="M455"/>
  <c r="G454"/>
  <c r="G450"/>
  <c r="K451"/>
  <c r="L451"/>
  <c r="J440"/>
  <c r="I440"/>
  <c r="H440"/>
  <c r="L445"/>
  <c r="L441"/>
  <c r="M441"/>
  <c r="L447"/>
  <c r="L448"/>
  <c r="L442"/>
  <c r="K444"/>
  <c r="M442"/>
  <c r="G440"/>
  <c r="L429"/>
  <c r="L423"/>
  <c r="H418"/>
  <c r="L421"/>
  <c r="I418"/>
  <c r="M421"/>
  <c r="K426"/>
  <c r="K418"/>
  <c r="G426"/>
  <c r="G418"/>
  <c r="L409"/>
  <c r="H404"/>
  <c r="L414"/>
  <c r="L411"/>
  <c r="M411"/>
  <c r="J404"/>
  <c r="I404"/>
  <c r="L412"/>
  <c r="L415"/>
  <c r="M406"/>
  <c r="K405"/>
  <c r="K408"/>
  <c r="G404"/>
  <c r="H397"/>
  <c r="J397"/>
  <c r="I397"/>
  <c r="K398"/>
  <c r="K401"/>
  <c r="M399"/>
  <c r="L389"/>
  <c r="M389"/>
  <c r="L394"/>
  <c r="L391"/>
  <c r="M391"/>
  <c r="H386"/>
  <c r="L395"/>
  <c r="I386"/>
  <c r="M392"/>
  <c r="L392"/>
  <c r="I394"/>
  <c r="G386"/>
  <c r="G385"/>
  <c r="I380"/>
  <c r="I373"/>
  <c r="I372"/>
  <c r="I371"/>
  <c r="H373"/>
  <c r="H372"/>
  <c r="H371"/>
  <c r="L377"/>
  <c r="L380"/>
  <c r="J373"/>
  <c r="J372"/>
  <c r="J371"/>
  <c r="L375"/>
  <c r="L378"/>
  <c r="L381"/>
  <c r="K374"/>
  <c r="G373"/>
  <c r="G372"/>
  <c r="G371"/>
  <c r="L362"/>
  <c r="M364"/>
  <c r="L368"/>
  <c r="M368"/>
  <c r="H361"/>
  <c r="H360"/>
  <c r="H359"/>
  <c r="H358"/>
  <c r="K361"/>
  <c r="L364"/>
  <c r="G361"/>
  <c r="G360"/>
  <c r="G359"/>
  <c r="G358"/>
  <c r="K301"/>
  <c r="M304"/>
  <c r="L304"/>
  <c r="I300"/>
  <c r="L308"/>
  <c r="L315"/>
  <c r="L327"/>
  <c r="M314"/>
  <c r="L314"/>
  <c r="L326"/>
  <c r="M326"/>
  <c r="L323"/>
  <c r="M323"/>
  <c r="L317"/>
  <c r="M317"/>
  <c r="L324"/>
  <c r="M315"/>
  <c r="M327"/>
  <c r="M318"/>
  <c r="L318"/>
  <c r="M321"/>
  <c r="K320"/>
  <c r="K310"/>
  <c r="G310"/>
  <c r="G300"/>
  <c r="J275"/>
  <c r="J268"/>
  <c r="L292"/>
  <c r="L289"/>
  <c r="M280"/>
  <c r="L280"/>
  <c r="I276"/>
  <c r="I275"/>
  <c r="I268"/>
  <c r="H276"/>
  <c r="H275"/>
  <c r="L273"/>
  <c r="M273"/>
  <c r="M265"/>
  <c r="L265"/>
  <c r="L262"/>
  <c r="H269"/>
  <c r="L270"/>
  <c r="I258"/>
  <c r="I257"/>
  <c r="H258"/>
  <c r="H257"/>
  <c r="L259"/>
  <c r="L285"/>
  <c r="M285"/>
  <c r="M288"/>
  <c r="L288"/>
  <c r="M262"/>
  <c r="L295"/>
  <c r="M269"/>
  <c r="J258"/>
  <c r="J257"/>
  <c r="M266"/>
  <c r="M270"/>
  <c r="M286"/>
  <c r="K258"/>
  <c r="K279"/>
  <c r="K282"/>
  <c r="K291"/>
  <c r="K294"/>
  <c r="M260"/>
  <c r="L260"/>
  <c r="L296"/>
  <c r="M259"/>
  <c r="M263"/>
  <c r="M283"/>
  <c r="I295"/>
  <c r="I294"/>
  <c r="L263"/>
  <c r="G275"/>
  <c r="G268"/>
  <c r="G258"/>
  <c r="G257"/>
  <c r="L353"/>
  <c r="K352"/>
  <c r="M252"/>
  <c r="I247"/>
  <c r="I246"/>
  <c r="I245"/>
  <c r="I239"/>
  <c r="M248"/>
  <c r="L248"/>
  <c r="L252"/>
  <c r="K242"/>
  <c r="G247"/>
  <c r="G246"/>
  <c r="G245"/>
  <c r="G239"/>
  <c r="L227"/>
  <c r="L223"/>
  <c r="K231"/>
  <c r="L232"/>
  <c r="L233"/>
  <c r="M223"/>
  <c r="M227"/>
  <c r="K222"/>
  <c r="G222"/>
  <c r="G221"/>
  <c r="G216"/>
  <c r="G215"/>
  <c r="L211"/>
  <c r="K210"/>
  <c r="I201"/>
  <c r="I197"/>
  <c r="I196"/>
  <c r="I195"/>
  <c r="I194"/>
  <c r="J197"/>
  <c r="J196"/>
  <c r="J195"/>
  <c r="J194"/>
  <c r="L199"/>
  <c r="L201"/>
  <c r="H197"/>
  <c r="H196"/>
  <c r="H195"/>
  <c r="H194"/>
  <c r="M198"/>
  <c r="L198"/>
  <c r="K197"/>
  <c r="M199"/>
  <c r="L202"/>
  <c r="G197"/>
  <c r="G196"/>
  <c r="G195"/>
  <c r="G194"/>
  <c r="L191"/>
  <c r="M191"/>
  <c r="K190"/>
  <c r="L183"/>
  <c r="H173"/>
  <c r="H172"/>
  <c r="H171"/>
  <c r="L179"/>
  <c r="L178"/>
  <c r="M178"/>
  <c r="K175"/>
  <c r="L175"/>
  <c r="K182"/>
  <c r="M179"/>
  <c r="G173"/>
  <c r="G172"/>
  <c r="G171"/>
  <c r="L162"/>
  <c r="L157"/>
  <c r="L156"/>
  <c r="K159"/>
  <c r="K150"/>
  <c r="K149"/>
  <c r="G159"/>
  <c r="G150"/>
  <c r="G149"/>
  <c r="G148"/>
  <c r="M144"/>
  <c r="L144"/>
  <c r="K143"/>
  <c r="M145"/>
  <c r="L145"/>
  <c r="L115"/>
  <c r="L116"/>
  <c r="I115"/>
  <c r="M115"/>
  <c r="L139"/>
  <c r="K127"/>
  <c r="L128"/>
  <c r="L129"/>
  <c r="M125"/>
  <c r="I120"/>
  <c r="I119"/>
  <c r="J120"/>
  <c r="J119"/>
  <c r="L122"/>
  <c r="M138"/>
  <c r="L138"/>
  <c r="L124"/>
  <c r="M124"/>
  <c r="H120"/>
  <c r="H119"/>
  <c r="L135"/>
  <c r="M135"/>
  <c r="L125"/>
  <c r="L136"/>
  <c r="M139"/>
  <c r="M122"/>
  <c r="K121"/>
  <c r="G120"/>
  <c r="G119"/>
  <c r="L113"/>
  <c r="L112"/>
  <c r="M112"/>
  <c r="M113"/>
  <c r="H100"/>
  <c r="H99"/>
  <c r="H98"/>
  <c r="L101"/>
  <c r="M101"/>
  <c r="J100"/>
  <c r="J99"/>
  <c r="J98"/>
  <c r="I100"/>
  <c r="I99"/>
  <c r="I98"/>
  <c r="M102"/>
  <c r="L102"/>
  <c r="K104"/>
  <c r="G100"/>
  <c r="G99"/>
  <c r="G98"/>
  <c r="M96"/>
  <c r="L95"/>
  <c r="M95"/>
  <c r="L96"/>
  <c r="L93"/>
  <c r="K92"/>
  <c r="K91"/>
  <c r="M93"/>
  <c r="I79"/>
  <c r="I78"/>
  <c r="M88"/>
  <c r="K87"/>
  <c r="H68"/>
  <c r="H67"/>
  <c r="L73"/>
  <c r="I68"/>
  <c r="I67"/>
  <c r="L69"/>
  <c r="M69"/>
  <c r="J68"/>
  <c r="J67"/>
  <c r="M70"/>
  <c r="L70"/>
  <c r="K72"/>
  <c r="K68"/>
  <c r="K67"/>
  <c r="M73"/>
  <c r="G68"/>
  <c r="G67"/>
  <c r="L64"/>
  <c r="L58"/>
  <c r="M56"/>
  <c r="M58"/>
  <c r="I46"/>
  <c r="M53"/>
  <c r="H46"/>
  <c r="K46"/>
  <c r="L51"/>
  <c r="J46"/>
  <c r="M47"/>
  <c r="L47"/>
  <c r="G55"/>
  <c r="G46"/>
  <c r="L43"/>
  <c r="K42"/>
  <c r="K41"/>
  <c r="K31"/>
  <c r="K30"/>
  <c r="L32"/>
  <c r="M32"/>
  <c r="M33"/>
  <c r="L33"/>
  <c r="L25"/>
  <c r="K24"/>
  <c r="K27"/>
  <c r="M14"/>
  <c r="K13"/>
  <c r="E903" i="2"/>
  <c r="I911"/>
  <c r="H2152" i="1"/>
  <c r="H2142"/>
  <c r="J214"/>
  <c r="H342"/>
  <c r="L342"/>
  <c r="L343"/>
  <c r="H337"/>
  <c r="L337"/>
  <c r="L338"/>
  <c r="H2690"/>
  <c r="H2689"/>
  <c r="H2688"/>
  <c r="E1946" i="2"/>
  <c r="I1947"/>
  <c r="E1081"/>
  <c r="I1088"/>
  <c r="M806" i="1"/>
  <c r="J1509"/>
  <c r="J1508"/>
  <c r="J1480"/>
  <c r="J1474"/>
  <c r="J1473"/>
  <c r="J1461"/>
  <c r="K1596"/>
  <c r="K45"/>
  <c r="K40"/>
  <c r="K39"/>
  <c r="M548"/>
  <c r="L548"/>
  <c r="H1111"/>
  <c r="H1110"/>
  <c r="E1337" i="2"/>
  <c r="H660"/>
  <c r="J663"/>
  <c r="J606" i="1"/>
  <c r="I606"/>
  <c r="I214"/>
  <c r="I1125"/>
  <c r="I1124"/>
  <c r="I1123"/>
  <c r="I1122"/>
  <c r="I1108"/>
  <c r="H539" i="2"/>
  <c r="I540"/>
  <c r="L1927" i="1"/>
  <c r="F539" i="2"/>
  <c r="J540"/>
  <c r="H1335"/>
  <c r="F1336"/>
  <c r="J1337"/>
  <c r="M2180" i="1"/>
  <c r="L2180"/>
  <c r="I2390"/>
  <c r="M2234"/>
  <c r="I2227"/>
  <c r="K2690"/>
  <c r="L2690"/>
  <c r="J2690"/>
  <c r="J2689"/>
  <c r="J2688"/>
  <c r="I2690"/>
  <c r="I2689"/>
  <c r="I2746"/>
  <c r="M2747"/>
  <c r="K913"/>
  <c r="K534"/>
  <c r="K525"/>
  <c r="K524"/>
  <c r="J1674" i="2"/>
  <c r="I1503"/>
  <c r="E1628"/>
  <c r="J1742"/>
  <c r="J1702"/>
  <c r="E1742"/>
  <c r="I1742"/>
  <c r="J1629"/>
  <c r="J1628"/>
  <c r="I1629"/>
  <c r="I1674"/>
  <c r="I1581"/>
  <c r="J1502"/>
  <c r="J1503"/>
  <c r="I1541"/>
  <c r="J1400"/>
  <c r="E1502"/>
  <c r="J1464"/>
  <c r="J1463"/>
  <c r="I1464"/>
  <c r="E1463"/>
  <c r="I1419"/>
  <c r="E1415"/>
  <c r="I1415"/>
  <c r="I1416"/>
  <c r="J1340"/>
  <c r="J1265"/>
  <c r="I1293"/>
  <c r="J1305"/>
  <c r="I1265"/>
  <c r="E1264"/>
  <c r="E1181"/>
  <c r="I1181"/>
  <c r="J1180"/>
  <c r="J1181"/>
  <c r="I1194"/>
  <c r="I1867"/>
  <c r="E1866"/>
  <c r="E1877"/>
  <c r="I1877"/>
  <c r="I1888"/>
  <c r="E1901"/>
  <c r="I1901"/>
  <c r="I1917"/>
  <c r="J1095"/>
  <c r="I1118"/>
  <c r="J1136"/>
  <c r="E1128"/>
  <c r="I1128"/>
  <c r="I1248"/>
  <c r="E1241"/>
  <c r="I1241"/>
  <c r="J1137"/>
  <c r="J1080"/>
  <c r="J1079"/>
  <c r="I1050"/>
  <c r="E1044"/>
  <c r="I1044"/>
  <c r="J1044"/>
  <c r="I984"/>
  <c r="J1025"/>
  <c r="I1025"/>
  <c r="J984"/>
  <c r="J983"/>
  <c r="I1038"/>
  <c r="E983"/>
  <c r="J927"/>
  <c r="J946"/>
  <c r="I946"/>
  <c r="I958"/>
  <c r="E957"/>
  <c r="I957"/>
  <c r="J706"/>
  <c r="J707"/>
  <c r="I806"/>
  <c r="I707"/>
  <c r="I885"/>
  <c r="I918"/>
  <c r="I636"/>
  <c r="E635"/>
  <c r="E623"/>
  <c r="I623"/>
  <c r="I627"/>
  <c r="E547"/>
  <c r="I547"/>
  <c r="G9"/>
  <c r="G2005"/>
  <c r="G2009"/>
  <c r="I319"/>
  <c r="E26"/>
  <c r="I26"/>
  <c r="J298"/>
  <c r="J319"/>
  <c r="E82"/>
  <c r="I82"/>
  <c r="E169"/>
  <c r="I169"/>
  <c r="I1164"/>
  <c r="I1995"/>
  <c r="J1995"/>
  <c r="E1074"/>
  <c r="I1074"/>
  <c r="I1075"/>
  <c r="I1775"/>
  <c r="E1774"/>
  <c r="I1774"/>
  <c r="I1402"/>
  <c r="E1401"/>
  <c r="I1354"/>
  <c r="E1353"/>
  <c r="I1353"/>
  <c r="I1176"/>
  <c r="I66"/>
  <c r="E1375"/>
  <c r="I1375"/>
  <c r="E927"/>
  <c r="I928"/>
  <c r="E290"/>
  <c r="I290"/>
  <c r="I291"/>
  <c r="I1138"/>
  <c r="E1137"/>
  <c r="E600"/>
  <c r="I600"/>
  <c r="I601"/>
  <c r="I1058"/>
  <c r="J1058"/>
  <c r="J1043"/>
  <c r="I1167"/>
  <c r="I1828"/>
  <c r="E1827"/>
  <c r="E1794"/>
  <c r="I1794"/>
  <c r="I1795"/>
  <c r="I284"/>
  <c r="J284"/>
  <c r="J58"/>
  <c r="I58"/>
  <c r="J1061"/>
  <c r="I1061"/>
  <c r="I1362"/>
  <c r="E1361"/>
  <c r="I1361"/>
  <c r="J1990"/>
  <c r="I1990"/>
  <c r="I1107"/>
  <c r="J1107"/>
  <c r="I19"/>
  <c r="E12"/>
  <c r="E1801"/>
  <c r="E106"/>
  <c r="I106"/>
  <c r="E227"/>
  <c r="I227"/>
  <c r="E246"/>
  <c r="I246"/>
  <c r="E1148"/>
  <c r="I1148"/>
  <c r="E1709"/>
  <c r="I1709"/>
  <c r="I1713"/>
  <c r="I1064"/>
  <c r="E1057"/>
  <c r="I1173"/>
  <c r="I1720"/>
  <c r="E1719"/>
  <c r="I1719"/>
  <c r="E144"/>
  <c r="I144"/>
  <c r="I148"/>
  <c r="E1340"/>
  <c r="I1341"/>
  <c r="I1170"/>
  <c r="E1846"/>
  <c r="I1846"/>
  <c r="I1161"/>
  <c r="E1959"/>
  <c r="I1959"/>
  <c r="I1960"/>
  <c r="I302"/>
  <c r="E298"/>
  <c r="I298"/>
  <c r="I1860"/>
  <c r="J290"/>
  <c r="J106"/>
  <c r="J62"/>
  <c r="I62"/>
  <c r="I43"/>
  <c r="J43"/>
  <c r="J169"/>
  <c r="J227"/>
  <c r="J144"/>
  <c r="J246"/>
  <c r="H2747" i="1"/>
  <c r="L2748"/>
  <c r="H2736"/>
  <c r="L2737"/>
  <c r="H2390"/>
  <c r="I728"/>
  <c r="M673"/>
  <c r="K805"/>
  <c r="M805"/>
  <c r="L815"/>
  <c r="I1384"/>
  <c r="I1998"/>
  <c r="K2004"/>
  <c r="L1798"/>
  <c r="J1998"/>
  <c r="M1983"/>
  <c r="H1596"/>
  <c r="H1595"/>
  <c r="H1594"/>
  <c r="H1578"/>
  <c r="L1983"/>
  <c r="M1874"/>
  <c r="I2152"/>
  <c r="I2142"/>
  <c r="J2152"/>
  <c r="J2142"/>
  <c r="H1999"/>
  <c r="H1998"/>
  <c r="L1510"/>
  <c r="H2497"/>
  <c r="G1596"/>
  <c r="G1595"/>
  <c r="G1594"/>
  <c r="G1578"/>
  <c r="J968"/>
  <c r="J997"/>
  <c r="L2012"/>
  <c r="K2011"/>
  <c r="L2011"/>
  <c r="J728"/>
  <c r="I968"/>
  <c r="K997"/>
  <c r="M2160"/>
  <c r="L1087"/>
  <c r="H606"/>
  <c r="K968"/>
  <c r="I997"/>
  <c r="J299"/>
  <c r="J298"/>
  <c r="M1055"/>
  <c r="L1055"/>
  <c r="H1125"/>
  <c r="H997"/>
  <c r="L865"/>
  <c r="H864"/>
  <c r="L864"/>
  <c r="L1186"/>
  <c r="G1124"/>
  <c r="G1123"/>
  <c r="G1122"/>
  <c r="G1108"/>
  <c r="H968"/>
  <c r="M947"/>
  <c r="L947"/>
  <c r="M840"/>
  <c r="L840"/>
  <c r="L2210"/>
  <c r="M276"/>
  <c r="L1821"/>
  <c r="K2030"/>
  <c r="L2030"/>
  <c r="H635"/>
  <c r="M1821"/>
  <c r="I1595"/>
  <c r="I1594"/>
  <c r="I1578"/>
  <c r="J534"/>
  <c r="J525"/>
  <c r="J524"/>
  <c r="M1993"/>
  <c r="H534"/>
  <c r="H525"/>
  <c r="H524"/>
  <c r="L823"/>
  <c r="M823"/>
  <c r="L905"/>
  <c r="M905"/>
  <c r="L1993"/>
  <c r="I149"/>
  <c r="I148"/>
  <c r="H878"/>
  <c r="H877"/>
  <c r="J911"/>
  <c r="K686"/>
  <c r="L687"/>
  <c r="M687"/>
  <c r="M1973"/>
  <c r="H728"/>
  <c r="H1109"/>
  <c r="L1682"/>
  <c r="M1198"/>
  <c r="I635"/>
  <c r="M641"/>
  <c r="J706"/>
  <c r="J705"/>
  <c r="H706"/>
  <c r="H705"/>
  <c r="I706"/>
  <c r="I705"/>
  <c r="J635"/>
  <c r="J581"/>
  <c r="J580"/>
  <c r="K635"/>
  <c r="L1198"/>
  <c r="M55"/>
  <c r="L610"/>
  <c r="M1798"/>
  <c r="M610"/>
  <c r="M535"/>
  <c r="I534"/>
  <c r="I525"/>
  <c r="I524"/>
  <c r="L552"/>
  <c r="M552"/>
  <c r="L1482"/>
  <c r="J779"/>
  <c r="J778"/>
  <c r="J1595"/>
  <c r="J1594"/>
  <c r="J1578"/>
  <c r="M543"/>
  <c r="L1788"/>
  <c r="K79"/>
  <c r="L1746"/>
  <c r="L2367"/>
  <c r="J2497"/>
  <c r="L543"/>
  <c r="I45"/>
  <c r="I40"/>
  <c r="I39"/>
  <c r="I17"/>
  <c r="L80"/>
  <c r="L481"/>
  <c r="G118"/>
  <c r="G108"/>
  <c r="M531"/>
  <c r="L1499"/>
  <c r="L1562"/>
  <c r="L641"/>
  <c r="J417"/>
  <c r="J384"/>
  <c r="J383"/>
  <c r="J357"/>
  <c r="H490"/>
  <c r="H417"/>
  <c r="J467"/>
  <c r="I779"/>
  <c r="I778"/>
  <c r="L1491"/>
  <c r="M1746"/>
  <c r="M1788"/>
  <c r="L2321"/>
  <c r="L787"/>
  <c r="I2497"/>
  <c r="L535"/>
  <c r="I417"/>
  <c r="H478"/>
  <c r="H467"/>
  <c r="L1730"/>
  <c r="M1103"/>
  <c r="M235"/>
  <c r="L235"/>
  <c r="M454"/>
  <c r="J1964"/>
  <c r="J1956"/>
  <c r="J1955"/>
  <c r="M1079"/>
  <c r="L1669"/>
  <c r="K1366"/>
  <c r="M1366"/>
  <c r="M361"/>
  <c r="L673"/>
  <c r="H1480"/>
  <c r="H1474"/>
  <c r="H2320"/>
  <c r="H2297"/>
  <c r="L1079"/>
  <c r="M674"/>
  <c r="K1481"/>
  <c r="L1481"/>
  <c r="M1844"/>
  <c r="K492"/>
  <c r="M492"/>
  <c r="L674"/>
  <c r="L247"/>
  <c r="H1509"/>
  <c r="H1508"/>
  <c r="M2539"/>
  <c r="L1844"/>
  <c r="L619"/>
  <c r="M1087"/>
  <c r="I1445"/>
  <c r="I1444"/>
  <c r="I1425"/>
  <c r="H1070"/>
  <c r="H1062"/>
  <c r="H1061"/>
  <c r="H1060"/>
  <c r="L55"/>
  <c r="L2047"/>
  <c r="G534"/>
  <c r="G525"/>
  <c r="G524"/>
  <c r="G606"/>
  <c r="L1672"/>
  <c r="M1562"/>
  <c r="H1124"/>
  <c r="H1123"/>
  <c r="H1122"/>
  <c r="L2692"/>
  <c r="L757"/>
  <c r="M750"/>
  <c r="H779"/>
  <c r="H778"/>
  <c r="H1348"/>
  <c r="I1480"/>
  <c r="I1474"/>
  <c r="M2083"/>
  <c r="J1729"/>
  <c r="J1728"/>
  <c r="J1727"/>
  <c r="M1672"/>
  <c r="H299"/>
  <c r="H298"/>
  <c r="K1729"/>
  <c r="M2031"/>
  <c r="M2716"/>
  <c r="L1603"/>
  <c r="L484"/>
  <c r="M660"/>
  <c r="L1003"/>
  <c r="L1381"/>
  <c r="L1409"/>
  <c r="J1445"/>
  <c r="J1444"/>
  <c r="J1425"/>
  <c r="L496"/>
  <c r="H1658"/>
  <c r="H1657"/>
  <c r="H1651"/>
  <c r="H1650"/>
  <c r="L2102"/>
  <c r="K2082"/>
  <c r="L2082"/>
  <c r="M2691"/>
  <c r="M1894"/>
  <c r="L2539"/>
  <c r="G968"/>
  <c r="J1070"/>
  <c r="J1062"/>
  <c r="J1061"/>
  <c r="J1060"/>
  <c r="I77"/>
  <c r="I76"/>
  <c r="K1351"/>
  <c r="K1350"/>
  <c r="K1349"/>
  <c r="M1409"/>
  <c r="I1531"/>
  <c r="I1509"/>
  <c r="I1508"/>
  <c r="M787"/>
  <c r="H149"/>
  <c r="H148"/>
  <c r="L164"/>
  <c r="M2321"/>
  <c r="I2363"/>
  <c r="M2363"/>
  <c r="L880"/>
  <c r="G1445"/>
  <c r="G1444"/>
  <c r="G1425"/>
  <c r="M2692"/>
  <c r="K1070"/>
  <c r="K1062"/>
  <c r="M1453"/>
  <c r="I111"/>
  <c r="I110"/>
  <c r="I109"/>
  <c r="M1355"/>
  <c r="L1874"/>
  <c r="M2015"/>
  <c r="H77"/>
  <c r="H76"/>
  <c r="H45"/>
  <c r="H40"/>
  <c r="G1531"/>
  <c r="G1509"/>
  <c r="G1508"/>
  <c r="M2112"/>
  <c r="L2112"/>
  <c r="I1964"/>
  <c r="I1956"/>
  <c r="I1955"/>
  <c r="L127"/>
  <c r="L981"/>
  <c r="L1118"/>
  <c r="M175"/>
  <c r="K217"/>
  <c r="L217"/>
  <c r="M883"/>
  <c r="L1477"/>
  <c r="K20"/>
  <c r="J118"/>
  <c r="J108"/>
  <c r="K174"/>
  <c r="L174"/>
  <c r="M201"/>
  <c r="M247"/>
  <c r="K879"/>
  <c r="M879"/>
  <c r="M1013"/>
  <c r="L1112"/>
  <c r="L1542"/>
  <c r="L1894"/>
  <c r="M2328"/>
  <c r="I1658"/>
  <c r="I1657"/>
  <c r="I1651"/>
  <c r="I1650"/>
  <c r="L2083"/>
  <c r="M1048"/>
  <c r="L1514"/>
  <c r="M2133"/>
  <c r="J2320"/>
  <c r="J2297"/>
  <c r="J2269"/>
  <c r="J2258"/>
  <c r="L2411"/>
  <c r="I299"/>
  <c r="I298"/>
  <c r="L1367"/>
  <c r="M2124"/>
  <c r="G1366"/>
  <c r="G1365"/>
  <c r="G1364"/>
  <c r="G1348"/>
  <c r="K2063"/>
  <c r="L2063"/>
  <c r="L2064"/>
  <c r="M744"/>
  <c r="L1453"/>
  <c r="G2269"/>
  <c r="K275"/>
  <c r="K1531"/>
  <c r="K1509"/>
  <c r="K1508"/>
  <c r="J1658"/>
  <c r="J1657"/>
  <c r="J1651"/>
  <c r="J1650"/>
  <c r="I2320"/>
  <c r="I2297"/>
  <c r="I2270"/>
  <c r="I2269"/>
  <c r="I2258"/>
  <c r="M2436"/>
  <c r="M2718"/>
  <c r="H2718"/>
  <c r="M2717"/>
  <c r="L2691"/>
  <c r="M2593"/>
  <c r="L2593"/>
  <c r="M2594"/>
  <c r="L2594"/>
  <c r="G2497"/>
  <c r="K2499"/>
  <c r="L2500"/>
  <c r="M2500"/>
  <c r="L2484"/>
  <c r="H2475"/>
  <c r="L2435"/>
  <c r="L2436"/>
  <c r="M2437"/>
  <c r="M2435"/>
  <c r="L2434"/>
  <c r="L2437"/>
  <c r="M2411"/>
  <c r="L2410"/>
  <c r="K2409"/>
  <c r="M2410"/>
  <c r="L2403"/>
  <c r="L2402"/>
  <c r="L2401"/>
  <c r="K2400"/>
  <c r="L2393"/>
  <c r="K2392"/>
  <c r="M2393"/>
  <c r="L2375"/>
  <c r="H2363"/>
  <c r="L2363"/>
  <c r="M2367"/>
  <c r="K2362"/>
  <c r="J2362"/>
  <c r="I2375"/>
  <c r="M2375"/>
  <c r="G2362"/>
  <c r="G2354"/>
  <c r="G2353"/>
  <c r="L2357"/>
  <c r="M2357"/>
  <c r="M2356"/>
  <c r="K2355"/>
  <c r="L2356"/>
  <c r="K2347"/>
  <c r="L2347"/>
  <c r="L2349"/>
  <c r="M2349"/>
  <c r="M2348"/>
  <c r="K2320"/>
  <c r="L2328"/>
  <c r="K2298"/>
  <c r="L2299"/>
  <c r="M2299"/>
  <c r="K2270"/>
  <c r="L2271"/>
  <c r="M2271"/>
  <c r="H2269"/>
  <c r="K2282"/>
  <c r="L2283"/>
  <c r="M2283"/>
  <c r="L2291"/>
  <c r="K2290"/>
  <c r="M2291"/>
  <c r="K2304"/>
  <c r="G2320"/>
  <c r="G2297"/>
  <c r="K2264"/>
  <c r="M2261"/>
  <c r="L2261"/>
  <c r="M2222"/>
  <c r="K2221"/>
  <c r="L2222"/>
  <c r="M2243"/>
  <c r="L2243"/>
  <c r="K2242"/>
  <c r="L2250"/>
  <c r="M2250"/>
  <c r="M2255"/>
  <c r="L2255"/>
  <c r="K2254"/>
  <c r="M2210"/>
  <c r="K2209"/>
  <c r="M2209"/>
  <c r="L2185"/>
  <c r="M2185"/>
  <c r="L2160"/>
  <c r="K2132"/>
  <c r="K2131"/>
  <c r="L2133"/>
  <c r="L2148"/>
  <c r="L2168"/>
  <c r="M2168"/>
  <c r="M2187"/>
  <c r="L2187"/>
  <c r="M2144"/>
  <c r="K2143"/>
  <c r="L2144"/>
  <c r="L2190"/>
  <c r="M2190"/>
  <c r="L2193"/>
  <c r="M2193"/>
  <c r="G2142"/>
  <c r="G2141"/>
  <c r="G2128"/>
  <c r="H2062"/>
  <c r="J2062"/>
  <c r="J2061"/>
  <c r="M2064"/>
  <c r="I2063"/>
  <c r="M2092"/>
  <c r="M2102"/>
  <c r="K2101"/>
  <c r="L2101"/>
  <c r="M2091"/>
  <c r="M2123"/>
  <c r="K2122"/>
  <c r="L2122"/>
  <c r="G2062"/>
  <c r="G2061"/>
  <c r="G2060"/>
  <c r="G2059"/>
  <c r="M2047"/>
  <c r="K2045"/>
  <c r="M2046"/>
  <c r="L2046"/>
  <c r="L2000"/>
  <c r="M2000"/>
  <c r="M2005"/>
  <c r="L2005"/>
  <c r="L2008"/>
  <c r="M2008"/>
  <c r="L2025"/>
  <c r="M2025"/>
  <c r="K2034"/>
  <c r="L2035"/>
  <c r="G1998"/>
  <c r="H1964"/>
  <c r="H1956"/>
  <c r="H1955"/>
  <c r="L1973"/>
  <c r="K1964"/>
  <c r="M1965"/>
  <c r="L1965"/>
  <c r="L1968"/>
  <c r="M1968"/>
  <c r="L1978"/>
  <c r="M1978"/>
  <c r="L1988"/>
  <c r="M1988"/>
  <c r="G1964"/>
  <c r="G1956"/>
  <c r="G1955"/>
  <c r="L1958"/>
  <c r="M1957"/>
  <c r="M1924"/>
  <c r="L1924"/>
  <c r="M1904"/>
  <c r="L1904"/>
  <c r="M1831"/>
  <c r="L1831"/>
  <c r="J1776"/>
  <c r="J1775"/>
  <c r="J1774"/>
  <c r="H1776"/>
  <c r="H1775"/>
  <c r="H1774"/>
  <c r="M1808"/>
  <c r="L1808"/>
  <c r="I1776"/>
  <c r="I1775"/>
  <c r="I1774"/>
  <c r="L1919"/>
  <c r="M1919"/>
  <c r="L1839"/>
  <c r="M1839"/>
  <c r="L1931"/>
  <c r="M1931"/>
  <c r="K1930"/>
  <c r="L1849"/>
  <c r="M1849"/>
  <c r="L1783"/>
  <c r="M1783"/>
  <c r="M1854"/>
  <c r="L1854"/>
  <c r="M1859"/>
  <c r="L1859"/>
  <c r="L1793"/>
  <c r="M1793"/>
  <c r="L1936"/>
  <c r="L1869"/>
  <c r="M1869"/>
  <c r="M1803"/>
  <c r="L1803"/>
  <c r="M1884"/>
  <c r="L1884"/>
  <c r="L1879"/>
  <c r="L1813"/>
  <c r="M1813"/>
  <c r="L1889"/>
  <c r="M1889"/>
  <c r="M1816"/>
  <c r="L1816"/>
  <c r="M1864"/>
  <c r="L1864"/>
  <c r="M1899"/>
  <c r="L1899"/>
  <c r="M1826"/>
  <c r="L1826"/>
  <c r="L1943"/>
  <c r="K1942"/>
  <c r="M1943"/>
  <c r="L1780"/>
  <c r="M1914"/>
  <c r="L1914"/>
  <c r="L1909"/>
  <c r="M1909"/>
  <c r="M1836"/>
  <c r="L1836"/>
  <c r="K1776"/>
  <c r="L1777"/>
  <c r="M1777"/>
  <c r="G1776"/>
  <c r="G1775"/>
  <c r="G1774"/>
  <c r="M1730"/>
  <c r="H1729"/>
  <c r="H1728"/>
  <c r="H1727"/>
  <c r="I1729"/>
  <c r="I1728"/>
  <c r="I1727"/>
  <c r="M1754"/>
  <c r="L1754"/>
  <c r="L1764"/>
  <c r="M1764"/>
  <c r="G1729"/>
  <c r="G1728"/>
  <c r="G1727"/>
  <c r="M1722"/>
  <c r="K1721"/>
  <c r="L1722"/>
  <c r="M1701"/>
  <c r="L1701"/>
  <c r="K1700"/>
  <c r="M1682"/>
  <c r="M1659"/>
  <c r="K1658"/>
  <c r="L1659"/>
  <c r="L1694"/>
  <c r="L1654"/>
  <c r="K1653"/>
  <c r="G1658"/>
  <c r="G1657"/>
  <c r="G1651"/>
  <c r="G1650"/>
  <c r="H1637"/>
  <c r="L1640"/>
  <c r="I1645"/>
  <c r="L1644"/>
  <c r="M1639"/>
  <c r="K1638"/>
  <c r="L1639"/>
  <c r="M1640"/>
  <c r="L1645"/>
  <c r="K1626"/>
  <c r="L1607"/>
  <c r="M1607"/>
  <c r="L1610"/>
  <c r="M1610"/>
  <c r="M1613"/>
  <c r="L1613"/>
  <c r="L1598"/>
  <c r="L1583"/>
  <c r="K1582"/>
  <c r="M1583"/>
  <c r="M1590"/>
  <c r="L1590"/>
  <c r="L1549"/>
  <c r="M1549"/>
  <c r="L1532"/>
  <c r="M1532"/>
  <c r="M1517"/>
  <c r="L1517"/>
  <c r="L1554"/>
  <c r="M1554"/>
  <c r="L1548"/>
  <c r="M1548"/>
  <c r="K1572"/>
  <c r="M1499"/>
  <c r="L1476"/>
  <c r="K1475"/>
  <c r="K1494"/>
  <c r="L1495"/>
  <c r="M1498"/>
  <c r="L1498"/>
  <c r="G1480"/>
  <c r="G1474"/>
  <c r="L1465"/>
  <c r="M1465"/>
  <c r="K1464"/>
  <c r="K1463"/>
  <c r="K1462"/>
  <c r="L1446"/>
  <c r="M1446"/>
  <c r="K1445"/>
  <c r="H1445"/>
  <c r="H1444"/>
  <c r="H1425"/>
  <c r="L1437"/>
  <c r="K1436"/>
  <c r="K1435"/>
  <c r="M1437"/>
  <c r="M1428"/>
  <c r="K1427"/>
  <c r="L1428"/>
  <c r="M1432"/>
  <c r="L1432"/>
  <c r="M1417"/>
  <c r="K1416"/>
  <c r="L1417"/>
  <c r="M1408"/>
  <c r="L1407"/>
  <c r="M1407"/>
  <c r="K1406"/>
  <c r="L1408"/>
  <c r="L1401"/>
  <c r="L1400"/>
  <c r="M1393"/>
  <c r="L1393"/>
  <c r="K1392"/>
  <c r="M1386"/>
  <c r="L1386"/>
  <c r="K1385"/>
  <c r="K1379"/>
  <c r="L1380"/>
  <c r="M1367"/>
  <c r="J1348"/>
  <c r="I1348"/>
  <c r="L1361"/>
  <c r="K1360"/>
  <c r="L1376"/>
  <c r="M1376"/>
  <c r="L1343"/>
  <c r="J1124"/>
  <c r="J1123"/>
  <c r="J1122"/>
  <c r="J1108"/>
  <c r="M1147"/>
  <c r="L1310"/>
  <c r="M1310"/>
  <c r="K1309"/>
  <c r="L1269"/>
  <c r="M1239"/>
  <c r="L1239"/>
  <c r="M1206"/>
  <c r="L1206"/>
  <c r="L1328"/>
  <c r="L1275"/>
  <c r="L1242"/>
  <c r="M1242"/>
  <c r="L1209"/>
  <c r="M1209"/>
  <c r="L1278"/>
  <c r="M1278"/>
  <c r="L1245"/>
  <c r="M1245"/>
  <c r="L1215"/>
  <c r="L1281"/>
  <c r="M1281"/>
  <c r="M1251"/>
  <c r="L1251"/>
  <c r="L1218"/>
  <c r="L1126"/>
  <c r="M1287"/>
  <c r="L1287"/>
  <c r="L1254"/>
  <c r="L1221"/>
  <c r="M1332"/>
  <c r="L1332"/>
  <c r="K1331"/>
  <c r="L1290"/>
  <c r="L1257"/>
  <c r="M1257"/>
  <c r="M1227"/>
  <c r="L1227"/>
  <c r="M1141"/>
  <c r="L1141"/>
  <c r="L1293"/>
  <c r="M1293"/>
  <c r="M1263"/>
  <c r="L1263"/>
  <c r="M1230"/>
  <c r="L1230"/>
  <c r="M1146"/>
  <c r="L1146"/>
  <c r="L1301"/>
  <c r="M1301"/>
  <c r="K1300"/>
  <c r="K1296"/>
  <c r="M1266"/>
  <c r="L1266"/>
  <c r="L1233"/>
  <c r="M1203"/>
  <c r="L1203"/>
  <c r="M1118"/>
  <c r="M1116"/>
  <c r="K1115"/>
  <c r="L1116"/>
  <c r="M1111"/>
  <c r="L1111"/>
  <c r="K1110"/>
  <c r="L1117"/>
  <c r="M1117"/>
  <c r="L1098"/>
  <c r="M1098"/>
  <c r="L1074"/>
  <c r="M1074"/>
  <c r="L1102"/>
  <c r="M1102"/>
  <c r="K1101"/>
  <c r="L1063"/>
  <c r="M1063"/>
  <c r="I1070"/>
  <c r="I1062"/>
  <c r="I1061"/>
  <c r="I1060"/>
  <c r="L1103"/>
  <c r="G1070"/>
  <c r="G1062"/>
  <c r="G1061"/>
  <c r="G1060"/>
  <c r="M1047"/>
  <c r="K1046"/>
  <c r="L1047"/>
  <c r="M1052"/>
  <c r="K1051"/>
  <c r="L1052"/>
  <c r="M1038"/>
  <c r="K1033"/>
  <c r="L1034"/>
  <c r="M1034"/>
  <c r="L1042"/>
  <c r="L1013"/>
  <c r="M1003"/>
  <c r="M1028"/>
  <c r="K1027"/>
  <c r="L1028"/>
  <c r="L998"/>
  <c r="M998"/>
  <c r="G997"/>
  <c r="M993"/>
  <c r="L993"/>
  <c r="K989"/>
  <c r="M981"/>
  <c r="L972"/>
  <c r="L975"/>
  <c r="M975"/>
  <c r="L961"/>
  <c r="L944"/>
  <c r="M944"/>
  <c r="K943"/>
  <c r="L937"/>
  <c r="M937"/>
  <c r="K936"/>
  <c r="L931"/>
  <c r="M931"/>
  <c r="K930"/>
  <c r="M917"/>
  <c r="L917"/>
  <c r="M921"/>
  <c r="L921"/>
  <c r="L891"/>
  <c r="M890"/>
  <c r="M891"/>
  <c r="L887"/>
  <c r="M887"/>
  <c r="K886"/>
  <c r="K878"/>
  <c r="K877"/>
  <c r="L902"/>
  <c r="K854"/>
  <c r="K779"/>
  <c r="L780"/>
  <c r="M780"/>
  <c r="G779"/>
  <c r="G778"/>
  <c r="M757"/>
  <c r="K737"/>
  <c r="M737"/>
  <c r="L734"/>
  <c r="L768"/>
  <c r="K730"/>
  <c r="G728"/>
  <c r="L722"/>
  <c r="M722"/>
  <c r="K721"/>
  <c r="L711"/>
  <c r="M711"/>
  <c r="K707"/>
  <c r="K706"/>
  <c r="L698"/>
  <c r="L701"/>
  <c r="L695"/>
  <c r="M695"/>
  <c r="K694"/>
  <c r="K669"/>
  <c r="M670"/>
  <c r="L670"/>
  <c r="L651"/>
  <c r="M651"/>
  <c r="G635"/>
  <c r="L636"/>
  <c r="M636"/>
  <c r="M626"/>
  <c r="K625"/>
  <c r="L626"/>
  <c r="L629"/>
  <c r="M619"/>
  <c r="L600"/>
  <c r="M600"/>
  <c r="K599"/>
  <c r="L603"/>
  <c r="M603"/>
  <c r="L596"/>
  <c r="M596"/>
  <c r="L593"/>
  <c r="K592"/>
  <c r="K581"/>
  <c r="L583"/>
  <c r="M583"/>
  <c r="L586"/>
  <c r="M586"/>
  <c r="L576"/>
  <c r="M576"/>
  <c r="K575"/>
  <c r="L569"/>
  <c r="K568"/>
  <c r="M569"/>
  <c r="K560"/>
  <c r="M561"/>
  <c r="L561"/>
  <c r="L564"/>
  <c r="L530"/>
  <c r="M530"/>
  <c r="L526"/>
  <c r="M504"/>
  <c r="K503"/>
  <c r="L504"/>
  <c r="K508"/>
  <c r="L480"/>
  <c r="K479"/>
  <c r="M480"/>
  <c r="M485"/>
  <c r="I484"/>
  <c r="K469"/>
  <c r="L470"/>
  <c r="M470"/>
  <c r="I468"/>
  <c r="L474"/>
  <c r="G467"/>
  <c r="L435"/>
  <c r="M435"/>
  <c r="K434"/>
  <c r="L454"/>
  <c r="I439"/>
  <c r="J439"/>
  <c r="H439"/>
  <c r="G439"/>
  <c r="G433"/>
  <c r="G432"/>
  <c r="K450"/>
  <c r="M450"/>
  <c r="L444"/>
  <c r="K440"/>
  <c r="L426"/>
  <c r="M426"/>
  <c r="L418"/>
  <c r="M418"/>
  <c r="K417"/>
  <c r="G417"/>
  <c r="G384"/>
  <c r="G383"/>
  <c r="G357"/>
  <c r="L405"/>
  <c r="M405"/>
  <c r="K404"/>
  <c r="L408"/>
  <c r="M398"/>
  <c r="L398"/>
  <c r="K397"/>
  <c r="L401"/>
  <c r="M401"/>
  <c r="H385"/>
  <c r="L386"/>
  <c r="I385"/>
  <c r="M386"/>
  <c r="L374"/>
  <c r="K373"/>
  <c r="L361"/>
  <c r="K360"/>
  <c r="M360"/>
  <c r="L301"/>
  <c r="K300"/>
  <c r="K299"/>
  <c r="K298"/>
  <c r="L310"/>
  <c r="M310"/>
  <c r="L320"/>
  <c r="M320"/>
  <c r="G299"/>
  <c r="G298"/>
  <c r="H268"/>
  <c r="H256"/>
  <c r="J256"/>
  <c r="J255"/>
  <c r="L276"/>
  <c r="L294"/>
  <c r="K257"/>
  <c r="L258"/>
  <c r="M258"/>
  <c r="L279"/>
  <c r="M279"/>
  <c r="M282"/>
  <c r="L282"/>
  <c r="L291"/>
  <c r="M291"/>
  <c r="I256"/>
  <c r="I255"/>
  <c r="L269"/>
  <c r="G256"/>
  <c r="L352"/>
  <c r="K351"/>
  <c r="L242"/>
  <c r="K241"/>
  <c r="L246"/>
  <c r="M246"/>
  <c r="K245"/>
  <c r="G214"/>
  <c r="L231"/>
  <c r="L222"/>
  <c r="M222"/>
  <c r="K221"/>
  <c r="L210"/>
  <c r="M210"/>
  <c r="K209"/>
  <c r="L197"/>
  <c r="M197"/>
  <c r="K196"/>
  <c r="L190"/>
  <c r="K189"/>
  <c r="M190"/>
  <c r="L182"/>
  <c r="K181"/>
  <c r="L150"/>
  <c r="M150"/>
  <c r="L159"/>
  <c r="M159"/>
  <c r="L143"/>
  <c r="K142"/>
  <c r="M143"/>
  <c r="I118"/>
  <c r="L121"/>
  <c r="K120"/>
  <c r="M121"/>
  <c r="L131"/>
  <c r="M131"/>
  <c r="H118"/>
  <c r="H108"/>
  <c r="L111"/>
  <c r="K110"/>
  <c r="L104"/>
  <c r="K100"/>
  <c r="J76"/>
  <c r="G77"/>
  <c r="G76"/>
  <c r="M92"/>
  <c r="L92"/>
  <c r="K86"/>
  <c r="L87"/>
  <c r="M87"/>
  <c r="L72"/>
  <c r="M72"/>
  <c r="J45"/>
  <c r="J40"/>
  <c r="J39"/>
  <c r="J17"/>
  <c r="M46"/>
  <c r="L46"/>
  <c r="G45"/>
  <c r="G40"/>
  <c r="G39"/>
  <c r="G17"/>
  <c r="L42"/>
  <c r="L31"/>
  <c r="M31"/>
  <c r="L27"/>
  <c r="L24"/>
  <c r="K12"/>
  <c r="L13"/>
  <c r="M13"/>
  <c r="I903" i="2"/>
  <c r="E899"/>
  <c r="I899"/>
  <c r="H635"/>
  <c r="J635"/>
  <c r="J660"/>
  <c r="I660"/>
  <c r="I1946"/>
  <c r="E1945"/>
  <c r="I1945"/>
  <c r="H2258" i="1"/>
  <c r="I1473"/>
  <c r="I1461"/>
  <c r="E1336" i="2"/>
  <c r="I1337"/>
  <c r="E1080"/>
  <c r="I1080"/>
  <c r="I1081"/>
  <c r="H2141" i="1"/>
  <c r="H2128"/>
  <c r="I635" i="2"/>
  <c r="H538"/>
  <c r="I539"/>
  <c r="F538"/>
  <c r="J539"/>
  <c r="H1331"/>
  <c r="F1335"/>
  <c r="J1336"/>
  <c r="I1866"/>
  <c r="J2141" i="1"/>
  <c r="J2128"/>
  <c r="I2141"/>
  <c r="I2128"/>
  <c r="K2354"/>
  <c r="J2354"/>
  <c r="J2353"/>
  <c r="I2226"/>
  <c r="M2226"/>
  <c r="M2227"/>
  <c r="K2689"/>
  <c r="K2688"/>
  <c r="L2688"/>
  <c r="I2688"/>
  <c r="M2690"/>
  <c r="I2745"/>
  <c r="M2746"/>
  <c r="I581"/>
  <c r="J1791" i="2"/>
  <c r="J1793"/>
  <c r="I1628"/>
  <c r="J1701"/>
  <c r="E1701"/>
  <c r="I1701"/>
  <c r="I1502"/>
  <c r="J1264"/>
  <c r="I1463"/>
  <c r="I1340"/>
  <c r="E1339"/>
  <c r="I1339"/>
  <c r="I1401"/>
  <c r="E1400"/>
  <c r="I1400"/>
  <c r="J1339"/>
  <c r="I1264"/>
  <c r="I1137"/>
  <c r="E1136"/>
  <c r="I1136"/>
  <c r="E1180"/>
  <c r="I1180"/>
  <c r="I983"/>
  <c r="E1043"/>
  <c r="I1043"/>
  <c r="E926"/>
  <c r="I926"/>
  <c r="J926"/>
  <c r="I927"/>
  <c r="E706"/>
  <c r="I706"/>
  <c r="E318"/>
  <c r="E143"/>
  <c r="E11"/>
  <c r="I11"/>
  <c r="I12"/>
  <c r="I283"/>
  <c r="J283"/>
  <c r="J1994"/>
  <c r="I1994"/>
  <c r="I1859"/>
  <c r="I1160"/>
  <c r="E1793"/>
  <c r="I1801"/>
  <c r="I1057"/>
  <c r="J1057"/>
  <c r="J1989"/>
  <c r="I1989"/>
  <c r="I57"/>
  <c r="J57"/>
  <c r="J11"/>
  <c r="E1825"/>
  <c r="I1827"/>
  <c r="H2746" i="1"/>
  <c r="L2747"/>
  <c r="H2735"/>
  <c r="L2736"/>
  <c r="J2219"/>
  <c r="K2297"/>
  <c r="H2219"/>
  <c r="J727"/>
  <c r="J684"/>
  <c r="L805"/>
  <c r="I727"/>
  <c r="I684"/>
  <c r="K799"/>
  <c r="M799"/>
  <c r="H2061"/>
  <c r="H2060"/>
  <c r="H2059"/>
  <c r="L606"/>
  <c r="H581"/>
  <c r="H580"/>
  <c r="H489"/>
  <c r="H466"/>
  <c r="M1508"/>
  <c r="J2060"/>
  <c r="J2059"/>
  <c r="H852"/>
  <c r="H839"/>
  <c r="K1384"/>
  <c r="M2030"/>
  <c r="K2029"/>
  <c r="M2029"/>
  <c r="J205"/>
  <c r="M174"/>
  <c r="H1108"/>
  <c r="K685"/>
  <c r="M686"/>
  <c r="L686"/>
  <c r="K1365"/>
  <c r="K1364"/>
  <c r="H1347"/>
  <c r="G952"/>
  <c r="G951"/>
  <c r="G871"/>
  <c r="G838"/>
  <c r="J489"/>
  <c r="J466"/>
  <c r="H952"/>
  <c r="H951"/>
  <c r="M45"/>
  <c r="L79"/>
  <c r="M606"/>
  <c r="I952"/>
  <c r="K78"/>
  <c r="M534"/>
  <c r="K173"/>
  <c r="M173"/>
  <c r="M1481"/>
  <c r="K1728"/>
  <c r="M1728"/>
  <c r="G581"/>
  <c r="G580"/>
  <c r="G489"/>
  <c r="G466"/>
  <c r="K1480"/>
  <c r="K1474"/>
  <c r="K1571"/>
  <c r="K1473"/>
  <c r="K1461"/>
  <c r="J433"/>
  <c r="J432"/>
  <c r="J356"/>
  <c r="H433"/>
  <c r="H432"/>
  <c r="G2258"/>
  <c r="L2320"/>
  <c r="L1366"/>
  <c r="J952"/>
  <c r="H727"/>
  <c r="H684"/>
  <c r="L492"/>
  <c r="H255"/>
  <c r="H205"/>
  <c r="I108"/>
  <c r="I8"/>
  <c r="M111"/>
  <c r="I433"/>
  <c r="I432"/>
  <c r="M1351"/>
  <c r="L879"/>
  <c r="K1999"/>
  <c r="L534"/>
  <c r="L1070"/>
  <c r="M2082"/>
  <c r="K2062"/>
  <c r="K2061"/>
  <c r="M2320"/>
  <c r="H2362"/>
  <c r="L1351"/>
  <c r="H1473"/>
  <c r="H1461"/>
  <c r="M2011"/>
  <c r="H39"/>
  <c r="H17"/>
  <c r="H8"/>
  <c r="J8"/>
  <c r="G1473"/>
  <c r="G1461"/>
  <c r="K2208"/>
  <c r="K2207"/>
  <c r="I205"/>
  <c r="L1531"/>
  <c r="M1435"/>
  <c r="L1435"/>
  <c r="M1531"/>
  <c r="I2362"/>
  <c r="M2063"/>
  <c r="G727"/>
  <c r="G684"/>
  <c r="L45"/>
  <c r="H2717"/>
  <c r="L2718"/>
  <c r="K2498"/>
  <c r="L2499"/>
  <c r="M2499"/>
  <c r="H2474"/>
  <c r="L2475"/>
  <c r="L2409"/>
  <c r="K2408"/>
  <c r="M2409"/>
  <c r="L2400"/>
  <c r="L2392"/>
  <c r="K2391"/>
  <c r="M2392"/>
  <c r="L2355"/>
  <c r="M2355"/>
  <c r="K2346"/>
  <c r="L2346"/>
  <c r="M2347"/>
  <c r="L2298"/>
  <c r="M2298"/>
  <c r="M2290"/>
  <c r="L2290"/>
  <c r="L2282"/>
  <c r="M2282"/>
  <c r="L2270"/>
  <c r="K2269"/>
  <c r="M2270"/>
  <c r="L2260"/>
  <c r="M2260"/>
  <c r="M2221"/>
  <c r="K2220"/>
  <c r="L2221"/>
  <c r="L2254"/>
  <c r="M2254"/>
  <c r="K2253"/>
  <c r="L2242"/>
  <c r="M2242"/>
  <c r="K2241"/>
  <c r="L2209"/>
  <c r="L2184"/>
  <c r="M2184"/>
  <c r="L2132"/>
  <c r="M2132"/>
  <c r="L2186"/>
  <c r="M2186"/>
  <c r="L2153"/>
  <c r="M2153"/>
  <c r="K2152"/>
  <c r="K2142"/>
  <c r="M2131"/>
  <c r="L2131"/>
  <c r="K2130"/>
  <c r="L2143"/>
  <c r="M2143"/>
  <c r="I2062"/>
  <c r="I2061"/>
  <c r="K2100"/>
  <c r="K2099"/>
  <c r="M2101"/>
  <c r="K2121"/>
  <c r="L2121"/>
  <c r="M2122"/>
  <c r="L2045"/>
  <c r="K2044"/>
  <c r="M2045"/>
  <c r="L2004"/>
  <c r="M2004"/>
  <c r="L2018"/>
  <c r="L2034"/>
  <c r="J1718"/>
  <c r="J1636"/>
  <c r="L1964"/>
  <c r="M1964"/>
  <c r="K1956"/>
  <c r="K1955"/>
  <c r="L1957"/>
  <c r="H1718"/>
  <c r="H1636"/>
  <c r="I1718"/>
  <c r="M1776"/>
  <c r="L1776"/>
  <c r="K1775"/>
  <c r="M1930"/>
  <c r="L1930"/>
  <c r="M1942"/>
  <c r="K1941"/>
  <c r="L1942"/>
  <c r="G1718"/>
  <c r="G1636"/>
  <c r="L1729"/>
  <c r="M1729"/>
  <c r="M1763"/>
  <c r="L1763"/>
  <c r="L1721"/>
  <c r="M1721"/>
  <c r="K1720"/>
  <c r="L1700"/>
  <c r="M1700"/>
  <c r="K1699"/>
  <c r="L1653"/>
  <c r="K1652"/>
  <c r="L1658"/>
  <c r="K1657"/>
  <c r="M1658"/>
  <c r="L1690"/>
  <c r="L1638"/>
  <c r="K1637"/>
  <c r="M1638"/>
  <c r="I1644"/>
  <c r="K1625"/>
  <c r="L1606"/>
  <c r="M1606"/>
  <c r="L1582"/>
  <c r="K1581"/>
  <c r="M1582"/>
  <c r="L1494"/>
  <c r="L1475"/>
  <c r="L1464"/>
  <c r="M1464"/>
  <c r="L1445"/>
  <c r="K1444"/>
  <c r="M1445"/>
  <c r="J1347"/>
  <c r="I1347"/>
  <c r="G1347"/>
  <c r="M1436"/>
  <c r="L1436"/>
  <c r="L1427"/>
  <c r="M1427"/>
  <c r="K1426"/>
  <c r="L1416"/>
  <c r="M1416"/>
  <c r="K1415"/>
  <c r="K1405"/>
  <c r="L1406"/>
  <c r="M1406"/>
  <c r="L1392"/>
  <c r="M1392"/>
  <c r="M1385"/>
  <c r="L1385"/>
  <c r="L1379"/>
  <c r="L1360"/>
  <c r="K1359"/>
  <c r="M1350"/>
  <c r="L1350"/>
  <c r="M1339"/>
  <c r="L1339"/>
  <c r="K1338"/>
  <c r="L1300"/>
  <c r="M1300"/>
  <c r="L1324"/>
  <c r="L1309"/>
  <c r="M1309"/>
  <c r="M1331"/>
  <c r="L1331"/>
  <c r="L1145"/>
  <c r="K1144"/>
  <c r="K1125"/>
  <c r="M1145"/>
  <c r="M1110"/>
  <c r="K1109"/>
  <c r="L1110"/>
  <c r="M1115"/>
  <c r="L1115"/>
  <c r="M1070"/>
  <c r="L1062"/>
  <c r="M1062"/>
  <c r="K1061"/>
  <c r="L1101"/>
  <c r="M1101"/>
  <c r="M1051"/>
  <c r="L1051"/>
  <c r="L1046"/>
  <c r="M1046"/>
  <c r="M1033"/>
  <c r="L1033"/>
  <c r="L997"/>
  <c r="M997"/>
  <c r="L1027"/>
  <c r="M1027"/>
  <c r="M989"/>
  <c r="L989"/>
  <c r="L968"/>
  <c r="M968"/>
  <c r="L953"/>
  <c r="M953"/>
  <c r="K952"/>
  <c r="K951"/>
  <c r="K942"/>
  <c r="K941"/>
  <c r="L943"/>
  <c r="M943"/>
  <c r="K935"/>
  <c r="L936"/>
  <c r="M936"/>
  <c r="M930"/>
  <c r="K929"/>
  <c r="L930"/>
  <c r="K912"/>
  <c r="K911"/>
  <c r="L913"/>
  <c r="M913"/>
  <c r="L886"/>
  <c r="M886"/>
  <c r="L898"/>
  <c r="K853"/>
  <c r="K852"/>
  <c r="K839"/>
  <c r="K778"/>
  <c r="L779"/>
  <c r="M779"/>
  <c r="L737"/>
  <c r="K729"/>
  <c r="K728"/>
  <c r="L730"/>
  <c r="L721"/>
  <c r="M721"/>
  <c r="L707"/>
  <c r="M707"/>
  <c r="L694"/>
  <c r="M694"/>
  <c r="K693"/>
  <c r="K668"/>
  <c r="K580"/>
  <c r="L669"/>
  <c r="M669"/>
  <c r="L635"/>
  <c r="M635"/>
  <c r="L625"/>
  <c r="M625"/>
  <c r="M599"/>
  <c r="L599"/>
  <c r="L592"/>
  <c r="M592"/>
  <c r="M582"/>
  <c r="L582"/>
  <c r="M575"/>
  <c r="K574"/>
  <c r="L575"/>
  <c r="L568"/>
  <c r="M568"/>
  <c r="K567"/>
  <c r="K559"/>
  <c r="L560"/>
  <c r="M560"/>
  <c r="L525"/>
  <c r="L524"/>
  <c r="M524"/>
  <c r="M525"/>
  <c r="L503"/>
  <c r="M503"/>
  <c r="K507"/>
  <c r="L508"/>
  <c r="K491"/>
  <c r="L479"/>
  <c r="M479"/>
  <c r="K478"/>
  <c r="M484"/>
  <c r="I478"/>
  <c r="I467"/>
  <c r="M469"/>
  <c r="K468"/>
  <c r="L469"/>
  <c r="M434"/>
  <c r="L434"/>
  <c r="K439"/>
  <c r="M439"/>
  <c r="G356"/>
  <c r="L450"/>
  <c r="L440"/>
  <c r="M440"/>
  <c r="M417"/>
  <c r="L417"/>
  <c r="M404"/>
  <c r="L404"/>
  <c r="M397"/>
  <c r="L397"/>
  <c r="K384"/>
  <c r="K383"/>
  <c r="I384"/>
  <c r="M385"/>
  <c r="H384"/>
  <c r="L385"/>
  <c r="K372"/>
  <c r="L373"/>
  <c r="K359"/>
  <c r="M359"/>
  <c r="L360"/>
  <c r="M300"/>
  <c r="L300"/>
  <c r="L299"/>
  <c r="M299"/>
  <c r="G255"/>
  <c r="G205"/>
  <c r="L275"/>
  <c r="M275"/>
  <c r="K268"/>
  <c r="K256"/>
  <c r="K255"/>
  <c r="M257"/>
  <c r="L257"/>
  <c r="K350"/>
  <c r="L351"/>
  <c r="M245"/>
  <c r="L245"/>
  <c r="L241"/>
  <c r="K240"/>
  <c r="M221"/>
  <c r="L221"/>
  <c r="K216"/>
  <c r="K215"/>
  <c r="K208"/>
  <c r="L209"/>
  <c r="M209"/>
  <c r="L196"/>
  <c r="K195"/>
  <c r="M196"/>
  <c r="M189"/>
  <c r="K188"/>
  <c r="L189"/>
  <c r="L181"/>
  <c r="L149"/>
  <c r="M149"/>
  <c r="K148"/>
  <c r="M142"/>
  <c r="K141"/>
  <c r="L142"/>
  <c r="L120"/>
  <c r="K119"/>
  <c r="M120"/>
  <c r="L110"/>
  <c r="K109"/>
  <c r="M110"/>
  <c r="M100"/>
  <c r="L100"/>
  <c r="K99"/>
  <c r="G8"/>
  <c r="M91"/>
  <c r="K90"/>
  <c r="L91"/>
  <c r="L86"/>
  <c r="M86"/>
  <c r="L68"/>
  <c r="M68"/>
  <c r="L41"/>
  <c r="L30"/>
  <c r="M30"/>
  <c r="L20"/>
  <c r="K19"/>
  <c r="K18"/>
  <c r="L12"/>
  <c r="K11"/>
  <c r="M12"/>
  <c r="M78"/>
  <c r="K77"/>
  <c r="M77"/>
  <c r="E1335" i="2"/>
  <c r="I1336"/>
  <c r="J2218" i="1"/>
  <c r="E1079" i="2"/>
  <c r="I1079"/>
  <c r="E1864"/>
  <c r="H2354" i="1"/>
  <c r="H2353"/>
  <c r="L2354"/>
  <c r="K2258"/>
  <c r="K1998"/>
  <c r="M1998"/>
  <c r="H354" i="2"/>
  <c r="I538"/>
  <c r="F354"/>
  <c r="J538"/>
  <c r="F1331"/>
  <c r="J1335"/>
  <c r="L1509" i="1"/>
  <c r="I2219"/>
  <c r="I2354"/>
  <c r="I2353"/>
  <c r="L2689"/>
  <c r="M2688"/>
  <c r="M2689"/>
  <c r="M2745"/>
  <c r="M2733"/>
  <c r="I2733"/>
  <c r="I580"/>
  <c r="I489"/>
  <c r="I466"/>
  <c r="I143" i="2"/>
  <c r="J143"/>
  <c r="I1825"/>
  <c r="J1825"/>
  <c r="I1793"/>
  <c r="E1791"/>
  <c r="I1791"/>
  <c r="I1988"/>
  <c r="J1988"/>
  <c r="H2745" i="1"/>
  <c r="L2745"/>
  <c r="L2746"/>
  <c r="H2734"/>
  <c r="L2735"/>
  <c r="G2219"/>
  <c r="G2218"/>
  <c r="G2755"/>
  <c r="M1509"/>
  <c r="K798"/>
  <c r="K797"/>
  <c r="L799"/>
  <c r="K1774"/>
  <c r="L2100"/>
  <c r="L2062"/>
  <c r="L2061"/>
  <c r="I2060"/>
  <c r="I2059"/>
  <c r="L2029"/>
  <c r="M1480"/>
  <c r="J951"/>
  <c r="I951"/>
  <c r="I871"/>
  <c r="I838"/>
  <c r="L1480"/>
  <c r="H871"/>
  <c r="H838"/>
  <c r="L685"/>
  <c r="M685"/>
  <c r="M1365"/>
  <c r="L1365"/>
  <c r="L1999"/>
  <c r="H2218"/>
  <c r="K172"/>
  <c r="M172"/>
  <c r="L78"/>
  <c r="K490"/>
  <c r="L173"/>
  <c r="K1727"/>
  <c r="M1727"/>
  <c r="L1728"/>
  <c r="M1999"/>
  <c r="K433"/>
  <c r="M433"/>
  <c r="L2362"/>
  <c r="L2208"/>
  <c r="M2208"/>
  <c r="K17"/>
  <c r="M2362"/>
  <c r="L359"/>
  <c r="L1508"/>
  <c r="L18"/>
  <c r="H2716"/>
  <c r="L2717"/>
  <c r="K2497"/>
  <c r="M2498"/>
  <c r="L2498"/>
  <c r="H2473"/>
  <c r="L2474"/>
  <c r="L2408"/>
  <c r="K2407"/>
  <c r="M2408"/>
  <c r="L2391"/>
  <c r="M2391"/>
  <c r="K2390"/>
  <c r="K2353"/>
  <c r="K2345"/>
  <c r="L2345"/>
  <c r="M2346"/>
  <c r="M2269"/>
  <c r="L2269"/>
  <c r="L2297"/>
  <c r="M2297"/>
  <c r="L2259"/>
  <c r="M2259"/>
  <c r="M2253"/>
  <c r="L2253"/>
  <c r="M2241"/>
  <c r="L2241"/>
  <c r="K2240"/>
  <c r="L2220"/>
  <c r="M2220"/>
  <c r="L2207"/>
  <c r="M2207"/>
  <c r="K2206"/>
  <c r="M2152"/>
  <c r="L2152"/>
  <c r="L2130"/>
  <c r="M2130"/>
  <c r="K2129"/>
  <c r="M2062"/>
  <c r="M2100"/>
  <c r="M2121"/>
  <c r="K2120"/>
  <c r="L2044"/>
  <c r="M2044"/>
  <c r="K2043"/>
  <c r="M1956"/>
  <c r="L1956"/>
  <c r="L1955"/>
  <c r="M1955"/>
  <c r="L1775"/>
  <c r="M1775"/>
  <c r="L1941"/>
  <c r="M1941"/>
  <c r="L1720"/>
  <c r="K1719"/>
  <c r="M1720"/>
  <c r="K1698"/>
  <c r="L1699"/>
  <c r="M1699"/>
  <c r="L1652"/>
  <c r="K1651"/>
  <c r="L1657"/>
  <c r="M1657"/>
  <c r="L1637"/>
  <c r="I1637"/>
  <c r="I1636"/>
  <c r="K1624"/>
  <c r="L1597"/>
  <c r="K1580"/>
  <c r="L1581"/>
  <c r="M1581"/>
  <c r="M1474"/>
  <c r="L1474"/>
  <c r="M1463"/>
  <c r="L1463"/>
  <c r="L1444"/>
  <c r="M1444"/>
  <c r="K1425"/>
  <c r="L1426"/>
  <c r="M1426"/>
  <c r="L1415"/>
  <c r="M1415"/>
  <c r="K1414"/>
  <c r="L1405"/>
  <c r="M1405"/>
  <c r="L1384"/>
  <c r="M1384"/>
  <c r="L1364"/>
  <c r="M1364"/>
  <c r="L1349"/>
  <c r="M1349"/>
  <c r="L1359"/>
  <c r="K1358"/>
  <c r="K1348"/>
  <c r="L1338"/>
  <c r="M1338"/>
  <c r="K1337"/>
  <c r="L1144"/>
  <c r="M1144"/>
  <c r="L1296"/>
  <c r="M1296"/>
  <c r="L1109"/>
  <c r="M1109"/>
  <c r="K1060"/>
  <c r="M1061"/>
  <c r="L1061"/>
  <c r="M952"/>
  <c r="L952"/>
  <c r="L942"/>
  <c r="M942"/>
  <c r="L935"/>
  <c r="M935"/>
  <c r="K934"/>
  <c r="L929"/>
  <c r="M929"/>
  <c r="K928"/>
  <c r="L912"/>
  <c r="M912"/>
  <c r="M878"/>
  <c r="L878"/>
  <c r="L778"/>
  <c r="M778"/>
  <c r="L729"/>
  <c r="M706"/>
  <c r="L706"/>
  <c r="K705"/>
  <c r="L693"/>
  <c r="M693"/>
  <c r="K692"/>
  <c r="L668"/>
  <c r="M668"/>
  <c r="L581"/>
  <c r="M581"/>
  <c r="L574"/>
  <c r="M574"/>
  <c r="M567"/>
  <c r="L567"/>
  <c r="L559"/>
  <c r="M559"/>
  <c r="K558"/>
  <c r="L507"/>
  <c r="L491"/>
  <c r="M491"/>
  <c r="L478"/>
  <c r="M478"/>
  <c r="L468"/>
  <c r="M468"/>
  <c r="K467"/>
  <c r="L439"/>
  <c r="I383"/>
  <c r="M384"/>
  <c r="H383"/>
  <c r="L384"/>
  <c r="L372"/>
  <c r="K371"/>
  <c r="K358"/>
  <c r="M358"/>
  <c r="L298"/>
  <c r="M298"/>
  <c r="L256"/>
  <c r="M256"/>
  <c r="L268"/>
  <c r="M268"/>
  <c r="L350"/>
  <c r="K349"/>
  <c r="K239"/>
  <c r="K214"/>
  <c r="L240"/>
  <c r="L216"/>
  <c r="M216"/>
  <c r="L208"/>
  <c r="M208"/>
  <c r="K207"/>
  <c r="K194"/>
  <c r="L195"/>
  <c r="M195"/>
  <c r="K187"/>
  <c r="L188"/>
  <c r="M188"/>
  <c r="M148"/>
  <c r="L148"/>
  <c r="L141"/>
  <c r="M141"/>
  <c r="L119"/>
  <c r="M119"/>
  <c r="K118"/>
  <c r="K108"/>
  <c r="L109"/>
  <c r="M109"/>
  <c r="K98"/>
  <c r="L99"/>
  <c r="M99"/>
  <c r="L90"/>
  <c r="M90"/>
  <c r="M67"/>
  <c r="L67"/>
  <c r="L40"/>
  <c r="M40"/>
  <c r="L19"/>
  <c r="L11"/>
  <c r="K10"/>
  <c r="M11"/>
  <c r="E1331" i="2"/>
  <c r="I1335"/>
  <c r="L2734" i="1"/>
  <c r="H2733"/>
  <c r="H318" i="2"/>
  <c r="I354"/>
  <c r="F318"/>
  <c r="J354"/>
  <c r="J1331"/>
  <c r="I2218" i="1"/>
  <c r="M2354"/>
  <c r="K2219"/>
  <c r="K2218"/>
  <c r="L2733"/>
  <c r="J871"/>
  <c r="J838"/>
  <c r="J2755"/>
  <c r="I1864" i="2"/>
  <c r="J1864"/>
  <c r="M798" i="1"/>
  <c r="L798"/>
  <c r="L1998"/>
  <c r="K171"/>
  <c r="M171"/>
  <c r="K871"/>
  <c r="M797"/>
  <c r="L797"/>
  <c r="L172"/>
  <c r="L1727"/>
  <c r="K432"/>
  <c r="M432"/>
  <c r="M2061"/>
  <c r="L433"/>
  <c r="K2060"/>
  <c r="L2060"/>
  <c r="M2099"/>
  <c r="L2099"/>
  <c r="M2120"/>
  <c r="L2120"/>
  <c r="M17"/>
  <c r="L17"/>
  <c r="H2715"/>
  <c r="L2716"/>
  <c r="L2497"/>
  <c r="M2497"/>
  <c r="H2472"/>
  <c r="L2472"/>
  <c r="L2473"/>
  <c r="L2407"/>
  <c r="M2407"/>
  <c r="L2390"/>
  <c r="M2390"/>
  <c r="L2353"/>
  <c r="M2353"/>
  <c r="M2345"/>
  <c r="L2258"/>
  <c r="M2258"/>
  <c r="L2240"/>
  <c r="M2240"/>
  <c r="M2206"/>
  <c r="L2206"/>
  <c r="L2129"/>
  <c r="M2129"/>
  <c r="K2141"/>
  <c r="K2128"/>
  <c r="L2142"/>
  <c r="M2142"/>
  <c r="M2043"/>
  <c r="L2043"/>
  <c r="M1774"/>
  <c r="L1774"/>
  <c r="M1719"/>
  <c r="K1718"/>
  <c r="L1719"/>
  <c r="L1698"/>
  <c r="M1698"/>
  <c r="L1651"/>
  <c r="M1651"/>
  <c r="K1650"/>
  <c r="M1637"/>
  <c r="K1623"/>
  <c r="L1596"/>
  <c r="K1595"/>
  <c r="M1596"/>
  <c r="L1580"/>
  <c r="M1580"/>
  <c r="K1579"/>
  <c r="M1473"/>
  <c r="L1473"/>
  <c r="L1462"/>
  <c r="M1462"/>
  <c r="L1425"/>
  <c r="M1425"/>
  <c r="L1414"/>
  <c r="M1414"/>
  <c r="K1413"/>
  <c r="L1358"/>
  <c r="L1337"/>
  <c r="M1337"/>
  <c r="L1125"/>
  <c r="M1125"/>
  <c r="K1124"/>
  <c r="L1060"/>
  <c r="M1060"/>
  <c r="M951"/>
  <c r="L951"/>
  <c r="M941"/>
  <c r="L941"/>
  <c r="M934"/>
  <c r="L934"/>
  <c r="M928"/>
  <c r="L928"/>
  <c r="L911"/>
  <c r="M911"/>
  <c r="L877"/>
  <c r="M877"/>
  <c r="L852"/>
  <c r="M852"/>
  <c r="L728"/>
  <c r="M728"/>
  <c r="K727"/>
  <c r="K684"/>
  <c r="L705"/>
  <c r="M705"/>
  <c r="L692"/>
  <c r="M692"/>
  <c r="L580"/>
  <c r="M580"/>
  <c r="L558"/>
  <c r="M558"/>
  <c r="M490"/>
  <c r="K489"/>
  <c r="K466"/>
  <c r="L490"/>
  <c r="L467"/>
  <c r="M467"/>
  <c r="H357"/>
  <c r="H356"/>
  <c r="H2755"/>
  <c r="L383"/>
  <c r="I357"/>
  <c r="I356"/>
  <c r="M383"/>
  <c r="L371"/>
  <c r="K357"/>
  <c r="L358"/>
  <c r="L255"/>
  <c r="M255"/>
  <c r="K348"/>
  <c r="L349"/>
  <c r="L239"/>
  <c r="M239"/>
  <c r="L215"/>
  <c r="M215"/>
  <c r="M207"/>
  <c r="K206"/>
  <c r="L207"/>
  <c r="M194"/>
  <c r="L194"/>
  <c r="L187"/>
  <c r="K186"/>
  <c r="M187"/>
  <c r="L118"/>
  <c r="M118"/>
  <c r="M108"/>
  <c r="L108"/>
  <c r="L98"/>
  <c r="M98"/>
  <c r="K76"/>
  <c r="L77"/>
  <c r="M39"/>
  <c r="L39"/>
  <c r="M10"/>
  <c r="K9"/>
  <c r="L10"/>
  <c r="E9" i="2"/>
  <c r="E2005"/>
  <c r="I1331"/>
  <c r="J318"/>
  <c r="I318"/>
  <c r="H9"/>
  <c r="F9"/>
  <c r="F2005"/>
  <c r="F2009"/>
  <c r="I2755" i="1"/>
  <c r="L171"/>
  <c r="L432"/>
  <c r="M2060"/>
  <c r="K2059"/>
  <c r="L2059"/>
  <c r="L2715"/>
  <c r="L2219"/>
  <c r="M2219"/>
  <c r="L2218"/>
  <c r="M2218"/>
  <c r="L2128"/>
  <c r="M2128"/>
  <c r="L2141"/>
  <c r="M2141"/>
  <c r="L1718"/>
  <c r="M1718"/>
  <c r="L1650"/>
  <c r="M1650"/>
  <c r="K1636"/>
  <c r="K1622"/>
  <c r="L1595"/>
  <c r="K1594"/>
  <c r="K1578"/>
  <c r="M1595"/>
  <c r="M1579"/>
  <c r="L1579"/>
  <c r="L1461"/>
  <c r="M1461"/>
  <c r="M1413"/>
  <c r="L1413"/>
  <c r="L1348"/>
  <c r="K1347"/>
  <c r="M1348"/>
  <c r="M1124"/>
  <c r="K1123"/>
  <c r="L1124"/>
  <c r="M871"/>
  <c r="L871"/>
  <c r="M839"/>
  <c r="K838"/>
  <c r="L839"/>
  <c r="M727"/>
  <c r="L727"/>
  <c r="L684"/>
  <c r="M684"/>
  <c r="L489"/>
  <c r="M489"/>
  <c r="L466"/>
  <c r="M466"/>
  <c r="M357"/>
  <c r="K356"/>
  <c r="L356"/>
  <c r="L357"/>
  <c r="L348"/>
  <c r="L214"/>
  <c r="M214"/>
  <c r="L206"/>
  <c r="M206"/>
  <c r="K205"/>
  <c r="L186"/>
  <c r="M186"/>
  <c r="K8"/>
  <c r="L76"/>
  <c r="M76"/>
  <c r="L9"/>
  <c r="M9"/>
  <c r="H2005" i="2"/>
  <c r="I9"/>
  <c r="J9"/>
  <c r="M2059" i="1"/>
  <c r="L8"/>
  <c r="M1636"/>
  <c r="L1636"/>
  <c r="L1594"/>
  <c r="M1594"/>
  <c r="L1578"/>
  <c r="M1578"/>
  <c r="L1347"/>
  <c r="M1347"/>
  <c r="L1123"/>
  <c r="K1122"/>
  <c r="M1123"/>
  <c r="M838"/>
  <c r="L838"/>
  <c r="M356"/>
  <c r="M205"/>
  <c r="L205"/>
  <c r="M8"/>
  <c r="I2005" i="2"/>
  <c r="H2009"/>
  <c r="J2005"/>
  <c r="L1122" i="1"/>
  <c r="M1122"/>
  <c r="K1108"/>
  <c r="K2755"/>
  <c r="L1108"/>
  <c r="M1108"/>
  <c r="L2755"/>
  <c r="M2755"/>
</calcChain>
</file>

<file path=xl/sharedStrings.xml><?xml version="1.0" encoding="utf-8"?>
<sst xmlns="http://schemas.openxmlformats.org/spreadsheetml/2006/main" count="22798" uniqueCount="1227">
  <si>
    <t/>
  </si>
  <si>
    <t>Наименование</t>
  </si>
  <si>
    <t>Гла-
ва</t>
  </si>
  <si>
    <t>Раз-
дел</t>
  </si>
  <si>
    <t>Под-
раз-
дел</t>
  </si>
  <si>
    <t>Целевая
статья</t>
  </si>
  <si>
    <t>Вид
рас-
хо-
дов</t>
  </si>
  <si>
    <t>1</t>
  </si>
  <si>
    <t>2</t>
  </si>
  <si>
    <t>3</t>
  </si>
  <si>
    <t>4</t>
  </si>
  <si>
    <t>5</t>
  </si>
  <si>
    <t>6</t>
  </si>
  <si>
    <t>7</t>
  </si>
  <si>
    <t>МИНИСТЕРСТВО СТРОИТЕЛЬСТВА И АРХИТЕКТУРЫ АРХАНГЕЛЬСКОЙ ОБЛАСТИ</t>
  </si>
  <si>
    <t>019</t>
  </si>
  <si>
    <t>Общегосударственные вопросы</t>
  </si>
  <si>
    <t>01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</si>
  <si>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</si>
  <si>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</si>
  <si>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Государственная программа Архангельской области "Обеспечение качественным, доступным жильем и объектами инженерной инфраструктуры населения Архангельской области (2014 – 2020 годы)"</t>
  </si>
  <si>
    <t>06 0 00 00000</t>
  </si>
  <si>
    <t>Подпрограмма "Создание условий для реализации государственной программы"</t>
  </si>
  <si>
    <t>06 4 00 00000</t>
  </si>
  <si>
    <t>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</si>
  <si>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06 4 00 78690</t>
  </si>
  <si>
    <t>Межбюджетные трансферты</t>
  </si>
  <si>
    <t>500</t>
  </si>
  <si>
    <t>Субвенции</t>
  </si>
  <si>
    <t>530</t>
  </si>
  <si>
    <t>Национальная экономика</t>
  </si>
  <si>
    <t>Водное хозяйство</t>
  </si>
  <si>
    <t>06</t>
  </si>
  <si>
    <t>Государственная программа Архангельской области "Охрана окружающей среды, воспроизводство и использование природных ресурсов Архангельской области (2014 – 2020 годы)"</t>
  </si>
  <si>
    <t>10 0 00 00000</t>
  </si>
  <si>
    <t>Подпрограмма "Развитие водохозяйственного комплекса Архангельской области"</t>
  </si>
  <si>
    <t>10 3 00 00000</t>
  </si>
  <si>
    <t>Строительство и реконструкция объектов капитального строительства государственной собственности Архангельской области</t>
  </si>
  <si>
    <t>10 3 00 70300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</si>
  <si>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</si>
  <si>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</si>
  <si>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</si>
  <si>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</si>
  <si>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Реализация мероприятий федеральной целевой программы "Развитие водохозяйственного комплекса Российской Федерации в 2012 – 2020 годах" (областной бюджет)</t>
  </si>
  <si>
    <t>10 3 00 R0160</t>
  </si>
  <si>
    <t>Дорожное хозяйство (дорожные фонды)</t>
  </si>
  <si>
    <t>09</t>
  </si>
  <si>
    <t>Государственная программа Архангельской области "Культура Русского Севера (2013 – 2020 годы)"</t>
  </si>
  <si>
    <t>04 0 00 00000</t>
  </si>
  <si>
    <t>04 0 00 70300</t>
  </si>
  <si>
    <t>Другие вопросы в области национальной экономики</t>
  </si>
  <si>
    <t>12</t>
  </si>
  <si>
    <t>Подпрограмма "Создание условий для обеспечения доступным и комфортным жильем жителей Архангельской области"</t>
  </si>
  <si>
    <t>06 1 00 00000</t>
  </si>
  <si>
    <t>Разработка генеральных планов и правил землепользования</t>
  </si>
  <si>
    <t>06 1 00 78280</t>
  </si>
  <si>
    <t>Субсидии</t>
  </si>
  <si>
    <t>520</t>
  </si>
  <si>
    <t>Расходы на содержание государственных органов и обеспечение их функций</t>
  </si>
  <si>
    <t>06 4 00 70010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</si>
  <si>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</si>
  <si>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</si>
  <si>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</si>
  <si>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</si>
  <si>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</si>
  <si>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</si>
  <si>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</si>
  <si>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</si>
  <si>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Социальное обеспечение и иные выплаты населению</t>
  </si>
  <si>
    <t>300</t>
  </si>
  <si>
    <t>Иные выплаты населению</t>
  </si>
  <si>
    <t>360</t>
  </si>
  <si>
    <t>Иные бюджетные ассигнования</t>
  </si>
  <si>
    <t>800</t>
  </si>
  <si>
    <t>Уплата налогов, сборов и иных платежей</t>
  </si>
  <si>
    <t>850</t>
  </si>
  <si>
    <t>Расходы на обеспечение деятельности подведомственных учреждений</t>
  </si>
  <si>
    <t>06 4 00 70100</t>
  </si>
  <si>
    <t>Расходы на выплаты персоналу казенных учреждений</t>
  </si>
  <si>
    <t>110</t>
  </si>
  <si>
    <t>Предоставление субсидий бюджетным, автономным учреждениям и иным некоммерческим организациям</t>
  </si>
  <si>
    <t>600</t>
  </si>
  <si>
    <t>Субсидии автономным учреждениям</t>
  </si>
  <si>
    <t>620</t>
  </si>
  <si>
    <t>Исполнение судебных актов</t>
  </si>
  <si>
    <t>830</t>
  </si>
  <si>
    <t>Государственная программа Архангельской области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 (2014 – 2018 годы)"</t>
  </si>
  <si>
    <t>08 0 00 00000</t>
  </si>
  <si>
    <t>Подпрограмма "Профилактика преступлений и иных правонарушений в Архангельской области"</t>
  </si>
  <si>
    <t>08 2 00 00000</t>
  </si>
  <si>
    <t>08 2 00 70100</t>
  </si>
  <si>
    <t>08 2 00 70300</t>
  </si>
  <si>
    <t>Жилищно-коммунальное хозяйство</t>
  </si>
  <si>
    <t>05</t>
  </si>
  <si>
    <t>Жилищное хозяйство</t>
  </si>
  <si>
    <t>Обеспечение жильем граждан, уволенных с военной службы (службы), и приравненных к ним лиц</t>
  </si>
  <si>
    <t>06 1 00 54850</t>
  </si>
  <si>
    <t>06 1 00 70300</t>
  </si>
  <si>
    <t>Обеспечение мероприятий по капитальному ремонту многоквартирных домов, переселению граждан из аварийного жилищного фонда и переселению граждан из аварийного жилищного фонда с учетом необходимости развития малоэтажного жилищного строительства</t>
  </si>
  <si>
    <t>51 0 00 00000</t>
  </si>
  <si>
    <t>Обеспечение мероприятий по переселению граждан из аварийного жилищного фонда и переселению граждан из аварийного жилищного фонда с учетом необходимости развития малоэтажного жилищного строительства</t>
  </si>
  <si>
    <t>51 2 00 00000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</si>
  <si>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</si>
  <si>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51 2 00 09502</t>
  </si>
  <si>
    <t>51 2 00 09602</t>
  </si>
  <si>
    <t>Коммунальное хозяйство</t>
  </si>
  <si>
    <t>02</t>
  </si>
  <si>
    <t>Софинансирование капитальных вложений в объекты муниципальной собственности</t>
  </si>
  <si>
    <t>06 1 00 70310</t>
  </si>
  <si>
    <t>Образование</t>
  </si>
  <si>
    <t>07</t>
  </si>
  <si>
    <t>Дошкольное образование</t>
  </si>
  <si>
    <t>Государственная программа Архангельской области "Развитие образования и науки Архангельской области (2013 – 2018 годы)"</t>
  </si>
  <si>
    <t>02 0 00 00000</t>
  </si>
  <si>
    <t>Подпрограмма "Строительство и капитальный ремонт объектов инфраструктуры системы образования в Архангельской области"</t>
  </si>
  <si>
    <t>02 7 00 00000</t>
  </si>
  <si>
    <t>02 7 00 70310</t>
  </si>
  <si>
    <t>Софинансирование капитальных вложений в объекты муниципальной собственности в части дошкольных образовательных организаций за счет бюджетного кредита из федерального бюджета</t>
  </si>
  <si>
    <t>02 7 00 70340</t>
  </si>
  <si>
    <t>Общее образование</t>
  </si>
  <si>
    <t>02 7 00 70100</t>
  </si>
  <si>
    <t>04 0 00 70100</t>
  </si>
  <si>
    <t>Государственная программа Архангельской области "Устойчивое развитие сельских территорий Архангельской области (2014 – 2017 годы)"</t>
  </si>
  <si>
    <t>24 0 00 00000</t>
  </si>
  <si>
    <t>24 0 00 70310</t>
  </si>
  <si>
    <t>Реализация мероприятий федеральной целевой программы "Устойчивое развитие сельских территорий на 2014 – 2017 годы и на период до 2020 года" (областной бюджет)</t>
  </si>
  <si>
    <t>24 0 00 R0180</t>
  </si>
  <si>
    <t>Среднее профессиональное образование</t>
  </si>
  <si>
    <t>02 7 00 70300</t>
  </si>
  <si>
    <t>Культура, кинематография</t>
  </si>
  <si>
    <t>08</t>
  </si>
  <si>
    <t>Культура</t>
  </si>
  <si>
    <t>Реализация мероприятий федеральной целевой программы "Культура России (2012 – 2018 годы)" (областной бюджет)</t>
  </si>
  <si>
    <t>04 0 00 R0140</t>
  </si>
  <si>
    <t>Здравоохранение</t>
  </si>
  <si>
    <t>Стационарная медицинская помощь</t>
  </si>
  <si>
    <t>Государственная программа Архангельской области "Развитие здравоохранения Архангельской области (2013 – 2020 годы)"</t>
  </si>
  <si>
    <t>01 0 00 00000</t>
  </si>
  <si>
    <t>Подпрограмма "Совершенствование системы территориального планирования Архангельской области"</t>
  </si>
  <si>
    <t>01 Б 00 00000</t>
  </si>
  <si>
    <t>01 Б 00 70100</t>
  </si>
  <si>
    <t>01 Б 00 70300</t>
  </si>
  <si>
    <t>Программа модернизации здравоохранения Архангельской области на 2011 – 2016 годы</t>
  </si>
  <si>
    <t>53 0 00 00000</t>
  </si>
  <si>
    <t>53 0 00 70300</t>
  </si>
  <si>
    <t>Субсидии государственным корпорациям (компаниям)</t>
  </si>
  <si>
    <t>820</t>
  </si>
  <si>
    <t>Социальная политика</t>
  </si>
  <si>
    <t>10</t>
  </si>
  <si>
    <t>Социальное обеспечение населения</t>
  </si>
  <si>
    <t>03</t>
  </si>
  <si>
    <t>Социальные выплаты гражданам, кроме публичных нормативных социальных выплат</t>
  </si>
  <si>
    <t>320</t>
  </si>
  <si>
    <t>Физическая культура и спорт</t>
  </si>
  <si>
    <t>11</t>
  </si>
  <si>
    <t>Массовый спорт</t>
  </si>
  <si>
    <t>Государственная программа Архангельской области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2020 годы)"</t>
  </si>
  <si>
    <t>11 0 00 00000</t>
  </si>
  <si>
    <t>Подпрограмма "Спорт Беломорья (2014 – 2020 годы)"</t>
  </si>
  <si>
    <t>11 1 00 00000</t>
  </si>
  <si>
    <t>11 1 00 70300</t>
  </si>
  <si>
    <t>11 1 00 70310</t>
  </si>
  <si>
    <t>МИНИСТЕРСТВО ТОПЛИВНО-ЭНЕРГЕТИЧЕСКОГО КОМПЛЕКСА И ЖИЛИЩНО-КОММУНАЛЬНОГО ХОЗЯЙСТВА АРХАНГЕЛЬСКОЙ ОБЛАСТИ</t>
  </si>
  <si>
    <t>023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</si>
  <si>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</si>
  <si>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</si>
  <si>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Государственная программа Архангельской области "Защита населения и территорий Архангельской области от чрезвычайных ситуаций, обеспечение пожарной безопасности и безопасности на водных объектах (2014 – 2020 годы)"</t>
  </si>
  <si>
    <t>09 0 00 00000</t>
  </si>
  <si>
    <t>Подпрограмма "Снижение рисков и смягчение последствий чрезвычайных ситуаций межмуниципального и регионального характера, а также обеспечение безопасности людей на водных объектах в Архангельской области"</t>
  </si>
  <si>
    <t>09 2 00 00000</t>
  </si>
  <si>
    <t>Мероприятия в сфере гражданской обороны и защиты населения и территорий Архангельской области от чрезвычайных ситуаций, осуществляемые государственными органами</t>
  </si>
  <si>
    <t>09 2 00 70500</t>
  </si>
  <si>
    <t>Закупка товаров, работ и услуг в целях формирования государственного материального резерва</t>
  </si>
  <si>
    <t>230</t>
  </si>
  <si>
    <t>Топливно-энергетический комплекс</t>
  </si>
  <si>
    <t>Государственная программа Архангельской области "Развитие энергетики и жилищно-коммунального хозяйства Архангельской области (2014 – 2020 годы)"</t>
  </si>
  <si>
    <t>17 0 00 00000</t>
  </si>
  <si>
    <t>Подпрограмма "Энергосбережение и повышение энергетической эффективности в Архангельской области"</t>
  </si>
  <si>
    <t>17 1 00 00000</t>
  </si>
  <si>
    <t>Разработка программы и схемы перспективного развития электроэнергетики Архангельской области</t>
  </si>
  <si>
    <t>17 1 00 72070</t>
  </si>
  <si>
    <t>Подпрограмма "Формирование и реализация региональной политики в сфере энергетики и жилищно-коммунального хозяйства Архангельской области"</t>
  </si>
  <si>
    <t>17 3 00 00000</t>
  </si>
  <si>
    <t>17 3 00 70010</t>
  </si>
  <si>
    <t>Софинансирование капитальных вложений в объекты муниципальной собственности, в целях софинансирования которых Архангельской области предоставляются субсидии из федерального бюджета (областной бюджет)</t>
  </si>
  <si>
    <t>24 0 00 R1120</t>
  </si>
  <si>
    <t>Государственная программа развития сельского хозяйства и регулирования рынков сельскохозяйственной продукции, сырья и продовольствия Архангельской области на 2013 – 2020 годы</t>
  </si>
  <si>
    <t>05 0 00 00000</t>
  </si>
  <si>
    <t>Подпрограмма "Развитие агропромышленного комплекса Архангельской области на 2013 – 2020 годы"</t>
  </si>
  <si>
    <t>05 1 00 00000</t>
  </si>
  <si>
    <t>Поддержка садоводческих, огороднических и дачных некоммерческих объединений граждан</t>
  </si>
  <si>
    <t>05 1 00 78950</t>
  </si>
  <si>
    <t>17 3 00 70100</t>
  </si>
  <si>
    <t>Создание системы государственного, муниципального и общественного контроля в сфере жилищно-коммунального хозяйства</t>
  </si>
  <si>
    <t>17 3 00 73560</t>
  </si>
  <si>
    <t>Субсидии некоммерческим организациям (за исключением государственных (муниципальных) учреждений)</t>
  </si>
  <si>
    <t>630</t>
  </si>
  <si>
    <t>Обеспечение деятельности некоммерческой организации "Фонд капитального ремонта многоквартирных домов Архангельской области"</t>
  </si>
  <si>
    <t>17 3 00 73600</t>
  </si>
  <si>
    <t>Обеспечение мероприятий по капитальному ремонту многоквартирных домов</t>
  </si>
  <si>
    <t>51 1 00 00000</t>
  </si>
  <si>
    <t>51 1 00 09501</t>
  </si>
  <si>
    <t>Обеспечение мероприятий по переселению граждан из аварийного жилищного фонда</t>
  </si>
  <si>
    <t>51 2 00 09503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</si>
  <si>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</si>
  <si>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51 2 00 09504</t>
  </si>
  <si>
    <t>51 2 00 09603</t>
  </si>
  <si>
    <t>51 2 00 09604</t>
  </si>
  <si>
    <t>Региональная программа капитального ремонта общего имущества в многоквартирных домах, расположенных на территории Архангельской области</t>
  </si>
  <si>
    <t>56 0 00 00000</t>
  </si>
  <si>
    <t>56 0 00 09601</t>
  </si>
  <si>
    <t>17 1 00 70310</t>
  </si>
  <si>
    <t>Модернизация и капитальный ремонт объектов топливно-энергетического комплекса и жилищно-коммунального хозяйства</t>
  </si>
  <si>
    <t>17 1 00 78340</t>
  </si>
  <si>
    <t>Мероприятия, направленные на модернизацию оборудования, используемого для выработки и передачи электрической энергии, путем замены на оборудование с более высоким коэффициентом полезного действия</t>
  </si>
  <si>
    <t>17 1 00 78480</t>
  </si>
  <si>
    <t>Возмещение недополученных доходов, возникающих в результате государственного регулирования розничных цен на сжиженный газ, реализуемый для бытовых нужд населения</t>
  </si>
  <si>
    <t>17 3 00 73500</t>
  </si>
  <si>
    <t>Субсидии юридическим лицам (кроме некоммерческих организаций), индивидуальным предпринимателям, физическим лицам – производителям товаров, работ, услуг</t>
  </si>
  <si>
    <t>810</t>
  </si>
  <si>
    <t>Возмещение недополученных доходов организаций, возникающих в результате государственного регулирования тарифов на электрическую энергию, поставляемую покупателям на розничных рынках Архангельской области</t>
  </si>
  <si>
    <t>17 3 00 73510</t>
  </si>
  <si>
    <t>Возмещение недополученных доходов, возникающих в результате государственного регулирования тарифов на тепловую энергию, поставляемую населению и потребителям, приравненным к населению, на нужды теплоснабжения</t>
  </si>
  <si>
    <t>17 3 00 73520</t>
  </si>
  <si>
    <t>Возмещение недополученных доходов, возникающих в результате государственного регулирования розничных цен на топливо твердое, отпускаемое населению для нужд отопления</t>
  </si>
  <si>
    <t>17 3 00 73530</t>
  </si>
  <si>
    <t>Возмещение недополученных доходов, возникающих в результате государственного регулирования тарифов на холодную воду и водоотведение для населения и потребителей, приравненных к населению</t>
  </si>
  <si>
    <t>17 3 00 73540</t>
  </si>
  <si>
    <t>МИНИСТЕРСТВО ПРИРОДНЫХ РЕСУРСОВ И ЛЕСОПРОМЫШЛЕННОГО КОМПЛЕКСА АРХАНГЕЛЬСКОЙ ОБЛАСТИ</t>
  </si>
  <si>
    <t>045</t>
  </si>
  <si>
    <t>Общеэкономические вопросы</t>
  </si>
  <si>
    <t>Государственная программа Архангельской области "Развитие лесного комплекса Архангельской области (2014 – 2020 годы)"</t>
  </si>
  <si>
    <t>15 0 00 00000</t>
  </si>
  <si>
    <t>Подпрограмма "Обеспечение реализации государственной программы Архангельской области "Развитие лесного комплекса Архангельской области (2014 – 2020 годы)"</t>
  </si>
  <si>
    <t>15 4 00 00000</t>
  </si>
  <si>
    <t>15 4 00 70010</t>
  </si>
  <si>
    <t>Осуществление отдельных полномочий в области водных отношений</t>
  </si>
  <si>
    <t>10 3 00 51280</t>
  </si>
  <si>
    <t>Мероприятия в сфере водного хозяйства</t>
  </si>
  <si>
    <t>10 3 00 72760</t>
  </si>
  <si>
    <t>Капитальный ремонт гидротехнических сооружений</t>
  </si>
  <si>
    <t>10 3 00 78110</t>
  </si>
  <si>
    <t>Лесное хозяйство</t>
  </si>
  <si>
    <t>Подпрограмма "Обеспечение использования лесов"</t>
  </si>
  <si>
    <t>15 1 00 00000</t>
  </si>
  <si>
    <t>Осуществление отдельных полномочий в области лесных отношений</t>
  </si>
  <si>
    <t>15 1 00 51290</t>
  </si>
  <si>
    <t>15 1 00 70100</t>
  </si>
  <si>
    <t>Выполнение функций государственными органами в области лесных отношений</t>
  </si>
  <si>
    <t>15 1 00 70710</t>
  </si>
  <si>
    <t>Подпрограмма "Воспроизводство лесов"</t>
  </si>
  <si>
    <t>15 2 00 00000</t>
  </si>
  <si>
    <t>15 2 00 51290</t>
  </si>
  <si>
    <t>15 2 00 70100</t>
  </si>
  <si>
    <t>Подпрограмма "Охрана и защита лесов"</t>
  </si>
  <si>
    <t>15 3 00 00000</t>
  </si>
  <si>
    <t>15 3 00 51290</t>
  </si>
  <si>
    <t>Приобретение специализированной лесопожарной техники и оборудования</t>
  </si>
  <si>
    <t>15 3 00 51310</t>
  </si>
  <si>
    <t>15 3 00 70100</t>
  </si>
  <si>
    <t>Приобретение специализированной лесопожарной техники и оборудования (областной бюджет)</t>
  </si>
  <si>
    <t>15 3 00 R1310</t>
  </si>
  <si>
    <t>15 4 00 51290</t>
  </si>
  <si>
    <t>15 4 00 70710</t>
  </si>
  <si>
    <t>Охрана окружающей среды</t>
  </si>
  <si>
    <t>Охрана объектов растительного и животного мира и среды их обитания</t>
  </si>
  <si>
    <t>Мероприятия в сфере охраны окружающей среды, осуществляемые государственными органами</t>
  </si>
  <si>
    <t>08 2 00 70740</t>
  </si>
  <si>
    <t>Подпрограмма "Охрана окружающей среды и обеспечение экологической безопасности Архангельской области"</t>
  </si>
  <si>
    <t>10 1 00 00000</t>
  </si>
  <si>
    <t>10 1 00 70100</t>
  </si>
  <si>
    <t>Субсидии бюджетным учреждениям</t>
  </si>
  <si>
    <t>610</t>
  </si>
  <si>
    <t>Мероприятия в сфере охраны окружающей среды, осуществляемые подведомственными учреждениями</t>
  </si>
  <si>
    <t>10 1 00 70730</t>
  </si>
  <si>
    <t>10 1 00 70740</t>
  </si>
  <si>
    <t>Подпрограмма "Воспроизводство и использование природных ресурсов"</t>
  </si>
  <si>
    <t>10 2 00 00000</t>
  </si>
  <si>
    <t>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года № 52-ФЗ "О животном мире" полномочий Российской Федерации в области охраны и использования объектов животного мира (за исключением охотничьих ресурсов и водных биологических ресурсов)</t>
  </si>
  <si>
    <t>10 2 00 59200</t>
  </si>
  <si>
    <t>Осуществление переданных органам государственной власти субъектов Российской Федерации в соответствии с частью 1 статьи 33 Федерального закона от 24 июля 2009 года № 209-ФЗ "Об охоте и о сохранении охотничьих ресурсов и о внесении изменений в отдельные законодательные акты Российской Федерации" полномочий Российской Федерации в области охраны и использования охотничьих ресурсов</t>
  </si>
  <si>
    <t>10 2 00 59700</t>
  </si>
  <si>
    <t>МИНИСТЕРСТВО ЗДРАВООХРАНЕНИЯ АРХАНГЕЛЬСКОЙ ОБЛАСТИ</t>
  </si>
  <si>
    <t>062</t>
  </si>
  <si>
    <t>Подпрограмма "Кадровое обеспечение системы здравоохранения"</t>
  </si>
  <si>
    <t>01 7 00 00000</t>
  </si>
  <si>
    <t>01 7 00 70100</t>
  </si>
  <si>
    <t>53 0 00 70100</t>
  </si>
  <si>
    <t>Профессиональная подготовка, переподготовка и повышение квалификации</t>
  </si>
  <si>
    <t>Подпрограмма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эвакуации"</t>
  </si>
  <si>
    <t>01 2 00 00000</t>
  </si>
  <si>
    <t>Реализация отдельных мероприятий государственной программы Российской Федерации "Развитие здравоохранения"</t>
  </si>
  <si>
    <t>01 2 00 53820</t>
  </si>
  <si>
    <t>01 2 00 70100</t>
  </si>
  <si>
    <t>Софинансирование расходов, возникающих при оказании гражданам Российской Федерации высокотехнологичной медицинской помощи, не включенной в базовую программу обязательного медицинского страхования (областной бюджет)</t>
  </si>
  <si>
    <t>01 2 00 R4020</t>
  </si>
  <si>
    <t>Подпрограмма "Оказание паллиативной помощи, в том числе детям"</t>
  </si>
  <si>
    <t>01 6 00 00000</t>
  </si>
  <si>
    <t>01 6 00 70100</t>
  </si>
  <si>
    <t>Государственная программа Архангельской области "Социальная поддержка граждан в Архангельской области (2013 – 2018 годы)"</t>
  </si>
  <si>
    <t>03 0 00 00000</t>
  </si>
  <si>
    <t>Подпрограмма "Доступная среда"</t>
  </si>
  <si>
    <t>03 8 00 00000</t>
  </si>
  <si>
    <t>Мероприятия в сфере здравоохранения</t>
  </si>
  <si>
    <t>03 8 00 70460</t>
  </si>
  <si>
    <t>Амбулаторная помощь</t>
  </si>
  <si>
    <t>Подпрограмма "Профилактика заболеваний и формирование здорового образа жизни. Развитие первичной медико-санитарной помощи"</t>
  </si>
  <si>
    <t>01 1 00 00000</t>
  </si>
  <si>
    <t>01 1 00 70100</t>
  </si>
  <si>
    <t>Подпрограмма "Совершенствование системы лекарственного обеспечения, в том числе в амбулаторных условиях"</t>
  </si>
  <si>
    <t>01 8 00 00000</t>
  </si>
  <si>
    <t>Реализация отдельных полномочий в области лекарственного обеспечения</t>
  </si>
  <si>
    <t>01 8 00 51610</t>
  </si>
  <si>
    <t>Обеспечение лекарственными препаратами и медицинскими изделиями отдельных групп населения</t>
  </si>
  <si>
    <t>01 8 00 70630</t>
  </si>
  <si>
    <t>Скорая медицинская помощь</t>
  </si>
  <si>
    <t>01 2 00 70460</t>
  </si>
  <si>
    <t>Санаторно-оздоровительная помощь</t>
  </si>
  <si>
    <t>Подпрограмма "Развитие медицинской реабилитации и санаторно-курортного лечения, в том числе детей"</t>
  </si>
  <si>
    <t>01 5 00 00000</t>
  </si>
  <si>
    <t>01 5 00 70100</t>
  </si>
  <si>
    <t>Заготовка, переработка, хранение и обеспечение безопасности донорской крови и ее компонентов</t>
  </si>
  <si>
    <t>Другие вопросы в области здравоохранения</t>
  </si>
  <si>
    <t>Финансовое обеспечение закупок антивирусных препаратов для профилактики и лечения лиц, инфицированных вирусами иммунодефицита человека и гепатитов B и C</t>
  </si>
  <si>
    <t>01 1 00 50720</t>
  </si>
  <si>
    <t>Реализация мероприятий по профилактике ВИЧ-инфекции и гепатитов B и C</t>
  </si>
  <si>
    <t>01 1 00 51790</t>
  </si>
  <si>
    <t>01 1 00 70460</t>
  </si>
  <si>
    <t>Подпрограмма "Охрана здоровья матери и ребенка"</t>
  </si>
  <si>
    <t>01 4 00 00000</t>
  </si>
  <si>
    <t>01 4 00 70100</t>
  </si>
  <si>
    <t>Обеспечение полноценным питанием беременных женщин, кормящих матерей и детей в возрасте до трех лет</t>
  </si>
  <si>
    <t>01 4 00 76040</t>
  </si>
  <si>
    <t>01 7 00 70460</t>
  </si>
  <si>
    <t>Осуществление организационных мероприятий по обеспечению лиц лекарственными препаратами, предназначенными для лечения больных злокачественными новообразованиями лимфоидной, кроветворной и родственных им тканей, гемофилией, муковисцидозом, гипофизарным нанизмом, болезнью Гоше, рассеянным склерозом, а также после трансплантации органов и (или) тканей</t>
  </si>
  <si>
    <t>01 8 00 51330</t>
  </si>
  <si>
    <t>Финансовое обеспечение закупок антибактериальных и противотуберкулезных лекарственных препаратов (второго ряда), применяемых при лечении больных туберкулезом с множественной лекарственной устойчивостью возбудителя, и диагностических средств для выявления, определения чувствительности микобактерии туберкулеза и мониторинга лечения больных туберкулезом с множественной лекарственной устойчивостью возбудителя</t>
  </si>
  <si>
    <t>01 8 00 51740</t>
  </si>
  <si>
    <t>01 8 00 70460</t>
  </si>
  <si>
    <t>Осуществление переданных органам государственной власти субъектов Российской Федерации в соответствии с частью 1 статьи 15 Федерального закона от 21 ноября 2011 года № 323-ФЗ "Об основах охраны здоровья граждан в Российской Федерации" полномочий Российской Федерации в сфере охраны здоровья</t>
  </si>
  <si>
    <t>01 Б 00 59800</t>
  </si>
  <si>
    <t>01 Б 00 70010</t>
  </si>
  <si>
    <t>Обязательное медицинское страхование неработающего населения Архангельской области</t>
  </si>
  <si>
    <t>01 Б 00 78970</t>
  </si>
  <si>
    <t>11 1 00 70460</t>
  </si>
  <si>
    <t>53 0 00 70460</t>
  </si>
  <si>
    <t>МИНИСТЕРСТВО КУЛЬТУРЫ АРХАНГЕЛЬСКОЙ ОБЛАСТИ</t>
  </si>
  <si>
    <t>069</t>
  </si>
  <si>
    <t>Мероприятия по реализации приоритетных проектов в сфере туризма</t>
  </si>
  <si>
    <t>04 0 00 78550</t>
  </si>
  <si>
    <t>Мероприятия по обеспечению средствами туристcкой навигации</t>
  </si>
  <si>
    <t>04 0 00 78930</t>
  </si>
  <si>
    <t>Иные межбюджетные трансферты</t>
  </si>
  <si>
    <t>540</t>
  </si>
  <si>
    <t>Реализация мероприятий федеральной целевой программы "Культура России (2012 – 2018 годы")</t>
  </si>
  <si>
    <t>04 0 00 50140</t>
  </si>
  <si>
    <t>03 8 00 70100</t>
  </si>
  <si>
    <t>Формирование доступной среды для инвалидов в муниципальных районах и городских округах Архангельской области</t>
  </si>
  <si>
    <t>03 8 00 78460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</si>
  <si>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</si>
  <si>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04 0 00 51440</t>
  </si>
  <si>
    <t>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</si>
  <si>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>04 0 00 51460</t>
  </si>
  <si>
    <t>Государственная поддержка муниципальных учреждений культуры</t>
  </si>
  <si>
    <t>04 0 00 51470</t>
  </si>
  <si>
    <t>Государственная поддержка лучших работников муниципальных учреждений культуры, находящихся на территории сельских поселений</t>
  </si>
  <si>
    <t>04 0 00 51480</t>
  </si>
  <si>
    <t>Резервные средства для финансового обеспечения повышения средней заработной платы отдельных категорий работников в целях реализации указов Президента Российской Федерации от 7 мая 2012 года № 597, от 1 июня 2012 года № 761, от 28 декабря 2012 года № 1688</t>
  </si>
  <si>
    <t>04 0 00 70110</t>
  </si>
  <si>
    <t>Резервные средства</t>
  </si>
  <si>
    <t>870</t>
  </si>
  <si>
    <t>Мероприятия в сфере культуры и искусства</t>
  </si>
  <si>
    <t>04 0 00 70400</t>
  </si>
  <si>
    <t>Премии и гранты</t>
  </si>
  <si>
    <t>350</t>
  </si>
  <si>
    <t>Общественно значимые культурные мероприятия в рамках проекта "ЛЮБО-ДОРОГО"</t>
  </si>
  <si>
    <t>04 0 00 78360</t>
  </si>
  <si>
    <t>Региональная программа "Повышение уровня финансовой грамотности населения и развитие финансового образования в Архангельской области в 2014 – 2019 годах"</t>
  </si>
  <si>
    <t>52 0 00 00000</t>
  </si>
  <si>
    <t>52 0 00 70100</t>
  </si>
  <si>
    <t>Другие вопросы в области культуры, кинематографии</t>
  </si>
  <si>
    <t>Осуществление переданных органам государственной власти субъектов Российской Федерации в соответствии с пунктом 1 статьи 9.1 Федерального закона от 25 июня 2002 года № 73-ФЗ "Об объектах культурного наследия (памятниках истории и культуры) народов Российской Федерации" полномочий Российской Федерации в отношении объектов культурного наследия</t>
  </si>
  <si>
    <t>04 0 00 59500</t>
  </si>
  <si>
    <t>04 0 00 70010</t>
  </si>
  <si>
    <t>МИНИСТЕРСТВО ОБРАЗОВАНИЯ И НАУКИ АРХАНГЕЛЬСКОЙ ОБЛАСТИ</t>
  </si>
  <si>
    <t>075</t>
  </si>
  <si>
    <t>Другие общегосударственные вопросы</t>
  </si>
  <si>
    <t>13</t>
  </si>
  <si>
    <t>Подпрограмма "Развитие научного потенциала Архангельской области"</t>
  </si>
  <si>
    <t>02 5 00 00000</t>
  </si>
  <si>
    <t>Мероприятия по развитию научного потенциала Архангельской области</t>
  </si>
  <si>
    <t>02 5 00 70440</t>
  </si>
  <si>
    <t>Подпрограмма "Наследие М.В. Ломоносова в социально-экономическом и социокультурном развитии Архангельской области"</t>
  </si>
  <si>
    <t>02 6 00 00000</t>
  </si>
  <si>
    <t>02 6 00 70440</t>
  </si>
  <si>
    <t>Подпрограмма "Развитие дошкольного, общего и дополнительного образования детей"</t>
  </si>
  <si>
    <t>02 1 00 00000</t>
  </si>
  <si>
    <t>02 1 00 70100</t>
  </si>
  <si>
    <t>Реализация образовательных программ</t>
  </si>
  <si>
    <t>02 1 00 78620</t>
  </si>
  <si>
    <t>Подпрограмма "Содержание, обучение, воспитание и социальное обеспечение детей-сирот и детей, оставшихся без попечения родителей, лиц из числа детей-сирот и детей, оставшихся без попечения родителей, детей с ограниченными возможностями здоровья"</t>
  </si>
  <si>
    <t>02 2 00 00000</t>
  </si>
  <si>
    <t>02 2 00 70100</t>
  </si>
  <si>
    <t>Подпрограмма "Развитие среднего профессионального образования"</t>
  </si>
  <si>
    <t>02 3 00 00000</t>
  </si>
  <si>
    <t>02 3 00 70100</t>
  </si>
  <si>
    <t>Создание в общеобразовательных организациях, расположенных в сельской местности, условий для занятий физической культурой и спортом (областной бюджет)</t>
  </si>
  <si>
    <t>02 7 00 R0970</t>
  </si>
  <si>
    <t>Приобретение объектов недвижимого имущества в государственную собственность Архангельской области</t>
  </si>
  <si>
    <t>02 3 00 70320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</si>
  <si>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</si>
  <si>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460</t>
  </si>
  <si>
    <t>Подпрограмма "Совершенствование системы предоставления услуг в сфере образования"</t>
  </si>
  <si>
    <t>02 4 00 00000</t>
  </si>
  <si>
    <t>02 4 00 70100</t>
  </si>
  <si>
    <t>Молодежная политика и оздоровление детей</t>
  </si>
  <si>
    <t>Подпрограмма "Развитие системы отдыха и оздоровления детей"</t>
  </si>
  <si>
    <t>03 4 00 00000</t>
  </si>
  <si>
    <t>Мероприятия по оздоровлению детей</t>
  </si>
  <si>
    <t>03 4 00 70410</t>
  </si>
  <si>
    <t>Прикладные научные исследования в области образования</t>
  </si>
  <si>
    <t>02 6 00 70100</t>
  </si>
  <si>
    <t>Другие вопросы в области образования</t>
  </si>
  <si>
    <t>02 1 00 70110</t>
  </si>
  <si>
    <t>Мероприятия в области образования</t>
  </si>
  <si>
    <t>02 1 00 70450</t>
  </si>
  <si>
    <t>02 2 00 70110</t>
  </si>
  <si>
    <t>02 2 00 70450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</si>
  <si>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нарушений в развитии (за исключением субсидий местным бюджетам)</t>
  </si>
  <si>
    <t>02 2 00 70620</t>
  </si>
  <si>
    <t>Создание сети базовых образовательных организаций, реализующих образовательные программы общего образования, обеспечивающих совместное обучение инвалидов и лиц, не имеющих нарушений в развитии</t>
  </si>
  <si>
    <t>02 2 00 78450</t>
  </si>
  <si>
    <t>02 3 00 70110</t>
  </si>
  <si>
    <t>02 3 00 70450</t>
  </si>
  <si>
    <t>Осуществление переданных органам государственной власти субъектов Российской Федерации в соответствии с частью 1 статьи 7 Федерального закона от 29 декабря 2012 года № 273-ФЗ "Об образовании в Российской Федерации" полномочий Российской Федерации в сфере образования</t>
  </si>
  <si>
    <t>02 4 00 59900</t>
  </si>
  <si>
    <t>02 4 00 70010</t>
  </si>
  <si>
    <t>02 4 00 70450</t>
  </si>
  <si>
    <t>Возмещение расходов, связанных с реализацией мер социальной поддержки по предоставлению компенсации расходов на оплату жилых помещений, отопления и освещения педагогическим работникам образовательных организаций в сельских населенных пунктах, рабочих поселках (поселках городского типа)</t>
  </si>
  <si>
    <t>02 4 00 78390</t>
  </si>
  <si>
    <t>Подпрограмма "Право быть равным"</t>
  </si>
  <si>
    <t>03 9 00 00000</t>
  </si>
  <si>
    <t>03 9 00 70450</t>
  </si>
  <si>
    <t>Подпрограмма "Профилактика незаконного потребления наркотических средств и психотропных веществ, реабилитация и ресоциализация потребителей наркотических средств и психотропных веществ"</t>
  </si>
  <si>
    <t>08 1 00 00000</t>
  </si>
  <si>
    <t>08 1 00 70450</t>
  </si>
  <si>
    <t>08 2 00 70450</t>
  </si>
  <si>
    <t>Подпрограмма "Профилактика экстремизма и терроризма в Архангельской области"</t>
  </si>
  <si>
    <t>08 4 00 00000</t>
  </si>
  <si>
    <t>08 4 00 70100</t>
  </si>
  <si>
    <t>Подпрограмма "Гражданско-патриотическое воспитание граждан Российской Федерации и допризывная подготовка молодежи в Архангельской области (2014 – 2020 годы)"</t>
  </si>
  <si>
    <t>11 3 00 00000</t>
  </si>
  <si>
    <t>11 3 00 70450</t>
  </si>
  <si>
    <t>52 0 00 70450</t>
  </si>
  <si>
    <t>Охрана семьи и детства</t>
  </si>
  <si>
    <t>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</si>
  <si>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02 1 00 78330</t>
  </si>
  <si>
    <t>Компенсация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</si>
  <si>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02 1 00 78650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</si>
  <si>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</si>
  <si>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02 2 00 50820</t>
  </si>
  <si>
    <t>Выплата единовременного пособия при всех формах устройства детей, лишенных родительского попечения, в семью</t>
  </si>
  <si>
    <t>02 2 00 52600</t>
  </si>
  <si>
    <t>Публичные нормативные социальные выплаты гражданам</t>
  </si>
  <si>
    <t>310</t>
  </si>
  <si>
    <t>Выплаты приемной семье на содержание подопечных детей</t>
  </si>
  <si>
    <t>02 2 00 77280</t>
  </si>
  <si>
    <t>Оплата труда приемного родителя</t>
  </si>
  <si>
    <t>02 2 00 77290</t>
  </si>
  <si>
    <t>Выплаты семьям опекунов на содержание подопечных детей</t>
  </si>
  <si>
    <t>02 2 00 77300</t>
  </si>
  <si>
    <t>Обеспечение мер социальной поддержки детей-сирот и детей, оставшихся без попечения родителей, по оплате жилого помещения и коммунальных услуг, а также в виде единовременной денежной выплаты на ремонт жилых помещений, находящихся в собственности детей-сирот и детей, оставшихся без попечения родителей</t>
  </si>
  <si>
    <t>02 2 00 77410</t>
  </si>
  <si>
    <t>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социального найма по неисполненным судебным решениям, вступившим в законную силу до 1 января 2013 года</t>
  </si>
  <si>
    <t>02 2 00 78640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</si>
  <si>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(областной бюджет)</t>
  </si>
  <si>
    <t>02 2 00 R0820</t>
  </si>
  <si>
    <t>Другие вопросы в области социальной политики</t>
  </si>
  <si>
    <t>Осуществление государственных полномочий по организации и осуществлению деятельности по опеке и попечительству</t>
  </si>
  <si>
    <t>02 2 00 78660</t>
  </si>
  <si>
    <t>МИНИСТЕРСТВО АГРОПРОМЫШЛЕННОГО КОМПЛЕКСА И ТОРГОВЛИ АРХАНГЕЛЬСКОЙ ОБЛАСТИ</t>
  </si>
  <si>
    <t>083</t>
  </si>
  <si>
    <t>Государственная программа Архангельской области "Развитие торговли в Архангельской области (2014 – 2020 годы)"</t>
  </si>
  <si>
    <t>14 0 00 00000</t>
  </si>
  <si>
    <t>Осуществление государственных полномочий по формированию торгового реестра</t>
  </si>
  <si>
    <t>14 0 00 78700</t>
  </si>
  <si>
    <t>05 3 00 00000</t>
  </si>
  <si>
    <t>Проведение Всероссийской сельскохозяйственной переписи в 2016 году</t>
  </si>
  <si>
    <t>05 3 00 53910</t>
  </si>
  <si>
    <t>Сельское хозяйство и рыболовство</t>
  </si>
  <si>
    <t>Возмещение части затрат на приобретение элитных семян</t>
  </si>
  <si>
    <t>05 1 00 50310</t>
  </si>
  <si>
    <t>Возмещение части затрат на приобретение семян с учетом доставки в районы Крайнего Севера и приравненные к ним местности</t>
  </si>
  <si>
    <t>05 1 00 50360</t>
  </si>
  <si>
    <t>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растениеводства</t>
  </si>
  <si>
    <t>05 1 00 50400</t>
  </si>
  <si>
    <t>Оказание несвязанной поддержки сельскохозяйственным товаропроизводителям в области растениеводства</t>
  </si>
  <si>
    <t>05 1 00 50410</t>
  </si>
  <si>
    <t>Поддержка племенного животноводства</t>
  </si>
  <si>
    <t>05 1 00 50420</t>
  </si>
  <si>
    <t>Субсидии на 1 килограмм реализованного и (или) отгруженного на собственную переработку молока</t>
  </si>
  <si>
    <t>05 1 00 50430</t>
  </si>
  <si>
    <t>Возмещение части затрат по наращиванию поголовья северных оленей, маралов и мясных табунных лошадей</t>
  </si>
  <si>
    <t>05 1 00 50450</t>
  </si>
  <si>
    <t>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животноводства</t>
  </si>
  <si>
    <t>05 1 00 50490</t>
  </si>
  <si>
    <t>Оказание несвязанной поддержки сельскохозяйственным товаропроизводителям в области развития производства семенного картофеля и овощей открытого грунта</t>
  </si>
  <si>
    <t>05 1 00 54390</t>
  </si>
  <si>
    <t>Поддержка племенного крупного рогатого скота молочного направления</t>
  </si>
  <si>
    <t>05 1 00 54460</t>
  </si>
  <si>
    <t>Субсидии на животноводческую продукцию</t>
  </si>
  <si>
    <t>05 1 00 72210</t>
  </si>
  <si>
    <t>Мероприятия в области сельскохозяйственного производства</t>
  </si>
  <si>
    <t>05 1 00 72250</t>
  </si>
  <si>
    <t>Субсидии на закупку сельскохозяйственной продукции у населения</t>
  </si>
  <si>
    <t>05 1 00 72270</t>
  </si>
  <si>
    <t>Субсидии на поддержку овощеводства защищенного грунта</t>
  </si>
  <si>
    <t>05 1 00 72290</t>
  </si>
  <si>
    <t>Субсидии на компенсацию части затрат на газ, использованный на производство овощей защищенного грунта тепличными хозяйствами</t>
  </si>
  <si>
    <t>05 1 00 72330</t>
  </si>
  <si>
    <t>Выполнение научно-исследовательских и опытно-конструкторских работ в сельском хозяйстве</t>
  </si>
  <si>
    <t>05 1 00 72340</t>
  </si>
  <si>
    <t>Субсидии на компенсацию части затрат по приобретению средств химизации</t>
  </si>
  <si>
    <t>05 1 00 72360</t>
  </si>
  <si>
    <t>Субсидии на компенсацию части затрат на известкование кислых почв</t>
  </si>
  <si>
    <t>05 1 00 72380</t>
  </si>
  <si>
    <t>Возмещение части затрат на приобретение элитных семян (областной бюджет)</t>
  </si>
  <si>
    <t>05 1 00 R0310</t>
  </si>
  <si>
    <t>Возмещение части затрат на приобретение семян с учетом доставки в районы Крайнего Севера и приравненные к ним местности (областной бюджет)</t>
  </si>
  <si>
    <t>05 1 00 R0360</t>
  </si>
  <si>
    <t>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 (областной бюджет)</t>
  </si>
  <si>
    <t>05 1 00 R0380</t>
  </si>
  <si>
    <t>Возмещение части процентной ставки по инвестиционным кредитам (займам) на развитие растениеводства, переработки и развития инфраструктуры и логистического обеспечения рынков продукции растениеводства (областной бюджет)</t>
  </si>
  <si>
    <t>05 1 00 R0390</t>
  </si>
  <si>
    <t>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растениеводства (областной бюджет)</t>
  </si>
  <si>
    <t>05 1 00 R0400</t>
  </si>
  <si>
    <t>Оказание несвязанной поддержки сельскохозяйственным товаропроизводителям в области растениеводства (областной бюджет)</t>
  </si>
  <si>
    <t>05 1 00 R0410</t>
  </si>
  <si>
    <t>Поддержка племенного животноводства (областной бюджет)</t>
  </si>
  <si>
    <t>05 1 00 R0420</t>
  </si>
  <si>
    <t>Субсидии на 1 килограмм реализованного и (или) отгруженного на собственную переработку молока (областной бюджет)</t>
  </si>
  <si>
    <t>05 1 00 R0430</t>
  </si>
  <si>
    <t>Возмещение части затрат по наращиванию поголовья северных оленей, маралов и мясных табунных лошадей (областной бюджет)</t>
  </si>
  <si>
    <t>05 1 00 R0450</t>
  </si>
  <si>
    <t>Возмещение части процентной ставки по краткосрочным кредитам (займам) на развитие животноводства, переработки и реализации продукции животноводства (областной бюджет)</t>
  </si>
  <si>
    <t>05 1 00 R0470</t>
  </si>
  <si>
    <t>Возмещение части процентной ставки по инвестиционным кредитам (займам) на развитие животноводства, переработки и развития инфраструктуры и логистического обеспечения рынков продукции животноводства (областной бюджет)</t>
  </si>
  <si>
    <t>05 1 00 R0480</t>
  </si>
  <si>
    <t>Возмещение части затрат сельскохозяйственных товаропроизводителей на уплату страховой премии, начисленной по договору сельскохозяйственного страхования в области животноводства (областной бюджет)</t>
  </si>
  <si>
    <t>05 1 00 R0490</t>
  </si>
  <si>
    <t>Возмещение части процентной ставки по инвестиционным кредитам на строительство и реконструкцию объектов мясного скотоводства (областной бюджет)</t>
  </si>
  <si>
    <t>05 1 00 R0520</t>
  </si>
  <si>
    <t>Поддержка начинающих фермеров (областной бюджет)</t>
  </si>
  <si>
    <t>05 1 00 R0530</t>
  </si>
  <si>
    <t>Развитие семейных животноводческих ферм (областной бюджет)</t>
  </si>
  <si>
    <t>05 1 00 R0540</t>
  </si>
  <si>
    <t>Возмещение части процентной ставки по долгосрочным, среднесрочным и краткосрочным кредитам, взятым малыми формами хозяйствования (областной бюджет)</t>
  </si>
  <si>
    <t>05 1 00 R0550</t>
  </si>
  <si>
    <t>Возмещение части затрат крестьянских (фермерских) хозяйств, включая индивидуальных предпринимателей, при оформлении в собственность используемых ими земельных участков из земель сельскохозяйственного назначения (областной бюджет)</t>
  </si>
  <si>
    <t>05 1 00 R0560</t>
  </si>
  <si>
    <t>Грантовая поддержка сельскохозяйственных потребительских кооперативов для развития материально-технической базы (областной бюджет)</t>
  </si>
  <si>
    <t>05 1 00 R4380</t>
  </si>
  <si>
    <t>Оказание несвязанной поддержки сельскохозяйственным товаропроизводителям в области развития производства семенного картофеля и овощей открытого грунта (областной бюджет)</t>
  </si>
  <si>
    <t>05 1 00 R4390</t>
  </si>
  <si>
    <t>Возмещение части прямых понесенных затрат на создание и модернизацию объектов животноводческих комплексов молочного направления (молочных ферм) (областной бюджет)</t>
  </si>
  <si>
    <t>05 1 00 R4420</t>
  </si>
  <si>
    <t>Возмещение части процентной ставки по краткосрочным кредитам (займам) на развитие молочного скотоводства (областной бюджет)</t>
  </si>
  <si>
    <t>05 1 00 R4430</t>
  </si>
  <si>
    <t>Возмещение части процентной ставки по инвестиционным кредитам (займам) на строительство и реконструкцию объектов для молочного скотоводства (областной бюджет)</t>
  </si>
  <si>
    <t>05 1 00 R4440</t>
  </si>
  <si>
    <t>Поддержка племенного крупного рогатого скота молочного направления (областной бюджет)</t>
  </si>
  <si>
    <t>05 1 00 R4460</t>
  </si>
  <si>
    <t>Возмещение части процентной ставки по инвестиционным кредитам (займам) на строительство и реконструкцию селекционно-генетических и селекционно-семеноводческих центров в подотраслях животноводства и растениеводства (областной бюджет)</t>
  </si>
  <si>
    <t>05 1 00 R4490</t>
  </si>
  <si>
    <t>Возмещение части процентной ставки по краткосрочным кредитам (займам) на переработку продукции растениеводства и животноводства (областной бюджет)</t>
  </si>
  <si>
    <t>05 1 00 R4500</t>
  </si>
  <si>
    <t>Подпрограмма "Развитие рыбохозяйственного комплекса Архангельской области"</t>
  </si>
  <si>
    <t>05 2 00 00000</t>
  </si>
  <si>
    <t>Осуществление переданных органам государственной власти субъектов Российской Федерации в соответствии с частью первой статьи 6 Федерального закона от 24 апреля 1995 года № 52-ФЗ "О животном мире" полномочий Российской Федерации в области организации, регулирования и охраны водных биологических ресурсов"</t>
  </si>
  <si>
    <t>05 2 00 59100</t>
  </si>
  <si>
    <t>Гранты на развитие организаций, крестьянских (фермерских) хозяйств, индивидуальных предпринимателей, осуществляющих товарное рыбоводство</t>
  </si>
  <si>
    <t>05 2 00 72750</t>
  </si>
  <si>
    <t>Возмещение части затрат на уплату процентов по кредитам, полученным в российских кредитных организациях, на развитие аквакультуры (рыбоводство) (областной бюджет)</t>
  </si>
  <si>
    <t>05 2 00 R3960</t>
  </si>
  <si>
    <t>Возмещение рыбохозяйственным организациям и индивидуальным предпринимателям части затрат на уплату процентов по инвестиционным кредитам, полученным в российских кредитных организациях, на строительство и модернизацию объектов рыбоперерабатывающей инфраструктуры, объектов хранения рыбной продукции сроком до 5 лет (областной бюджет)</t>
  </si>
  <si>
    <t>05 2 00 R4280</t>
  </si>
  <si>
    <t>05 3 00 70010</t>
  </si>
  <si>
    <t>05 3 00 70100</t>
  </si>
  <si>
    <t>Подпрограмма "Развитие мелиорации земель сельскохозяйственного назначения Архангельской области"</t>
  </si>
  <si>
    <t>05 4 00 00000</t>
  </si>
  <si>
    <t>Реализация мероприятий федеральной целевой программы «Развитие мелиорации земель сельскохозяйственного назначения России на 2014 – 2020 годы» (областной бюджет)</t>
  </si>
  <si>
    <t>05 4 00 R0760</t>
  </si>
  <si>
    <t>Создание условий для обеспечения поселений и жителей городских округов услугами торговли</t>
  </si>
  <si>
    <t>14 0 00 78270</t>
  </si>
  <si>
    <t>МИНИСТЕРСТВО ФИНАНСОВ АРХАНГЕЛЬСКОЙ ОБЛАСТИ</t>
  </si>
  <si>
    <t>090</t>
  </si>
  <si>
    <t>Государственная программа Архангельской области "Управление государственными финансами и государственным долгом Архангельской области (2014 – 2017 годы)"</t>
  </si>
  <si>
    <t>22 0 00 00000</t>
  </si>
  <si>
    <t>Подпрограмма "Организация и обеспечение бюджетного процесса и развитие информационных систем управления финансами в Архангельской области"</t>
  </si>
  <si>
    <t>22 1 00 00000</t>
  </si>
  <si>
    <t>Осуществление государственных полномочий по созданию комиссий по делам несовершеннолетних и защите их прав</t>
  </si>
  <si>
    <t>22 1 00 78670</t>
  </si>
  <si>
    <t>Осуществление государственных полномочий в сфере административных правонарушений</t>
  </si>
  <si>
    <t>22 1 00 78680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</si>
  <si>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</si>
  <si>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</si>
  <si>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22 1 00 51200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</si>
  <si>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</si>
  <si>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22 1 00 70010</t>
  </si>
  <si>
    <t>Прочие выплаты по обязательствам государства</t>
  </si>
  <si>
    <t>22 1 00 70030</t>
  </si>
  <si>
    <t>Резервные фонды</t>
  </si>
  <si>
    <t>Резервный фонд Правительства Архангельской области</t>
  </si>
  <si>
    <t>67 0 00 00000</t>
  </si>
  <si>
    <t>67 0 00 71400</t>
  </si>
  <si>
    <t>Специальные расходы</t>
  </si>
  <si>
    <t>880</t>
  </si>
  <si>
    <t>Мероприятия в сфере общегосударственных вопросов, осуществляемые государственными органами</t>
  </si>
  <si>
    <t>52 0 00 70480</t>
  </si>
  <si>
    <t>Резервные средства для финансового обеспечения повышения оплаты труда работников государственных и муниципальных учреждений Архангельской области, органов государственной власти и местного самоуправления Архангельской области с 1 октября 2016 года на 5,5 процента</t>
  </si>
  <si>
    <t>70 0 00 00000</t>
  </si>
  <si>
    <t>70 0 00 71410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</si>
  <si>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</si>
  <si>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</si>
  <si>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</si>
  <si>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22 1 00 51180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</si>
  <si>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</si>
  <si>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</si>
  <si>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Подпрограмма "Управление государственным долгом Архангельской области"</t>
  </si>
  <si>
    <t>22 2 00 00000</t>
  </si>
  <si>
    <t>Обслуживание государственного долга</t>
  </si>
  <si>
    <t>22 2 00 71750</t>
  </si>
  <si>
    <t>Обслуживание государственного (муниципального) долга</t>
  </si>
  <si>
    <t>700</t>
  </si>
  <si>
    <t>Обслуживание государственного долга субъекта Российской Федерации</t>
  </si>
  <si>
    <t>720</t>
  </si>
  <si>
    <t>из них: уплата процентов за рассрочку в соответствии с Дополнительным соглашением № 4 к Соглашению от 15 декабря 2010 года № 01-01-06/06-539 о предоставлении бюджету Архангельской области из федерального бюджета бюджетного кредита на реализацию мероприятий по поддержке монопрофильных муниципальных образований</t>
  </si>
  <si>
    <t>уплата процентов за рассрочку в соответствии с Дополнительным соглашением № 2 к Соглашению от 16 апреля 2010 года № 01-01-06/06-108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</si>
  <si>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уплата процентов за рассрочку в соответствии с Дополнительным соглашением № 2 к Соглашению от 17 мая 2011 года № 01-01-06/06-84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</si>
  <si>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уплата процентов за рассрочку в соответствии с Дополнительным соглашением № 2 к Соглашению от 28 сентября 2011 года № 01-01-06/06-370 о предоставлении бюджету Архангельской области из федерального бюджета бюджетного кредита для строительства, реконструкции, капитального ремонта, ремонта и содержания автомобильных дорог общего пользования (за исключением автомобильных дорог федерального значения)</t>
  </si>
  <si>
    <t>Межбюджетные трансферты общего характера бюджетам бюджетной системы Российской Федерации</t>
  </si>
  <si>
    <t>14</t>
  </si>
  <si>
    <t>Дотации на выравнивание бюджетной обеспеченности субъектов Российской Федерации и муниципальных образований</t>
  </si>
  <si>
    <t>Подпрограмма "Поддержание устойчивого исполнения бюджетов муниципальных образований Архангельской области"</t>
  </si>
  <si>
    <t>22 3 00 00000</t>
  </si>
  <si>
    <t>Выравнивание бюджетной обеспеченности поселений</t>
  </si>
  <si>
    <t>22 3 00 78010</t>
  </si>
  <si>
    <t>Дотации</t>
  </si>
  <si>
    <t>510</t>
  </si>
  <si>
    <t>Выравнивание бюджетной обеспеченности муниципальных районов (городских округов)</t>
  </si>
  <si>
    <t>22 3 00 78020</t>
  </si>
  <si>
    <t>Иные дотации</t>
  </si>
  <si>
    <t>Дотации, связанные с особым режимом безопасного функционирования закрытых административно-территориальных образований</t>
  </si>
  <si>
    <t>22 3 00 50100</t>
  </si>
  <si>
    <t>Поддержка мер по обеспечению сбалансированности местных бюджетов</t>
  </si>
  <si>
    <t>22 3 00 78030</t>
  </si>
  <si>
    <t>Прочие межбюджетные трансферты общего характера</t>
  </si>
  <si>
    <t>Доставка муки и лекарственных средств в районы Крайнего Севера и приравненные к ним местности с ограниченными сроками завоза грузов</t>
  </si>
  <si>
    <t>22 1 00 78220</t>
  </si>
  <si>
    <t>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</si>
  <si>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22 1 00 78240</t>
  </si>
  <si>
    <t>Софинансирование вопросов местного значения</t>
  </si>
  <si>
    <t>22 3 00 78230</t>
  </si>
  <si>
    <t>МИНИСТЕРСТВО ТРАНСПОРТА АРХАНГЕЛЬСКОЙ ОБЛАСТИ</t>
  </si>
  <si>
    <t>104</t>
  </si>
  <si>
    <t>Государственная программа Архангельской области "Развитие транспортной системы Архангельской области (2014 – 2020 годы)"</t>
  </si>
  <si>
    <t>19 0 00 00000</t>
  </si>
  <si>
    <t>Подпрограмма "Создание условий для реализации государственной программы и осуществления иных расходов"</t>
  </si>
  <si>
    <t>19 5 00 00000</t>
  </si>
  <si>
    <t>Уплата членского взноса в "Некоммерческое партнерство по координации использования Северного морского пути"</t>
  </si>
  <si>
    <t>19 5 00 73280</t>
  </si>
  <si>
    <t>Транспорт</t>
  </si>
  <si>
    <t>Подпрограмма "Проведение сбалансированной государственной тарифной политики на транспорте"</t>
  </si>
  <si>
    <t>19 1 00 00000</t>
  </si>
  <si>
    <t>Субсидии организациям воздушного транспорта на возмещение недополученных доходов, возникающих в результате государственного регулирования тарифов на перевозку пассажиров и багажа</t>
  </si>
  <si>
    <t>19 1 00 73010</t>
  </si>
  <si>
    <t>Субсидии организациям водного транспорта на возмещение недополученных доходов, возникающих в результате государственного регулирования тарифов на перевозку пассажиров и багажа</t>
  </si>
  <si>
    <t>19 1 00 73020</t>
  </si>
  <si>
    <t>Субсидии организациям железнодорожного транспорта на возмещение недополученных доходов, возникающих в результате государственного регулирования тарифов на перевозку пассажиров и багажа в пригородном и межмуниципальном сообщении</t>
  </si>
  <si>
    <t>19 1 00 73030</t>
  </si>
  <si>
    <t>Компенсация организациям железнодорожного транспорта потерь в доходах, возникающих в результате предоставления 50-процентной скидки на проезд железнодорожным транспортом общего пользования в поездах пригородного сообщения учащимся и воспитанникам образовательных организаций старше семи лет, студентам (курсантам), обучающимся по очной форме обучения в профессиональных образовательных организациях и образовательных организациях высшего образования</t>
  </si>
  <si>
    <t>19 1 00 73040</t>
  </si>
  <si>
    <t>Подпрограмма "Развитие общественного пассажирского транспорта и транспортной инфраструктуры Архангельской области"</t>
  </si>
  <si>
    <t>19 2 00 00000</t>
  </si>
  <si>
    <t>Мероприятия в сфере общественного пассажирского транспорта и транспортной инфраструктуры</t>
  </si>
  <si>
    <t>19 2 00 70750</t>
  </si>
  <si>
    <t>19 5 00 70010</t>
  </si>
  <si>
    <t>Подпрограмма "Развитие и совершенствование сети автомобильных дорог общего пользования регионального значения"</t>
  </si>
  <si>
    <t>19 3 00 00000</t>
  </si>
  <si>
    <t>19 3 00 70300</t>
  </si>
  <si>
    <t>Подпрограмма "Улучшение эксплуатационного состояния автомобильных дорог общего пользования регионального значения за счет ремонта, капитального ремонта и содержания"</t>
  </si>
  <si>
    <t>19 4 00 00000</t>
  </si>
  <si>
    <t>Капитальный ремонт, ремонт и содержание региональных автомобильных дорог</t>
  </si>
  <si>
    <t>19 4 00 73210</t>
  </si>
  <si>
    <t>19 5 00 70100</t>
  </si>
  <si>
    <t>Мероприятия в сфере дорожного хозяйства</t>
  </si>
  <si>
    <t>19 5 00 70720</t>
  </si>
  <si>
    <t>Уплата земельного налога за участки строящихся автомобильных дорог и налога на имущество автомобильных дорог</t>
  </si>
  <si>
    <t>19 5 00 73270</t>
  </si>
  <si>
    <t>Подпрограмма "Повышение безопасности дорожного движения в Архангельской области"</t>
  </si>
  <si>
    <t>19 6 00 00000</t>
  </si>
  <si>
    <t>Выявление и сокращение количества мест концентрации дорожно-транспортных происшествий на дорогах Архангельской области</t>
  </si>
  <si>
    <t>19 6 00 73240</t>
  </si>
  <si>
    <t>24 0 00 70300</t>
  </si>
  <si>
    <t>Непрограммные расходы в области дорожного хозяйства</t>
  </si>
  <si>
    <t>68 0 00 00000</t>
  </si>
  <si>
    <t>Резерв средств на ликвидацию потерь дорожного хозяйства от осенне-весенних паводков и неблагоприятных последствий природного и техногенного характера</t>
  </si>
  <si>
    <t>68 0 00 73230</t>
  </si>
  <si>
    <t>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</si>
  <si>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68 0 00 78120</t>
  </si>
  <si>
    <t>Связь и информатика</t>
  </si>
  <si>
    <t>МИНИСТЕРСТВО ЭКОНОМИЧЕСКОГО РАЗВИТИЯ АРХАНГЕЛЬСКОЙ ОБЛАСТИ</t>
  </si>
  <si>
    <t>138</t>
  </si>
  <si>
    <t>Государственная программа Архангельской области "Экономическое развитие и инвестиционная деятельность в Архангельской области (2014 – 2020 годы)"</t>
  </si>
  <si>
    <t>12 0 00 00000</t>
  </si>
  <si>
    <t>Подпрограмма "Совершенствование системы управления экономическим развитием Архангельской области"</t>
  </si>
  <si>
    <t>12 3 00 00000</t>
  </si>
  <si>
    <t>12 3 00 70010</t>
  </si>
  <si>
    <t>12 3 00 70030</t>
  </si>
  <si>
    <t>Подпрограмма "Формирование благоприятной среды для развития инвестиционной деятельности"</t>
  </si>
  <si>
    <t>12 1 00 00000</t>
  </si>
  <si>
    <t>Мероприятия в сфере повышения инвестиционной привлекательности</t>
  </si>
  <si>
    <t>12 1 00 72860</t>
  </si>
  <si>
    <t>Реализация комплексных инвестиционных проектов по развитию инновационных территориальных кластеров (областной бюджет)</t>
  </si>
  <si>
    <t>12 1 00 R3890</t>
  </si>
  <si>
    <t>Подпрограмма "Развитие субъектов малого и среднего предпринимательства в Архангельской области"</t>
  </si>
  <si>
    <t>12 2 00 00000</t>
  </si>
  <si>
    <t>12 2 00 70100</t>
  </si>
  <si>
    <t>Государственная поддержка малого и среднего предпринимательства</t>
  </si>
  <si>
    <t>12 2 00 72910</t>
  </si>
  <si>
    <t>Государственная поддержка малого и среднего предпринимательства, включая крестьянские (фермерские) хозяйства (областной бюджет)</t>
  </si>
  <si>
    <t>12 2 00 R0640</t>
  </si>
  <si>
    <t>АГЕНТСТВО ПО ДЕЛАМ АРХИВОВ АРХАНГЕЛЬСКОЙ ОБЛАСТИ</t>
  </si>
  <si>
    <t>154</t>
  </si>
  <si>
    <t>Государственная программа Архангельской области "Эффективное государственное управление в Архангельской области (2014 – 2018 годы)"</t>
  </si>
  <si>
    <t>23 0 00 00000</t>
  </si>
  <si>
    <t>Подпрограмма "Развитие отдельных направлений системы государственного управления Архангельской области"</t>
  </si>
  <si>
    <t>23 5 00 00000</t>
  </si>
  <si>
    <t>23 5 00 70010</t>
  </si>
  <si>
    <t>23 5 00 70100</t>
  </si>
  <si>
    <t>МИНИСТЕРСТВО ТРУДА, ЗАНЯТОСТИ И СОЦИАЛЬНОГО РАЗВИТИЯ АРХАНГЕЛЬСКОЙ ОБЛАСТИ</t>
  </si>
  <si>
    <t>156</t>
  </si>
  <si>
    <t>Государственная программа Архангельской области "Содействие занятости населения Архангельской области, улучшение условий и охраны труда (2014 – 2020 годы)"</t>
  </si>
  <si>
    <t>07 0 00 00000</t>
  </si>
  <si>
    <t>Подпрограмма "Улучшение условий и охраны труда в Архангельской области (2014 – 2020 годы)"</t>
  </si>
  <si>
    <t>07 2 00 00000</t>
  </si>
  <si>
    <t>Осуществление государственных полномочий в сфере охраны труда</t>
  </si>
  <si>
    <t>07 2 00 78710</t>
  </si>
  <si>
    <t>Мероприятия в сфере общегосударственных вопросов, осуществляемые подведомственными учреждениями</t>
  </si>
  <si>
    <t>52 0 00 70490</t>
  </si>
  <si>
    <t>Подпрограмма "Активная политика занятости и социальная поддержка безработных граждан (2014 – 2020 годы)"</t>
  </si>
  <si>
    <t>07 1 00 00000</t>
  </si>
  <si>
    <t>07 1 00 70010</t>
  </si>
  <si>
    <t>07 1 00 70030</t>
  </si>
  <si>
    <t>07 1 00 70100</t>
  </si>
  <si>
    <t>Реализация мероприятий активной политики в сфере занятости населения</t>
  </si>
  <si>
    <t>07 1 00 72020</t>
  </si>
  <si>
    <t>Подпрограмма "Повышение мобильности трудовых ресурсов (2015 – 2017 годы)"</t>
  </si>
  <si>
    <t>07 5 00 00000</t>
  </si>
  <si>
    <t>Софинансирование региональных программ повышения мобильности трудовых ресурсов (областной бюджет)</t>
  </si>
  <si>
    <t>07 5 00 R2380</t>
  </si>
  <si>
    <t>03 4 00 70100</t>
  </si>
  <si>
    <t>Мероприятия по проведению оздоровительной кампании детей</t>
  </si>
  <si>
    <t>03 4 00 78320</t>
  </si>
  <si>
    <t>Пенсионное обеспечение</t>
  </si>
  <si>
    <t>Подпрограмма "Меры социальной поддержки отдельным категориям граждан, проживающим на территории Архангельской области"</t>
  </si>
  <si>
    <t>03 2 00 00000</t>
  </si>
  <si>
    <t>Доплаты к пенсиям государственных служащих Архангельской области</t>
  </si>
  <si>
    <t>03 2 00 77050</t>
  </si>
  <si>
    <t>Социальное обслуживание населения</t>
  </si>
  <si>
    <t>Подпрограмма "Организация работы по социальному обслуживанию граждан и социальной защите населения в Архангельской области"</t>
  </si>
  <si>
    <t>03 1 00 00000</t>
  </si>
  <si>
    <t>03 1 00 70100</t>
  </si>
  <si>
    <t>03 1 00 70110</t>
  </si>
  <si>
    <t>Мероприятия в сфере социальной политики, осуществляемые государственными органами</t>
  </si>
  <si>
    <t>03 1 00 70540</t>
  </si>
  <si>
    <t>Ежемесячные вознаграждения лицам, организовавшим приемные семьи для граждан пожилого возраста и инвалидов</t>
  </si>
  <si>
    <t>03 1 00 77040</t>
  </si>
  <si>
    <t>Подпрограмма "Семья и дети в Архангельской области"</t>
  </si>
  <si>
    <t>03 5 00 00000</t>
  </si>
  <si>
    <t>03 5 00 70100</t>
  </si>
  <si>
    <t>Подпрограмма "Повышение качества жизни граждан пожилого возраста и инвалидов в Архангельской области"</t>
  </si>
  <si>
    <t>03 6 00 00000</t>
  </si>
  <si>
    <t>03 6 00 70100</t>
  </si>
  <si>
    <t>03 9 00 70100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</si>
  <si>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– 1945 годов"</t>
  </si>
  <si>
    <t>03 2 00 51340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</si>
  <si>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</si>
  <si>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03 2 00 51350</t>
  </si>
  <si>
    <t>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</si>
  <si>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03 2 00 51370</t>
  </si>
  <si>
    <t>Выплата региональной доплаты к пенсии</t>
  </si>
  <si>
    <t>03 2 00 51530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</si>
  <si>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</si>
  <si>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03 2 00 52200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</si>
  <si>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№ 157-ФЗ "Об иммунопрофилактике инфекционных болезней"</t>
  </si>
  <si>
    <t>03 2 00 52400</t>
  </si>
  <si>
    <t>Оплата жилищно-коммунальных услуг отдельным категориям граждан</t>
  </si>
  <si>
    <t>03 2 00 52500</t>
  </si>
  <si>
    <t>Выплата инвалидам компенсаций страховых премий по договорам обязательного страхования гражданской ответственности владельцев транспортных средств в соответствии с Федеральным законом от 25 апреля 2002 года № 40-ФЗ "Об обязательном страховании гражданской ответственности владельцев транспортных средств"</t>
  </si>
  <si>
    <t>03 2 00 52800</t>
  </si>
  <si>
    <t>03 2 00 70540</t>
  </si>
  <si>
    <t>Выплата региональной доплаты к пенсии за счет средств областного бюджета</t>
  </si>
  <si>
    <t>03 2 00 70560</t>
  </si>
  <si>
    <t>Выплата социального пособия на погребение и возмещение расходов по гарантированному перечню услуг по погребению</t>
  </si>
  <si>
    <t>03 2 00 70570</t>
  </si>
  <si>
    <t>Предоставление гражданам субсидий на оплату жилого помещения и коммунальных услуг (за исключением субвенций местным бюджетам)</t>
  </si>
  <si>
    <t>03 2 00 70580</t>
  </si>
  <si>
    <t>Обеспечение мер социальной поддержки ветеранов труда (за исключением публичных нормативных обязательств)</t>
  </si>
  <si>
    <t>03 2 00 70590</t>
  </si>
  <si>
    <t>Обеспечение мер социальной поддержки тружеников тыла (за исключением публичных нормативных обязательств)</t>
  </si>
  <si>
    <t>03 2 00 70600</t>
  </si>
  <si>
    <t>Обеспечение мер социальной поддержки реабилитированных лиц и лиц, признанных пострадавшими от политических репрессий (за исключением публичных нормативных обязательств)</t>
  </si>
  <si>
    <t>03 2 00 70610</t>
  </si>
  <si>
    <t>Обеспечение мер социальной поддержки в соответствии с областным законом от 29 ноября 2005 года № 119-7-ОЗ "О социальной поддержке инвалидов в Архангельской области" (за исключением публичных нормативных обязательств)</t>
  </si>
  <si>
    <t>03 2 00 77060</t>
  </si>
  <si>
    <t>Обеспечение мер социальной поддержки многодетных семей (за исключением публичных нормативных обязательств)</t>
  </si>
  <si>
    <t>03 2 00 77070</t>
  </si>
  <si>
    <t>Государственная социальная помощь</t>
  </si>
  <si>
    <t>03 2 00 77080</t>
  </si>
  <si>
    <t>Ежемесячные денежные выплаты ветеранам труда</t>
  </si>
  <si>
    <t>03 2 00 77120</t>
  </si>
  <si>
    <t>Ежемесячные денежные выплаты труженикам тыла</t>
  </si>
  <si>
    <t>03 2 00 77130</t>
  </si>
  <si>
    <t>Ежемесячные денежные выплаты реабилитированным лицам и лицам, признанным пострадавшими от политических репрессий</t>
  </si>
  <si>
    <t>03 2 00 77140</t>
  </si>
  <si>
    <t>Ежемесячные денежные выплаты на приобретение топлива в соответствии с областным законом от 29 ноября 2005 года № 119-7-ОЗ "О социальной поддержке инвалидов в Архангельской области"</t>
  </si>
  <si>
    <t>03 2 00 77160</t>
  </si>
  <si>
    <t>Выплаты гражданам, имеющим награды Архангельской области, в соответствии с областным законом от 23 сентября 2008 года № 567-29-ОЗ "О наградах в Архангельской области"</t>
  </si>
  <si>
    <t>03 2 00 77170</t>
  </si>
  <si>
    <t>Публичные нормативные выплаты гражданам несоциального характера</t>
  </si>
  <si>
    <t>330</t>
  </si>
  <si>
    <t>Обеспечение мер социальной поддержки многодетных семей в денежной форме</t>
  </si>
  <si>
    <t>03 2 00 77180</t>
  </si>
  <si>
    <t>Ежемесячные пособия писателям-профессионалам в соответствии с постановлением администрации Архангельской области от 15 августа 1995 года № 308 "О назначении ежемесячных пособий писателям-профессионалам"</t>
  </si>
  <si>
    <t>03 2 00 77200</t>
  </si>
  <si>
    <t>Ежемесячное материальное обеспечение граждан за особые заслуги в развитии сферы культуры Архангельской области в соответствии с распоряжением главы администрации Архангельской области от 20 мая 1996 года № 292р</t>
  </si>
  <si>
    <t>03 2 00 77210</t>
  </si>
  <si>
    <t>Дополнительное ежемесячное материальное обеспечение граждан, имеющих особые заслуги в развитии социальной сферы Архангельской области</t>
  </si>
  <si>
    <t>03 2 00 77220</t>
  </si>
  <si>
    <t>Дополнительное ежемесячное материальное обеспечение граждан, имеющих государственные награды</t>
  </si>
  <si>
    <t>03 2 00 77230</t>
  </si>
  <si>
    <t>Доплаты инвалидам боевых действий в Афганистане, на Северном Кавказе и членам семей погибших (умерших) военнослужащих</t>
  </si>
  <si>
    <t>03 2 00 77240</t>
  </si>
  <si>
    <t>Ежемесячные денежные выплаты лицам, награжденным орденом "Родительская слава", в соответствии с областным законом от 13 февраля 2012 года № 420-28-ОЗ "О дополнительных мерах социальной поддержки лиц, награжденных медалью ордена или орденом "Родительская слава"</t>
  </si>
  <si>
    <t>03 2 00 77250</t>
  </si>
  <si>
    <t>Компенсация одиноко проживающим неработающим собственникам жилых помещений расходов по оплате взноса на капитальный ремонт общего имущества в многоквартирном доме</t>
  </si>
  <si>
    <t>03 2 00 77340</t>
  </si>
  <si>
    <t>Предоставление гражданам субсидий на оплату жилого помещения и коммунальных услуг (в части субвенций местным бюджетам)</t>
  </si>
  <si>
    <t>03 2 00 78740</t>
  </si>
  <si>
    <t>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</si>
  <si>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03 2 00 78910</t>
  </si>
  <si>
    <t>Улучшение социально-бытового положения отдельных категорий ветеранов и инвалидов Великой Отечественной войны, не имеющих оснований для обеспечения жильем в соответствии с Указом Президента Российской Федерации от 7 мая 2008 года № 714 "Об обеспечении жильем ветеранов Великой Отечественной войны 1941 – 1945 годов"</t>
  </si>
  <si>
    <t>03 6 00 77260</t>
  </si>
  <si>
    <t>Социальные выплаты работникам государственных и муниципальных учреждений Архангельской области на приобретение жилья на первичном рынке</t>
  </si>
  <si>
    <t>06 1 00 77090</t>
  </si>
  <si>
    <t>Социальные выплаты безработным гражданам в соответствии с Законом Российской Федерации от 19 апреля 1991 года № 1032-1 "О занятости населения в Российской Федерации"</t>
  </si>
  <si>
    <t>07 1 00 52900</t>
  </si>
  <si>
    <t>Стипендии</t>
  </si>
  <si>
    <t>340</t>
  </si>
  <si>
    <t>Осуществление переданных органам государственной власти субъектов Российской Федерации в соответствии с пунктом 3 статьи 25 Федерального закона от 24 июня 1999 года № 120-ФЗ "Об основах системы профилактики безнадзорности и правонарушений несовершеннолетних" полномочий Российской Федерации по осуществлению деятельности, связанной с перевозкой между субъектами Российской Федерации, а также в пределах территорий государств –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</si>
  <si>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03 1 00 59400</t>
  </si>
  <si>
    <t>Перевозка несовершеннолетних, самовольно ушедших из семей, детских домов, школ-интернатов, специальных учебно-воспитательных и иных детских учреждений, за счет средств областного бюджета</t>
  </si>
  <si>
    <t>03 1 00 77030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</si>
  <si>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</t>
  </si>
  <si>
    <t>03 2 00 50840</t>
  </si>
  <si>
    <t>Выплата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в соответствии с Федеральным законом от 19 мая 1995 года № 81-ФЗ "О государственных пособиях гражданам, имеющим детей"</t>
  </si>
  <si>
    <t>03 2 00 52700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</si>
  <si>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в соответствии с Федеральным законом от 19 мая 1995 года № 81-ФЗ "О государственных пособиях гражданам, имеющим детей"</t>
  </si>
  <si>
    <t>03 2 00 53800</t>
  </si>
  <si>
    <t>Ежемесячное пособие на ребенка</t>
  </si>
  <si>
    <t>03 2 00 77110</t>
  </si>
  <si>
    <t>Ежемесячное пособие на ребенка, не посещающего дошкольную образовательную организацию</t>
  </si>
  <si>
    <t>03 2 00 77150</t>
  </si>
  <si>
    <t>Единовременная денежная выплата женщинам, родившим первого ребенка в возрасте от 22 до 24 лет включительно</t>
  </si>
  <si>
    <t>03 2 00 77330</t>
  </si>
  <si>
    <t>Ежемесячная денежная выплата, назначаемая в случае рождения третьего ребенка или последующих детей до достижения ребенком возраста трех лет (областной бюджет)</t>
  </si>
  <si>
    <t>03 2 00 R0840</t>
  </si>
  <si>
    <t>Осуществление государственных полномочий по предоставлению гражданам субсидий на оплату жилого помещения и коммунальных услуг</t>
  </si>
  <si>
    <t>03 1 00 78720</t>
  </si>
  <si>
    <t>Мероприятия в сфере социальной политики, осуществляемые подведомственными учреждениями</t>
  </si>
  <si>
    <t>03 6 00 70550</t>
  </si>
  <si>
    <t>Осуществление государственных полномочий по выплате вознаграждений профессиональным опекунам</t>
  </si>
  <si>
    <t>03 6 00 78730</t>
  </si>
  <si>
    <t>Подпрограмма "Приоритетные социально значимые мероприятия в сфере социальной политики Архангельской области"</t>
  </si>
  <si>
    <t>03 7 00 00000</t>
  </si>
  <si>
    <t>03 7 00 70540</t>
  </si>
  <si>
    <t>03 7 00 70550</t>
  </si>
  <si>
    <t>03 8 00 70550</t>
  </si>
  <si>
    <t>03 9 00 70540</t>
  </si>
  <si>
    <t>Межбюджетные трансферты бюджету Пенсионного фонда Российской Федерации</t>
  </si>
  <si>
    <t>570</t>
  </si>
  <si>
    <t>Подпрограмма "Оказание содействия добровольному переселению в Архангельскую область соотечественников, проживающих за рубежом (2016 – 2020 годы)"</t>
  </si>
  <si>
    <t>07 6 00 00000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</si>
  <si>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 (областной бюджет)</t>
  </si>
  <si>
    <t>07 6 00 R0860</t>
  </si>
  <si>
    <t>МИНИСТЕРСТВО ИМУЩЕСТВЕННЫХ ОТНОШЕНИЙ АРХАНГЕЛЬСКОЙ ОБЛАСТИ</t>
  </si>
  <si>
    <t>163</t>
  </si>
  <si>
    <t>Государственная программа Архангельской области "Развитие имущественно-земельных отношений Архангельской области (2014 – 2018 годы)"</t>
  </si>
  <si>
    <t>21 0 00 00000</t>
  </si>
  <si>
    <t>21 0 00 70010</t>
  </si>
  <si>
    <t>21 0 00 70030</t>
  </si>
  <si>
    <t>АГЕНТСТВО ГОСУДАРСТВЕННОЙ ПРОТИВОПОЖАРНОЙ СЛУЖБЫ И ГРАЖДАНСКОЙ ЗАЩИТЫ АРХАНГЕЛЬСКОЙ ОБЛАСТИ</t>
  </si>
  <si>
    <t>176</t>
  </si>
  <si>
    <t>09 2 00 70100</t>
  </si>
  <si>
    <t>Мероприятия в сфере гражданской обороны и защиты населения и территорий Архангельской области от чрезвычайных ситуаций, осуществляемые подведомственными учреждениями</t>
  </si>
  <si>
    <t>09 2 00 71520</t>
  </si>
  <si>
    <t>Подпрограмма "Обеспечение реализации государственной программы в Архангельской области"</t>
  </si>
  <si>
    <t>09 3 00 00000</t>
  </si>
  <si>
    <t>09 3 00 70010</t>
  </si>
  <si>
    <t>Подпрограмма "Построение (развитие), внедрение и эксплуатация аппаратно-программного комплекса "Безопасный город" в Архангельской области"</t>
  </si>
  <si>
    <t>09 4 00 00000</t>
  </si>
  <si>
    <t>Мероприятия в сфере национальной безопасности и правоохранительной деятельности, осуществляемые подведомственными учреждениями</t>
  </si>
  <si>
    <t>09 4 00 70510</t>
  </si>
  <si>
    <t>Обеспечение пожарной безопасности</t>
  </si>
  <si>
    <t>Подпрограмма "Пожарная безопасность в Архангельской области"</t>
  </si>
  <si>
    <t>09 1 00 00000</t>
  </si>
  <si>
    <t>09 1 00 70100</t>
  </si>
  <si>
    <t>Субсидии общественным объединениям пожарной охраны</t>
  </si>
  <si>
    <t>09 1 00 71540</t>
  </si>
  <si>
    <t>АГЕНТСТВО ПО СПОРТУ АРХАНГЕЛЬСКОЙ ОБЛАСТИ</t>
  </si>
  <si>
    <t>263</t>
  </si>
  <si>
    <t>11 5 00 00000</t>
  </si>
  <si>
    <t>11 5 00 70010</t>
  </si>
  <si>
    <t>Мероприятия в области физической культуры и спорта</t>
  </si>
  <si>
    <t>03 7 00 70430</t>
  </si>
  <si>
    <t>Реализация мероприятий по поэтапному внедрению Всероссийского физкультурно-спортивного комплекса "Готов к труду и обороне" (ГТО)</t>
  </si>
  <si>
    <t>11 1 00 51270</t>
  </si>
  <si>
    <t>11 1 00 70430</t>
  </si>
  <si>
    <t>Мероприятия по развитию физической культуры и спорта в муниципальных образованиях</t>
  </si>
  <si>
    <t>11 1 00 78520</t>
  </si>
  <si>
    <t>Спорт высших достижений</t>
  </si>
  <si>
    <t>Адресная финансовая поддержка спортивных организаций, осуществляющих подготовку спортивного резерва для сборных команд Российской Федерации</t>
  </si>
  <si>
    <t>11 1 00 50810</t>
  </si>
  <si>
    <t>11 1 00 70100</t>
  </si>
  <si>
    <t>УПОЛНОМОЧЕННЫЙ ПО ПРАВАМ ЧЕЛОВЕКА В АРХАНГЕЛЬСКОЙ ОБЛАСТИ</t>
  </si>
  <si>
    <t>Обеспечение деятельности уполномоченного по правам человека в Архангельской области</t>
  </si>
  <si>
    <t>65 0 00 00000</t>
  </si>
  <si>
    <t>65 0 00 70010</t>
  </si>
  <si>
    <t>АДМИНИСТРАЦИЯ ГУБЕРНАТОРА АРХАНГЕЛЬСКОЙ ОБЛАСТИ И ПРАВИТЕЛЬСТВА АРХАНГЕЛЬСКОЙ ОБЛАСТИ</t>
  </si>
  <si>
    <t>301</t>
  </si>
  <si>
    <t>Функционирование высшего должностного лица субъекта Российской Федерации и муниципального образования</t>
  </si>
  <si>
    <t>Обеспечение функционирования Губернатора Архангельской области, его заместителей, заместителей председателя Правительства Архангельской области</t>
  </si>
  <si>
    <t>61 0 00 00000</t>
  </si>
  <si>
    <t>Губернатор Архангельской области</t>
  </si>
  <si>
    <t>61 1 00 00000</t>
  </si>
  <si>
    <t>61 1 00 70010</t>
  </si>
  <si>
    <t>23 5 00 70030</t>
  </si>
  <si>
    <t>Заместители Губернатора Архангельской области, заместители председателя Правительства Архангельской области</t>
  </si>
  <si>
    <t>61 2 00 00000</t>
  </si>
  <si>
    <t>61 2 00 70010</t>
  </si>
  <si>
    <t>08 1 00 70490</t>
  </si>
  <si>
    <t>09 4 00 70490</t>
  </si>
  <si>
    <t>Государственная программа Архангельской области "Развитие местного самоуправления в Архангельской области и государственная поддержка социально ориентированных некоммерческих организаций (2014 – 2020 годы)"</t>
  </si>
  <si>
    <t>18 0 00 00000</t>
  </si>
  <si>
    <t>Подпрограмма "Государственная поддержка социально ориентированных некоммерческих организаций (2014 – 2020 годы)"</t>
  </si>
  <si>
    <t>18 1 00 00000</t>
  </si>
  <si>
    <t>18 1 00 70030</t>
  </si>
  <si>
    <t>18 1 00 70480</t>
  </si>
  <si>
    <t>Мероприятия по поддержке социально ориентированных некоммерческих организаций (областной бюджет)</t>
  </si>
  <si>
    <t>18 1 00 R0850</t>
  </si>
  <si>
    <t>Подпрограмма "Развитие территориального общественного самоуправления в Архангельской области (2014 – 2020 годы)"</t>
  </si>
  <si>
    <t>18 2 00 00000</t>
  </si>
  <si>
    <t>Развитие территориального общественного самоуправления в Архангельской области</t>
  </si>
  <si>
    <t>18 2 00 78420</t>
  </si>
  <si>
    <t>Подпрограмма "Обеспечение реализации государственной программы"</t>
  </si>
  <si>
    <t>18 3 00 00000</t>
  </si>
  <si>
    <t>18 3 00 70100</t>
  </si>
  <si>
    <t>Подпрограмма "Укрепление единства российской нации и этнокультурное развитие народов России, проживающих на территории Архангельской области (2014 – 2020 годы)"</t>
  </si>
  <si>
    <t>18 4 00 00000</t>
  </si>
  <si>
    <t>18 4 00 70480</t>
  </si>
  <si>
    <t>18 4 00 70490</t>
  </si>
  <si>
    <t>Подпрограмма "Развитие кадрового потенциала органов государственной власти, иных государственных органов Архангельской области и органов местного самоуправления муниципальных образований Архангельской области"</t>
  </si>
  <si>
    <t>23 1 00 00000</t>
  </si>
  <si>
    <t>23 1 00 70100</t>
  </si>
  <si>
    <t>Подпрограмма "Обеспечение доступности и качества предоставления государственных и муниципальных услуг по принципу "одного окна", в том числе на базе многофункциональных центров"</t>
  </si>
  <si>
    <t>23 2 00 00000</t>
  </si>
  <si>
    <t>23 2 00 70100</t>
  </si>
  <si>
    <t>23 2 00 70490</t>
  </si>
  <si>
    <t>Подпрограмма "Создание систем электронного правительства, развитие информационного общества Архангельской области"</t>
  </si>
  <si>
    <t>23 3 00 00000</t>
  </si>
  <si>
    <t>23 3 00 70100</t>
  </si>
  <si>
    <t>23 3 00 70490</t>
  </si>
  <si>
    <t>Мероприятия в сфере патриотического воспитания граждан и государственной молодежной политики</t>
  </si>
  <si>
    <t>08 1 00 70420</t>
  </si>
  <si>
    <t>Подпрограмма "Молодежь Архангельской области (2014 – 2020 годы)"</t>
  </si>
  <si>
    <t>11 2 00 00000</t>
  </si>
  <si>
    <t>11 2 00 70100</t>
  </si>
  <si>
    <t>11 2 00 70420</t>
  </si>
  <si>
    <t>Мероприятия по реализации молодежной политики в муниципальных образованиях</t>
  </si>
  <si>
    <t>11 2 00 78530</t>
  </si>
  <si>
    <t>11 3 00 70100</t>
  </si>
  <si>
    <t>11 3 00 70420</t>
  </si>
  <si>
    <t>Мероприятия по гражданско-патриотическому воспитанию граждан Российской Федерации и допризывной подготовке молодежи в муниципальных образованиях</t>
  </si>
  <si>
    <t>11 3 00 78540</t>
  </si>
  <si>
    <t>Подпрограмма "Обеспечение жильем молодых семей"</t>
  </si>
  <si>
    <t>06 2 00 00000</t>
  </si>
  <si>
    <t>Мероприятия подпрограммы "Обеспечение жильем молодых семей" федеральной целевой программы "Жилище" на 2015 – 2020 годы (областной бюджет)</t>
  </si>
  <si>
    <t>06 2 00 R0200</t>
  </si>
  <si>
    <t>06 2 00 70540</t>
  </si>
  <si>
    <t>КОНТРОЛЬНО-СЧЕТНАЯ ПАЛАТА АРХАНГЕЛЬСКОЙ ОБЛАСТИ</t>
  </si>
  <si>
    <t>304</t>
  </si>
  <si>
    <t>Обеспечение деятельности контрольно-счетной палаты Архангельской области</t>
  </si>
  <si>
    <t>64 0 00 00000</t>
  </si>
  <si>
    <t>64 0 00 70010</t>
  </si>
  <si>
    <t>АГЕНТСТВО ПО ТАРИФАМ И ЦЕНАМ АРХАНГЕЛЬСКОЙ ОБЛАСТИ</t>
  </si>
  <si>
    <t>306</t>
  </si>
  <si>
    <t>Подпрограмма "Проведение сбалансированной политики в области государственного регулирования тарифов на территории Архангельской области"</t>
  </si>
  <si>
    <t>12 5 00 00000</t>
  </si>
  <si>
    <t>12 5 00 70010</t>
  </si>
  <si>
    <t>ИЗБИРАТЕЛЬНАЯ КОМИССИЯ АРХАНГЕЛЬСКОЙ ОБЛАСТИ</t>
  </si>
  <si>
    <t>311</t>
  </si>
  <si>
    <t>Обеспечение проведения выборов и референдумов</t>
  </si>
  <si>
    <t>Обеспечение деятельности избирательной комиссии Архангельской области и проведение выборов</t>
  </si>
  <si>
    <t>63 0 00 00000</t>
  </si>
  <si>
    <t>Члены избирательной комиссии Архангельской области</t>
  </si>
  <si>
    <t>63 1 00 00000</t>
  </si>
  <si>
    <t>63 1 00 70010</t>
  </si>
  <si>
    <t>Государственная автоматизированная информационная система "Выборы", повышение правовой культуры избирателей и обучение организаторов выборов</t>
  </si>
  <si>
    <t>63 2 00 00000</t>
  </si>
  <si>
    <t>63 2 00 71150</t>
  </si>
  <si>
    <t>Проведение выборов в Архангельской области</t>
  </si>
  <si>
    <t>63 3 00 00000</t>
  </si>
  <si>
    <t>Проведение выборов в Архангельское областное Собрание депутатов</t>
  </si>
  <si>
    <t>63 3 00 71160</t>
  </si>
  <si>
    <t>Избирательная комиссия Архангельской области</t>
  </si>
  <si>
    <t>63 4 00 00000</t>
  </si>
  <si>
    <t>63 4 00 70010</t>
  </si>
  <si>
    <t>МИНИСТЕРСТВО ПО МЕСТНОМУ САМОУПРАВЛЕНИЮ И ВНУТРЕННЕЙ ПОЛИТИКЕ АРХАНГЕЛЬСКОЙ ОБЛАСТИ</t>
  </si>
  <si>
    <t>313</t>
  </si>
  <si>
    <t>18 3 00 70010</t>
  </si>
  <si>
    <t>АРХАНГЕЛЬСКОЕ ОБЛАСТНОЕ СОБРАНИЕ ДЕПУТАТОВ</t>
  </si>
  <si>
    <t>329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</si>
  <si>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</si>
  <si>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Архангельского областного Собрания депутатов</t>
  </si>
  <si>
    <t>62 0 00 00000</t>
  </si>
  <si>
    <t>Председатель Архангельского областного Собрания депутатов</t>
  </si>
  <si>
    <t>62 1 00 00000</t>
  </si>
  <si>
    <t>62 1 00 70010</t>
  </si>
  <si>
    <t>Депутаты Архангельского областного Собрания депутатов</t>
  </si>
  <si>
    <t>62 2 00 00000</t>
  </si>
  <si>
    <t>62 2 00 70010</t>
  </si>
  <si>
    <t>Архангельское областное Собрание депутатов</t>
  </si>
  <si>
    <t>62 3 00 00000</t>
  </si>
  <si>
    <t>62 3 00 70010</t>
  </si>
  <si>
    <t>Возмещение расходов депутатов Архангельского областного Собрания депутатов в избирательных округах</t>
  </si>
  <si>
    <t>62 3 00 78920</t>
  </si>
  <si>
    <t>АГЕНТСТВО ПО РАЗВИТИЮ СОЛОВЕЦКОГО АРХИПЕЛАГА АРХАНГЕЛЬСКОЙ ОБЛАСТИ</t>
  </si>
  <si>
    <t>349</t>
  </si>
  <si>
    <t>Государственная программа Архангельской области "Развитие инфраструктуры Соловецкого архипелага (2014 – 2019 годы)"</t>
  </si>
  <si>
    <t>20 0 00 00000</t>
  </si>
  <si>
    <t>20 0 00 70010</t>
  </si>
  <si>
    <t>20 0 00 70300</t>
  </si>
  <si>
    <t>20 0 00 70480</t>
  </si>
  <si>
    <t>20 0 00 70100</t>
  </si>
  <si>
    <t>Капитальный ремонт многоквартирного жилищного фонда, хозяйственных и вспомогательных построек, относящихся к жилищному фонду поселка Соловецкий</t>
  </si>
  <si>
    <t>20 0 00 78250</t>
  </si>
  <si>
    <t>20 0 00 70310</t>
  </si>
  <si>
    <t>20 0 00 R1120</t>
  </si>
  <si>
    <t>АГЕНТСТВО ЗАПИСИ АКТОВ ГРАЖДАНСКОГО СОСТОЯНИЯ АРХАНГЕЛЬСКОЙ ОБЛАСТИ</t>
  </si>
  <si>
    <t>351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</si>
  <si>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</si>
  <si>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23 5 00 59300</t>
  </si>
  <si>
    <t>ГОСУДАРСТВЕННАЯ ЖИЛИЩНАЯ ИНСПЕКЦИЯ АРХАНГЕЛЬСКОЙ ОБЛАСТИ</t>
  </si>
  <si>
    <t>390</t>
  </si>
  <si>
    <t>Другие вопросы в области жилищно-коммунального хозяйства</t>
  </si>
  <si>
    <t>АГЕНТСТВО ПО ПЕЧАТИ И СРЕДСТВАМ МАССОВОЙ ИНФОРМАЦИИ АРХАНГЕЛЬСКОЙ ОБЛАСТИ</t>
  </si>
  <si>
    <t>398</t>
  </si>
  <si>
    <t>Средства массовой информации</t>
  </si>
  <si>
    <t>Периодическая печать и издательства</t>
  </si>
  <si>
    <t>Подпрограмма "Поддержка и развитие печатных средств массовой информации, обеспечение информирования населения о социально-экономическом развитии Архангельской области"</t>
  </si>
  <si>
    <t>23 4 00 00000</t>
  </si>
  <si>
    <t>23 4 00 70100</t>
  </si>
  <si>
    <t>Другие вопросы в области средств массовой информации</t>
  </si>
  <si>
    <t>Мероприятия в сфере печати и средств массовой информации</t>
  </si>
  <si>
    <t>03 8 00 70470</t>
  </si>
  <si>
    <t>08 2 00 70470</t>
  </si>
  <si>
    <t>23 4 00 70010</t>
  </si>
  <si>
    <t>23 4 00 70470</t>
  </si>
  <si>
    <t>АГЕНТСТВО ПО ОРГАНИЗАЦИОННОМУ ОБЕСПЕЧЕНИЮ ДЕЯТЕЛЬНОСТИ МИРОВЫХ СУДЕЙ АРХАНГЕЛЬСКОЙ ОБЛАСТИ</t>
  </si>
  <si>
    <t>435</t>
  </si>
  <si>
    <t>Расходы на обеспечение деятельности мировых судей</t>
  </si>
  <si>
    <t>23 5 00 71180</t>
  </si>
  <si>
    <t>КОНТРОЛЬНО-РЕВИЗИОННАЯ ИНСПЕКЦИЯ АРХАНГЕЛЬСКОЙ ОБЛАСТИ</t>
  </si>
  <si>
    <t>730</t>
  </si>
  <si>
    <t>Подпрограмма "Осуществление внутреннего государственного финансового контроля и контроля в сфере закупок товаров, работ, услуг"</t>
  </si>
  <si>
    <t>22 4 00 00000</t>
  </si>
  <si>
    <t>22 4 00 70010</t>
  </si>
  <si>
    <t>ГОСУДАРСТВЕННАЯ ИНСПЕКЦИЯ ПО НАДЗОРУ ЗА ТЕХНИЧЕСКИМ СОСТОЯНИЕМ САМОХОДНЫХ МАШИН И ДРУГИХ ВИДОВ ТЕХНИКИ АРХАНГЕЛЬСКОЙ ОБЛАСТИ</t>
  </si>
  <si>
    <t>731</t>
  </si>
  <si>
    <t>ИНСПЕКЦИЯ ГОСУДАРСТВЕННОГО СТРОИТЕЛЬНОГО НАДЗОРА АРХАНГЕЛЬСКОЙ ОБЛАСТИ</t>
  </si>
  <si>
    <t>732</t>
  </si>
  <si>
    <t>КОНТРАКТНОЕ АГЕНТСТВО АРХАНГЕЛЬСКОЙ ОБЛАСТИ</t>
  </si>
  <si>
    <t>735</t>
  </si>
  <si>
    <t>Подпрограмма "Совершенствование организации государственных закупок в Архангельской области"</t>
  </si>
  <si>
    <t>12 4 00 00000</t>
  </si>
  <si>
    <t>12 4 00 70010</t>
  </si>
  <si>
    <t>12 4 00 70100</t>
  </si>
  <si>
    <t>ИНСПЕКЦИЯ ПО ВЕТЕРИНАРНОМУ НАДЗОРУ АРХАНГЕЛЬСКОЙ ОБЛАСТИ</t>
  </si>
  <si>
    <t>737</t>
  </si>
  <si>
    <t>Проведение противоэпизоотических мероприятий</t>
  </si>
  <si>
    <t>05 1 00 72450</t>
  </si>
  <si>
    <t>Всего</t>
  </si>
  <si>
    <t>I. ГОСУДАРСТВЕННЫЕ ПРОГРАММЫ АРХАНГЕЛЬСКОЙ ОБЛАСТИ</t>
  </si>
  <si>
    <t>II. АДРЕСНЫЕ ПРОГРАММЫ АРХАНГЕЛЬСКОЙ ОБЛАСТИ</t>
  </si>
  <si>
    <t>III. ИНЫЕ ПРОГРАММЫ АРХАНГЕЛЬСКОЙ ОБЛАСТИ</t>
  </si>
  <si>
    <t>IV. НЕПРОГРАММНЫЕ НАПРАВЛЕНИЯ ДЕЯТЕЛЬНОСТИ</t>
  </si>
  <si>
    <t>Доведено предельных объемов финансирования министерством финансов Архангельской области до главных распорядителей средств областного бюджета</t>
  </si>
  <si>
    <t>к уточненной сводной бюджетной росписи на год</t>
  </si>
  <si>
    <t>Приложение № 4 к пояснительной записке к отчету об исполнении областного бюджета за 1 полугодие 2016 года по форме приложения № 9 к областному закону "Об областном бюджете на 2016 год"</t>
  </si>
  <si>
    <t>Исполнение 1 полугодия, в процентах</t>
  </si>
  <si>
    <t>к плану на 1 полугодия</t>
  </si>
  <si>
    <t>Исполнено на 01.07.2016г.</t>
  </si>
  <si>
    <t>План кассовых выплат                        на 1 полугодие                           2016 года</t>
  </si>
  <si>
    <t>Уточненная сводная бюджетная роспись на 2016 год по состоянию на 30.06.2016</t>
  </si>
  <si>
    <r>
      <t xml:space="preserve">Утверждено на год (в  ред 01.06.2016 № </t>
    </r>
    <r>
      <rPr>
        <sz val="10"/>
        <rFont val="Times New Roman"/>
        <family val="1"/>
        <charset val="204"/>
      </rPr>
      <t>438-26-</t>
    </r>
    <r>
      <rPr>
        <sz val="10"/>
        <color rgb="FF000000"/>
        <rFont val="Times New Roman"/>
        <family val="1"/>
        <charset val="204"/>
      </rPr>
      <t>ОЗ)</t>
    </r>
  </si>
  <si>
    <t>Отчет об исполнении областного бюджета по ведомственной структуре расходов областного бюджета за 1 полугодие 2016 года</t>
  </si>
  <si>
    <t xml:space="preserve"> </t>
  </si>
  <si>
    <t>10 3 00 50160</t>
  </si>
  <si>
    <t>Реализация мероприятий федеральной целевой программы "Развитие водохозяйственного комплекса Российской Федерации в 2012 – 2020 годах"</t>
  </si>
  <si>
    <t>Реализация мероприятий федеральной целевой программы "Устойчивое развитие сельских территорий на 2014 – 2017 годы и на период до 2020 года"</t>
  </si>
  <si>
    <t>24 0 00 50180</t>
  </si>
  <si>
    <t>17 3 00 70030</t>
  </si>
  <si>
    <t xml:space="preserve">24 0 00 00000 </t>
  </si>
  <si>
    <t>Благоустройство</t>
  </si>
  <si>
    <t>03 8 00 R0270</t>
  </si>
  <si>
    <t>Мероприятия государственной программы Российской Федерации "Доступная среда" на 2011-2020 годы (областной бюджет)</t>
  </si>
  <si>
    <t>69 0 00 00000</t>
  </si>
  <si>
    <t>69 3 00 00000</t>
  </si>
  <si>
    <t>69 3 00 54220</t>
  </si>
  <si>
    <t>Непрограммные расходы на осуществление поддержки лиц, вынужденно покинувших территорию Украины и находящихся на территории Архангельской области</t>
  </si>
  <si>
    <t>Непрограммные расходы на компенсацию расходов, связанных с оказанием в 2014 – 2015 годах медицинскими организациями, подведомственными исполнительным органам государственной власти Архангельской области, гражданам Украины и лицам без гражданства медицинской помощи и проведением профилактических прививок, включенных в календарь профилактических прививок по эпидемическим показаниям</t>
  </si>
  <si>
    <t>Компенсация расходов, связанных с оказанием в 2014 – 2015 годах медицинскими организациями, подведомственными органам исполнительной власти субъектов Российской Федерации и органам местного самоуправления, гражданам Украины и лицам без гражданства медицинской помощи, а также затрат по проведению указанным лицам профилактических прививок, включенных в календарь профилактических прививок по эпидемическим показаниям</t>
  </si>
  <si>
    <t>01 8 00 54600</t>
  </si>
  <si>
    <t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</t>
  </si>
  <si>
    <t>Осуществление единовременных выплат медицинским работникам</t>
  </si>
  <si>
    <t>01 7 00 51360</t>
  </si>
  <si>
    <t>01 Б 00 90020</t>
  </si>
  <si>
    <t>Организация и выполнение мероприятий по ответственному хранению материальных ценностей мобилизационного резерва</t>
  </si>
  <si>
    <t>МИНИСТЕРСТВО СВЯЗИ И ИНФОРМАЦИОННЫХ ТЕХНОЛОГИЙ АРХАНГЕЛЬСКОЙ ОБЛАСТИ</t>
  </si>
  <si>
    <t>072</t>
  </si>
  <si>
    <t>Прикладные научные исследования в области общегосударственных вопросов</t>
  </si>
  <si>
    <t>69 1 00 00000</t>
  </si>
  <si>
    <t>69 1 00 52240</t>
  </si>
  <si>
    <t>Непрограммные расходы по обеспечению временного социально-бытового устройства лиц, вынужденно покинувших территорию Украины и находящихся в пунктах временного размещения на территории Архангельской области</t>
  </si>
  <si>
    <t>Финансовое обеспечение мероприятий по временному социально-бытовому обустройству лиц, вынужденно покинувших территорию Украины и находящихся в пунктах временного размещения</t>
  </si>
  <si>
    <t>02 4 00 50880</t>
  </si>
  <si>
    <t>Поощрение лучших учителей</t>
  </si>
  <si>
    <t>02 7 00 50970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</si>
  <si>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</si>
  <si>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02 3 00 38930</t>
  </si>
  <si>
    <t>Стипендии Президента Российской Федерации и Правительства Российской Федерации для обучающихся по направлениям подготовки (специальностям), соответствующим приоритетным направлениям модернизации и технологического развития экономики Российской Федерации</t>
  </si>
  <si>
    <t>02 2 00 58027</t>
  </si>
  <si>
    <t>02 1 00 54980</t>
  </si>
  <si>
    <t>Финансовое обеспечение мероприятий федеральной целевой прогарммы развития образования на 2016 - 2020 годы</t>
  </si>
  <si>
    <t>02 4 00 R0880</t>
  </si>
  <si>
    <t>Поощрение лучших учителей (областной бюджет)</t>
  </si>
  <si>
    <t>Мероприятия государственной программы Российской Федерации "Доступная среда" на 2011-2015 годы</t>
  </si>
  <si>
    <t>05 1 00 50380</t>
  </si>
  <si>
    <t>Возмещение части процентной ставки по краткосрочным кредитам (займам) на развитие растениеводства, переработки и реализации продукции растениеводства</t>
  </si>
  <si>
    <t>05 1 00 50390</t>
  </si>
  <si>
    <t>Возмещение части процентной ставки по инвестиционным кредитам (займам) на развитие растениеводства, переработки и развития инфраструктуры и логистического обеспечения рынков продукции растениеводства</t>
  </si>
  <si>
    <t>05 1 00 50480</t>
  </si>
  <si>
    <t>Возмещение части процентной ставки по инвестиционным кредитам (займам) на развитие животноводства, переработки и развития инфраструктуры и логистического обеспечения рынков продукции животноводства</t>
  </si>
  <si>
    <t>05 1 00 50520</t>
  </si>
  <si>
    <t>Возмещение части процентной ставки по инвестиционным кредитам на строительство и реконструкцию объектов мясного скотоводства</t>
  </si>
  <si>
    <t>05 1 00 50530</t>
  </si>
  <si>
    <t>Поддержка начинающих фермеров</t>
  </si>
  <si>
    <t>05 1 00 50540</t>
  </si>
  <si>
    <t>Развитие семейных животноводческих ферм</t>
  </si>
  <si>
    <t>05 1 00 50550</t>
  </si>
  <si>
    <t>05 1 00 54380</t>
  </si>
  <si>
    <t>Возмещение части процентной ставки по долгосрочным, среднесрочным и краткосрочным кредитам, взятым малыми формами хозяйствования</t>
  </si>
  <si>
    <t>Грантовая поддержка сельскохозяйственных потребительских кооперативов для развития материально-технической базы</t>
  </si>
  <si>
    <t>05 1 00 54420</t>
  </si>
  <si>
    <t>Возмещение части прямых понесенных затрат на создание и модернизацию объектов животноводческих комплексов молочного направления (молочных ферм), а также на приобретение техники и оборудования на цели предоставления субсидии</t>
  </si>
  <si>
    <t>05 1 00 54430</t>
  </si>
  <si>
    <t>05 1 00 54440</t>
  </si>
  <si>
    <t>Возмещение части процентной ставки по краткосрочным кредитам (займам) на развитие молочного скотоводства</t>
  </si>
  <si>
    <t>Возмещение части процентной ставки по инвестиционным кредитам (займам) на строительство и реконструкцию объектов для молочного скотоводства</t>
  </si>
  <si>
    <t>05 1 00 54500</t>
  </si>
  <si>
    <t>Возмещение части процентной ставки по краткосрочным кредитам (займам) на переработку продукции растениеводства и животноводства в области развития оптово-распределительных центров</t>
  </si>
  <si>
    <t>05 1 00 70980</t>
  </si>
  <si>
    <t>Возврат средств в федеральный бюджет  в связи с недостижением значений показателей результативности использования субсидий, установленных соглашениями о предоставлении субсидий из федерального бюджета бюджету Архангельской области, заключенными в 2015 году</t>
  </si>
  <si>
    <t>19 5 00 70030</t>
  </si>
  <si>
    <t>19 2 00 54200</t>
  </si>
  <si>
    <t>Реализация мероприятий региональных программ в сфере дорожного хозяйства, включая проекты, реализуемые с применением механизмов государственно-частного партнерства, и строительство, реконструкцию и ремонт уникальных искусственных дорожных сооружений по решениям Правительства Российской Федерации</t>
  </si>
  <si>
    <t>19 3 00 54200</t>
  </si>
  <si>
    <t>19 4 00 54200</t>
  </si>
  <si>
    <t>07 5 00 52380</t>
  </si>
  <si>
    <t>Субсидии на софинансирование региональных программ повышения мобильности трудовых ресурсов</t>
  </si>
  <si>
    <t>03 4 00 54570</t>
  </si>
  <si>
    <t>Мероприятия, связанные с отдыхом и оздоровлением детей, находящихся в трудной жизненной ситуации</t>
  </si>
  <si>
    <t>11 1 00 54950</t>
  </si>
  <si>
    <t>Финансовое обеспечение мероприятий федеральной целевой программы "Развитие физической культуры и спорта в Российской Федерации на 2016 - 2020 годы"</t>
  </si>
  <si>
    <t>11 1 00 R0270</t>
  </si>
  <si>
    <t>11 1 00 R1270</t>
  </si>
  <si>
    <t>Реализация мероприятий по поэтапному внедрению Всероссийского физкультурно-спортивного комплекса "Готов к труду и обороне" (ГТО) (областной бюджет)</t>
  </si>
  <si>
    <t>11 1 00 R4950</t>
  </si>
  <si>
    <t>Финансовое обеспечение мероприятий федеральной целевой программы "Развитие физической культуры и спорта в Российской Федерации на 2016 – 2020 годы" (областной бюджет)</t>
  </si>
  <si>
    <t>11 1 00 R0810</t>
  </si>
  <si>
    <t>Адресная финансовая поддержка спортивных организаций, осуществляющих подготовку спортивного резерва для сборных команд Российской Федерации (областной бюджет)</t>
  </si>
  <si>
    <t>66 0 00 00000</t>
  </si>
  <si>
    <t>Обеспечение деятельности депутатов Государственной Думы и их помощников в избирательных округах, членов Совета Федерации и их помощников в Архангельской области</t>
  </si>
  <si>
    <t xml:space="preserve">66 1 00 00000 </t>
  </si>
  <si>
    <t>Депутаты Государственной Думы и их помощники в округах</t>
  </si>
  <si>
    <t>66 1 00 51410</t>
  </si>
  <si>
    <t>Обеспечение деятельности депутатов Государственной Думы и их помощников в избирательных округах</t>
  </si>
  <si>
    <t>66 2 00 00000</t>
  </si>
  <si>
    <t>Члены Совета Федерации и их помощники в субъектах Российской Федерации</t>
  </si>
  <si>
    <t>66 2 00 51420</t>
  </si>
  <si>
    <t>Обеспечение членов Совета Федерации и их помощников в субъектах Российской Федерации</t>
  </si>
  <si>
    <t>06 2 00 50200</t>
  </si>
  <si>
    <t>Субсидии на мероприятия подпрограммы "Обеспечение жильем молодых семей" федеральной целевой программы "Жилище" на 2015 - 2020 годы</t>
  </si>
  <si>
    <t>Субсидии на софинансирование капитальных вложений в объекты муниципальной собственности</t>
  </si>
  <si>
    <t>20 0 00 51120</t>
  </si>
  <si>
    <t>АГЕНТСТВО СТРАТЕГИЧЕСКИХ РАЗРАБОТОК АРХАНГЕЛЬСКОЙ ОБЛАСТИ</t>
  </si>
  <si>
    <t>05 4 00 50760</t>
  </si>
  <si>
    <t>Реализация мероприятий федеральной целевой программы "Развитие мелиорации земель сельскохозяйственного назначения России                                                на 2014 - 2020 годы"</t>
  </si>
  <si>
    <t>Отчет об исполнении областного бюджета по разделам и подразделам классификации расходов бюджетов за 1 полугодие 2016 года</t>
  </si>
  <si>
    <t>Приложение № 3 к пояснительной записке к отчету об исполнении областного бюджета за 1 полугодие 2016 года по форме приложения № 8 к областному закону "Об областном бюджете на 2016 год"</t>
  </si>
  <si>
    <t>тыс. рублей</t>
  </si>
  <si>
    <t>Приложение № 5 к пояснительной записке к отчету об исполнении областного бюджета за 1 полугодие 2016 года по форме приложения № 10 к областному закону "Об областном бюджете на 2016 год"</t>
  </si>
  <si>
    <t>Отчет об исполнении областного бюджета по бюджетным ассигнованиям на реализацию государственных, адресных и иных программ Архангельской области и непрограммных направлений деятельности за 1 полугодие 2016 года</t>
  </si>
  <si>
    <t>66 1 00 00000</t>
  </si>
  <si>
    <t>Прикладные научные исследования в области общегосудаственных вопросов</t>
  </si>
  <si>
    <t>0ё</t>
  </si>
</sst>
</file>

<file path=xl/styles.xml><?xml version="1.0" encoding="utf-8"?>
<styleSheet xmlns="http://schemas.openxmlformats.org/spreadsheetml/2006/main">
  <numFmts count="3">
    <numFmt numFmtId="44" formatCode="_-* #,##0.00&quot;р.&quot;_-;\-* #,##0.00&quot;р.&quot;_-;_-* &quot;-&quot;??&quot;р.&quot;_-;_-@_-"/>
    <numFmt numFmtId="164" formatCode="#,##0.0"/>
    <numFmt numFmtId="165" formatCode="00\ 0\ 0000"/>
  </numFmts>
  <fonts count="14">
    <font>
      <sz val="10"/>
      <color rgb="FF000000"/>
      <name val="Times New Roman"/>
    </font>
    <font>
      <b/>
      <sz val="10"/>
      <color rgb="FF000000"/>
      <name val="Times New Roman"/>
    </font>
    <font>
      <b/>
      <sz val="12"/>
      <color rgb="FF000000"/>
      <name val="Times New Roman"/>
    </font>
    <font>
      <sz val="8"/>
      <color rgb="FF000000"/>
      <name val="Times New Roman"/>
    </font>
    <font>
      <sz val="12"/>
      <color rgb="FF000000"/>
      <name val="Times New Roman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Arial Cy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44" fontId="0" fillId="0" borderId="0">
      <alignment vertical="top" wrapText="1"/>
    </xf>
    <xf numFmtId="1" fontId="9" fillId="0" borderId="1">
      <alignment horizontal="center" vertical="top" shrinkToFit="1"/>
    </xf>
    <xf numFmtId="0" fontId="9" fillId="0" borderId="1">
      <alignment horizontal="left" vertical="top" wrapText="1"/>
    </xf>
    <xf numFmtId="0" fontId="5" fillId="0" borderId="0">
      <alignment vertical="top" wrapText="1"/>
    </xf>
  </cellStyleXfs>
  <cellXfs count="119">
    <xf numFmtId="44" fontId="0" fillId="0" borderId="0" xfId="0" applyNumberFormat="1" applyFont="1" applyFill="1" applyAlignment="1">
      <alignment vertical="top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vertical="center" wrapText="1"/>
    </xf>
    <xf numFmtId="164" fontId="0" fillId="0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>
      <alignment vertical="top" wrapText="1"/>
    </xf>
    <xf numFmtId="164" fontId="0" fillId="0" borderId="1" xfId="0" applyNumberFormat="1" applyFont="1" applyFill="1" applyBorder="1" applyAlignment="1">
      <alignment horizontal="right" vertical="top" wrapText="1"/>
    </xf>
    <xf numFmtId="0" fontId="1" fillId="0" borderId="1" xfId="0" applyNumberFormat="1" applyFont="1" applyFill="1" applyBorder="1" applyAlignment="1">
      <alignment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right" vertical="top" wrapText="1"/>
    </xf>
    <xf numFmtId="0" fontId="0" fillId="2" borderId="1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top" wrapText="1"/>
    </xf>
    <xf numFmtId="0" fontId="4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0" fontId="0" fillId="0" borderId="0" xfId="0" applyNumberFormat="1" applyFont="1" applyFill="1" applyAlignment="1">
      <alignment vertical="top" wrapText="1"/>
    </xf>
    <xf numFmtId="49" fontId="6" fillId="3" borderId="10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8" fillId="0" borderId="1" xfId="0" applyNumberFormat="1" applyFont="1" applyFill="1" applyBorder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1" fontId="5" fillId="0" borderId="1" xfId="1" applyNumberFormat="1" applyFont="1" applyProtection="1">
      <alignment horizontal="center" vertical="top" shrinkToFit="1"/>
      <protection locked="0"/>
    </xf>
    <xf numFmtId="0" fontId="5" fillId="0" borderId="1" xfId="2" applyNumberFormat="1" applyFont="1" applyProtection="1">
      <alignment horizontal="left" vertical="top" wrapText="1"/>
      <protection locked="0"/>
    </xf>
    <xf numFmtId="0" fontId="0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8" fillId="0" borderId="1" xfId="2" applyNumberFormat="1" applyFont="1" applyProtection="1">
      <alignment horizontal="left" vertical="top" wrapText="1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vertical="center" wrapText="1"/>
    </xf>
    <xf numFmtId="164" fontId="0" fillId="3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horizontal="center" vertical="top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44" fontId="0" fillId="0" borderId="0" xfId="0" applyNumberFormat="1" applyFont="1" applyFill="1" applyAlignment="1">
      <alignment vertical="top" wrapText="1"/>
    </xf>
    <xf numFmtId="44" fontId="5" fillId="0" borderId="0" xfId="0" applyNumberFormat="1" applyFont="1" applyFill="1" applyAlignment="1">
      <alignment horizontal="right" wrapText="1"/>
    </xf>
    <xf numFmtId="0" fontId="12" fillId="0" borderId="0" xfId="0" applyNumberFormat="1" applyFont="1" applyFill="1" applyBorder="1" applyAlignment="1">
      <alignment horizontal="center" vertical="top" wrapText="1"/>
    </xf>
    <xf numFmtId="44" fontId="11" fillId="0" borderId="0" xfId="0" applyNumberFormat="1" applyFont="1" applyFill="1" applyAlignment="1">
      <alignment horizontal="right" vertical="top" wrapText="1"/>
    </xf>
    <xf numFmtId="0" fontId="1" fillId="0" borderId="1" xfId="0" applyNumberFormat="1" applyFont="1" applyFill="1" applyBorder="1" applyAlignment="1">
      <alignment horizontal="right" vertical="center" wrapText="1"/>
    </xf>
    <xf numFmtId="164" fontId="0" fillId="0" borderId="0" xfId="0" applyNumberFormat="1" applyFont="1" applyFill="1" applyBorder="1" applyAlignment="1">
      <alignment horizontal="right" vertical="center" wrapText="1"/>
    </xf>
    <xf numFmtId="0" fontId="5" fillId="0" borderId="1" xfId="3" applyFont="1" applyFill="1" applyBorder="1" applyAlignment="1">
      <alignment horizontal="center" vertical="center" wrapText="1"/>
    </xf>
    <xf numFmtId="44" fontId="0" fillId="0" borderId="0" xfId="0" applyNumberFormat="1" applyFont="1" applyFill="1" applyAlignment="1">
      <alignment vertical="top" wrapText="1"/>
    </xf>
    <xf numFmtId="44" fontId="0" fillId="0" borderId="0" xfId="0" applyNumberFormat="1" applyFont="1" applyFill="1" applyAlignment="1">
      <alignment vertical="top" wrapText="1"/>
    </xf>
    <xf numFmtId="0" fontId="1" fillId="3" borderId="0" xfId="0" applyNumberFormat="1" applyFont="1" applyFill="1" applyAlignment="1">
      <alignment horizontal="center" vertical="top" wrapText="1"/>
    </xf>
    <xf numFmtId="44" fontId="0" fillId="3" borderId="0" xfId="0" applyNumberFormat="1" applyFont="1" applyFill="1" applyAlignment="1">
      <alignment vertical="top" wrapText="1"/>
    </xf>
    <xf numFmtId="0" fontId="0" fillId="3" borderId="0" xfId="0" applyNumberFormat="1" applyFont="1" applyFill="1" applyAlignment="1">
      <alignment horizontal="left" vertical="top" wrapText="1"/>
    </xf>
    <xf numFmtId="0" fontId="2" fillId="3" borderId="0" xfId="0" applyNumberFormat="1" applyFont="1" applyFill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vertical="center" wrapText="1"/>
    </xf>
    <xf numFmtId="0" fontId="0" fillId="3" borderId="1" xfId="0" applyNumberFormat="1" applyFont="1" applyFill="1" applyBorder="1" applyAlignment="1">
      <alignment vertical="top" wrapText="1"/>
    </xf>
    <xf numFmtId="164" fontId="0" fillId="3" borderId="1" xfId="0" applyNumberFormat="1" applyFont="1" applyFill="1" applyBorder="1" applyAlignment="1">
      <alignment horizontal="right" vertical="top" wrapText="1"/>
    </xf>
    <xf numFmtId="0" fontId="5" fillId="3" borderId="1" xfId="0" applyNumberFormat="1" applyFont="1" applyFill="1" applyBorder="1" applyAlignment="1">
      <alignment vertical="center" wrapText="1"/>
    </xf>
    <xf numFmtId="164" fontId="0" fillId="3" borderId="1" xfId="0" applyNumberFormat="1" applyFill="1" applyBorder="1" applyAlignment="1">
      <alignment horizontal="right" vertical="center" wrapText="1"/>
    </xf>
    <xf numFmtId="0" fontId="1" fillId="3" borderId="1" xfId="0" applyNumberFormat="1" applyFont="1" applyFill="1" applyBorder="1" applyAlignment="1">
      <alignment vertical="top" wrapText="1"/>
    </xf>
    <xf numFmtId="0" fontId="1" fillId="3" borderId="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right" vertical="top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vertical="top" wrapText="1"/>
    </xf>
    <xf numFmtId="0" fontId="5" fillId="3" borderId="1" xfId="2" applyNumberFormat="1" applyFont="1" applyFill="1" applyProtection="1">
      <alignment horizontal="left" vertical="top" wrapText="1"/>
      <protection locked="0"/>
    </xf>
    <xf numFmtId="1" fontId="5" fillId="3" borderId="1" xfId="1" applyNumberFormat="1" applyFont="1" applyFill="1" applyProtection="1">
      <alignment horizontal="center" vertical="top" shrinkToFit="1"/>
      <protection locked="0"/>
    </xf>
    <xf numFmtId="49" fontId="5" fillId="3" borderId="1" xfId="0" applyNumberFormat="1" applyFont="1" applyFill="1" applyBorder="1" applyAlignment="1">
      <alignment horizontal="center" vertical="top" wrapText="1"/>
    </xf>
    <xf numFmtId="0" fontId="5" fillId="3" borderId="1" xfId="0" applyNumberFormat="1" applyFont="1" applyFill="1" applyBorder="1" applyAlignment="1">
      <alignment horizontal="center" vertical="top" wrapText="1"/>
    </xf>
    <xf numFmtId="0" fontId="8" fillId="3" borderId="1" xfId="0" applyNumberFormat="1" applyFont="1" applyFill="1" applyBorder="1" applyAlignment="1">
      <alignment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right" vertical="center" wrapText="1"/>
    </xf>
    <xf numFmtId="0" fontId="0" fillId="3" borderId="1" xfId="0" applyNumberFormat="1" applyFill="1" applyBorder="1" applyAlignment="1">
      <alignment vertical="center" wrapText="1"/>
    </xf>
    <xf numFmtId="0" fontId="0" fillId="3" borderId="1" xfId="0" applyNumberForma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left" vertical="center" wrapText="1"/>
    </xf>
    <xf numFmtId="0" fontId="8" fillId="3" borderId="1" xfId="0" applyNumberFormat="1" applyFont="1" applyFill="1" applyBorder="1" applyAlignment="1">
      <alignment horizontal="center" vertical="center" wrapText="1"/>
    </xf>
    <xf numFmtId="164" fontId="0" fillId="3" borderId="0" xfId="0" applyNumberFormat="1" applyFont="1" applyFill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/>
    </xf>
    <xf numFmtId="44" fontId="0" fillId="0" borderId="0" xfId="0" applyNumberFormat="1" applyFont="1" applyFill="1" applyAlignment="1">
      <alignment vertical="center" wrapText="1"/>
    </xf>
    <xf numFmtId="44" fontId="0" fillId="0" borderId="0" xfId="0" applyNumberFormat="1" applyFont="1" applyFill="1" applyAlignment="1">
      <alignment vertical="top" wrapText="1"/>
    </xf>
    <xf numFmtId="0" fontId="12" fillId="0" borderId="0" xfId="0" applyNumberFormat="1" applyFont="1" applyFill="1" applyBorder="1" applyAlignment="1">
      <alignment horizontal="center" vertical="top" wrapText="1"/>
    </xf>
    <xf numFmtId="44" fontId="13" fillId="0" borderId="0" xfId="0" applyNumberFormat="1" applyFont="1" applyFill="1" applyAlignment="1">
      <alignment vertical="top" wrapText="1"/>
    </xf>
    <xf numFmtId="0" fontId="6" fillId="0" borderId="0" xfId="0" applyNumberFormat="1" applyFont="1" applyFill="1" applyAlignment="1">
      <alignment horizontal="justify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justify" vertical="center" wrapText="1"/>
    </xf>
    <xf numFmtId="44" fontId="11" fillId="0" borderId="0" xfId="0" applyNumberFormat="1" applyFont="1" applyFill="1" applyAlignment="1">
      <alignment vertical="top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0" fillId="0" borderId="9" xfId="0" applyNumberForma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44" fontId="0" fillId="0" borderId="8" xfId="0" applyNumberFormat="1" applyFont="1" applyFill="1" applyBorder="1" applyAlignment="1">
      <alignment horizontal="center" vertical="top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44" fontId="0" fillId="0" borderId="0" xfId="0" applyNumberFormat="1" applyFont="1" applyFill="1" applyAlignment="1">
      <alignment vertical="center" wrapText="1"/>
    </xf>
    <xf numFmtId="0" fontId="0" fillId="3" borderId="0" xfId="0" applyNumberFormat="1" applyFont="1" applyFill="1" applyAlignment="1">
      <alignment horizontal="left" vertical="top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0" fontId="0" fillId="3" borderId="9" xfId="0" applyNumberFormat="1" applyFill="1" applyBorder="1" applyAlignment="1">
      <alignment horizontal="center" vertical="center" wrapText="1"/>
    </xf>
    <xf numFmtId="0" fontId="7" fillId="3" borderId="0" xfId="0" applyNumberFormat="1" applyFont="1" applyFill="1" applyBorder="1" applyAlignment="1">
      <alignment horizontal="center" vertical="center" wrapText="1"/>
    </xf>
    <xf numFmtId="0" fontId="2" fillId="3" borderId="0" xfId="0" applyNumberFormat="1" applyFont="1" applyFill="1" applyBorder="1" applyAlignment="1">
      <alignment horizontal="center" vertical="center" wrapText="1"/>
    </xf>
    <xf numFmtId="44" fontId="0" fillId="3" borderId="0" xfId="0" applyNumberFormat="1" applyFont="1" applyFill="1" applyAlignment="1">
      <alignment vertical="center" wrapText="1"/>
    </xf>
    <xf numFmtId="0" fontId="6" fillId="3" borderId="0" xfId="0" applyNumberFormat="1" applyFont="1" applyFill="1" applyAlignment="1">
      <alignment horizontal="justify" vertical="center" wrapText="1"/>
    </xf>
    <xf numFmtId="0" fontId="6" fillId="3" borderId="6" xfId="0" applyNumberFormat="1" applyFont="1" applyFill="1" applyBorder="1" applyAlignment="1">
      <alignment horizontal="center" vertical="center" wrapText="1"/>
    </xf>
    <xf numFmtId="0" fontId="0" fillId="3" borderId="7" xfId="0" applyNumberFormat="1" applyFill="1" applyBorder="1" applyAlignment="1">
      <alignment horizontal="center" vertical="center" wrapText="1"/>
    </xf>
    <xf numFmtId="0" fontId="0" fillId="3" borderId="4" xfId="0" applyNumberFormat="1" applyFont="1" applyFill="1" applyBorder="1" applyAlignment="1">
      <alignment horizontal="center" vertical="center" wrapText="1"/>
    </xf>
    <xf numFmtId="0" fontId="0" fillId="3" borderId="8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justify" vertical="center" wrapText="1"/>
    </xf>
    <xf numFmtId="44" fontId="0" fillId="0" borderId="0" xfId="0" applyNumberFormat="1" applyFont="1" applyFill="1" applyAlignment="1">
      <alignment vertical="top" wrapText="1"/>
    </xf>
    <xf numFmtId="0" fontId="12" fillId="0" borderId="0" xfId="0" applyNumberFormat="1" applyFont="1" applyFill="1" applyBorder="1" applyAlignment="1">
      <alignment horizontal="center" vertical="top" wrapText="1"/>
    </xf>
    <xf numFmtId="44" fontId="13" fillId="0" borderId="0" xfId="0" applyNumberFormat="1" applyFont="1" applyFill="1" applyAlignment="1">
      <alignment vertical="top" wrapText="1"/>
    </xf>
  </cellXfs>
  <cellStyles count="4">
    <cellStyle name="xl32" xfId="2"/>
    <cellStyle name="xl48" xfId="1"/>
    <cellStyle name="Обычный" xfId="0" builtinId="0"/>
    <cellStyle name="Обычный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1"/>
  <sheetViews>
    <sheetView tabSelected="1" view="pageBreakPreview" zoomScale="120" zoomScaleSheetLayoutView="120" workbookViewId="0">
      <selection activeCell="F4" sqref="F4"/>
    </sheetView>
  </sheetViews>
  <sheetFormatPr defaultRowHeight="12.75"/>
  <cols>
    <col min="1" max="1" width="78.1640625" customWidth="1"/>
    <col min="2" max="2" width="4.83203125" bestFit="1" customWidth="1"/>
    <col min="3" max="3" width="6.33203125" customWidth="1"/>
    <col min="4" max="4" width="21.33203125" style="84" customWidth="1"/>
    <col min="5" max="5" width="19.5" style="84" customWidth="1"/>
    <col min="6" max="6" width="22.1640625" style="84" customWidth="1"/>
    <col min="7" max="7" width="23.33203125" style="84" customWidth="1"/>
    <col min="8" max="8" width="15.33203125" style="84" customWidth="1"/>
    <col min="9" max="9" width="16.6640625" style="84" customWidth="1"/>
    <col min="10" max="10" width="16.1640625" style="84" customWidth="1"/>
  </cols>
  <sheetData>
    <row r="1" spans="1:10" ht="63" customHeight="1">
      <c r="A1" s="21" t="s">
        <v>0</v>
      </c>
      <c r="D1" s="21"/>
      <c r="F1" s="89" t="s">
        <v>1220</v>
      </c>
      <c r="G1" s="89"/>
      <c r="H1" s="89"/>
      <c r="I1" s="89"/>
      <c r="J1" s="90"/>
    </row>
    <row r="2" spans="1:10" ht="24" customHeight="1">
      <c r="A2" s="21"/>
      <c r="D2" s="21"/>
      <c r="F2" s="87"/>
      <c r="G2" s="87"/>
      <c r="H2" s="87"/>
      <c r="I2" s="87"/>
    </row>
    <row r="3" spans="1:10" ht="28.5" customHeight="1">
      <c r="A3" s="99" t="s">
        <v>1219</v>
      </c>
      <c r="B3" s="100"/>
      <c r="C3" s="100"/>
      <c r="D3" s="100"/>
      <c r="E3" s="101"/>
      <c r="F3" s="101"/>
      <c r="G3" s="101"/>
      <c r="H3" s="101"/>
      <c r="I3" s="101"/>
      <c r="J3" s="101"/>
    </row>
    <row r="4" spans="1:10" ht="28.5" customHeight="1">
      <c r="A4" s="41"/>
      <c r="B4" s="42"/>
      <c r="C4" s="42"/>
      <c r="D4" s="82"/>
      <c r="E4" s="83"/>
      <c r="F4" s="83"/>
      <c r="G4" s="83"/>
      <c r="H4" s="83"/>
      <c r="I4" s="83"/>
      <c r="J4" s="83"/>
    </row>
    <row r="5" spans="1:10" ht="15.75" customHeight="1">
      <c r="A5" s="16"/>
      <c r="B5" s="16"/>
      <c r="C5" s="16"/>
      <c r="D5" s="16"/>
      <c r="J5" s="44" t="s">
        <v>1221</v>
      </c>
    </row>
    <row r="6" spans="1:10" ht="31.5" customHeight="1">
      <c r="A6" s="95" t="s">
        <v>1</v>
      </c>
      <c r="B6" s="95" t="s">
        <v>3</v>
      </c>
      <c r="C6" s="95" t="s">
        <v>4</v>
      </c>
      <c r="D6" s="97" t="s">
        <v>1115</v>
      </c>
      <c r="E6" s="91" t="s">
        <v>1114</v>
      </c>
      <c r="F6" s="91" t="s">
        <v>1113</v>
      </c>
      <c r="G6" s="91" t="s">
        <v>1107</v>
      </c>
      <c r="H6" s="91" t="s">
        <v>1112</v>
      </c>
      <c r="I6" s="93" t="s">
        <v>1110</v>
      </c>
      <c r="J6" s="94"/>
    </row>
    <row r="7" spans="1:10" ht="111.75" customHeight="1">
      <c r="A7" s="96"/>
      <c r="B7" s="96"/>
      <c r="C7" s="96"/>
      <c r="D7" s="98"/>
      <c r="E7" s="92"/>
      <c r="F7" s="92"/>
      <c r="G7" s="92"/>
      <c r="H7" s="92"/>
      <c r="I7" s="88" t="s">
        <v>1108</v>
      </c>
      <c r="J7" s="88" t="s">
        <v>1111</v>
      </c>
    </row>
    <row r="8" spans="1:10">
      <c r="A8" s="2" t="s">
        <v>7</v>
      </c>
      <c r="B8" s="2" t="s">
        <v>8</v>
      </c>
      <c r="C8" s="2" t="s">
        <v>9</v>
      </c>
      <c r="D8" s="2" t="s">
        <v>10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</row>
    <row r="9" spans="1:10">
      <c r="A9" s="4" t="s">
        <v>16</v>
      </c>
      <c r="B9" s="5" t="s">
        <v>17</v>
      </c>
      <c r="C9" s="5" t="s">
        <v>0</v>
      </c>
      <c r="D9" s="7">
        <v>2801084.3</v>
      </c>
      <c r="E9" s="7">
        <f>SUM(E10:E18)</f>
        <v>2710540.3838299997</v>
      </c>
      <c r="F9" s="7">
        <f t="shared" ref="F9:G9" si="0">SUM(F10:F18)</f>
        <v>1102366.6264899999</v>
      </c>
      <c r="G9" s="7">
        <f t="shared" si="0"/>
        <v>1079720.8288099999</v>
      </c>
      <c r="H9" s="7">
        <f>SUM(H10:H18)</f>
        <v>989373.33195000002</v>
      </c>
      <c r="I9" s="7">
        <f>H9/E9*100</f>
        <v>36.500962607021307</v>
      </c>
      <c r="J9" s="7">
        <f>H9/F9*100</f>
        <v>89.74993511008428</v>
      </c>
    </row>
    <row r="10" spans="1:10" ht="25.5">
      <c r="A10" s="8" t="s">
        <v>941</v>
      </c>
      <c r="B10" s="1" t="s">
        <v>17</v>
      </c>
      <c r="C10" s="1" t="s">
        <v>106</v>
      </c>
      <c r="D10" s="9">
        <v>4310.5</v>
      </c>
      <c r="E10" s="9">
        <v>4310.5</v>
      </c>
      <c r="F10" s="9">
        <v>2933</v>
      </c>
      <c r="G10" s="9">
        <v>2783</v>
      </c>
      <c r="H10" s="9">
        <v>2567.5491999999999</v>
      </c>
      <c r="I10" s="9">
        <f t="shared" ref="I10:I75" si="1">H10/E10*100</f>
        <v>59.564997100104399</v>
      </c>
      <c r="J10" s="9">
        <f t="shared" ref="J10:J75" si="2">H10/F10*100</f>
        <v>87.540034094783493</v>
      </c>
    </row>
    <row r="11" spans="1:10" ht="38.25">
      <c r="A11" s="8" t="s">
        <v>1033</v>
      </c>
      <c r="B11" s="1" t="s">
        <v>17</v>
      </c>
      <c r="C11" s="1" t="s">
        <v>150</v>
      </c>
      <c r="D11" s="9">
        <v>190963.1</v>
      </c>
      <c r="E11" s="9">
        <v>197027.37439000001</v>
      </c>
      <c r="F11" s="9">
        <v>110375.56039</v>
      </c>
      <c r="G11" s="9">
        <v>109388.56039</v>
      </c>
      <c r="H11" s="9">
        <v>87051.76758</v>
      </c>
      <c r="I11" s="9">
        <f t="shared" si="1"/>
        <v>44.182575060706007</v>
      </c>
      <c r="J11" s="9">
        <f t="shared" si="2"/>
        <v>78.868698172323732</v>
      </c>
    </row>
    <row r="12" spans="1:10" ht="38.25">
      <c r="A12" s="8" t="s">
        <v>18</v>
      </c>
      <c r="B12" s="1" t="s">
        <v>17</v>
      </c>
      <c r="C12" s="1" t="s">
        <v>19</v>
      </c>
      <c r="D12" s="9">
        <v>291234</v>
      </c>
      <c r="E12" s="9">
        <v>316463.16791999998</v>
      </c>
      <c r="F12" s="9">
        <v>161657.014</v>
      </c>
      <c r="G12" s="9">
        <v>155938.71400000001</v>
      </c>
      <c r="H12" s="9">
        <v>147273.90153</v>
      </c>
      <c r="I12" s="9">
        <f t="shared" si="1"/>
        <v>46.537454105000293</v>
      </c>
      <c r="J12" s="9">
        <f t="shared" si="2"/>
        <v>91.102698166873225</v>
      </c>
    </row>
    <row r="13" spans="1:10">
      <c r="A13" s="8" t="s">
        <v>604</v>
      </c>
      <c r="B13" s="1" t="s">
        <v>17</v>
      </c>
      <c r="C13" s="1" t="s">
        <v>93</v>
      </c>
      <c r="D13" s="9">
        <v>289558.7</v>
      </c>
      <c r="E13" s="9">
        <v>289558.7</v>
      </c>
      <c r="F13" s="9">
        <v>141700</v>
      </c>
      <c r="G13" s="9">
        <v>141700</v>
      </c>
      <c r="H13" s="9">
        <v>138832.55961</v>
      </c>
      <c r="I13" s="9">
        <f t="shared" si="1"/>
        <v>47.946257394441957</v>
      </c>
      <c r="J13" s="9">
        <f t="shared" si="2"/>
        <v>97.976400571630208</v>
      </c>
    </row>
    <row r="14" spans="1:10" ht="25.5">
      <c r="A14" s="8" t="s">
        <v>607</v>
      </c>
      <c r="B14" s="1" t="s">
        <v>17</v>
      </c>
      <c r="C14" s="1" t="s">
        <v>32</v>
      </c>
      <c r="D14" s="9">
        <v>148440.29999999999</v>
      </c>
      <c r="E14" s="9">
        <v>148440.29999999999</v>
      </c>
      <c r="F14" s="9">
        <v>77292.2</v>
      </c>
      <c r="G14" s="9">
        <v>75059.5</v>
      </c>
      <c r="H14" s="9">
        <v>67600.235769999999</v>
      </c>
      <c r="I14" s="9">
        <f t="shared" si="1"/>
        <v>45.540352431246774</v>
      </c>
      <c r="J14" s="9">
        <f t="shared" si="2"/>
        <v>87.460617979563267</v>
      </c>
    </row>
    <row r="15" spans="1:10">
      <c r="A15" s="8" t="s">
        <v>1012</v>
      </c>
      <c r="B15" s="1" t="s">
        <v>17</v>
      </c>
      <c r="C15" s="1" t="s">
        <v>110</v>
      </c>
      <c r="D15" s="9">
        <v>43381</v>
      </c>
      <c r="E15" s="9">
        <v>43381</v>
      </c>
      <c r="F15" s="9">
        <v>25540</v>
      </c>
      <c r="G15" s="9">
        <v>21468.6</v>
      </c>
      <c r="H15" s="9">
        <v>17989.789629999999</v>
      </c>
      <c r="I15" s="9">
        <f t="shared" si="1"/>
        <v>41.469282934925431</v>
      </c>
      <c r="J15" s="9">
        <f t="shared" si="2"/>
        <v>70.437704111198116</v>
      </c>
    </row>
    <row r="16" spans="1:10">
      <c r="A16" s="8" t="s">
        <v>611</v>
      </c>
      <c r="B16" s="1" t="s">
        <v>17</v>
      </c>
      <c r="C16" s="1" t="s">
        <v>154</v>
      </c>
      <c r="D16" s="9">
        <v>216714.8</v>
      </c>
      <c r="E16" s="9">
        <v>116426.24077</v>
      </c>
      <c r="F16" s="9">
        <v>0</v>
      </c>
      <c r="G16" s="9">
        <v>0</v>
      </c>
      <c r="H16" s="9">
        <v>0</v>
      </c>
      <c r="I16" s="9">
        <f t="shared" si="1"/>
        <v>0</v>
      </c>
      <c r="J16" s="9">
        <v>0</v>
      </c>
    </row>
    <row r="17" spans="1:10" s="51" customFormat="1">
      <c r="A17" s="39" t="s">
        <v>1225</v>
      </c>
      <c r="B17" s="1" t="s">
        <v>17</v>
      </c>
      <c r="C17" s="1">
        <v>12</v>
      </c>
      <c r="D17" s="9">
        <v>0</v>
      </c>
      <c r="E17" s="9">
        <v>8890.7999999999993</v>
      </c>
      <c r="F17" s="9">
        <v>7500</v>
      </c>
      <c r="G17" s="9">
        <v>7500</v>
      </c>
      <c r="H17" s="9">
        <v>7500</v>
      </c>
      <c r="I17" s="9">
        <f t="shared" si="1"/>
        <v>84.356863274396005</v>
      </c>
      <c r="J17" s="9">
        <f t="shared" si="2"/>
        <v>100</v>
      </c>
    </row>
    <row r="18" spans="1:10">
      <c r="A18" s="8" t="s">
        <v>386</v>
      </c>
      <c r="B18" s="1" t="s">
        <v>17</v>
      </c>
      <c r="C18" s="1" t="s">
        <v>387</v>
      </c>
      <c r="D18" s="9">
        <v>1616481.9</v>
      </c>
      <c r="E18" s="9">
        <v>1586042.3007499999</v>
      </c>
      <c r="F18" s="9">
        <v>575368.85210000002</v>
      </c>
      <c r="G18" s="9">
        <v>565882.45441999997</v>
      </c>
      <c r="H18" s="9">
        <v>520557.52863000002</v>
      </c>
      <c r="I18" s="9">
        <f t="shared" si="1"/>
        <v>32.821162990661804</v>
      </c>
      <c r="J18" s="9">
        <f t="shared" si="2"/>
        <v>90.473706863006598</v>
      </c>
    </row>
    <row r="19" spans="1:10">
      <c r="A19" s="10" t="s">
        <v>0</v>
      </c>
      <c r="B19" s="6" t="s">
        <v>0</v>
      </c>
      <c r="C19" s="6" t="s">
        <v>0</v>
      </c>
      <c r="D19" s="11" t="s">
        <v>0</v>
      </c>
      <c r="E19" s="11" t="s">
        <v>0</v>
      </c>
      <c r="F19" s="11"/>
      <c r="G19" s="11"/>
      <c r="H19" s="11"/>
      <c r="I19" s="11"/>
      <c r="J19" s="11"/>
    </row>
    <row r="20" spans="1:10">
      <c r="A20" s="4" t="s">
        <v>622</v>
      </c>
      <c r="B20" s="5" t="s">
        <v>106</v>
      </c>
      <c r="C20" s="5" t="s">
        <v>0</v>
      </c>
      <c r="D20" s="7">
        <v>31272.5</v>
      </c>
      <c r="E20" s="7">
        <f>E21</f>
        <v>31272.5</v>
      </c>
      <c r="F20" s="7">
        <f t="shared" ref="F20:H20" si="3">F21</f>
        <v>26581.599999999999</v>
      </c>
      <c r="G20" s="7">
        <f t="shared" si="3"/>
        <v>26581.599999999999</v>
      </c>
      <c r="H20" s="7">
        <f t="shared" si="3"/>
        <v>19158.83612</v>
      </c>
      <c r="I20" s="7">
        <f t="shared" si="1"/>
        <v>61.264165384922855</v>
      </c>
      <c r="J20" s="7">
        <f t="shared" si="2"/>
        <v>72.07555647515575</v>
      </c>
    </row>
    <row r="21" spans="1:10">
      <c r="A21" s="8" t="s">
        <v>623</v>
      </c>
      <c r="B21" s="1" t="s">
        <v>106</v>
      </c>
      <c r="C21" s="1" t="s">
        <v>150</v>
      </c>
      <c r="D21" s="9">
        <v>31272.5</v>
      </c>
      <c r="E21" s="9">
        <v>31272.5</v>
      </c>
      <c r="F21" s="9">
        <v>26581.599999999999</v>
      </c>
      <c r="G21" s="9">
        <v>26581.599999999999</v>
      </c>
      <c r="H21" s="9">
        <v>19158.83612</v>
      </c>
      <c r="I21" s="9">
        <f t="shared" si="1"/>
        <v>61.264165384922855</v>
      </c>
      <c r="J21" s="9">
        <f t="shared" si="2"/>
        <v>72.07555647515575</v>
      </c>
    </row>
    <row r="22" spans="1:10">
      <c r="A22" s="10" t="s">
        <v>0</v>
      </c>
      <c r="B22" s="6" t="s">
        <v>0</v>
      </c>
      <c r="C22" s="6" t="s">
        <v>0</v>
      </c>
      <c r="D22" s="11" t="s">
        <v>0</v>
      </c>
      <c r="E22" s="11" t="s">
        <v>0</v>
      </c>
      <c r="F22" s="11"/>
      <c r="G22" s="11"/>
      <c r="H22" s="11"/>
      <c r="I22" s="11"/>
      <c r="J22" s="11"/>
    </row>
    <row r="23" spans="1:10">
      <c r="A23" s="4" t="s">
        <v>164</v>
      </c>
      <c r="B23" s="5" t="s">
        <v>150</v>
      </c>
      <c r="C23" s="5" t="s">
        <v>0</v>
      </c>
      <c r="D23" s="7">
        <v>1078036.3</v>
      </c>
      <c r="E23" s="7">
        <f>E24+E25</f>
        <v>1081285.3</v>
      </c>
      <c r="F23" s="7">
        <f t="shared" ref="F23:H23" si="4">F24+F25</f>
        <v>533666.55888000003</v>
      </c>
      <c r="G23" s="7">
        <f t="shared" si="4"/>
        <v>533666.55888000003</v>
      </c>
      <c r="H23" s="7">
        <f t="shared" si="4"/>
        <v>527710.38870999997</v>
      </c>
      <c r="I23" s="7">
        <f t="shared" si="1"/>
        <v>48.803991759621624</v>
      </c>
      <c r="J23" s="7">
        <f t="shared" si="2"/>
        <v>98.883915420426533</v>
      </c>
    </row>
    <row r="24" spans="1:10" ht="25.5">
      <c r="A24" s="8" t="s">
        <v>165</v>
      </c>
      <c r="B24" s="1" t="s">
        <v>150</v>
      </c>
      <c r="C24" s="1" t="s">
        <v>46</v>
      </c>
      <c r="D24" s="9">
        <v>203645.9</v>
      </c>
      <c r="E24" s="9">
        <v>206416.32529000001</v>
      </c>
      <c r="F24" s="9">
        <v>96655.531879999995</v>
      </c>
      <c r="G24" s="9">
        <v>96655.531879999995</v>
      </c>
      <c r="H24" s="9">
        <v>96060.841809999998</v>
      </c>
      <c r="I24" s="9">
        <f t="shared" si="1"/>
        <v>46.537424632010797</v>
      </c>
      <c r="J24" s="9">
        <f t="shared" si="2"/>
        <v>99.384732504769289</v>
      </c>
    </row>
    <row r="25" spans="1:10">
      <c r="A25" s="8" t="s">
        <v>914</v>
      </c>
      <c r="B25" s="1" t="s">
        <v>150</v>
      </c>
      <c r="C25" s="1" t="s">
        <v>148</v>
      </c>
      <c r="D25" s="9">
        <v>874390.4</v>
      </c>
      <c r="E25" s="9">
        <v>874868.97470999998</v>
      </c>
      <c r="F25" s="9">
        <v>437011.027</v>
      </c>
      <c r="G25" s="9">
        <v>437011.027</v>
      </c>
      <c r="H25" s="9">
        <v>431649.54690000002</v>
      </c>
      <c r="I25" s="9">
        <f t="shared" si="1"/>
        <v>49.338764932552607</v>
      </c>
      <c r="J25" s="9">
        <f t="shared" si="2"/>
        <v>98.773147639590348</v>
      </c>
    </row>
    <row r="26" spans="1:10">
      <c r="A26" s="10" t="s">
        <v>0</v>
      </c>
      <c r="B26" s="6" t="s">
        <v>0</v>
      </c>
      <c r="C26" s="6" t="s">
        <v>0</v>
      </c>
      <c r="D26" s="11" t="s">
        <v>0</v>
      </c>
      <c r="E26" s="11" t="s">
        <v>0</v>
      </c>
      <c r="F26" s="11"/>
      <c r="G26" s="11"/>
      <c r="H26" s="11"/>
      <c r="I26" s="11"/>
      <c r="J26" s="11"/>
    </row>
    <row r="27" spans="1:10">
      <c r="A27" s="4" t="s">
        <v>30</v>
      </c>
      <c r="B27" s="5" t="s">
        <v>19</v>
      </c>
      <c r="C27" s="5" t="s">
        <v>0</v>
      </c>
      <c r="D27" s="7">
        <v>8325982.2999999998</v>
      </c>
      <c r="E27" s="7">
        <f>SUM(E28:E36)</f>
        <v>10135890.24423</v>
      </c>
      <c r="F27" s="7">
        <f t="shared" ref="F27:H27" si="5">SUM(F28:F36)</f>
        <v>3604017.2524699997</v>
      </c>
      <c r="G27" s="7">
        <f t="shared" si="5"/>
        <v>3592212.1469000001</v>
      </c>
      <c r="H27" s="7">
        <f t="shared" si="5"/>
        <v>3443085.7163300002</v>
      </c>
      <c r="I27" s="7">
        <f t="shared" si="1"/>
        <v>33.969248219612737</v>
      </c>
      <c r="J27" s="7">
        <f t="shared" si="2"/>
        <v>95.534662437320307</v>
      </c>
    </row>
    <row r="28" spans="1:10">
      <c r="A28" s="8" t="s">
        <v>230</v>
      </c>
      <c r="B28" s="1" t="s">
        <v>19</v>
      </c>
      <c r="C28" s="1" t="s">
        <v>17</v>
      </c>
      <c r="D28" s="9">
        <v>601007.80000000005</v>
      </c>
      <c r="E28" s="9">
        <v>617056.29486999998</v>
      </c>
      <c r="F28" s="9">
        <v>285192.38994999998</v>
      </c>
      <c r="G28" s="9">
        <v>285169.55362000002</v>
      </c>
      <c r="H28" s="9">
        <v>255974.54834000001</v>
      </c>
      <c r="I28" s="9">
        <f t="shared" si="1"/>
        <v>41.483175922211139</v>
      </c>
      <c r="J28" s="9">
        <f t="shared" si="2"/>
        <v>89.755041635184426</v>
      </c>
    </row>
    <row r="29" spans="1:10">
      <c r="A29" s="8" t="s">
        <v>174</v>
      </c>
      <c r="B29" s="1" t="s">
        <v>19</v>
      </c>
      <c r="C29" s="1" t="s">
        <v>106</v>
      </c>
      <c r="D29" s="9">
        <v>72080.5</v>
      </c>
      <c r="E29" s="9">
        <v>72080.5</v>
      </c>
      <c r="F29" s="9">
        <v>30861.925279999999</v>
      </c>
      <c r="G29" s="9">
        <v>30860.335129999999</v>
      </c>
      <c r="H29" s="9">
        <v>25343.728230000001</v>
      </c>
      <c r="I29" s="9">
        <f t="shared" si="1"/>
        <v>35.160311360215317</v>
      </c>
      <c r="J29" s="9">
        <f t="shared" si="2"/>
        <v>82.119725195576009</v>
      </c>
    </row>
    <row r="30" spans="1:10">
      <c r="A30" s="8" t="s">
        <v>489</v>
      </c>
      <c r="B30" s="1" t="s">
        <v>19</v>
      </c>
      <c r="C30" s="1" t="s">
        <v>93</v>
      </c>
      <c r="D30" s="9">
        <v>877650.3</v>
      </c>
      <c r="E30" s="9">
        <v>1091708.6000000001</v>
      </c>
      <c r="F30" s="9">
        <v>653100.62393999996</v>
      </c>
      <c r="G30" s="9">
        <v>651963.81851000001</v>
      </c>
      <c r="H30" s="9">
        <v>648776.76517000003</v>
      </c>
      <c r="I30" s="9">
        <f t="shared" si="1"/>
        <v>59.427649939736661</v>
      </c>
      <c r="J30" s="9">
        <f t="shared" si="2"/>
        <v>99.337949067646719</v>
      </c>
    </row>
    <row r="31" spans="1:10">
      <c r="A31" s="8" t="s">
        <v>31</v>
      </c>
      <c r="B31" s="1" t="s">
        <v>19</v>
      </c>
      <c r="C31" s="1" t="s">
        <v>32</v>
      </c>
      <c r="D31" s="9">
        <v>27504.400000000001</v>
      </c>
      <c r="E31" s="9">
        <v>85874</v>
      </c>
      <c r="F31" s="9">
        <v>0</v>
      </c>
      <c r="G31" s="9">
        <v>0</v>
      </c>
      <c r="H31" s="9">
        <v>0</v>
      </c>
      <c r="I31" s="9">
        <f t="shared" si="1"/>
        <v>0</v>
      </c>
      <c r="J31" s="9">
        <v>0</v>
      </c>
    </row>
    <row r="32" spans="1:10">
      <c r="A32" s="8" t="s">
        <v>242</v>
      </c>
      <c r="B32" s="1" t="s">
        <v>19</v>
      </c>
      <c r="C32" s="1" t="s">
        <v>110</v>
      </c>
      <c r="D32" s="9">
        <v>868964.4</v>
      </c>
      <c r="E32" s="9">
        <v>868964.4</v>
      </c>
      <c r="F32" s="9">
        <v>365066.04</v>
      </c>
      <c r="G32" s="9">
        <v>365066.04</v>
      </c>
      <c r="H32" s="9">
        <v>339843.74059</v>
      </c>
      <c r="I32" s="9">
        <f t="shared" si="1"/>
        <v>39.109052176360734</v>
      </c>
      <c r="J32" s="9">
        <f t="shared" si="2"/>
        <v>93.091031033727489</v>
      </c>
    </row>
    <row r="33" spans="1:10">
      <c r="A33" s="8" t="s">
        <v>671</v>
      </c>
      <c r="B33" s="1" t="s">
        <v>19</v>
      </c>
      <c r="C33" s="1" t="s">
        <v>130</v>
      </c>
      <c r="D33" s="9">
        <v>508102.6</v>
      </c>
      <c r="E33" s="9">
        <v>535167.14208000002</v>
      </c>
      <c r="F33" s="9">
        <v>261126.69865000001</v>
      </c>
      <c r="G33" s="9">
        <v>261126.69865000001</v>
      </c>
      <c r="H33" s="9">
        <v>242382.47967999999</v>
      </c>
      <c r="I33" s="9">
        <f t="shared" si="1"/>
        <v>45.290986800487687</v>
      </c>
      <c r="J33" s="9">
        <f t="shared" si="2"/>
        <v>92.821791464869037</v>
      </c>
    </row>
    <row r="34" spans="1:10">
      <c r="A34" s="8" t="s">
        <v>45</v>
      </c>
      <c r="B34" s="1" t="s">
        <v>19</v>
      </c>
      <c r="C34" s="1" t="s">
        <v>46</v>
      </c>
      <c r="D34" s="9">
        <v>5081150.8</v>
      </c>
      <c r="E34" s="9">
        <v>6598745.2242900003</v>
      </c>
      <c r="F34" s="9">
        <v>1901660.7919999999</v>
      </c>
      <c r="G34" s="9">
        <v>1897234.5418</v>
      </c>
      <c r="H34" s="9">
        <v>1846668.42041</v>
      </c>
      <c r="I34" s="9">
        <f t="shared" si="1"/>
        <v>27.985145018365131</v>
      </c>
      <c r="J34" s="9">
        <f t="shared" si="2"/>
        <v>97.10819238523797</v>
      </c>
    </row>
    <row r="35" spans="1:10">
      <c r="A35" s="8" t="s">
        <v>710</v>
      </c>
      <c r="B35" s="1" t="s">
        <v>19</v>
      </c>
      <c r="C35" s="1" t="s">
        <v>148</v>
      </c>
      <c r="D35" s="9">
        <v>7921.7</v>
      </c>
      <c r="E35" s="9">
        <v>17029.291150000001</v>
      </c>
      <c r="F35" s="9">
        <v>12521.61615</v>
      </c>
      <c r="G35" s="9">
        <v>6833.4911499999998</v>
      </c>
      <c r="H35" s="9">
        <v>3474.6511700000001</v>
      </c>
      <c r="I35" s="9">
        <f t="shared" si="1"/>
        <v>20.403968311975216</v>
      </c>
      <c r="J35" s="9">
        <f t="shared" si="2"/>
        <v>27.749222850917693</v>
      </c>
    </row>
    <row r="36" spans="1:10">
      <c r="A36" s="8" t="s">
        <v>50</v>
      </c>
      <c r="B36" s="1" t="s">
        <v>19</v>
      </c>
      <c r="C36" s="1" t="s">
        <v>51</v>
      </c>
      <c r="D36" s="9">
        <v>281599.8</v>
      </c>
      <c r="E36" s="9">
        <v>249264.79183999999</v>
      </c>
      <c r="F36" s="9">
        <v>94487.166500000007</v>
      </c>
      <c r="G36" s="9">
        <v>93957.668040000004</v>
      </c>
      <c r="H36" s="9">
        <v>80621.382740000001</v>
      </c>
      <c r="I36" s="9">
        <f t="shared" si="1"/>
        <v>32.343670417661663</v>
      </c>
      <c r="J36" s="9">
        <f t="shared" si="2"/>
        <v>85.325220055148961</v>
      </c>
    </row>
    <row r="37" spans="1:10">
      <c r="A37" s="10" t="s">
        <v>0</v>
      </c>
      <c r="B37" s="6" t="s">
        <v>0</v>
      </c>
      <c r="C37" s="6" t="s">
        <v>0</v>
      </c>
      <c r="D37" s="11" t="s">
        <v>0</v>
      </c>
      <c r="E37" s="11" t="s">
        <v>0</v>
      </c>
      <c r="F37" s="11"/>
      <c r="G37" s="11"/>
      <c r="H37" s="11"/>
      <c r="I37" s="11"/>
      <c r="J37" s="11"/>
    </row>
    <row r="38" spans="1:10">
      <c r="A38" s="4" t="s">
        <v>92</v>
      </c>
      <c r="B38" s="5" t="s">
        <v>93</v>
      </c>
      <c r="C38" s="5" t="s">
        <v>0</v>
      </c>
      <c r="D38" s="7">
        <v>7551324.7999999998</v>
      </c>
      <c r="E38" s="7">
        <f>E39+E42+E40+E41</f>
        <v>7784456.0825699996</v>
      </c>
      <c r="F38" s="7">
        <f t="shared" ref="F38:H38" si="6">F39+F42+F40+F41</f>
        <v>2879708.3912500003</v>
      </c>
      <c r="G38" s="7">
        <f t="shared" si="6"/>
        <v>2856241.56868</v>
      </c>
      <c r="H38" s="7">
        <f t="shared" si="6"/>
        <v>2841098.6108400002</v>
      </c>
      <c r="I38" s="7">
        <f t="shared" si="1"/>
        <v>36.497072893781748</v>
      </c>
      <c r="J38" s="7">
        <f t="shared" si="2"/>
        <v>98.659246869324818</v>
      </c>
    </row>
    <row r="39" spans="1:10">
      <c r="A39" s="8" t="s">
        <v>94</v>
      </c>
      <c r="B39" s="1" t="s">
        <v>93</v>
      </c>
      <c r="C39" s="1" t="s">
        <v>17</v>
      </c>
      <c r="D39" s="9">
        <v>4341119.8</v>
      </c>
      <c r="E39" s="9">
        <v>4341119.7428200003</v>
      </c>
      <c r="F39" s="9">
        <v>686489.07694000006</v>
      </c>
      <c r="G39" s="9">
        <v>666302.77578999999</v>
      </c>
      <c r="H39" s="9">
        <v>653363.60036000004</v>
      </c>
      <c r="I39" s="9">
        <f t="shared" si="1"/>
        <v>15.050577709602035</v>
      </c>
      <c r="J39" s="9">
        <f t="shared" si="2"/>
        <v>95.174653509760759</v>
      </c>
    </row>
    <row r="40" spans="1:10">
      <c r="A40" s="8" t="s">
        <v>105</v>
      </c>
      <c r="B40" s="1" t="s">
        <v>93</v>
      </c>
      <c r="C40" s="1" t="s">
        <v>106</v>
      </c>
      <c r="D40" s="9">
        <v>3155900.5</v>
      </c>
      <c r="E40" s="9">
        <v>3382740.2757100002</v>
      </c>
      <c r="F40" s="9">
        <v>2159307.7502700002</v>
      </c>
      <c r="G40" s="9">
        <v>2159307.7059499999</v>
      </c>
      <c r="H40" s="9">
        <v>2158488.0472200001</v>
      </c>
      <c r="I40" s="9">
        <f t="shared" si="1"/>
        <v>63.808861198099429</v>
      </c>
      <c r="J40" s="9">
        <f t="shared" si="2"/>
        <v>99.962038618631482</v>
      </c>
    </row>
    <row r="41" spans="1:10" s="51" customFormat="1">
      <c r="A41" s="26" t="s">
        <v>1124</v>
      </c>
      <c r="B41" s="1" t="s">
        <v>93</v>
      </c>
      <c r="C41" s="32" t="s">
        <v>150</v>
      </c>
      <c r="D41" s="9"/>
      <c r="E41" s="9">
        <v>4891.5640400000002</v>
      </c>
      <c r="F41" s="9">
        <v>4891.5640400000002</v>
      </c>
      <c r="G41" s="9">
        <v>4891.5640400000002</v>
      </c>
      <c r="H41" s="9">
        <v>4891.5640400000002</v>
      </c>
      <c r="I41" s="9">
        <f t="shared" si="1"/>
        <v>100</v>
      </c>
      <c r="J41" s="9">
        <f t="shared" si="2"/>
        <v>100</v>
      </c>
    </row>
    <row r="42" spans="1:10">
      <c r="A42" s="8" t="s">
        <v>1065</v>
      </c>
      <c r="B42" s="1" t="s">
        <v>93</v>
      </c>
      <c r="C42" s="1" t="s">
        <v>93</v>
      </c>
      <c r="D42" s="9">
        <v>54304.5</v>
      </c>
      <c r="E42" s="9">
        <v>55704.5</v>
      </c>
      <c r="F42" s="9">
        <v>29020</v>
      </c>
      <c r="G42" s="9">
        <v>25739.5229</v>
      </c>
      <c r="H42" s="9">
        <v>24355.399219999999</v>
      </c>
      <c r="I42" s="9">
        <f t="shared" si="1"/>
        <v>43.722498577314219</v>
      </c>
      <c r="J42" s="9">
        <f t="shared" si="2"/>
        <v>83.926255065472091</v>
      </c>
    </row>
    <row r="43" spans="1:10">
      <c r="A43" s="10" t="s">
        <v>0</v>
      </c>
      <c r="B43" s="6" t="s">
        <v>0</v>
      </c>
      <c r="C43" s="6" t="s">
        <v>0</v>
      </c>
      <c r="D43" s="11" t="s">
        <v>0</v>
      </c>
      <c r="E43" s="11" t="s">
        <v>0</v>
      </c>
      <c r="F43" s="11"/>
      <c r="G43" s="11"/>
      <c r="H43" s="11"/>
      <c r="I43" s="11"/>
      <c r="J43" s="11"/>
    </row>
    <row r="44" spans="1:10">
      <c r="A44" s="4" t="s">
        <v>264</v>
      </c>
      <c r="B44" s="5" t="s">
        <v>32</v>
      </c>
      <c r="C44" s="5" t="s">
        <v>0</v>
      </c>
      <c r="D44" s="7">
        <v>62695.199999999997</v>
      </c>
      <c r="E44" s="7">
        <f>E45</f>
        <v>64695.199999999997</v>
      </c>
      <c r="F44" s="7">
        <f t="shared" ref="F44:H44" si="7">F45</f>
        <v>27485.15</v>
      </c>
      <c r="G44" s="7">
        <f t="shared" si="7"/>
        <v>27485.15</v>
      </c>
      <c r="H44" s="7">
        <f t="shared" si="7"/>
        <v>26052.444650000001</v>
      </c>
      <c r="I44" s="7">
        <f t="shared" si="1"/>
        <v>40.269517135738049</v>
      </c>
      <c r="J44" s="7">
        <f t="shared" si="2"/>
        <v>94.787347531303269</v>
      </c>
    </row>
    <row r="45" spans="1:10">
      <c r="A45" s="8" t="s">
        <v>265</v>
      </c>
      <c r="B45" s="1" t="s">
        <v>32</v>
      </c>
      <c r="C45" s="1" t="s">
        <v>150</v>
      </c>
      <c r="D45" s="9">
        <v>62695.199999999997</v>
      </c>
      <c r="E45" s="9">
        <v>64695.199999999997</v>
      </c>
      <c r="F45" s="9">
        <v>27485.15</v>
      </c>
      <c r="G45" s="9">
        <v>27485.15</v>
      </c>
      <c r="H45" s="9">
        <v>26052.444650000001</v>
      </c>
      <c r="I45" s="9">
        <f t="shared" si="1"/>
        <v>40.269517135738049</v>
      </c>
      <c r="J45" s="9">
        <f t="shared" si="2"/>
        <v>94.787347531303269</v>
      </c>
    </row>
    <row r="46" spans="1:10">
      <c r="A46" s="10" t="s">
        <v>0</v>
      </c>
      <c r="B46" s="6" t="s">
        <v>0</v>
      </c>
      <c r="C46" s="6" t="s">
        <v>0</v>
      </c>
      <c r="D46" s="11" t="s">
        <v>0</v>
      </c>
      <c r="E46" s="11" t="s">
        <v>0</v>
      </c>
      <c r="F46" s="11"/>
      <c r="G46" s="11"/>
      <c r="H46" s="11"/>
      <c r="I46" s="11"/>
      <c r="J46" s="11"/>
    </row>
    <row r="47" spans="1:10">
      <c r="A47" s="4" t="s">
        <v>109</v>
      </c>
      <c r="B47" s="5" t="s">
        <v>110</v>
      </c>
      <c r="C47" s="5" t="s">
        <v>0</v>
      </c>
      <c r="D47" s="7">
        <v>17248197.5</v>
      </c>
      <c r="E47" s="7">
        <f>SUM(E48:E54)</f>
        <v>17397848.070060004</v>
      </c>
      <c r="F47" s="7">
        <f t="shared" ref="F47:H47" si="8">SUM(F48:F54)</f>
        <v>10313608.24103</v>
      </c>
      <c r="G47" s="7">
        <f t="shared" si="8"/>
        <v>10312869.988940001</v>
      </c>
      <c r="H47" s="7">
        <f t="shared" si="8"/>
        <v>10042845.691190001</v>
      </c>
      <c r="I47" s="7">
        <f t="shared" si="1"/>
        <v>57.724643017619847</v>
      </c>
      <c r="J47" s="7">
        <f t="shared" si="2"/>
        <v>97.374705888450947</v>
      </c>
    </row>
    <row r="48" spans="1:10">
      <c r="A48" s="8" t="s">
        <v>111</v>
      </c>
      <c r="B48" s="1" t="s">
        <v>110</v>
      </c>
      <c r="C48" s="1" t="s">
        <v>17</v>
      </c>
      <c r="D48" s="9">
        <v>206890.5</v>
      </c>
      <c r="E48" s="9">
        <v>207609.42150999999</v>
      </c>
      <c r="F48" s="9">
        <v>146194.53362</v>
      </c>
      <c r="G48" s="9">
        <v>146194.51261999999</v>
      </c>
      <c r="H48" s="9">
        <v>146194.51261999999</v>
      </c>
      <c r="I48" s="9">
        <f t="shared" si="1"/>
        <v>70.418053071333375</v>
      </c>
      <c r="J48" s="9">
        <f t="shared" si="2"/>
        <v>99.999985635577829</v>
      </c>
    </row>
    <row r="49" spans="1:10">
      <c r="A49" s="8" t="s">
        <v>119</v>
      </c>
      <c r="B49" s="1" t="s">
        <v>110</v>
      </c>
      <c r="C49" s="1" t="s">
        <v>106</v>
      </c>
      <c r="D49" s="9">
        <v>13581950.6</v>
      </c>
      <c r="E49" s="9">
        <v>13621251.941810001</v>
      </c>
      <c r="F49" s="9">
        <v>8143256.6470299996</v>
      </c>
      <c r="G49" s="9">
        <v>8142728.4159399997</v>
      </c>
      <c r="H49" s="9">
        <v>7942873.7659299998</v>
      </c>
      <c r="I49" s="9">
        <f t="shared" si="1"/>
        <v>58.312362181258834</v>
      </c>
      <c r="J49" s="9">
        <f t="shared" si="2"/>
        <v>97.539278328246198</v>
      </c>
    </row>
    <row r="50" spans="1:10">
      <c r="A50" s="8" t="s">
        <v>127</v>
      </c>
      <c r="B50" s="1" t="s">
        <v>110</v>
      </c>
      <c r="C50" s="1" t="s">
        <v>19</v>
      </c>
      <c r="D50" s="9">
        <v>2196580.1</v>
      </c>
      <c r="E50" s="9">
        <v>2197113.9739399999</v>
      </c>
      <c r="F50" s="9">
        <v>1246609.6569399999</v>
      </c>
      <c r="G50" s="9">
        <v>1246609.6569399999</v>
      </c>
      <c r="H50" s="9">
        <v>1246609.6569399999</v>
      </c>
      <c r="I50" s="9">
        <f t="shared" si="1"/>
        <v>56.738506592104677</v>
      </c>
      <c r="J50" s="9">
        <f t="shared" si="2"/>
        <v>100</v>
      </c>
    </row>
    <row r="51" spans="1:10">
      <c r="A51" s="8" t="s">
        <v>288</v>
      </c>
      <c r="B51" s="1" t="s">
        <v>110</v>
      </c>
      <c r="C51" s="1" t="s">
        <v>93</v>
      </c>
      <c r="D51" s="9">
        <v>108686.9</v>
      </c>
      <c r="E51" s="9">
        <v>108686.9</v>
      </c>
      <c r="F51" s="9">
        <v>59443.3</v>
      </c>
      <c r="G51" s="9">
        <v>59443.3</v>
      </c>
      <c r="H51" s="9">
        <v>59443.3</v>
      </c>
      <c r="I51" s="9">
        <f t="shared" si="1"/>
        <v>54.692239819150245</v>
      </c>
      <c r="J51" s="9">
        <f t="shared" si="2"/>
        <v>100</v>
      </c>
    </row>
    <row r="52" spans="1:10">
      <c r="A52" s="8" t="s">
        <v>415</v>
      </c>
      <c r="B52" s="1" t="s">
        <v>110</v>
      </c>
      <c r="C52" s="1" t="s">
        <v>110</v>
      </c>
      <c r="D52" s="9">
        <v>446355.9</v>
      </c>
      <c r="E52" s="9">
        <v>514623.12806999998</v>
      </c>
      <c r="F52" s="9">
        <v>317276.23407000001</v>
      </c>
      <c r="G52" s="9">
        <v>317066.23407000001</v>
      </c>
      <c r="H52" s="9">
        <v>267087.43209999998</v>
      </c>
      <c r="I52" s="9">
        <f t="shared" si="1"/>
        <v>51.899616929705935</v>
      </c>
      <c r="J52" s="9">
        <f t="shared" si="2"/>
        <v>84.18135473742197</v>
      </c>
    </row>
    <row r="53" spans="1:10">
      <c r="A53" s="8" t="s">
        <v>420</v>
      </c>
      <c r="B53" s="1" t="s">
        <v>110</v>
      </c>
      <c r="C53" s="1" t="s">
        <v>130</v>
      </c>
      <c r="D53" s="9">
        <v>3905.3</v>
      </c>
      <c r="E53" s="9">
        <v>4205.3</v>
      </c>
      <c r="F53" s="9">
        <v>2215.9349999999999</v>
      </c>
      <c r="G53" s="9">
        <v>2215.9349999999999</v>
      </c>
      <c r="H53" s="9">
        <v>2215.9349999999999</v>
      </c>
      <c r="I53" s="9">
        <f t="shared" si="1"/>
        <v>52.693862506836609</v>
      </c>
      <c r="J53" s="9">
        <f t="shared" si="2"/>
        <v>100</v>
      </c>
    </row>
    <row r="54" spans="1:10">
      <c r="A54" s="8" t="s">
        <v>422</v>
      </c>
      <c r="B54" s="1" t="s">
        <v>110</v>
      </c>
      <c r="C54" s="1" t="s">
        <v>46</v>
      </c>
      <c r="D54" s="9">
        <v>703828.2</v>
      </c>
      <c r="E54" s="9">
        <v>744357.40472999995</v>
      </c>
      <c r="F54" s="9">
        <v>398611.93436999997</v>
      </c>
      <c r="G54" s="9">
        <v>398611.93436999997</v>
      </c>
      <c r="H54" s="9">
        <v>378421.08860000002</v>
      </c>
      <c r="I54" s="9">
        <f t="shared" si="1"/>
        <v>50.838627545764034</v>
      </c>
      <c r="J54" s="9">
        <f t="shared" si="2"/>
        <v>94.934711174187186</v>
      </c>
    </row>
    <row r="55" spans="1:10">
      <c r="A55" s="10" t="s">
        <v>0</v>
      </c>
      <c r="B55" s="6" t="s">
        <v>0</v>
      </c>
      <c r="C55" s="6" t="s">
        <v>0</v>
      </c>
      <c r="D55" s="11" t="s">
        <v>0</v>
      </c>
      <c r="E55" s="11" t="s">
        <v>0</v>
      </c>
      <c r="F55" s="11"/>
      <c r="G55" s="11"/>
      <c r="H55" s="11"/>
      <c r="I55" s="11"/>
      <c r="J55" s="11"/>
    </row>
    <row r="56" spans="1:10">
      <c r="A56" s="4" t="s">
        <v>129</v>
      </c>
      <c r="B56" s="5" t="s">
        <v>130</v>
      </c>
      <c r="C56" s="5" t="s">
        <v>0</v>
      </c>
      <c r="D56" s="7">
        <v>749515.2</v>
      </c>
      <c r="E56" s="7">
        <f>E57+E58</f>
        <v>856637.08028999995</v>
      </c>
      <c r="F56" s="7">
        <f t="shared" ref="F56:H56" si="9">F57+F58</f>
        <v>397925.10119999998</v>
      </c>
      <c r="G56" s="7">
        <f t="shared" si="9"/>
        <v>397925.10119999998</v>
      </c>
      <c r="H56" s="7">
        <f t="shared" si="9"/>
        <v>396672.33344000002</v>
      </c>
      <c r="I56" s="7">
        <f t="shared" si="1"/>
        <v>46.305762681404509</v>
      </c>
      <c r="J56" s="7">
        <f t="shared" si="2"/>
        <v>99.685174984884824</v>
      </c>
    </row>
    <row r="57" spans="1:10">
      <c r="A57" s="8" t="s">
        <v>131</v>
      </c>
      <c r="B57" s="1" t="s">
        <v>130</v>
      </c>
      <c r="C57" s="1" t="s">
        <v>17</v>
      </c>
      <c r="D57" s="9">
        <v>710132.8</v>
      </c>
      <c r="E57" s="9">
        <v>809008.08028999995</v>
      </c>
      <c r="F57" s="9">
        <v>375610.00621999998</v>
      </c>
      <c r="G57" s="9">
        <v>375610.00621999998</v>
      </c>
      <c r="H57" s="9">
        <v>374558.25715000002</v>
      </c>
      <c r="I57" s="9">
        <f t="shared" si="1"/>
        <v>46.298456872734143</v>
      </c>
      <c r="J57" s="9">
        <f t="shared" si="2"/>
        <v>99.719989070423225</v>
      </c>
    </row>
    <row r="58" spans="1:10">
      <c r="A58" s="8" t="s">
        <v>380</v>
      </c>
      <c r="B58" s="1" t="s">
        <v>130</v>
      </c>
      <c r="C58" s="1" t="s">
        <v>19</v>
      </c>
      <c r="D58" s="9">
        <v>39382.400000000001</v>
      </c>
      <c r="E58" s="9">
        <v>47629</v>
      </c>
      <c r="F58" s="9">
        <v>22315.094980000002</v>
      </c>
      <c r="G58" s="9">
        <v>22315.094980000002</v>
      </c>
      <c r="H58" s="9">
        <v>22114.076290000001</v>
      </c>
      <c r="I58" s="9">
        <f t="shared" si="1"/>
        <v>46.429856369018879</v>
      </c>
      <c r="J58" s="9">
        <f t="shared" si="2"/>
        <v>99.099180665911732</v>
      </c>
    </row>
    <row r="59" spans="1:10">
      <c r="A59" s="10" t="s">
        <v>0</v>
      </c>
      <c r="B59" s="6" t="s">
        <v>0</v>
      </c>
      <c r="C59" s="6" t="s">
        <v>0</v>
      </c>
      <c r="D59" s="11" t="s">
        <v>0</v>
      </c>
      <c r="E59" s="11" t="s">
        <v>0</v>
      </c>
      <c r="F59" s="11"/>
      <c r="G59" s="11"/>
      <c r="H59" s="11"/>
      <c r="I59" s="11"/>
      <c r="J59" s="11"/>
    </row>
    <row r="60" spans="1:10">
      <c r="A60" s="4" t="s">
        <v>134</v>
      </c>
      <c r="B60" s="5" t="s">
        <v>46</v>
      </c>
      <c r="C60" s="5" t="s">
        <v>0</v>
      </c>
      <c r="D60" s="7">
        <v>12274374.5</v>
      </c>
      <c r="E60" s="7">
        <f>SUM(E61:E66)</f>
        <v>12632848.43269</v>
      </c>
      <c r="F60" s="7">
        <f t="shared" ref="F60:H60" si="10">SUM(F61:F66)</f>
        <v>6073747.0142799998</v>
      </c>
      <c r="G60" s="7">
        <f t="shared" si="10"/>
        <v>6068593.0582799995</v>
      </c>
      <c r="H60" s="7">
        <f t="shared" si="10"/>
        <v>6027780.35745</v>
      </c>
      <c r="I60" s="7">
        <f t="shared" si="1"/>
        <v>47.715132415045233</v>
      </c>
      <c r="J60" s="7">
        <f t="shared" si="2"/>
        <v>99.243191118729058</v>
      </c>
    </row>
    <row r="61" spans="1:10">
      <c r="A61" s="8" t="s">
        <v>135</v>
      </c>
      <c r="B61" s="1" t="s">
        <v>46</v>
      </c>
      <c r="C61" s="1" t="s">
        <v>17</v>
      </c>
      <c r="D61" s="9">
        <v>2484758.7000000002</v>
      </c>
      <c r="E61" s="9">
        <v>2496894.93377</v>
      </c>
      <c r="F61" s="9">
        <v>1010741.8907700001</v>
      </c>
      <c r="G61" s="9">
        <v>1010727.9347700001</v>
      </c>
      <c r="H61" s="9">
        <v>1010727.9347700001</v>
      </c>
      <c r="I61" s="9">
        <f t="shared" si="1"/>
        <v>40.479393870367105</v>
      </c>
      <c r="J61" s="9">
        <f t="shared" si="2"/>
        <v>99.998619232058402</v>
      </c>
    </row>
    <row r="62" spans="1:10">
      <c r="A62" s="8" t="s">
        <v>305</v>
      </c>
      <c r="B62" s="1" t="s">
        <v>46</v>
      </c>
      <c r="C62" s="1" t="s">
        <v>106</v>
      </c>
      <c r="D62" s="9">
        <v>847076.7</v>
      </c>
      <c r="E62" s="9">
        <v>1180058.6769999999</v>
      </c>
      <c r="F62" s="9">
        <v>610948.05082</v>
      </c>
      <c r="G62" s="9">
        <v>610948.05082</v>
      </c>
      <c r="H62" s="9">
        <v>589711.26301</v>
      </c>
      <c r="I62" s="9">
        <f t="shared" si="1"/>
        <v>49.973045790332343</v>
      </c>
      <c r="J62" s="9">
        <f t="shared" si="2"/>
        <v>96.523961770318039</v>
      </c>
    </row>
    <row r="63" spans="1:10">
      <c r="A63" s="8" t="s">
        <v>315</v>
      </c>
      <c r="B63" s="1" t="s">
        <v>46</v>
      </c>
      <c r="C63" s="1" t="s">
        <v>19</v>
      </c>
      <c r="D63" s="9">
        <v>71013.899999999994</v>
      </c>
      <c r="E63" s="9">
        <v>71326.399999999994</v>
      </c>
      <c r="F63" s="9">
        <v>30998.400000000001</v>
      </c>
      <c r="G63" s="9">
        <v>30998.400000000001</v>
      </c>
      <c r="H63" s="9">
        <v>30998.400000000001</v>
      </c>
      <c r="I63" s="9">
        <f t="shared" si="1"/>
        <v>43.459925076829904</v>
      </c>
      <c r="J63" s="9">
        <f t="shared" si="2"/>
        <v>100</v>
      </c>
    </row>
    <row r="64" spans="1:10">
      <c r="A64" s="8" t="s">
        <v>317</v>
      </c>
      <c r="B64" s="1" t="s">
        <v>46</v>
      </c>
      <c r="C64" s="1" t="s">
        <v>93</v>
      </c>
      <c r="D64" s="9">
        <v>148228.9</v>
      </c>
      <c r="E64" s="9">
        <v>148228.9</v>
      </c>
      <c r="F64" s="9">
        <v>74860.2</v>
      </c>
      <c r="G64" s="9">
        <v>74860.2</v>
      </c>
      <c r="H64" s="9">
        <v>74860.2</v>
      </c>
      <c r="I64" s="9">
        <f t="shared" si="1"/>
        <v>50.503107018941648</v>
      </c>
      <c r="J64" s="9">
        <f t="shared" si="2"/>
        <v>100</v>
      </c>
    </row>
    <row r="65" spans="1:10" ht="25.5">
      <c r="A65" s="8" t="s">
        <v>321</v>
      </c>
      <c r="B65" s="1" t="s">
        <v>46</v>
      </c>
      <c r="C65" s="1" t="s">
        <v>32</v>
      </c>
      <c r="D65" s="9">
        <v>122130.2</v>
      </c>
      <c r="E65" s="9">
        <v>122130.2</v>
      </c>
      <c r="F65" s="9">
        <v>61065.1</v>
      </c>
      <c r="G65" s="9">
        <v>61065.1</v>
      </c>
      <c r="H65" s="9">
        <v>61065.1</v>
      </c>
      <c r="I65" s="9">
        <f t="shared" si="1"/>
        <v>50</v>
      </c>
      <c r="J65" s="9">
        <f t="shared" si="2"/>
        <v>100</v>
      </c>
    </row>
    <row r="66" spans="1:10">
      <c r="A66" s="8" t="s">
        <v>322</v>
      </c>
      <c r="B66" s="1" t="s">
        <v>46</v>
      </c>
      <c r="C66" s="1" t="s">
        <v>46</v>
      </c>
      <c r="D66" s="9">
        <v>8601166.0999999996</v>
      </c>
      <c r="E66" s="9">
        <v>8614209.32192</v>
      </c>
      <c r="F66" s="9">
        <v>4285133.3726899996</v>
      </c>
      <c r="G66" s="9">
        <v>4279993.3726899996</v>
      </c>
      <c r="H66" s="9">
        <v>4260417.4596699998</v>
      </c>
      <c r="I66" s="9">
        <f t="shared" si="1"/>
        <v>49.458021049346939</v>
      </c>
      <c r="J66" s="9">
        <f t="shared" si="2"/>
        <v>99.423217182048077</v>
      </c>
    </row>
    <row r="67" spans="1:10">
      <c r="A67" s="10" t="s">
        <v>0</v>
      </c>
      <c r="B67" s="6" t="s">
        <v>0</v>
      </c>
      <c r="C67" s="6" t="s">
        <v>0</v>
      </c>
      <c r="D67" s="11" t="s">
        <v>0</v>
      </c>
      <c r="E67" s="11" t="s">
        <v>0</v>
      </c>
      <c r="F67" s="11"/>
      <c r="G67" s="11"/>
      <c r="H67" s="11"/>
      <c r="I67" s="11"/>
      <c r="J67" s="11"/>
    </row>
    <row r="68" spans="1:10">
      <c r="A68" s="4" t="s">
        <v>147</v>
      </c>
      <c r="B68" s="5" t="s">
        <v>148</v>
      </c>
      <c r="C68" s="5" t="s">
        <v>0</v>
      </c>
      <c r="D68" s="7">
        <v>12037431</v>
      </c>
      <c r="E68" s="7">
        <f>SUM(E69:E73)</f>
        <v>12178084.71631</v>
      </c>
      <c r="F68" s="7">
        <f t="shared" ref="F68:H68" si="11">SUM(F69:F73)</f>
        <v>6452201.1098300004</v>
      </c>
      <c r="G68" s="7">
        <f t="shared" si="11"/>
        <v>6351911.7123400001</v>
      </c>
      <c r="H68" s="7">
        <f t="shared" si="11"/>
        <v>6265653.9741400005</v>
      </c>
      <c r="I68" s="7">
        <f t="shared" si="1"/>
        <v>51.450241315438262</v>
      </c>
      <c r="J68" s="7">
        <f t="shared" si="2"/>
        <v>97.108782994910172</v>
      </c>
    </row>
    <row r="69" spans="1:10">
      <c r="A69" s="8" t="s">
        <v>764</v>
      </c>
      <c r="B69" s="1" t="s">
        <v>148</v>
      </c>
      <c r="C69" s="1" t="s">
        <v>17</v>
      </c>
      <c r="D69" s="9">
        <v>53766.7</v>
      </c>
      <c r="E69" s="9">
        <v>53766.720000000001</v>
      </c>
      <c r="F69" s="9">
        <v>26380.19</v>
      </c>
      <c r="G69" s="9">
        <v>26336.244999999999</v>
      </c>
      <c r="H69" s="9">
        <v>26334.595160000001</v>
      </c>
      <c r="I69" s="9">
        <f t="shared" si="1"/>
        <v>48.97935964849632</v>
      </c>
      <c r="J69" s="9">
        <f t="shared" si="2"/>
        <v>99.827162579192958</v>
      </c>
    </row>
    <row r="70" spans="1:10">
      <c r="A70" s="8" t="s">
        <v>769</v>
      </c>
      <c r="B70" s="1" t="s">
        <v>148</v>
      </c>
      <c r="C70" s="1" t="s">
        <v>106</v>
      </c>
      <c r="D70" s="9">
        <v>2100512.2000000002</v>
      </c>
      <c r="E70" s="9">
        <v>2100512.1940000001</v>
      </c>
      <c r="F70" s="9">
        <v>1035306.907</v>
      </c>
      <c r="G70" s="9">
        <v>1035205.407</v>
      </c>
      <c r="H70" s="9">
        <v>1024294.15035</v>
      </c>
      <c r="I70" s="9">
        <f t="shared" si="1"/>
        <v>48.76401828448514</v>
      </c>
      <c r="J70" s="9">
        <f t="shared" si="2"/>
        <v>98.936280964075522</v>
      </c>
    </row>
    <row r="71" spans="1:10">
      <c r="A71" s="8" t="s">
        <v>149</v>
      </c>
      <c r="B71" s="1" t="s">
        <v>148</v>
      </c>
      <c r="C71" s="1" t="s">
        <v>150</v>
      </c>
      <c r="D71" s="9">
        <v>7010411.2999999998</v>
      </c>
      <c r="E71" s="9">
        <v>7151054.2836699998</v>
      </c>
      <c r="F71" s="9">
        <v>4010765.1481300001</v>
      </c>
      <c r="G71" s="9">
        <v>3910862.5848099999</v>
      </c>
      <c r="H71" s="9">
        <v>3880763.27569</v>
      </c>
      <c r="I71" s="9">
        <f t="shared" si="1"/>
        <v>54.268407450801078</v>
      </c>
      <c r="J71" s="9">
        <f t="shared" si="2"/>
        <v>96.758676520847573</v>
      </c>
    </row>
    <row r="72" spans="1:10">
      <c r="A72" s="8" t="s">
        <v>454</v>
      </c>
      <c r="B72" s="1" t="s">
        <v>148</v>
      </c>
      <c r="C72" s="1" t="s">
        <v>19</v>
      </c>
      <c r="D72" s="9">
        <v>2685157.2</v>
      </c>
      <c r="E72" s="9">
        <v>2685157.13864</v>
      </c>
      <c r="F72" s="9">
        <v>1292832.92811</v>
      </c>
      <c r="G72" s="9">
        <v>1292791.5389400001</v>
      </c>
      <c r="H72" s="9">
        <v>1254541.34253</v>
      </c>
      <c r="I72" s="9">
        <f t="shared" si="1"/>
        <v>46.721337998319541</v>
      </c>
      <c r="J72" s="9">
        <f t="shared" si="2"/>
        <v>97.038164425779399</v>
      </c>
    </row>
    <row r="73" spans="1:10">
      <c r="A73" s="8" t="s">
        <v>477</v>
      </c>
      <c r="B73" s="1" t="s">
        <v>148</v>
      </c>
      <c r="C73" s="1" t="s">
        <v>32</v>
      </c>
      <c r="D73" s="9">
        <v>187583.6</v>
      </c>
      <c r="E73" s="9">
        <v>187594.38</v>
      </c>
      <c r="F73" s="9">
        <v>86915.936589999998</v>
      </c>
      <c r="G73" s="9">
        <v>86715.936589999998</v>
      </c>
      <c r="H73" s="9">
        <v>79720.610409999994</v>
      </c>
      <c r="I73" s="9">
        <f t="shared" si="1"/>
        <v>42.496267963891029</v>
      </c>
      <c r="J73" s="9">
        <f t="shared" si="2"/>
        <v>91.721511080365147</v>
      </c>
    </row>
    <row r="74" spans="1:10">
      <c r="A74" s="10" t="s">
        <v>0</v>
      </c>
      <c r="B74" s="6" t="s">
        <v>0</v>
      </c>
      <c r="C74" s="6" t="s">
        <v>0</v>
      </c>
      <c r="D74" s="11" t="s">
        <v>0</v>
      </c>
      <c r="E74" s="11" t="s">
        <v>0</v>
      </c>
      <c r="F74" s="11"/>
      <c r="G74" s="11"/>
      <c r="H74" s="11"/>
      <c r="I74" s="11"/>
      <c r="J74" s="11"/>
    </row>
    <row r="75" spans="1:10">
      <c r="A75" s="4" t="s">
        <v>153</v>
      </c>
      <c r="B75" s="5" t="s">
        <v>154</v>
      </c>
      <c r="C75" s="5" t="s">
        <v>0</v>
      </c>
      <c r="D75" s="7">
        <v>461122</v>
      </c>
      <c r="E75" s="7">
        <f>E76+E77</f>
        <v>485396.5037</v>
      </c>
      <c r="F75" s="7">
        <f t="shared" ref="F75:H75" si="12">F76+F77</f>
        <v>263368.98767</v>
      </c>
      <c r="G75" s="7">
        <f t="shared" si="12"/>
        <v>263368.98767</v>
      </c>
      <c r="H75" s="7">
        <f t="shared" si="12"/>
        <v>248223.78766999999</v>
      </c>
      <c r="I75" s="7">
        <f t="shared" si="1"/>
        <v>51.138355092770723</v>
      </c>
      <c r="J75" s="7">
        <f t="shared" si="2"/>
        <v>94.249436832336215</v>
      </c>
    </row>
    <row r="76" spans="1:10">
      <c r="A76" s="8" t="s">
        <v>155</v>
      </c>
      <c r="B76" s="1" t="s">
        <v>154</v>
      </c>
      <c r="C76" s="1" t="s">
        <v>106</v>
      </c>
      <c r="D76" s="9">
        <v>81974.399999999994</v>
      </c>
      <c r="E76" s="9">
        <v>109633.2637</v>
      </c>
      <c r="F76" s="9">
        <v>43707.147669999998</v>
      </c>
      <c r="G76" s="9">
        <v>43707.147669999998</v>
      </c>
      <c r="H76" s="9">
        <v>28566.347669999999</v>
      </c>
      <c r="I76" s="9">
        <f t="shared" ref="I76:I91" si="13">H76/E76*100</f>
        <v>26.056277726228082</v>
      </c>
      <c r="J76" s="9">
        <f t="shared" ref="J76:J91" si="14">H76/F76*100</f>
        <v>65.358526448999001</v>
      </c>
    </row>
    <row r="77" spans="1:10">
      <c r="A77" s="8" t="s">
        <v>931</v>
      </c>
      <c r="B77" s="1" t="s">
        <v>154</v>
      </c>
      <c r="C77" s="1" t="s">
        <v>150</v>
      </c>
      <c r="D77" s="9">
        <v>379147.6</v>
      </c>
      <c r="E77" s="9">
        <v>375763.24</v>
      </c>
      <c r="F77" s="9">
        <v>219661.84</v>
      </c>
      <c r="G77" s="9">
        <v>219661.84</v>
      </c>
      <c r="H77" s="9">
        <v>219657.44</v>
      </c>
      <c r="I77" s="9">
        <f t="shared" si="13"/>
        <v>58.456340753289226</v>
      </c>
      <c r="J77" s="9">
        <f t="shared" si="14"/>
        <v>99.997996921085601</v>
      </c>
    </row>
    <row r="78" spans="1:10">
      <c r="A78" s="10" t="s">
        <v>0</v>
      </c>
      <c r="B78" s="6" t="s">
        <v>0</v>
      </c>
      <c r="C78" s="6" t="s">
        <v>0</v>
      </c>
      <c r="D78" s="11" t="s">
        <v>0</v>
      </c>
      <c r="E78" s="11" t="s">
        <v>0</v>
      </c>
      <c r="F78" s="11"/>
      <c r="G78" s="11"/>
      <c r="H78" s="11"/>
      <c r="I78" s="11"/>
      <c r="J78" s="11"/>
    </row>
    <row r="79" spans="1:10">
      <c r="A79" s="4" t="s">
        <v>1068</v>
      </c>
      <c r="B79" s="5" t="s">
        <v>51</v>
      </c>
      <c r="C79" s="5" t="s">
        <v>0</v>
      </c>
      <c r="D79" s="7">
        <v>92752.4</v>
      </c>
      <c r="E79" s="7">
        <f>E80+E81</f>
        <v>92752.4</v>
      </c>
      <c r="F79" s="7">
        <f t="shared" ref="F79:H79" si="15">F80+F81</f>
        <v>39541</v>
      </c>
      <c r="G79" s="7">
        <f t="shared" si="15"/>
        <v>39541</v>
      </c>
      <c r="H79" s="7">
        <f t="shared" si="15"/>
        <v>36757.108550000004</v>
      </c>
      <c r="I79" s="7">
        <f t="shared" si="13"/>
        <v>39.629280266602272</v>
      </c>
      <c r="J79" s="7">
        <f t="shared" si="14"/>
        <v>92.959481424344361</v>
      </c>
    </row>
    <row r="80" spans="1:10">
      <c r="A80" s="8" t="s">
        <v>1069</v>
      </c>
      <c r="B80" s="1" t="s">
        <v>51</v>
      </c>
      <c r="C80" s="1" t="s">
        <v>106</v>
      </c>
      <c r="D80" s="9">
        <v>44062.7</v>
      </c>
      <c r="E80" s="9">
        <v>44062.7</v>
      </c>
      <c r="F80" s="9">
        <v>21671</v>
      </c>
      <c r="G80" s="9">
        <v>21671</v>
      </c>
      <c r="H80" s="9">
        <v>21671</v>
      </c>
      <c r="I80" s="9">
        <f t="shared" si="13"/>
        <v>49.182188109217094</v>
      </c>
      <c r="J80" s="9">
        <f t="shared" si="14"/>
        <v>100</v>
      </c>
    </row>
    <row r="81" spans="1:10">
      <c r="A81" s="8" t="s">
        <v>1073</v>
      </c>
      <c r="B81" s="1" t="s">
        <v>51</v>
      </c>
      <c r="C81" s="1" t="s">
        <v>19</v>
      </c>
      <c r="D81" s="9">
        <v>48689.7</v>
      </c>
      <c r="E81" s="9">
        <v>48689.7</v>
      </c>
      <c r="F81" s="9">
        <v>17870</v>
      </c>
      <c r="G81" s="9">
        <v>17870</v>
      </c>
      <c r="H81" s="9">
        <v>15086.108550000001</v>
      </c>
      <c r="I81" s="9">
        <f t="shared" si="13"/>
        <v>30.9841887503928</v>
      </c>
      <c r="J81" s="9">
        <f t="shared" si="14"/>
        <v>84.421424454392849</v>
      </c>
    </row>
    <row r="82" spans="1:10">
      <c r="A82" s="10" t="s">
        <v>0</v>
      </c>
      <c r="B82" s="6" t="s">
        <v>0</v>
      </c>
      <c r="C82" s="6" t="s">
        <v>0</v>
      </c>
      <c r="D82" s="11" t="s">
        <v>0</v>
      </c>
      <c r="E82" s="11" t="s">
        <v>0</v>
      </c>
      <c r="F82" s="11"/>
      <c r="G82" s="11"/>
      <c r="H82" s="11"/>
      <c r="I82" s="11"/>
      <c r="J82" s="11"/>
    </row>
    <row r="83" spans="1:10">
      <c r="A83" s="4" t="s">
        <v>626</v>
      </c>
      <c r="B83" s="5" t="s">
        <v>387</v>
      </c>
      <c r="C83" s="5" t="s">
        <v>0</v>
      </c>
      <c r="D83" s="7">
        <v>1476910</v>
      </c>
      <c r="E83" s="7">
        <f>E84</f>
        <v>1476910</v>
      </c>
      <c r="F83" s="7">
        <f t="shared" ref="F83:H83" si="16">F84</f>
        <v>564631.60589000001</v>
      </c>
      <c r="G83" s="7">
        <f t="shared" si="16"/>
        <v>564631.60589000001</v>
      </c>
      <c r="H83" s="7">
        <f t="shared" si="16"/>
        <v>564631.60589000001</v>
      </c>
      <c r="I83" s="7">
        <f t="shared" si="13"/>
        <v>38.230603482270418</v>
      </c>
      <c r="J83" s="7">
        <f t="shared" si="14"/>
        <v>100</v>
      </c>
    </row>
    <row r="84" spans="1:10">
      <c r="A84" s="8" t="s">
        <v>627</v>
      </c>
      <c r="B84" s="1" t="s">
        <v>387</v>
      </c>
      <c r="C84" s="1" t="s">
        <v>17</v>
      </c>
      <c r="D84" s="9">
        <v>1476910</v>
      </c>
      <c r="E84" s="9">
        <v>1476910</v>
      </c>
      <c r="F84" s="9">
        <v>564631.60589000001</v>
      </c>
      <c r="G84" s="9">
        <v>564631.60589000001</v>
      </c>
      <c r="H84" s="9">
        <v>564631.60589000001</v>
      </c>
      <c r="I84" s="9">
        <f t="shared" si="13"/>
        <v>38.230603482270418</v>
      </c>
      <c r="J84" s="9">
        <f t="shared" si="14"/>
        <v>100</v>
      </c>
    </row>
    <row r="85" spans="1:10">
      <c r="A85" s="10" t="s">
        <v>0</v>
      </c>
      <c r="B85" s="6" t="s">
        <v>0</v>
      </c>
      <c r="C85" s="6" t="s">
        <v>0</v>
      </c>
      <c r="D85" s="11" t="s">
        <v>0</v>
      </c>
      <c r="E85" s="11" t="s">
        <v>0</v>
      </c>
      <c r="F85" s="11"/>
      <c r="G85" s="11"/>
      <c r="H85" s="11"/>
      <c r="I85" s="11"/>
      <c r="J85" s="11"/>
    </row>
    <row r="86" spans="1:10" ht="25.5">
      <c r="A86" s="4" t="s">
        <v>640</v>
      </c>
      <c r="B86" s="5" t="s">
        <v>641</v>
      </c>
      <c r="C86" s="5" t="s">
        <v>0</v>
      </c>
      <c r="D86" s="7">
        <v>3480694.5</v>
      </c>
      <c r="E86" s="7">
        <f>E87+E88+E89</f>
        <v>3480694.5</v>
      </c>
      <c r="F86" s="7">
        <f t="shared" ref="F86:H86" si="17">F87+F88+F89</f>
        <v>1690851</v>
      </c>
      <c r="G86" s="7">
        <f t="shared" si="17"/>
        <v>1690190.88</v>
      </c>
      <c r="H86" s="7">
        <f t="shared" si="17"/>
        <v>1690190.88</v>
      </c>
      <c r="I86" s="7">
        <f t="shared" si="13"/>
        <v>48.559012576369454</v>
      </c>
      <c r="J86" s="7">
        <f t="shared" si="14"/>
        <v>99.960959303924469</v>
      </c>
    </row>
    <row r="87" spans="1:10" ht="25.5">
      <c r="A87" s="8" t="s">
        <v>642</v>
      </c>
      <c r="B87" s="1" t="s">
        <v>641</v>
      </c>
      <c r="C87" s="1" t="s">
        <v>17</v>
      </c>
      <c r="D87" s="9">
        <v>1220429</v>
      </c>
      <c r="E87" s="9">
        <v>1220429</v>
      </c>
      <c r="F87" s="9">
        <v>644157</v>
      </c>
      <c r="G87" s="9">
        <v>644157</v>
      </c>
      <c r="H87" s="9">
        <v>644157</v>
      </c>
      <c r="I87" s="9">
        <f t="shared" si="13"/>
        <v>52.781194153859012</v>
      </c>
      <c r="J87" s="9">
        <f t="shared" si="14"/>
        <v>100</v>
      </c>
    </row>
    <row r="88" spans="1:10">
      <c r="A88" s="8" t="s">
        <v>651</v>
      </c>
      <c r="B88" s="1" t="s">
        <v>641</v>
      </c>
      <c r="C88" s="1" t="s">
        <v>106</v>
      </c>
      <c r="D88" s="9">
        <v>267955.5</v>
      </c>
      <c r="E88" s="9">
        <v>267955.5</v>
      </c>
      <c r="F88" s="9">
        <v>67838</v>
      </c>
      <c r="G88" s="9">
        <v>67838</v>
      </c>
      <c r="H88" s="9">
        <v>67838</v>
      </c>
      <c r="I88" s="9">
        <f t="shared" si="13"/>
        <v>25.316890304546835</v>
      </c>
      <c r="J88" s="9">
        <f t="shared" si="14"/>
        <v>100</v>
      </c>
    </row>
    <row r="89" spans="1:10">
      <c r="A89" s="8" t="s">
        <v>656</v>
      </c>
      <c r="B89" s="1" t="s">
        <v>641</v>
      </c>
      <c r="C89" s="1" t="s">
        <v>150</v>
      </c>
      <c r="D89" s="9">
        <v>1992310</v>
      </c>
      <c r="E89" s="9">
        <v>1992310</v>
      </c>
      <c r="F89" s="9">
        <v>978856</v>
      </c>
      <c r="G89" s="9">
        <v>978195.88</v>
      </c>
      <c r="H89" s="9">
        <v>978195.88</v>
      </c>
      <c r="I89" s="9">
        <f t="shared" si="13"/>
        <v>49.098578032535094</v>
      </c>
      <c r="J89" s="9">
        <f t="shared" si="14"/>
        <v>99.932562092892113</v>
      </c>
    </row>
    <row r="90" spans="1:10">
      <c r="A90" s="12" t="s">
        <v>0</v>
      </c>
      <c r="B90" s="13" t="s">
        <v>0</v>
      </c>
      <c r="C90" s="13" t="s">
        <v>0</v>
      </c>
      <c r="D90" s="14" t="s">
        <v>0</v>
      </c>
      <c r="E90" s="14" t="s">
        <v>0</v>
      </c>
      <c r="F90" s="14"/>
      <c r="G90" s="14"/>
      <c r="H90" s="14"/>
      <c r="I90" s="14"/>
      <c r="J90" s="14"/>
    </row>
    <row r="91" spans="1:10">
      <c r="A91" s="4" t="s">
        <v>1102</v>
      </c>
      <c r="B91" s="5" t="s">
        <v>0</v>
      </c>
      <c r="C91" s="5" t="s">
        <v>0</v>
      </c>
      <c r="D91" s="7">
        <v>67671392.5</v>
      </c>
      <c r="E91" s="7">
        <f>E9+E20+E23+E27+E38+E44+E47+E56+E60+E68+E75+E79+E83+E86</f>
        <v>70409311.413680002</v>
      </c>
      <c r="F91" s="7">
        <f t="shared" ref="F91:H91" si="18">F9+F20+F23+F27+F38+F44+F47+F56+F60+F68+F75+F79+F83+F86</f>
        <v>33969699.63899</v>
      </c>
      <c r="G91" s="7">
        <f t="shared" si="18"/>
        <v>33804940.187590003</v>
      </c>
      <c r="H91" s="7">
        <f t="shared" si="18"/>
        <v>33119235.06693</v>
      </c>
      <c r="I91" s="7">
        <f t="shared" si="13"/>
        <v>47.038146520625084</v>
      </c>
      <c r="J91" s="7">
        <f t="shared" si="14"/>
        <v>97.496402437765894</v>
      </c>
    </row>
  </sheetData>
  <mergeCells count="11">
    <mergeCell ref="F1:J1"/>
    <mergeCell ref="H6:H7"/>
    <mergeCell ref="I6:J6"/>
    <mergeCell ref="A6:A7"/>
    <mergeCell ref="B6:B7"/>
    <mergeCell ref="C6:C7"/>
    <mergeCell ref="D6:D7"/>
    <mergeCell ref="E6:E7"/>
    <mergeCell ref="F6:F7"/>
    <mergeCell ref="G6:G7"/>
    <mergeCell ref="A3:J3"/>
  </mergeCells>
  <pageMargins left="1.1811023622047245" right="0.59055118110236227" top="0.78740157480314965" bottom="0.94488188976377963" header="0.31496062992125984" footer="0.31496062992125984"/>
  <pageSetup paperSize="9" scale="63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M2757"/>
  <sheetViews>
    <sheetView view="pageBreakPreview" zoomScale="120" zoomScaleNormal="120" zoomScaleSheetLayoutView="120" workbookViewId="0">
      <selection activeCell="M1346" sqref="M1346"/>
    </sheetView>
  </sheetViews>
  <sheetFormatPr defaultRowHeight="12.75"/>
  <cols>
    <col min="1" max="1" width="54.6640625" style="53" customWidth="1"/>
    <col min="2" max="2" width="5.1640625" style="53" bestFit="1" customWidth="1"/>
    <col min="3" max="3" width="5.1640625" style="53" customWidth="1"/>
    <col min="4" max="4" width="5.5" style="53" customWidth="1"/>
    <col min="5" max="5" width="14.1640625" style="53" customWidth="1"/>
    <col min="6" max="6" width="5.1640625" style="53" customWidth="1"/>
    <col min="7" max="7" width="18" style="53" customWidth="1"/>
    <col min="8" max="8" width="21.33203125" style="53" customWidth="1"/>
    <col min="9" max="9" width="19.33203125" style="53" customWidth="1"/>
    <col min="10" max="10" width="19.83203125" style="53" customWidth="1"/>
    <col min="11" max="11" width="21.5" style="53" customWidth="1"/>
    <col min="12" max="12" width="16.33203125" style="53" customWidth="1"/>
    <col min="13" max="13" width="16.6640625" style="53" customWidth="1"/>
  </cols>
  <sheetData>
    <row r="1" spans="1:13" ht="52.5" customHeight="1">
      <c r="A1" s="52" t="s">
        <v>0</v>
      </c>
      <c r="F1" s="102"/>
      <c r="G1" s="102"/>
      <c r="J1" s="110" t="s">
        <v>1109</v>
      </c>
      <c r="K1" s="110"/>
      <c r="L1" s="110"/>
      <c r="M1" s="110"/>
    </row>
    <row r="2" spans="1:13" ht="17.25" customHeight="1">
      <c r="A2" s="52"/>
      <c r="F2" s="54"/>
      <c r="G2" s="54"/>
    </row>
    <row r="3" spans="1:13" ht="18.75" customHeight="1">
      <c r="A3" s="107" t="s">
        <v>1116</v>
      </c>
      <c r="B3" s="108"/>
      <c r="C3" s="108"/>
      <c r="D3" s="108"/>
      <c r="E3" s="108"/>
      <c r="F3" s="108"/>
      <c r="G3" s="108"/>
      <c r="H3" s="109"/>
      <c r="I3" s="109"/>
      <c r="J3" s="109"/>
      <c r="K3" s="109"/>
      <c r="L3" s="109"/>
      <c r="M3" s="109"/>
    </row>
    <row r="4" spans="1:13" ht="13.5" customHeight="1">
      <c r="A4" s="55"/>
      <c r="B4" s="55"/>
      <c r="C4" s="55"/>
      <c r="D4" s="55"/>
      <c r="E4" s="55"/>
      <c r="F4" s="55"/>
      <c r="G4" s="55"/>
    </row>
    <row r="5" spans="1:13" ht="30.75" customHeight="1">
      <c r="A5" s="113" t="s">
        <v>1</v>
      </c>
      <c r="B5" s="113" t="s">
        <v>2</v>
      </c>
      <c r="C5" s="113" t="s">
        <v>3</v>
      </c>
      <c r="D5" s="113" t="s">
        <v>4</v>
      </c>
      <c r="E5" s="113" t="s">
        <v>5</v>
      </c>
      <c r="F5" s="113" t="s">
        <v>6</v>
      </c>
      <c r="G5" s="103" t="s">
        <v>1115</v>
      </c>
      <c r="H5" s="105" t="s">
        <v>1114</v>
      </c>
      <c r="I5" s="105" t="s">
        <v>1113</v>
      </c>
      <c r="J5" s="105" t="s">
        <v>1107</v>
      </c>
      <c r="K5" s="105" t="s">
        <v>1112</v>
      </c>
      <c r="L5" s="111" t="s">
        <v>1110</v>
      </c>
      <c r="M5" s="112"/>
    </row>
    <row r="6" spans="1:13" ht="115.5" customHeight="1">
      <c r="A6" s="114"/>
      <c r="B6" s="114"/>
      <c r="C6" s="114"/>
      <c r="D6" s="114"/>
      <c r="E6" s="114"/>
      <c r="F6" s="114"/>
      <c r="G6" s="104"/>
      <c r="H6" s="106"/>
      <c r="I6" s="106"/>
      <c r="J6" s="106"/>
      <c r="K6" s="106"/>
      <c r="L6" s="22" t="s">
        <v>1108</v>
      </c>
      <c r="M6" s="22" t="s">
        <v>1111</v>
      </c>
    </row>
    <row r="7" spans="1:13">
      <c r="A7" s="56" t="s">
        <v>7</v>
      </c>
      <c r="B7" s="56" t="s">
        <v>8</v>
      </c>
      <c r="C7" s="56" t="s">
        <v>9</v>
      </c>
      <c r="D7" s="56" t="s">
        <v>10</v>
      </c>
      <c r="E7" s="56" t="s">
        <v>11</v>
      </c>
      <c r="F7" s="56" t="s">
        <v>12</v>
      </c>
      <c r="G7" s="56" t="s">
        <v>13</v>
      </c>
      <c r="H7" s="56">
        <v>8</v>
      </c>
      <c r="I7" s="56">
        <v>9</v>
      </c>
      <c r="J7" s="56">
        <v>10</v>
      </c>
      <c r="K7" s="56">
        <v>11</v>
      </c>
      <c r="L7" s="56">
        <v>12</v>
      </c>
      <c r="M7" s="56">
        <v>13</v>
      </c>
    </row>
    <row r="8" spans="1:13" ht="25.5">
      <c r="A8" s="57" t="s">
        <v>14</v>
      </c>
      <c r="B8" s="58" t="s">
        <v>15</v>
      </c>
      <c r="C8" s="59" t="s">
        <v>0</v>
      </c>
      <c r="D8" s="59" t="s">
        <v>0</v>
      </c>
      <c r="E8" s="59" t="s">
        <v>0</v>
      </c>
      <c r="F8" s="59" t="s">
        <v>0</v>
      </c>
      <c r="G8" s="31">
        <f>G9+G17+G76+G108+G148+G171+G186+G194</f>
        <v>2145779.2999999998</v>
      </c>
      <c r="H8" s="31">
        <f>H9+H17+H76+H108+H148+H171+H186+H194</f>
        <v>2285333.2801100002</v>
      </c>
      <c r="I8" s="31">
        <f>I9+I17+I76+I108+I148+I171+I186+I194</f>
        <v>708154.62301999994</v>
      </c>
      <c r="J8" s="31">
        <f>J9+J17+J76+J108+J148+J171+J186+J194</f>
        <v>687388.14318999997</v>
      </c>
      <c r="K8" s="31">
        <f>K9+K17+K76+K108+K148+K171+K186+K194</f>
        <v>678083.88910999987</v>
      </c>
      <c r="L8" s="31">
        <f>K8/H8*100</f>
        <v>29.671116025464855</v>
      </c>
      <c r="M8" s="31">
        <f>K8/I8*100</f>
        <v>95.753648577232994</v>
      </c>
    </row>
    <row r="9" spans="1:13">
      <c r="A9" s="60" t="s">
        <v>16</v>
      </c>
      <c r="B9" s="29" t="s">
        <v>15</v>
      </c>
      <c r="C9" s="29" t="s">
        <v>17</v>
      </c>
      <c r="D9" s="59" t="s">
        <v>0</v>
      </c>
      <c r="E9" s="59" t="s">
        <v>0</v>
      </c>
      <c r="F9" s="59" t="s">
        <v>0</v>
      </c>
      <c r="G9" s="36">
        <f t="shared" ref="G9:G14" si="0">G10</f>
        <v>250</v>
      </c>
      <c r="H9" s="36">
        <f t="shared" ref="H9:K14" si="1">H10</f>
        <v>250</v>
      </c>
      <c r="I9" s="36">
        <f t="shared" si="1"/>
        <v>250</v>
      </c>
      <c r="J9" s="36">
        <f t="shared" si="1"/>
        <v>250</v>
      </c>
      <c r="K9" s="36">
        <f t="shared" si="1"/>
        <v>250</v>
      </c>
      <c r="L9" s="36">
        <f t="shared" ref="L9:L81" si="2">K9/H9*100</f>
        <v>100</v>
      </c>
      <c r="M9" s="36">
        <f t="shared" ref="M9:M78" si="3">K9/I9*100</f>
        <v>100</v>
      </c>
    </row>
    <row r="10" spans="1:13" ht="51">
      <c r="A10" s="60" t="s">
        <v>18</v>
      </c>
      <c r="B10" s="29" t="s">
        <v>15</v>
      </c>
      <c r="C10" s="29" t="s">
        <v>17</v>
      </c>
      <c r="D10" s="29" t="s">
        <v>19</v>
      </c>
      <c r="E10" s="59" t="s">
        <v>0</v>
      </c>
      <c r="F10" s="59" t="s">
        <v>0</v>
      </c>
      <c r="G10" s="36">
        <f t="shared" si="0"/>
        <v>250</v>
      </c>
      <c r="H10" s="36">
        <f t="shared" si="1"/>
        <v>250</v>
      </c>
      <c r="I10" s="36">
        <f t="shared" si="1"/>
        <v>250</v>
      </c>
      <c r="J10" s="36">
        <f t="shared" si="1"/>
        <v>250</v>
      </c>
      <c r="K10" s="36">
        <f t="shared" si="1"/>
        <v>250</v>
      </c>
      <c r="L10" s="36">
        <f t="shared" si="2"/>
        <v>100</v>
      </c>
      <c r="M10" s="36">
        <f t="shared" si="3"/>
        <v>100</v>
      </c>
    </row>
    <row r="11" spans="1:13" ht="51">
      <c r="A11" s="60" t="s">
        <v>20</v>
      </c>
      <c r="B11" s="29" t="s">
        <v>15</v>
      </c>
      <c r="C11" s="29" t="s">
        <v>17</v>
      </c>
      <c r="D11" s="29" t="s">
        <v>19</v>
      </c>
      <c r="E11" s="29" t="s">
        <v>21</v>
      </c>
      <c r="F11" s="59" t="s">
        <v>0</v>
      </c>
      <c r="G11" s="36">
        <f t="shared" si="0"/>
        <v>250</v>
      </c>
      <c r="H11" s="36">
        <f t="shared" si="1"/>
        <v>250</v>
      </c>
      <c r="I11" s="36">
        <f t="shared" si="1"/>
        <v>250</v>
      </c>
      <c r="J11" s="36">
        <f t="shared" si="1"/>
        <v>250</v>
      </c>
      <c r="K11" s="36">
        <f t="shared" si="1"/>
        <v>250</v>
      </c>
      <c r="L11" s="36">
        <f t="shared" si="2"/>
        <v>100</v>
      </c>
      <c r="M11" s="36">
        <f t="shared" si="3"/>
        <v>100</v>
      </c>
    </row>
    <row r="12" spans="1:13" ht="25.5">
      <c r="A12" s="60" t="s">
        <v>22</v>
      </c>
      <c r="B12" s="29" t="s">
        <v>15</v>
      </c>
      <c r="C12" s="29" t="s">
        <v>17</v>
      </c>
      <c r="D12" s="29" t="s">
        <v>19</v>
      </c>
      <c r="E12" s="29" t="s">
        <v>23</v>
      </c>
      <c r="F12" s="59" t="s">
        <v>0</v>
      </c>
      <c r="G12" s="36">
        <f t="shared" si="0"/>
        <v>250</v>
      </c>
      <c r="H12" s="36">
        <f t="shared" si="1"/>
        <v>250</v>
      </c>
      <c r="I12" s="36">
        <f t="shared" si="1"/>
        <v>250</v>
      </c>
      <c r="J12" s="36">
        <f t="shared" si="1"/>
        <v>250</v>
      </c>
      <c r="K12" s="36">
        <f t="shared" si="1"/>
        <v>250</v>
      </c>
      <c r="L12" s="36">
        <f t="shared" si="2"/>
        <v>100</v>
      </c>
      <c r="M12" s="36">
        <f t="shared" si="3"/>
        <v>100</v>
      </c>
    </row>
    <row r="13" spans="1:13" ht="63.75">
      <c r="A13" s="60" t="s">
        <v>24</v>
      </c>
      <c r="B13" s="29" t="s">
        <v>15</v>
      </c>
      <c r="C13" s="29" t="s">
        <v>17</v>
      </c>
      <c r="D13" s="29" t="s">
        <v>19</v>
      </c>
      <c r="E13" s="29" t="s">
        <v>25</v>
      </c>
      <c r="F13" s="59" t="s">
        <v>0</v>
      </c>
      <c r="G13" s="36">
        <f t="shared" si="0"/>
        <v>250</v>
      </c>
      <c r="H13" s="36">
        <f t="shared" si="1"/>
        <v>250</v>
      </c>
      <c r="I13" s="36">
        <f t="shared" si="1"/>
        <v>250</v>
      </c>
      <c r="J13" s="36">
        <f t="shared" si="1"/>
        <v>250</v>
      </c>
      <c r="K13" s="36">
        <f t="shared" si="1"/>
        <v>250</v>
      </c>
      <c r="L13" s="36">
        <f t="shared" si="2"/>
        <v>100</v>
      </c>
      <c r="M13" s="36">
        <f t="shared" si="3"/>
        <v>100</v>
      </c>
    </row>
    <row r="14" spans="1:13">
      <c r="A14" s="60" t="s">
        <v>26</v>
      </c>
      <c r="B14" s="29" t="s">
        <v>15</v>
      </c>
      <c r="C14" s="29" t="s">
        <v>17</v>
      </c>
      <c r="D14" s="29" t="s">
        <v>19</v>
      </c>
      <c r="E14" s="29" t="s">
        <v>25</v>
      </c>
      <c r="F14" s="29" t="s">
        <v>27</v>
      </c>
      <c r="G14" s="36">
        <f t="shared" si="0"/>
        <v>250</v>
      </c>
      <c r="H14" s="36">
        <f t="shared" si="1"/>
        <v>250</v>
      </c>
      <c r="I14" s="36">
        <f t="shared" si="1"/>
        <v>250</v>
      </c>
      <c r="J14" s="36">
        <f t="shared" si="1"/>
        <v>250</v>
      </c>
      <c r="K14" s="36">
        <f t="shared" si="1"/>
        <v>250</v>
      </c>
      <c r="L14" s="36">
        <f t="shared" si="2"/>
        <v>100</v>
      </c>
      <c r="M14" s="36">
        <f t="shared" si="3"/>
        <v>100</v>
      </c>
    </row>
    <row r="15" spans="1:13">
      <c r="A15" s="60" t="s">
        <v>28</v>
      </c>
      <c r="B15" s="29" t="s">
        <v>15</v>
      </c>
      <c r="C15" s="29" t="s">
        <v>17</v>
      </c>
      <c r="D15" s="29" t="s">
        <v>19</v>
      </c>
      <c r="E15" s="29" t="s">
        <v>25</v>
      </c>
      <c r="F15" s="29" t="s">
        <v>29</v>
      </c>
      <c r="G15" s="36">
        <v>250</v>
      </c>
      <c r="H15" s="36">
        <v>250</v>
      </c>
      <c r="I15" s="36">
        <v>250</v>
      </c>
      <c r="J15" s="36">
        <v>250</v>
      </c>
      <c r="K15" s="36">
        <v>250</v>
      </c>
      <c r="L15" s="36">
        <f t="shared" si="2"/>
        <v>100</v>
      </c>
      <c r="M15" s="36">
        <f t="shared" si="3"/>
        <v>100</v>
      </c>
    </row>
    <row r="16" spans="1:13">
      <c r="A16" s="61" t="s">
        <v>0</v>
      </c>
      <c r="B16" s="59" t="s">
        <v>0</v>
      </c>
      <c r="C16" s="59" t="s">
        <v>0</v>
      </c>
      <c r="D16" s="59" t="s">
        <v>0</v>
      </c>
      <c r="E16" s="59" t="s">
        <v>0</v>
      </c>
      <c r="F16" s="59" t="s">
        <v>0</v>
      </c>
      <c r="G16" s="62" t="s">
        <v>0</v>
      </c>
      <c r="H16" s="62" t="s">
        <v>0</v>
      </c>
      <c r="I16" s="62" t="s">
        <v>0</v>
      </c>
      <c r="J16" s="62" t="s">
        <v>0</v>
      </c>
      <c r="K16" s="62" t="s">
        <v>0</v>
      </c>
      <c r="L16" s="62"/>
      <c r="M16" s="62"/>
    </row>
    <row r="17" spans="1:13">
      <c r="A17" s="60" t="s">
        <v>30</v>
      </c>
      <c r="B17" s="29" t="s">
        <v>15</v>
      </c>
      <c r="C17" s="29" t="s">
        <v>19</v>
      </c>
      <c r="D17" s="59" t="s">
        <v>0</v>
      </c>
      <c r="E17" s="59" t="s">
        <v>0</v>
      </c>
      <c r="F17" s="59" t="s">
        <v>0</v>
      </c>
      <c r="G17" s="36">
        <f>G18+G30+G39</f>
        <v>132270.9</v>
      </c>
      <c r="H17" s="36">
        <f t="shared" ref="H17:K17" si="4">H18+H30+H39</f>
        <v>189326.08974999998</v>
      </c>
      <c r="I17" s="36">
        <f t="shared" si="4"/>
        <v>58252.748240000001</v>
      </c>
      <c r="J17" s="36">
        <f t="shared" si="4"/>
        <v>58214.777119999999</v>
      </c>
      <c r="K17" s="36">
        <f t="shared" si="4"/>
        <v>49005.852639999997</v>
      </c>
      <c r="L17" s="36">
        <f t="shared" si="2"/>
        <v>25.884363166593104</v>
      </c>
      <c r="M17" s="36">
        <f t="shared" si="3"/>
        <v>84.126250040765456</v>
      </c>
    </row>
    <row r="18" spans="1:13">
      <c r="A18" s="60" t="s">
        <v>31</v>
      </c>
      <c r="B18" s="29" t="s">
        <v>15</v>
      </c>
      <c r="C18" s="29" t="s">
        <v>19</v>
      </c>
      <c r="D18" s="29" t="s">
        <v>32</v>
      </c>
      <c r="E18" s="59" t="s">
        <v>0</v>
      </c>
      <c r="F18" s="59" t="s">
        <v>0</v>
      </c>
      <c r="G18" s="36">
        <f>G19</f>
        <v>7651.7</v>
      </c>
      <c r="H18" s="36">
        <f t="shared" ref="H18:K18" si="5">H19</f>
        <v>67516.600000000006</v>
      </c>
      <c r="I18" s="36">
        <f t="shared" si="5"/>
        <v>0</v>
      </c>
      <c r="J18" s="36">
        <f t="shared" si="5"/>
        <v>0</v>
      </c>
      <c r="K18" s="36">
        <f t="shared" si="5"/>
        <v>0</v>
      </c>
      <c r="L18" s="36">
        <f t="shared" si="2"/>
        <v>0</v>
      </c>
      <c r="M18" s="36">
        <v>0</v>
      </c>
    </row>
    <row r="19" spans="1:13" ht="51">
      <c r="A19" s="60" t="s">
        <v>33</v>
      </c>
      <c r="B19" s="29" t="s">
        <v>15</v>
      </c>
      <c r="C19" s="29" t="s">
        <v>19</v>
      </c>
      <c r="D19" s="29" t="s">
        <v>32</v>
      </c>
      <c r="E19" s="29" t="s">
        <v>34</v>
      </c>
      <c r="F19" s="59" t="s">
        <v>0</v>
      </c>
      <c r="G19" s="36">
        <f>G20</f>
        <v>7651.7</v>
      </c>
      <c r="H19" s="36">
        <f t="shared" ref="H19:K19" si="6">H20</f>
        <v>67516.600000000006</v>
      </c>
      <c r="I19" s="36">
        <f t="shared" si="6"/>
        <v>0</v>
      </c>
      <c r="J19" s="36">
        <f t="shared" si="6"/>
        <v>0</v>
      </c>
      <c r="K19" s="36">
        <f t="shared" si="6"/>
        <v>0</v>
      </c>
      <c r="L19" s="36">
        <f t="shared" si="2"/>
        <v>0</v>
      </c>
      <c r="M19" s="36">
        <v>0</v>
      </c>
    </row>
    <row r="20" spans="1:13" ht="25.5">
      <c r="A20" s="60" t="s">
        <v>35</v>
      </c>
      <c r="B20" s="29" t="s">
        <v>15</v>
      </c>
      <c r="C20" s="29" t="s">
        <v>19</v>
      </c>
      <c r="D20" s="29" t="s">
        <v>32</v>
      </c>
      <c r="E20" s="29" t="s">
        <v>36</v>
      </c>
      <c r="F20" s="59" t="s">
        <v>0</v>
      </c>
      <c r="G20" s="36">
        <f>G24+G27+G21</f>
        <v>7651.7</v>
      </c>
      <c r="H20" s="36">
        <f t="shared" ref="H20:K20" si="7">H24+H27+H21</f>
        <v>67516.600000000006</v>
      </c>
      <c r="I20" s="36">
        <f t="shared" si="7"/>
        <v>0</v>
      </c>
      <c r="J20" s="36">
        <f t="shared" si="7"/>
        <v>0</v>
      </c>
      <c r="K20" s="36">
        <f t="shared" si="7"/>
        <v>0</v>
      </c>
      <c r="L20" s="36">
        <f t="shared" si="2"/>
        <v>0</v>
      </c>
      <c r="M20" s="36">
        <v>0</v>
      </c>
    </row>
    <row r="21" spans="1:13" ht="39.75" customHeight="1">
      <c r="A21" s="60" t="s">
        <v>1119</v>
      </c>
      <c r="B21" s="29" t="s">
        <v>15</v>
      </c>
      <c r="C21" s="29" t="s">
        <v>19</v>
      </c>
      <c r="D21" s="29" t="s">
        <v>32</v>
      </c>
      <c r="E21" s="30" t="s">
        <v>1118</v>
      </c>
      <c r="F21" s="59"/>
      <c r="G21" s="36">
        <f>G22</f>
        <v>0</v>
      </c>
      <c r="H21" s="36">
        <f t="shared" ref="H21:K22" si="8">H22</f>
        <v>59864.9</v>
      </c>
      <c r="I21" s="36">
        <f t="shared" si="8"/>
        <v>0</v>
      </c>
      <c r="J21" s="36">
        <f t="shared" si="8"/>
        <v>0</v>
      </c>
      <c r="K21" s="36">
        <f t="shared" si="8"/>
        <v>0</v>
      </c>
      <c r="L21" s="36">
        <f t="shared" ref="L21:L23" si="9">K21/H21*100</f>
        <v>0</v>
      </c>
      <c r="M21" s="36">
        <v>0</v>
      </c>
    </row>
    <row r="22" spans="1:13" ht="25.5">
      <c r="A22" s="60" t="s">
        <v>39</v>
      </c>
      <c r="B22" s="29" t="s">
        <v>15</v>
      </c>
      <c r="C22" s="29" t="s">
        <v>19</v>
      </c>
      <c r="D22" s="29" t="s">
        <v>32</v>
      </c>
      <c r="E22" s="30" t="s">
        <v>1118</v>
      </c>
      <c r="F22" s="29">
        <v>400</v>
      </c>
      <c r="G22" s="36">
        <f>G23</f>
        <v>0</v>
      </c>
      <c r="H22" s="36">
        <f t="shared" si="8"/>
        <v>59864.9</v>
      </c>
      <c r="I22" s="36">
        <f t="shared" si="8"/>
        <v>0</v>
      </c>
      <c r="J22" s="36">
        <f t="shared" si="8"/>
        <v>0</v>
      </c>
      <c r="K22" s="36">
        <f t="shared" si="8"/>
        <v>0</v>
      </c>
      <c r="L22" s="36">
        <f t="shared" si="9"/>
        <v>0</v>
      </c>
      <c r="M22" s="36">
        <v>0</v>
      </c>
    </row>
    <row r="23" spans="1:13">
      <c r="A23" s="60" t="s">
        <v>41</v>
      </c>
      <c r="B23" s="29" t="s">
        <v>15</v>
      </c>
      <c r="C23" s="29" t="s">
        <v>19</v>
      </c>
      <c r="D23" s="29" t="s">
        <v>32</v>
      </c>
      <c r="E23" s="30" t="s">
        <v>1118</v>
      </c>
      <c r="F23" s="29">
        <v>410</v>
      </c>
      <c r="G23" s="36"/>
      <c r="H23" s="36">
        <v>59864.9</v>
      </c>
      <c r="I23" s="36">
        <v>0</v>
      </c>
      <c r="J23" s="36">
        <v>0</v>
      </c>
      <c r="K23" s="36">
        <v>0</v>
      </c>
      <c r="L23" s="36">
        <f t="shared" si="9"/>
        <v>0</v>
      </c>
      <c r="M23" s="36">
        <v>0</v>
      </c>
    </row>
    <row r="24" spans="1:13" ht="38.25">
      <c r="A24" s="60" t="s">
        <v>37</v>
      </c>
      <c r="B24" s="29" t="s">
        <v>15</v>
      </c>
      <c r="C24" s="29" t="s">
        <v>19</v>
      </c>
      <c r="D24" s="29" t="s">
        <v>32</v>
      </c>
      <c r="E24" s="29" t="s">
        <v>38</v>
      </c>
      <c r="F24" s="59" t="s">
        <v>0</v>
      </c>
      <c r="G24" s="36">
        <f>G25</f>
        <v>1000</v>
      </c>
      <c r="H24" s="36">
        <f t="shared" ref="H24:K25" si="10">H25</f>
        <v>1000</v>
      </c>
      <c r="I24" s="36">
        <f t="shared" si="10"/>
        <v>0</v>
      </c>
      <c r="J24" s="36">
        <f t="shared" si="10"/>
        <v>0</v>
      </c>
      <c r="K24" s="36">
        <f t="shared" si="10"/>
        <v>0</v>
      </c>
      <c r="L24" s="36">
        <f t="shared" si="2"/>
        <v>0</v>
      </c>
      <c r="M24" s="36">
        <v>0</v>
      </c>
    </row>
    <row r="25" spans="1:13" ht="25.5">
      <c r="A25" s="60" t="s">
        <v>39</v>
      </c>
      <c r="B25" s="29" t="s">
        <v>15</v>
      </c>
      <c r="C25" s="29" t="s">
        <v>19</v>
      </c>
      <c r="D25" s="29" t="s">
        <v>32</v>
      </c>
      <c r="E25" s="29" t="s">
        <v>38</v>
      </c>
      <c r="F25" s="29" t="s">
        <v>40</v>
      </c>
      <c r="G25" s="36">
        <f>G26</f>
        <v>1000</v>
      </c>
      <c r="H25" s="36">
        <f t="shared" si="10"/>
        <v>1000</v>
      </c>
      <c r="I25" s="36">
        <f t="shared" si="10"/>
        <v>0</v>
      </c>
      <c r="J25" s="36">
        <f t="shared" si="10"/>
        <v>0</v>
      </c>
      <c r="K25" s="36">
        <f t="shared" si="10"/>
        <v>0</v>
      </c>
      <c r="L25" s="36">
        <f t="shared" si="2"/>
        <v>0</v>
      </c>
      <c r="M25" s="36">
        <v>0</v>
      </c>
    </row>
    <row r="26" spans="1:13">
      <c r="A26" s="60" t="s">
        <v>41</v>
      </c>
      <c r="B26" s="29" t="s">
        <v>15</v>
      </c>
      <c r="C26" s="29" t="s">
        <v>19</v>
      </c>
      <c r="D26" s="29" t="s">
        <v>32</v>
      </c>
      <c r="E26" s="29" t="s">
        <v>38</v>
      </c>
      <c r="F26" s="29" t="s">
        <v>42</v>
      </c>
      <c r="G26" s="36">
        <v>1000</v>
      </c>
      <c r="H26" s="36">
        <v>1000</v>
      </c>
      <c r="I26" s="36">
        <v>0</v>
      </c>
      <c r="J26" s="36">
        <v>0</v>
      </c>
      <c r="K26" s="36">
        <v>0</v>
      </c>
      <c r="L26" s="36">
        <f t="shared" si="2"/>
        <v>0</v>
      </c>
      <c r="M26" s="36">
        <v>0</v>
      </c>
    </row>
    <row r="27" spans="1:13" ht="51">
      <c r="A27" s="60" t="s">
        <v>43</v>
      </c>
      <c r="B27" s="29" t="s">
        <v>15</v>
      </c>
      <c r="C27" s="29" t="s">
        <v>19</v>
      </c>
      <c r="D27" s="29" t="s">
        <v>32</v>
      </c>
      <c r="E27" s="29" t="s">
        <v>44</v>
      </c>
      <c r="F27" s="59" t="s">
        <v>0</v>
      </c>
      <c r="G27" s="36">
        <f>G28</f>
        <v>6651.7</v>
      </c>
      <c r="H27" s="36">
        <f t="shared" ref="H27:K28" si="11">H28</f>
        <v>6651.7</v>
      </c>
      <c r="I27" s="36">
        <f t="shared" si="11"/>
        <v>0</v>
      </c>
      <c r="J27" s="36">
        <f t="shared" si="11"/>
        <v>0</v>
      </c>
      <c r="K27" s="36">
        <f t="shared" si="11"/>
        <v>0</v>
      </c>
      <c r="L27" s="36">
        <f t="shared" si="2"/>
        <v>0</v>
      </c>
      <c r="M27" s="36">
        <v>0</v>
      </c>
    </row>
    <row r="28" spans="1:13" ht="25.5">
      <c r="A28" s="60" t="s">
        <v>39</v>
      </c>
      <c r="B28" s="29" t="s">
        <v>15</v>
      </c>
      <c r="C28" s="29" t="s">
        <v>19</v>
      </c>
      <c r="D28" s="29" t="s">
        <v>32</v>
      </c>
      <c r="E28" s="29" t="s">
        <v>44</v>
      </c>
      <c r="F28" s="29" t="s">
        <v>40</v>
      </c>
      <c r="G28" s="36">
        <f>G29</f>
        <v>6651.7</v>
      </c>
      <c r="H28" s="36">
        <f t="shared" si="11"/>
        <v>6651.7</v>
      </c>
      <c r="I28" s="36">
        <f t="shared" si="11"/>
        <v>0</v>
      </c>
      <c r="J28" s="36">
        <f t="shared" si="11"/>
        <v>0</v>
      </c>
      <c r="K28" s="36">
        <f t="shared" si="11"/>
        <v>0</v>
      </c>
      <c r="L28" s="36">
        <f t="shared" si="2"/>
        <v>0</v>
      </c>
      <c r="M28" s="36">
        <v>0</v>
      </c>
    </row>
    <row r="29" spans="1:13">
      <c r="A29" s="60" t="s">
        <v>41</v>
      </c>
      <c r="B29" s="29" t="s">
        <v>15</v>
      </c>
      <c r="C29" s="29" t="s">
        <v>19</v>
      </c>
      <c r="D29" s="29" t="s">
        <v>32</v>
      </c>
      <c r="E29" s="29" t="s">
        <v>44</v>
      </c>
      <c r="F29" s="29" t="s">
        <v>42</v>
      </c>
      <c r="G29" s="36">
        <v>6651.7</v>
      </c>
      <c r="H29" s="36">
        <v>6651.7</v>
      </c>
      <c r="I29" s="36">
        <v>0</v>
      </c>
      <c r="J29" s="36">
        <v>0</v>
      </c>
      <c r="K29" s="36">
        <v>0</v>
      </c>
      <c r="L29" s="36">
        <f t="shared" si="2"/>
        <v>0</v>
      </c>
      <c r="M29" s="36">
        <v>0</v>
      </c>
    </row>
    <row r="30" spans="1:13">
      <c r="A30" s="60" t="s">
        <v>45</v>
      </c>
      <c r="B30" s="29" t="s">
        <v>15</v>
      </c>
      <c r="C30" s="29" t="s">
        <v>19</v>
      </c>
      <c r="D30" s="29" t="s">
        <v>46</v>
      </c>
      <c r="E30" s="59" t="s">
        <v>0</v>
      </c>
      <c r="F30" s="59" t="s">
        <v>0</v>
      </c>
      <c r="G30" s="36">
        <f>G31</f>
        <v>6504.6</v>
      </c>
      <c r="H30" s="36">
        <f>H31+H35</f>
        <v>7241.3979099999997</v>
      </c>
      <c r="I30" s="36">
        <f t="shared" ref="I30:K30" si="12">I31+I35</f>
        <v>2458.5047400000003</v>
      </c>
      <c r="J30" s="36">
        <f t="shared" si="12"/>
        <v>2458.5047400000003</v>
      </c>
      <c r="K30" s="36">
        <f t="shared" si="12"/>
        <v>2454.8209900000002</v>
      </c>
      <c r="L30" s="36">
        <f t="shared" si="2"/>
        <v>33.899821837024284</v>
      </c>
      <c r="M30" s="36">
        <f t="shared" si="3"/>
        <v>99.850162989720332</v>
      </c>
    </row>
    <row r="31" spans="1:13" ht="25.5">
      <c r="A31" s="60" t="s">
        <v>47</v>
      </c>
      <c r="B31" s="29" t="s">
        <v>15</v>
      </c>
      <c r="C31" s="29" t="s">
        <v>19</v>
      </c>
      <c r="D31" s="29" t="s">
        <v>46</v>
      </c>
      <c r="E31" s="29" t="s">
        <v>48</v>
      </c>
      <c r="F31" s="59" t="s">
        <v>0</v>
      </c>
      <c r="G31" s="36">
        <f>G32</f>
        <v>6504.6</v>
      </c>
      <c r="H31" s="36">
        <f t="shared" ref="H31:K33" si="13">H32</f>
        <v>6504.6479099999997</v>
      </c>
      <c r="I31" s="36">
        <f t="shared" si="13"/>
        <v>1721.7547400000001</v>
      </c>
      <c r="J31" s="36">
        <f t="shared" si="13"/>
        <v>1721.7547400000001</v>
      </c>
      <c r="K31" s="36">
        <f t="shared" si="13"/>
        <v>1721.7547400000001</v>
      </c>
      <c r="L31" s="36">
        <f t="shared" si="2"/>
        <v>26.46960702289573</v>
      </c>
      <c r="M31" s="36">
        <f t="shared" si="3"/>
        <v>100</v>
      </c>
    </row>
    <row r="32" spans="1:13" ht="38.25">
      <c r="A32" s="60" t="s">
        <v>37</v>
      </c>
      <c r="B32" s="29" t="s">
        <v>15</v>
      </c>
      <c r="C32" s="29" t="s">
        <v>19</v>
      </c>
      <c r="D32" s="29" t="s">
        <v>46</v>
      </c>
      <c r="E32" s="29" t="s">
        <v>49</v>
      </c>
      <c r="F32" s="59" t="s">
        <v>0</v>
      </c>
      <c r="G32" s="36">
        <f>G33</f>
        <v>6504.6</v>
      </c>
      <c r="H32" s="36">
        <f t="shared" si="13"/>
        <v>6504.6479099999997</v>
      </c>
      <c r="I32" s="36">
        <f t="shared" si="13"/>
        <v>1721.7547400000001</v>
      </c>
      <c r="J32" s="36">
        <f t="shared" si="13"/>
        <v>1721.7547400000001</v>
      </c>
      <c r="K32" s="36">
        <f t="shared" si="13"/>
        <v>1721.7547400000001</v>
      </c>
      <c r="L32" s="36">
        <f t="shared" si="2"/>
        <v>26.46960702289573</v>
      </c>
      <c r="M32" s="36">
        <f t="shared" si="3"/>
        <v>100</v>
      </c>
    </row>
    <row r="33" spans="1:13" ht="25.5">
      <c r="A33" s="60" t="s">
        <v>39</v>
      </c>
      <c r="B33" s="29" t="s">
        <v>15</v>
      </c>
      <c r="C33" s="29" t="s">
        <v>19</v>
      </c>
      <c r="D33" s="29" t="s">
        <v>46</v>
      </c>
      <c r="E33" s="29" t="s">
        <v>49</v>
      </c>
      <c r="F33" s="29" t="s">
        <v>40</v>
      </c>
      <c r="G33" s="36">
        <f>G34</f>
        <v>6504.6</v>
      </c>
      <c r="H33" s="36">
        <f t="shared" si="13"/>
        <v>6504.6479099999997</v>
      </c>
      <c r="I33" s="36">
        <f t="shared" si="13"/>
        <v>1721.7547400000001</v>
      </c>
      <c r="J33" s="36">
        <f t="shared" si="13"/>
        <v>1721.7547400000001</v>
      </c>
      <c r="K33" s="36">
        <f t="shared" si="13"/>
        <v>1721.7547400000001</v>
      </c>
      <c r="L33" s="36">
        <f t="shared" si="2"/>
        <v>26.46960702289573</v>
      </c>
      <c r="M33" s="36">
        <f t="shared" si="3"/>
        <v>100</v>
      </c>
    </row>
    <row r="34" spans="1:13">
      <c r="A34" s="60" t="s">
        <v>41</v>
      </c>
      <c r="B34" s="29" t="s">
        <v>15</v>
      </c>
      <c r="C34" s="29" t="s">
        <v>19</v>
      </c>
      <c r="D34" s="29" t="s">
        <v>46</v>
      </c>
      <c r="E34" s="29" t="s">
        <v>49</v>
      </c>
      <c r="F34" s="29" t="s">
        <v>42</v>
      </c>
      <c r="G34" s="36">
        <v>6504.6</v>
      </c>
      <c r="H34" s="36">
        <v>6504.6479099999997</v>
      </c>
      <c r="I34" s="36">
        <v>1721.7547400000001</v>
      </c>
      <c r="J34" s="36">
        <v>1721.7547400000001</v>
      </c>
      <c r="K34" s="36">
        <v>1721.7547400000001</v>
      </c>
      <c r="L34" s="36">
        <f t="shared" si="2"/>
        <v>26.46960702289573</v>
      </c>
      <c r="M34" s="36">
        <f t="shared" si="3"/>
        <v>100</v>
      </c>
    </row>
    <row r="35" spans="1:13">
      <c r="A35" s="63" t="s">
        <v>612</v>
      </c>
      <c r="B35" s="29" t="s">
        <v>15</v>
      </c>
      <c r="C35" s="29" t="s">
        <v>19</v>
      </c>
      <c r="D35" s="29" t="s">
        <v>46</v>
      </c>
      <c r="E35" s="30" t="s">
        <v>613</v>
      </c>
      <c r="F35" s="29"/>
      <c r="G35" s="36"/>
      <c r="H35" s="36">
        <f>H36</f>
        <v>736.75</v>
      </c>
      <c r="I35" s="36">
        <f t="shared" ref="I35:K37" si="14">I36</f>
        <v>736.75</v>
      </c>
      <c r="J35" s="36">
        <f t="shared" si="14"/>
        <v>736.75</v>
      </c>
      <c r="K35" s="36">
        <f t="shared" si="14"/>
        <v>733.06624999999997</v>
      </c>
      <c r="L35" s="36">
        <f t="shared" ref="L35:L38" si="15">K35/H35*100</f>
        <v>99.5</v>
      </c>
      <c r="M35" s="36">
        <f t="shared" ref="M35:M38" si="16">K35/I35*100</f>
        <v>99.5</v>
      </c>
    </row>
    <row r="36" spans="1:13">
      <c r="A36" s="60" t="s">
        <v>612</v>
      </c>
      <c r="B36" s="29" t="s">
        <v>15</v>
      </c>
      <c r="C36" s="29" t="s">
        <v>19</v>
      </c>
      <c r="D36" s="29" t="s">
        <v>46</v>
      </c>
      <c r="E36" s="30" t="s">
        <v>614</v>
      </c>
      <c r="F36" s="29"/>
      <c r="G36" s="36"/>
      <c r="H36" s="36">
        <f>H37</f>
        <v>736.75</v>
      </c>
      <c r="I36" s="36">
        <f t="shared" si="14"/>
        <v>736.75</v>
      </c>
      <c r="J36" s="36">
        <f t="shared" si="14"/>
        <v>736.75</v>
      </c>
      <c r="K36" s="36">
        <f t="shared" si="14"/>
        <v>733.06624999999997</v>
      </c>
      <c r="L36" s="36">
        <f t="shared" si="15"/>
        <v>99.5</v>
      </c>
      <c r="M36" s="36">
        <f t="shared" si="16"/>
        <v>99.5</v>
      </c>
    </row>
    <row r="37" spans="1:13" ht="25.5">
      <c r="A37" s="60" t="s">
        <v>64</v>
      </c>
      <c r="B37" s="29" t="s">
        <v>15</v>
      </c>
      <c r="C37" s="29" t="s">
        <v>19</v>
      </c>
      <c r="D37" s="29" t="s">
        <v>46</v>
      </c>
      <c r="E37" s="30" t="s">
        <v>614</v>
      </c>
      <c r="F37" s="29" t="s">
        <v>65</v>
      </c>
      <c r="G37" s="36"/>
      <c r="H37" s="36">
        <f>H38</f>
        <v>736.75</v>
      </c>
      <c r="I37" s="36">
        <f t="shared" si="14"/>
        <v>736.75</v>
      </c>
      <c r="J37" s="36">
        <f t="shared" si="14"/>
        <v>736.75</v>
      </c>
      <c r="K37" s="36">
        <f t="shared" si="14"/>
        <v>733.06624999999997</v>
      </c>
      <c r="L37" s="36">
        <f t="shared" si="15"/>
        <v>99.5</v>
      </c>
      <c r="M37" s="36">
        <f t="shared" si="16"/>
        <v>99.5</v>
      </c>
    </row>
    <row r="38" spans="1:13" ht="25.5">
      <c r="A38" s="60" t="s">
        <v>66</v>
      </c>
      <c r="B38" s="29" t="s">
        <v>15</v>
      </c>
      <c r="C38" s="29" t="s">
        <v>19</v>
      </c>
      <c r="D38" s="29" t="s">
        <v>46</v>
      </c>
      <c r="E38" s="30" t="s">
        <v>614</v>
      </c>
      <c r="F38" s="29" t="s">
        <v>67</v>
      </c>
      <c r="G38" s="36"/>
      <c r="H38" s="36">
        <v>736.75</v>
      </c>
      <c r="I38" s="36">
        <v>736.75</v>
      </c>
      <c r="J38" s="36">
        <v>736.75</v>
      </c>
      <c r="K38" s="36">
        <v>733.06624999999997</v>
      </c>
      <c r="L38" s="36">
        <f t="shared" si="15"/>
        <v>99.5</v>
      </c>
      <c r="M38" s="36">
        <f t="shared" si="16"/>
        <v>99.5</v>
      </c>
    </row>
    <row r="39" spans="1:13">
      <c r="A39" s="60" t="s">
        <v>50</v>
      </c>
      <c r="B39" s="29" t="s">
        <v>15</v>
      </c>
      <c r="C39" s="29" t="s">
        <v>19</v>
      </c>
      <c r="D39" s="29" t="s">
        <v>51</v>
      </c>
      <c r="E39" s="59" t="s">
        <v>0</v>
      </c>
      <c r="F39" s="59" t="s">
        <v>0</v>
      </c>
      <c r="G39" s="36">
        <f>G40+G67</f>
        <v>118114.59999999999</v>
      </c>
      <c r="H39" s="36">
        <f>H40+H67</f>
        <v>114568.09183999999</v>
      </c>
      <c r="I39" s="36">
        <f t="shared" ref="I39:J39" si="17">I40+I67</f>
        <v>55794.243500000004</v>
      </c>
      <c r="J39" s="36">
        <f t="shared" si="17"/>
        <v>55756.272380000002</v>
      </c>
      <c r="K39" s="36">
        <f t="shared" ref="K39" si="18">K40+K67</f>
        <v>46551.031649999997</v>
      </c>
      <c r="L39" s="36">
        <f t="shared" si="2"/>
        <v>40.6317595958662</v>
      </c>
      <c r="M39" s="36">
        <f t="shared" si="3"/>
        <v>83.43339514944762</v>
      </c>
    </row>
    <row r="40" spans="1:13" ht="51">
      <c r="A40" s="60" t="s">
        <v>20</v>
      </c>
      <c r="B40" s="29" t="s">
        <v>15</v>
      </c>
      <c r="C40" s="29" t="s">
        <v>19</v>
      </c>
      <c r="D40" s="29" t="s">
        <v>51</v>
      </c>
      <c r="E40" s="29" t="s">
        <v>21</v>
      </c>
      <c r="F40" s="59" t="s">
        <v>0</v>
      </c>
      <c r="G40" s="36">
        <f>G41+G45</f>
        <v>113931.09999999999</v>
      </c>
      <c r="H40" s="36">
        <f>H41+H45</f>
        <v>110384.54784</v>
      </c>
      <c r="I40" s="36">
        <f>I41+I45</f>
        <v>55462.373500000002</v>
      </c>
      <c r="J40" s="36">
        <f>J41+J45</f>
        <v>55462.370500000005</v>
      </c>
      <c r="K40" s="36">
        <f>K41+K45</f>
        <v>46257.12977</v>
      </c>
      <c r="L40" s="36">
        <f t="shared" si="2"/>
        <v>41.905439370960416</v>
      </c>
      <c r="M40" s="36">
        <f t="shared" si="3"/>
        <v>83.402723055117718</v>
      </c>
    </row>
    <row r="41" spans="1:13" ht="38.25">
      <c r="A41" s="60" t="s">
        <v>52</v>
      </c>
      <c r="B41" s="29" t="s">
        <v>15</v>
      </c>
      <c r="C41" s="29" t="s">
        <v>19</v>
      </c>
      <c r="D41" s="29" t="s">
        <v>51</v>
      </c>
      <c r="E41" s="29" t="s">
        <v>53</v>
      </c>
      <c r="F41" s="59" t="s">
        <v>0</v>
      </c>
      <c r="G41" s="36">
        <f>G42</f>
        <v>969.8</v>
      </c>
      <c r="H41" s="36">
        <f t="shared" ref="H41:K43" si="19">H42</f>
        <v>969.83500000000004</v>
      </c>
      <c r="I41" s="36">
        <f t="shared" si="19"/>
        <v>0</v>
      </c>
      <c r="J41" s="36">
        <f t="shared" si="19"/>
        <v>0</v>
      </c>
      <c r="K41" s="36">
        <f t="shared" si="19"/>
        <v>0</v>
      </c>
      <c r="L41" s="36">
        <f t="shared" si="2"/>
        <v>0</v>
      </c>
      <c r="M41" s="36">
        <v>0</v>
      </c>
    </row>
    <row r="42" spans="1:13" ht="25.5">
      <c r="A42" s="60" t="s">
        <v>54</v>
      </c>
      <c r="B42" s="29" t="s">
        <v>15</v>
      </c>
      <c r="C42" s="29" t="s">
        <v>19</v>
      </c>
      <c r="D42" s="29" t="s">
        <v>51</v>
      </c>
      <c r="E42" s="29" t="s">
        <v>55</v>
      </c>
      <c r="F42" s="59" t="s">
        <v>0</v>
      </c>
      <c r="G42" s="36">
        <f>G43</f>
        <v>969.8</v>
      </c>
      <c r="H42" s="36">
        <f t="shared" si="19"/>
        <v>969.83500000000004</v>
      </c>
      <c r="I42" s="36">
        <f t="shared" si="19"/>
        <v>0</v>
      </c>
      <c r="J42" s="36">
        <f t="shared" si="19"/>
        <v>0</v>
      </c>
      <c r="K42" s="36">
        <f t="shared" si="19"/>
        <v>0</v>
      </c>
      <c r="L42" s="36">
        <f t="shared" si="2"/>
        <v>0</v>
      </c>
      <c r="M42" s="36">
        <v>0</v>
      </c>
    </row>
    <row r="43" spans="1:13">
      <c r="A43" s="60" t="s">
        <v>26</v>
      </c>
      <c r="B43" s="29" t="s">
        <v>15</v>
      </c>
      <c r="C43" s="29" t="s">
        <v>19</v>
      </c>
      <c r="D43" s="29" t="s">
        <v>51</v>
      </c>
      <c r="E43" s="29" t="s">
        <v>55</v>
      </c>
      <c r="F43" s="29" t="s">
        <v>27</v>
      </c>
      <c r="G43" s="36">
        <f>G44</f>
        <v>969.8</v>
      </c>
      <c r="H43" s="36">
        <f t="shared" si="19"/>
        <v>969.83500000000004</v>
      </c>
      <c r="I43" s="36">
        <f t="shared" si="19"/>
        <v>0</v>
      </c>
      <c r="J43" s="36">
        <f t="shared" si="19"/>
        <v>0</v>
      </c>
      <c r="K43" s="36">
        <f t="shared" si="19"/>
        <v>0</v>
      </c>
      <c r="L43" s="36">
        <f t="shared" si="2"/>
        <v>0</v>
      </c>
      <c r="M43" s="36">
        <v>0</v>
      </c>
    </row>
    <row r="44" spans="1:13">
      <c r="A44" s="60" t="s">
        <v>56</v>
      </c>
      <c r="B44" s="29" t="s">
        <v>15</v>
      </c>
      <c r="C44" s="29" t="s">
        <v>19</v>
      </c>
      <c r="D44" s="29" t="s">
        <v>51</v>
      </c>
      <c r="E44" s="29" t="s">
        <v>55</v>
      </c>
      <c r="F44" s="29" t="s">
        <v>57</v>
      </c>
      <c r="G44" s="36">
        <v>969.8</v>
      </c>
      <c r="H44" s="36">
        <v>969.83500000000004</v>
      </c>
      <c r="I44" s="36">
        <v>0</v>
      </c>
      <c r="J44" s="36">
        <v>0</v>
      </c>
      <c r="K44" s="36">
        <v>0</v>
      </c>
      <c r="L44" s="36">
        <f t="shared" si="2"/>
        <v>0</v>
      </c>
      <c r="M44" s="36">
        <v>0</v>
      </c>
    </row>
    <row r="45" spans="1:13" ht="25.5">
      <c r="A45" s="60" t="s">
        <v>22</v>
      </c>
      <c r="B45" s="29" t="s">
        <v>15</v>
      </c>
      <c r="C45" s="29" t="s">
        <v>19</v>
      </c>
      <c r="D45" s="29" t="s">
        <v>51</v>
      </c>
      <c r="E45" s="29" t="s">
        <v>23</v>
      </c>
      <c r="F45" s="59" t="s">
        <v>0</v>
      </c>
      <c r="G45" s="36">
        <f>G46+G55</f>
        <v>112961.29999999999</v>
      </c>
      <c r="H45" s="36">
        <f t="shared" ref="H45:K45" si="20">H46+H55</f>
        <v>109414.71283999999</v>
      </c>
      <c r="I45" s="36">
        <f t="shared" si="20"/>
        <v>55462.373500000002</v>
      </c>
      <c r="J45" s="36">
        <f t="shared" si="20"/>
        <v>55462.370500000005</v>
      </c>
      <c r="K45" s="36">
        <f t="shared" si="20"/>
        <v>46257.12977</v>
      </c>
      <c r="L45" s="36">
        <f t="shared" si="2"/>
        <v>42.276882669009069</v>
      </c>
      <c r="M45" s="36">
        <f t="shared" si="3"/>
        <v>83.402723055117718</v>
      </c>
    </row>
    <row r="46" spans="1:13" ht="25.5">
      <c r="A46" s="60" t="s">
        <v>58</v>
      </c>
      <c r="B46" s="29" t="s">
        <v>15</v>
      </c>
      <c r="C46" s="29" t="s">
        <v>19</v>
      </c>
      <c r="D46" s="29" t="s">
        <v>51</v>
      </c>
      <c r="E46" s="29" t="s">
        <v>59</v>
      </c>
      <c r="F46" s="59" t="s">
        <v>0</v>
      </c>
      <c r="G46" s="36">
        <f>G47+G49+G51+G53</f>
        <v>54920.5</v>
      </c>
      <c r="H46" s="36">
        <f t="shared" ref="H46:K46" si="21">H47+H49+H51+H53</f>
        <v>51373.942999999999</v>
      </c>
      <c r="I46" s="36">
        <f t="shared" si="21"/>
        <v>26324.967000000001</v>
      </c>
      <c r="J46" s="36">
        <f t="shared" si="21"/>
        <v>26324.967000000001</v>
      </c>
      <c r="K46" s="36">
        <f t="shared" si="21"/>
        <v>21865.254759999996</v>
      </c>
      <c r="L46" s="36">
        <f t="shared" si="2"/>
        <v>42.56098224736224</v>
      </c>
      <c r="M46" s="36">
        <f t="shared" si="3"/>
        <v>83.059001593430281</v>
      </c>
    </row>
    <row r="47" spans="1:13" ht="63.75">
      <c r="A47" s="60" t="s">
        <v>60</v>
      </c>
      <c r="B47" s="29" t="s">
        <v>15</v>
      </c>
      <c r="C47" s="29" t="s">
        <v>19</v>
      </c>
      <c r="D47" s="29" t="s">
        <v>51</v>
      </c>
      <c r="E47" s="29" t="s">
        <v>59</v>
      </c>
      <c r="F47" s="29" t="s">
        <v>61</v>
      </c>
      <c r="G47" s="36">
        <f>G48</f>
        <v>53175.7</v>
      </c>
      <c r="H47" s="36">
        <f t="shared" ref="H47:K47" si="22">H48</f>
        <v>49629.123</v>
      </c>
      <c r="I47" s="36">
        <f t="shared" si="22"/>
        <v>25521.557000000001</v>
      </c>
      <c r="J47" s="36">
        <f t="shared" si="22"/>
        <v>25521.557000000001</v>
      </c>
      <c r="K47" s="36">
        <f t="shared" si="22"/>
        <v>21154.452899999997</v>
      </c>
      <c r="L47" s="36">
        <f t="shared" si="2"/>
        <v>42.625079028698529</v>
      </c>
      <c r="M47" s="36">
        <f t="shared" si="3"/>
        <v>82.888567104271871</v>
      </c>
    </row>
    <row r="48" spans="1:13" ht="25.5">
      <c r="A48" s="60" t="s">
        <v>62</v>
      </c>
      <c r="B48" s="29" t="s">
        <v>15</v>
      </c>
      <c r="C48" s="29" t="s">
        <v>19</v>
      </c>
      <c r="D48" s="29" t="s">
        <v>51</v>
      </c>
      <c r="E48" s="29" t="s">
        <v>59</v>
      </c>
      <c r="F48" s="29" t="s">
        <v>63</v>
      </c>
      <c r="G48" s="36">
        <v>53175.7</v>
      </c>
      <c r="H48" s="36">
        <v>49629.123</v>
      </c>
      <c r="I48" s="36">
        <f>18892.475+1285+5344.082</f>
        <v>25521.557000000001</v>
      </c>
      <c r="J48" s="36">
        <f>18892.475+1285+5344.082</f>
        <v>25521.557000000001</v>
      </c>
      <c r="K48" s="36">
        <f>16054.85621+768.75834+4330.83835</f>
        <v>21154.452899999997</v>
      </c>
      <c r="L48" s="36">
        <f t="shared" si="2"/>
        <v>42.625079028698529</v>
      </c>
      <c r="M48" s="36">
        <f t="shared" si="3"/>
        <v>82.888567104271871</v>
      </c>
    </row>
    <row r="49" spans="1:13" ht="25.5">
      <c r="A49" s="60" t="s">
        <v>64</v>
      </c>
      <c r="B49" s="29" t="s">
        <v>15</v>
      </c>
      <c r="C49" s="29" t="s">
        <v>19</v>
      </c>
      <c r="D49" s="29" t="s">
        <v>51</v>
      </c>
      <c r="E49" s="29" t="s">
        <v>59</v>
      </c>
      <c r="F49" s="29" t="s">
        <v>65</v>
      </c>
      <c r="G49" s="36">
        <f>G50</f>
        <v>1618</v>
      </c>
      <c r="H49" s="36">
        <f t="shared" ref="H49:K49" si="23">H50</f>
        <v>1618</v>
      </c>
      <c r="I49" s="36">
        <f t="shared" si="23"/>
        <v>740</v>
      </c>
      <c r="J49" s="36">
        <f t="shared" si="23"/>
        <v>740</v>
      </c>
      <c r="K49" s="36">
        <f t="shared" si="23"/>
        <v>710.80186000000003</v>
      </c>
      <c r="L49" s="36">
        <f t="shared" si="2"/>
        <v>43.930893695920894</v>
      </c>
      <c r="M49" s="36">
        <f t="shared" si="3"/>
        <v>96.054305405405401</v>
      </c>
    </row>
    <row r="50" spans="1:13" ht="25.5">
      <c r="A50" s="60" t="s">
        <v>66</v>
      </c>
      <c r="B50" s="29" t="s">
        <v>15</v>
      </c>
      <c r="C50" s="29" t="s">
        <v>19</v>
      </c>
      <c r="D50" s="29" t="s">
        <v>51</v>
      </c>
      <c r="E50" s="29" t="s">
        <v>59</v>
      </c>
      <c r="F50" s="29" t="s">
        <v>67</v>
      </c>
      <c r="G50" s="36">
        <v>1618</v>
      </c>
      <c r="H50" s="36">
        <v>1618</v>
      </c>
      <c r="I50" s="36">
        <v>740</v>
      </c>
      <c r="J50" s="36">
        <v>740</v>
      </c>
      <c r="K50" s="36">
        <v>710.80186000000003</v>
      </c>
      <c r="L50" s="36">
        <f t="shared" si="2"/>
        <v>43.930893695920894</v>
      </c>
      <c r="M50" s="36">
        <f t="shared" si="3"/>
        <v>96.054305405405401</v>
      </c>
    </row>
    <row r="51" spans="1:13">
      <c r="A51" s="60" t="s">
        <v>68</v>
      </c>
      <c r="B51" s="29" t="s">
        <v>15</v>
      </c>
      <c r="C51" s="29" t="s">
        <v>19</v>
      </c>
      <c r="D51" s="29" t="s">
        <v>51</v>
      </c>
      <c r="E51" s="29" t="s">
        <v>59</v>
      </c>
      <c r="F51" s="29" t="s">
        <v>69</v>
      </c>
      <c r="G51" s="36">
        <f>G52</f>
        <v>120</v>
      </c>
      <c r="H51" s="36">
        <f t="shared" ref="H51:K51" si="24">H52</f>
        <v>120</v>
      </c>
      <c r="I51" s="36">
        <f t="shared" si="24"/>
        <v>60</v>
      </c>
      <c r="J51" s="36">
        <f t="shared" si="24"/>
        <v>60</v>
      </c>
      <c r="K51" s="36">
        <f t="shared" si="24"/>
        <v>0</v>
      </c>
      <c r="L51" s="36">
        <f t="shared" si="2"/>
        <v>0</v>
      </c>
      <c r="M51" s="36">
        <f t="shared" si="3"/>
        <v>0</v>
      </c>
    </row>
    <row r="52" spans="1:13">
      <c r="A52" s="60" t="s">
        <v>70</v>
      </c>
      <c r="B52" s="29" t="s">
        <v>15</v>
      </c>
      <c r="C52" s="29" t="s">
        <v>19</v>
      </c>
      <c r="D52" s="29" t="s">
        <v>51</v>
      </c>
      <c r="E52" s="29" t="s">
        <v>59</v>
      </c>
      <c r="F52" s="29" t="s">
        <v>71</v>
      </c>
      <c r="G52" s="36">
        <v>120</v>
      </c>
      <c r="H52" s="36">
        <v>120</v>
      </c>
      <c r="I52" s="36">
        <v>60</v>
      </c>
      <c r="J52" s="36">
        <v>60</v>
      </c>
      <c r="K52" s="36">
        <v>0</v>
      </c>
      <c r="L52" s="36">
        <f t="shared" si="2"/>
        <v>0</v>
      </c>
      <c r="M52" s="36">
        <f t="shared" si="3"/>
        <v>0</v>
      </c>
    </row>
    <row r="53" spans="1:13">
      <c r="A53" s="60" t="s">
        <v>72</v>
      </c>
      <c r="B53" s="29" t="s">
        <v>15</v>
      </c>
      <c r="C53" s="29" t="s">
        <v>19</v>
      </c>
      <c r="D53" s="29" t="s">
        <v>51</v>
      </c>
      <c r="E53" s="29" t="s">
        <v>59</v>
      </c>
      <c r="F53" s="29" t="s">
        <v>73</v>
      </c>
      <c r="G53" s="36">
        <f>G54</f>
        <v>6.8</v>
      </c>
      <c r="H53" s="36">
        <f t="shared" ref="H53:K53" si="25">H54</f>
        <v>6.82</v>
      </c>
      <c r="I53" s="36">
        <f t="shared" si="25"/>
        <v>3.41</v>
      </c>
      <c r="J53" s="36">
        <f t="shared" si="25"/>
        <v>3.41</v>
      </c>
      <c r="K53" s="36">
        <f t="shared" si="25"/>
        <v>0</v>
      </c>
      <c r="L53" s="36">
        <f t="shared" si="2"/>
        <v>0</v>
      </c>
      <c r="M53" s="36">
        <f t="shared" si="3"/>
        <v>0</v>
      </c>
    </row>
    <row r="54" spans="1:13">
      <c r="A54" s="60" t="s">
        <v>74</v>
      </c>
      <c r="B54" s="29" t="s">
        <v>15</v>
      </c>
      <c r="C54" s="29" t="s">
        <v>19</v>
      </c>
      <c r="D54" s="29" t="s">
        <v>51</v>
      </c>
      <c r="E54" s="29" t="s">
        <v>59</v>
      </c>
      <c r="F54" s="29" t="s">
        <v>75</v>
      </c>
      <c r="G54" s="36">
        <v>6.8</v>
      </c>
      <c r="H54" s="36">
        <v>6.82</v>
      </c>
      <c r="I54" s="36">
        <v>3.41</v>
      </c>
      <c r="J54" s="36">
        <v>3.41</v>
      </c>
      <c r="K54" s="36">
        <v>0</v>
      </c>
      <c r="L54" s="36">
        <f t="shared" si="2"/>
        <v>0</v>
      </c>
      <c r="M54" s="36">
        <f t="shared" si="3"/>
        <v>0</v>
      </c>
    </row>
    <row r="55" spans="1:13" ht="25.5">
      <c r="A55" s="60" t="s">
        <v>76</v>
      </c>
      <c r="B55" s="29" t="s">
        <v>15</v>
      </c>
      <c r="C55" s="29" t="s">
        <v>19</v>
      </c>
      <c r="D55" s="29" t="s">
        <v>51</v>
      </c>
      <c r="E55" s="29" t="s">
        <v>77</v>
      </c>
      <c r="F55" s="59" t="s">
        <v>0</v>
      </c>
      <c r="G55" s="36">
        <f>G56+G58+G62+G64</f>
        <v>58040.799999999996</v>
      </c>
      <c r="H55" s="36">
        <f>H56+H58+H62+H64+H60</f>
        <v>58040.769840000001</v>
      </c>
      <c r="I55" s="36">
        <f t="shared" ref="I55:K55" si="26">I56+I58+I62+I64+I60</f>
        <v>29137.406500000001</v>
      </c>
      <c r="J55" s="36">
        <f t="shared" si="26"/>
        <v>29137.4035</v>
      </c>
      <c r="K55" s="36">
        <f t="shared" si="26"/>
        <v>24391.87501</v>
      </c>
      <c r="L55" s="36">
        <f t="shared" si="2"/>
        <v>42.025416060539285</v>
      </c>
      <c r="M55" s="36">
        <f t="shared" si="3"/>
        <v>83.713267376765316</v>
      </c>
    </row>
    <row r="56" spans="1:13" ht="63.75">
      <c r="A56" s="60" t="s">
        <v>60</v>
      </c>
      <c r="B56" s="29" t="s">
        <v>15</v>
      </c>
      <c r="C56" s="29" t="s">
        <v>19</v>
      </c>
      <c r="D56" s="29" t="s">
        <v>51</v>
      </c>
      <c r="E56" s="29" t="s">
        <v>77</v>
      </c>
      <c r="F56" s="29" t="s">
        <v>61</v>
      </c>
      <c r="G56" s="36">
        <f>G57</f>
        <v>41057.1</v>
      </c>
      <c r="H56" s="36">
        <f t="shared" ref="H56:K56" si="27">H57</f>
        <v>40513.934939999999</v>
      </c>
      <c r="I56" s="36">
        <f t="shared" si="27"/>
        <v>20367.605</v>
      </c>
      <c r="J56" s="36">
        <f t="shared" si="27"/>
        <v>20367.605</v>
      </c>
      <c r="K56" s="36">
        <f t="shared" si="27"/>
        <v>16456.432700000001</v>
      </c>
      <c r="L56" s="36">
        <f t="shared" si="2"/>
        <v>40.619191210065168</v>
      </c>
      <c r="M56" s="36">
        <f t="shared" si="3"/>
        <v>80.797092736234831</v>
      </c>
    </row>
    <row r="57" spans="1:13">
      <c r="A57" s="60" t="s">
        <v>78</v>
      </c>
      <c r="B57" s="29" t="s">
        <v>15</v>
      </c>
      <c r="C57" s="29" t="s">
        <v>19</v>
      </c>
      <c r="D57" s="29" t="s">
        <v>51</v>
      </c>
      <c r="E57" s="29" t="s">
        <v>77</v>
      </c>
      <c r="F57" s="29" t="s">
        <v>79</v>
      </c>
      <c r="G57" s="36">
        <v>41057.1</v>
      </c>
      <c r="H57" s="36">
        <v>40513.934939999999</v>
      </c>
      <c r="I57" s="36">
        <f>15547.92+284+4535.685</f>
        <v>20367.605</v>
      </c>
      <c r="J57" s="36">
        <f>15547.92+284+4535.685</f>
        <v>20367.605</v>
      </c>
      <c r="K57" s="36">
        <f>12740.10435+280.0925+3436.23585</f>
        <v>16456.432700000001</v>
      </c>
      <c r="L57" s="36">
        <f t="shared" si="2"/>
        <v>40.619191210065168</v>
      </c>
      <c r="M57" s="36">
        <f t="shared" si="3"/>
        <v>80.797092736234831</v>
      </c>
    </row>
    <row r="58" spans="1:13" ht="25.5">
      <c r="A58" s="60" t="s">
        <v>64</v>
      </c>
      <c r="B58" s="29" t="s">
        <v>15</v>
      </c>
      <c r="C58" s="29" t="s">
        <v>19</v>
      </c>
      <c r="D58" s="29" t="s">
        <v>51</v>
      </c>
      <c r="E58" s="29" t="s">
        <v>77</v>
      </c>
      <c r="F58" s="29" t="s">
        <v>65</v>
      </c>
      <c r="G58" s="36">
        <f>G59</f>
        <v>3772.5</v>
      </c>
      <c r="H58" s="36">
        <f t="shared" ref="H58:K58" si="28">H59</f>
        <v>3772.4763699999999</v>
      </c>
      <c r="I58" s="36">
        <f t="shared" si="28"/>
        <v>2059.299</v>
      </c>
      <c r="J58" s="36">
        <f t="shared" si="28"/>
        <v>2059.299</v>
      </c>
      <c r="K58" s="36">
        <f t="shared" si="28"/>
        <v>2057.0688300000002</v>
      </c>
      <c r="L58" s="36">
        <f t="shared" si="2"/>
        <v>54.528342347178182</v>
      </c>
      <c r="M58" s="36">
        <f t="shared" si="3"/>
        <v>99.891702467684397</v>
      </c>
    </row>
    <row r="59" spans="1:13" ht="25.5">
      <c r="A59" s="60" t="s">
        <v>66</v>
      </c>
      <c r="B59" s="29" t="s">
        <v>15</v>
      </c>
      <c r="C59" s="29" t="s">
        <v>19</v>
      </c>
      <c r="D59" s="29" t="s">
        <v>51</v>
      </c>
      <c r="E59" s="29" t="s">
        <v>77</v>
      </c>
      <c r="F59" s="29" t="s">
        <v>67</v>
      </c>
      <c r="G59" s="36">
        <v>3772.5</v>
      </c>
      <c r="H59" s="36">
        <v>3772.4763699999999</v>
      </c>
      <c r="I59" s="36">
        <v>2059.299</v>
      </c>
      <c r="J59" s="36">
        <v>2059.299</v>
      </c>
      <c r="K59" s="36">
        <v>2057.0688300000002</v>
      </c>
      <c r="L59" s="36">
        <f t="shared" si="2"/>
        <v>54.528342347178182</v>
      </c>
      <c r="M59" s="36">
        <f t="shared" si="3"/>
        <v>99.891702467684397</v>
      </c>
    </row>
    <row r="60" spans="1:13">
      <c r="A60" s="60" t="s">
        <v>68</v>
      </c>
      <c r="B60" s="29" t="s">
        <v>15</v>
      </c>
      <c r="C60" s="29" t="s">
        <v>19</v>
      </c>
      <c r="D60" s="29" t="s">
        <v>51</v>
      </c>
      <c r="E60" s="29" t="s">
        <v>77</v>
      </c>
      <c r="F60" s="29">
        <v>300</v>
      </c>
      <c r="G60" s="36"/>
      <c r="H60" s="36">
        <f>H61</f>
        <v>543.18600000000004</v>
      </c>
      <c r="I60" s="36">
        <f t="shared" ref="I60:K60" si="29">I61</f>
        <v>543.18600000000004</v>
      </c>
      <c r="J60" s="36">
        <f t="shared" si="29"/>
        <v>543.18299999999999</v>
      </c>
      <c r="K60" s="36">
        <f t="shared" si="29"/>
        <v>206.928</v>
      </c>
      <c r="L60" s="36">
        <f t="shared" ref="L60:L61" si="30">K60/H60*100</f>
        <v>38.095238095238095</v>
      </c>
      <c r="M60" s="36">
        <f t="shared" ref="M60:M61" si="31">K60/I60*100</f>
        <v>38.095238095238095</v>
      </c>
    </row>
    <row r="61" spans="1:13" ht="25.5">
      <c r="A61" s="60" t="s">
        <v>151</v>
      </c>
      <c r="B61" s="29" t="s">
        <v>15</v>
      </c>
      <c r="C61" s="29" t="s">
        <v>19</v>
      </c>
      <c r="D61" s="29" t="s">
        <v>51</v>
      </c>
      <c r="E61" s="29" t="s">
        <v>77</v>
      </c>
      <c r="F61" s="29">
        <v>320</v>
      </c>
      <c r="G61" s="36"/>
      <c r="H61" s="36">
        <v>543.18600000000004</v>
      </c>
      <c r="I61" s="36">
        <v>543.18600000000004</v>
      </c>
      <c r="J61" s="36">
        <v>543.18299999999999</v>
      </c>
      <c r="K61" s="36">
        <v>206.928</v>
      </c>
      <c r="L61" s="36">
        <f t="shared" si="30"/>
        <v>38.095238095238095</v>
      </c>
      <c r="M61" s="36">
        <f t="shared" si="31"/>
        <v>38.095238095238095</v>
      </c>
    </row>
    <row r="62" spans="1:13" ht="25.5">
      <c r="A62" s="60" t="s">
        <v>80</v>
      </c>
      <c r="B62" s="29" t="s">
        <v>15</v>
      </c>
      <c r="C62" s="29" t="s">
        <v>19</v>
      </c>
      <c r="D62" s="29" t="s">
        <v>51</v>
      </c>
      <c r="E62" s="29" t="s">
        <v>77</v>
      </c>
      <c r="F62" s="29" t="s">
        <v>81</v>
      </c>
      <c r="G62" s="37">
        <f>G63</f>
        <v>12591.8</v>
      </c>
      <c r="H62" s="37">
        <f t="shared" ref="H62:K62" si="32">H63</f>
        <v>12591.8</v>
      </c>
      <c r="I62" s="37">
        <f t="shared" si="32"/>
        <v>5760</v>
      </c>
      <c r="J62" s="37">
        <f t="shared" si="32"/>
        <v>5760</v>
      </c>
      <c r="K62" s="37">
        <f t="shared" si="32"/>
        <v>5546</v>
      </c>
      <c r="L62" s="36">
        <f t="shared" si="2"/>
        <v>44.044536920853254</v>
      </c>
      <c r="M62" s="36">
        <f t="shared" si="3"/>
        <v>96.284722222222214</v>
      </c>
    </row>
    <row r="63" spans="1:13">
      <c r="A63" s="60" t="s">
        <v>82</v>
      </c>
      <c r="B63" s="29" t="s">
        <v>15</v>
      </c>
      <c r="C63" s="29" t="s">
        <v>19</v>
      </c>
      <c r="D63" s="29" t="s">
        <v>51</v>
      </c>
      <c r="E63" s="29" t="s">
        <v>77</v>
      </c>
      <c r="F63" s="29" t="s">
        <v>83</v>
      </c>
      <c r="G63" s="36">
        <v>12591.8</v>
      </c>
      <c r="H63" s="36">
        <v>12591.8</v>
      </c>
      <c r="I63" s="36">
        <f>5546+214</f>
        <v>5760</v>
      </c>
      <c r="J63" s="64">
        <f>5546+214</f>
        <v>5760</v>
      </c>
      <c r="K63" s="36">
        <f>5546</f>
        <v>5546</v>
      </c>
      <c r="L63" s="36">
        <f t="shared" si="2"/>
        <v>44.044536920853254</v>
      </c>
      <c r="M63" s="36">
        <f t="shared" si="3"/>
        <v>96.284722222222214</v>
      </c>
    </row>
    <row r="64" spans="1:13">
      <c r="A64" s="60" t="s">
        <v>72</v>
      </c>
      <c r="B64" s="29" t="s">
        <v>15</v>
      </c>
      <c r="C64" s="29" t="s">
        <v>19</v>
      </c>
      <c r="D64" s="29" t="s">
        <v>51</v>
      </c>
      <c r="E64" s="29" t="s">
        <v>77</v>
      </c>
      <c r="F64" s="29" t="s">
        <v>73</v>
      </c>
      <c r="G64" s="36">
        <f>G65+G66</f>
        <v>619.40000000000009</v>
      </c>
      <c r="H64" s="36">
        <f t="shared" ref="H64:K64" si="33">H65+H66</f>
        <v>619.37252999999998</v>
      </c>
      <c r="I64" s="36">
        <f t="shared" si="33"/>
        <v>407.31650000000002</v>
      </c>
      <c r="J64" s="36">
        <f t="shared" si="33"/>
        <v>407.31650000000002</v>
      </c>
      <c r="K64" s="36">
        <f t="shared" si="33"/>
        <v>125.44548</v>
      </c>
      <c r="L64" s="36">
        <f t="shared" si="2"/>
        <v>20.253639598772651</v>
      </c>
      <c r="M64" s="36">
        <f t="shared" si="3"/>
        <v>30.798035434361239</v>
      </c>
    </row>
    <row r="65" spans="1:13">
      <c r="A65" s="60" t="s">
        <v>84</v>
      </c>
      <c r="B65" s="29" t="s">
        <v>15</v>
      </c>
      <c r="C65" s="29" t="s">
        <v>19</v>
      </c>
      <c r="D65" s="29" t="s">
        <v>51</v>
      </c>
      <c r="E65" s="29" t="s">
        <v>77</v>
      </c>
      <c r="F65" s="29" t="s">
        <v>85</v>
      </c>
      <c r="G65" s="36">
        <v>217.3</v>
      </c>
      <c r="H65" s="36">
        <v>220.29326</v>
      </c>
      <c r="I65" s="36">
        <v>220.29326</v>
      </c>
      <c r="J65" s="36">
        <v>220.29326</v>
      </c>
      <c r="K65" s="36">
        <v>0</v>
      </c>
      <c r="L65" s="36">
        <f t="shared" si="2"/>
        <v>0</v>
      </c>
      <c r="M65" s="36">
        <f t="shared" si="3"/>
        <v>0</v>
      </c>
    </row>
    <row r="66" spans="1:13">
      <c r="A66" s="60" t="s">
        <v>74</v>
      </c>
      <c r="B66" s="29" t="s">
        <v>15</v>
      </c>
      <c r="C66" s="29" t="s">
        <v>19</v>
      </c>
      <c r="D66" s="29" t="s">
        <v>51</v>
      </c>
      <c r="E66" s="29" t="s">
        <v>77</v>
      </c>
      <c r="F66" s="29" t="s">
        <v>75</v>
      </c>
      <c r="G66" s="36">
        <v>402.1</v>
      </c>
      <c r="H66" s="36">
        <f>316.69905+21.131+61.24922</f>
        <v>399.07927000000001</v>
      </c>
      <c r="I66" s="36">
        <f>109.05552+16.7185+61.24922</f>
        <v>187.02324000000002</v>
      </c>
      <c r="J66" s="36">
        <f>109.05552+16.7185+61.24922</f>
        <v>187.02324000000002</v>
      </c>
      <c r="K66" s="36">
        <f>47.49826+16.698+61.24922</f>
        <v>125.44548</v>
      </c>
      <c r="L66" s="36">
        <f t="shared" si="2"/>
        <v>31.433724933895967</v>
      </c>
      <c r="M66" s="36">
        <f t="shared" si="3"/>
        <v>67.074808456959673</v>
      </c>
    </row>
    <row r="67" spans="1:13" ht="76.5">
      <c r="A67" s="60" t="s">
        <v>86</v>
      </c>
      <c r="B67" s="29" t="s">
        <v>15</v>
      </c>
      <c r="C67" s="29" t="s">
        <v>19</v>
      </c>
      <c r="D67" s="29" t="s">
        <v>51</v>
      </c>
      <c r="E67" s="29" t="s">
        <v>87</v>
      </c>
      <c r="F67" s="59" t="s">
        <v>0</v>
      </c>
      <c r="G67" s="36">
        <f>G68</f>
        <v>4183.5</v>
      </c>
      <c r="H67" s="36">
        <f t="shared" ref="H67:J67" si="34">H68</f>
        <v>4183.5439999999999</v>
      </c>
      <c r="I67" s="36">
        <f t="shared" si="34"/>
        <v>331.87</v>
      </c>
      <c r="J67" s="36">
        <f t="shared" si="34"/>
        <v>293.90188000000001</v>
      </c>
      <c r="K67" s="36">
        <f>K68</f>
        <v>293.90188000000001</v>
      </c>
      <c r="L67" s="36">
        <f t="shared" si="2"/>
        <v>7.0251891697565512</v>
      </c>
      <c r="M67" s="36">
        <f t="shared" si="3"/>
        <v>88.559339500406793</v>
      </c>
    </row>
    <row r="68" spans="1:13" ht="25.5">
      <c r="A68" s="60" t="s">
        <v>88</v>
      </c>
      <c r="B68" s="29" t="s">
        <v>15</v>
      </c>
      <c r="C68" s="29" t="s">
        <v>19</v>
      </c>
      <c r="D68" s="29" t="s">
        <v>51</v>
      </c>
      <c r="E68" s="29" t="s">
        <v>89</v>
      </c>
      <c r="F68" s="59" t="s">
        <v>0</v>
      </c>
      <c r="G68" s="36">
        <f>G69+G72</f>
        <v>4183.5</v>
      </c>
      <c r="H68" s="36">
        <f t="shared" ref="H68:J68" si="35">H69+H72</f>
        <v>4183.5439999999999</v>
      </c>
      <c r="I68" s="36">
        <f t="shared" si="35"/>
        <v>331.87</v>
      </c>
      <c r="J68" s="36">
        <f t="shared" si="35"/>
        <v>293.90188000000001</v>
      </c>
      <c r="K68" s="36">
        <f>K69+K72</f>
        <v>293.90188000000001</v>
      </c>
      <c r="L68" s="36">
        <f t="shared" si="2"/>
        <v>7.0251891697565512</v>
      </c>
      <c r="M68" s="36">
        <f t="shared" si="3"/>
        <v>88.559339500406793</v>
      </c>
    </row>
    <row r="69" spans="1:13" ht="25.5">
      <c r="A69" s="60" t="s">
        <v>76</v>
      </c>
      <c r="B69" s="29" t="s">
        <v>15</v>
      </c>
      <c r="C69" s="29" t="s">
        <v>19</v>
      </c>
      <c r="D69" s="29" t="s">
        <v>51</v>
      </c>
      <c r="E69" s="29" t="s">
        <v>90</v>
      </c>
      <c r="F69" s="59" t="s">
        <v>0</v>
      </c>
      <c r="G69" s="36">
        <f>G70</f>
        <v>383.5</v>
      </c>
      <c r="H69" s="36">
        <f t="shared" ref="H69:K70" si="36">H70</f>
        <v>383.54399999999998</v>
      </c>
      <c r="I69" s="36">
        <f t="shared" si="36"/>
        <v>322.78399999999999</v>
      </c>
      <c r="J69" s="36">
        <f t="shared" si="36"/>
        <v>284.81587999999999</v>
      </c>
      <c r="K69" s="36">
        <f t="shared" si="36"/>
        <v>284.81587999999999</v>
      </c>
      <c r="L69" s="36">
        <f t="shared" si="2"/>
        <v>74.258984627578585</v>
      </c>
      <c r="M69" s="36">
        <f t="shared" si="3"/>
        <v>88.237298007336179</v>
      </c>
    </row>
    <row r="70" spans="1:13" ht="25.5">
      <c r="A70" s="60" t="s">
        <v>64</v>
      </c>
      <c r="B70" s="29" t="s">
        <v>15</v>
      </c>
      <c r="C70" s="29" t="s">
        <v>19</v>
      </c>
      <c r="D70" s="29" t="s">
        <v>51</v>
      </c>
      <c r="E70" s="29" t="s">
        <v>90</v>
      </c>
      <c r="F70" s="29" t="s">
        <v>65</v>
      </c>
      <c r="G70" s="36">
        <f>G71</f>
        <v>383.5</v>
      </c>
      <c r="H70" s="36">
        <f t="shared" si="36"/>
        <v>383.54399999999998</v>
      </c>
      <c r="I70" s="36">
        <f t="shared" si="36"/>
        <v>322.78399999999999</v>
      </c>
      <c r="J70" s="36">
        <f t="shared" si="36"/>
        <v>284.81587999999999</v>
      </c>
      <c r="K70" s="36">
        <f t="shared" si="36"/>
        <v>284.81587999999999</v>
      </c>
      <c r="L70" s="36">
        <f t="shared" si="2"/>
        <v>74.258984627578585</v>
      </c>
      <c r="M70" s="36">
        <f t="shared" si="3"/>
        <v>88.237298007336179</v>
      </c>
    </row>
    <row r="71" spans="1:13" ht="25.5">
      <c r="A71" s="60" t="s">
        <v>66</v>
      </c>
      <c r="B71" s="29" t="s">
        <v>15</v>
      </c>
      <c r="C71" s="29" t="s">
        <v>19</v>
      </c>
      <c r="D71" s="29" t="s">
        <v>51</v>
      </c>
      <c r="E71" s="29" t="s">
        <v>90</v>
      </c>
      <c r="F71" s="29" t="s">
        <v>67</v>
      </c>
      <c r="G71" s="36">
        <v>383.5</v>
      </c>
      <c r="H71" s="36">
        <v>383.54399999999998</v>
      </c>
      <c r="I71" s="36">
        <v>322.78399999999999</v>
      </c>
      <c r="J71" s="36">
        <v>284.81587999999999</v>
      </c>
      <c r="K71" s="36">
        <v>284.81587999999999</v>
      </c>
      <c r="L71" s="36">
        <f t="shared" si="2"/>
        <v>74.258984627578585</v>
      </c>
      <c r="M71" s="36">
        <f t="shared" si="3"/>
        <v>88.237298007336179</v>
      </c>
    </row>
    <row r="72" spans="1:13" ht="38.25">
      <c r="A72" s="60" t="s">
        <v>37</v>
      </c>
      <c r="B72" s="29" t="s">
        <v>15</v>
      </c>
      <c r="C72" s="29" t="s">
        <v>19</v>
      </c>
      <c r="D72" s="29" t="s">
        <v>51</v>
      </c>
      <c r="E72" s="29" t="s">
        <v>91</v>
      </c>
      <c r="F72" s="59" t="s">
        <v>0</v>
      </c>
      <c r="G72" s="36">
        <f>G73</f>
        <v>3800</v>
      </c>
      <c r="H72" s="36">
        <f t="shared" ref="H72:K73" si="37">H73</f>
        <v>3800</v>
      </c>
      <c r="I72" s="36">
        <f t="shared" si="37"/>
        <v>9.0860000000000003</v>
      </c>
      <c r="J72" s="36">
        <f t="shared" si="37"/>
        <v>9.0860000000000003</v>
      </c>
      <c r="K72" s="36">
        <f t="shared" si="37"/>
        <v>9.0860000000000003</v>
      </c>
      <c r="L72" s="36">
        <f t="shared" si="2"/>
        <v>0.23910526315789474</v>
      </c>
      <c r="M72" s="36">
        <f t="shared" si="3"/>
        <v>100</v>
      </c>
    </row>
    <row r="73" spans="1:13" ht="25.5">
      <c r="A73" s="60" t="s">
        <v>39</v>
      </c>
      <c r="B73" s="29" t="s">
        <v>15</v>
      </c>
      <c r="C73" s="29" t="s">
        <v>19</v>
      </c>
      <c r="D73" s="29" t="s">
        <v>51</v>
      </c>
      <c r="E73" s="29" t="s">
        <v>91</v>
      </c>
      <c r="F73" s="29" t="s">
        <v>40</v>
      </c>
      <c r="G73" s="36">
        <f>G74</f>
        <v>3800</v>
      </c>
      <c r="H73" s="36">
        <f t="shared" si="37"/>
        <v>3800</v>
      </c>
      <c r="I73" s="36">
        <f t="shared" si="37"/>
        <v>9.0860000000000003</v>
      </c>
      <c r="J73" s="36">
        <f t="shared" si="37"/>
        <v>9.0860000000000003</v>
      </c>
      <c r="K73" s="36">
        <f t="shared" si="37"/>
        <v>9.0860000000000003</v>
      </c>
      <c r="L73" s="36">
        <f t="shared" si="2"/>
        <v>0.23910526315789474</v>
      </c>
      <c r="M73" s="36">
        <f t="shared" si="3"/>
        <v>100</v>
      </c>
    </row>
    <row r="74" spans="1:13">
      <c r="A74" s="60" t="s">
        <v>41</v>
      </c>
      <c r="B74" s="29" t="s">
        <v>15</v>
      </c>
      <c r="C74" s="29" t="s">
        <v>19</v>
      </c>
      <c r="D74" s="29" t="s">
        <v>51</v>
      </c>
      <c r="E74" s="29" t="s">
        <v>91</v>
      </c>
      <c r="F74" s="29" t="s">
        <v>42</v>
      </c>
      <c r="G74" s="36">
        <v>3800</v>
      </c>
      <c r="H74" s="36">
        <v>3800</v>
      </c>
      <c r="I74" s="36">
        <v>9.0860000000000003</v>
      </c>
      <c r="J74" s="36">
        <v>9.0860000000000003</v>
      </c>
      <c r="K74" s="36">
        <v>9.0860000000000003</v>
      </c>
      <c r="L74" s="36">
        <f t="shared" si="2"/>
        <v>0.23910526315789474</v>
      </c>
      <c r="M74" s="36">
        <f t="shared" si="3"/>
        <v>100</v>
      </c>
    </row>
    <row r="75" spans="1:13">
      <c r="A75" s="61" t="s">
        <v>0</v>
      </c>
      <c r="B75" s="59" t="s">
        <v>0</v>
      </c>
      <c r="C75" s="59" t="s">
        <v>0</v>
      </c>
      <c r="D75" s="59" t="s">
        <v>0</v>
      </c>
      <c r="E75" s="59" t="s">
        <v>0</v>
      </c>
      <c r="F75" s="59" t="s">
        <v>0</v>
      </c>
      <c r="G75" s="62" t="s">
        <v>0</v>
      </c>
      <c r="H75" s="62" t="s">
        <v>0</v>
      </c>
      <c r="I75" s="62" t="s">
        <v>0</v>
      </c>
      <c r="J75" s="62" t="s">
        <v>0</v>
      </c>
      <c r="K75" s="62" t="s">
        <v>0</v>
      </c>
      <c r="L75" s="62"/>
      <c r="M75" s="62"/>
    </row>
    <row r="76" spans="1:13">
      <c r="A76" s="60" t="s">
        <v>92</v>
      </c>
      <c r="B76" s="29" t="s">
        <v>15</v>
      </c>
      <c r="C76" s="29" t="s">
        <v>93</v>
      </c>
      <c r="D76" s="59" t="s">
        <v>0</v>
      </c>
      <c r="E76" s="59" t="s">
        <v>0</v>
      </c>
      <c r="F76" s="59" t="s">
        <v>0</v>
      </c>
      <c r="G76" s="36">
        <f>G77+G98</f>
        <v>1271558.5999999999</v>
      </c>
      <c r="H76" s="36">
        <f t="shared" ref="H76:K76" si="38">H77+H98</f>
        <v>1271558.5499999998</v>
      </c>
      <c r="I76" s="36">
        <f t="shared" si="38"/>
        <v>355772.75659</v>
      </c>
      <c r="J76" s="36">
        <f t="shared" si="38"/>
        <v>335586.45543999999</v>
      </c>
      <c r="K76" s="36">
        <f t="shared" si="38"/>
        <v>335586.45543999999</v>
      </c>
      <c r="L76" s="36">
        <f t="shared" si="2"/>
        <v>26.391742278796364</v>
      </c>
      <c r="M76" s="36">
        <f t="shared" si="3"/>
        <v>94.326068880742568</v>
      </c>
    </row>
    <row r="77" spans="1:13">
      <c r="A77" s="60" t="s">
        <v>94</v>
      </c>
      <c r="B77" s="29" t="s">
        <v>15</v>
      </c>
      <c r="C77" s="29" t="s">
        <v>93</v>
      </c>
      <c r="D77" s="29" t="s">
        <v>17</v>
      </c>
      <c r="E77" s="59" t="s">
        <v>0</v>
      </c>
      <c r="F77" s="59" t="s">
        <v>0</v>
      </c>
      <c r="G77" s="36">
        <f>G78+G90</f>
        <v>1152116.7</v>
      </c>
      <c r="H77" s="36">
        <f t="shared" ref="H77:K77" si="39">H78+H90</f>
        <v>1152116.6499999999</v>
      </c>
      <c r="I77" s="36">
        <f t="shared" si="39"/>
        <v>327668.93406</v>
      </c>
      <c r="J77" s="36">
        <f t="shared" si="39"/>
        <v>307482.63290999999</v>
      </c>
      <c r="K77" s="36">
        <f t="shared" si="39"/>
        <v>307482.63290999999</v>
      </c>
      <c r="L77" s="36">
        <f t="shared" si="2"/>
        <v>26.688498331310463</v>
      </c>
      <c r="M77" s="36">
        <f t="shared" si="3"/>
        <v>93.839421729768361</v>
      </c>
    </row>
    <row r="78" spans="1:13" ht="51">
      <c r="A78" s="60" t="s">
        <v>20</v>
      </c>
      <c r="B78" s="29" t="s">
        <v>15</v>
      </c>
      <c r="C78" s="29" t="s">
        <v>93</v>
      </c>
      <c r="D78" s="29" t="s">
        <v>17</v>
      </c>
      <c r="E78" s="29" t="s">
        <v>21</v>
      </c>
      <c r="F78" s="59" t="s">
        <v>0</v>
      </c>
      <c r="G78" s="36">
        <f>G79+G86</f>
        <v>14575.8</v>
      </c>
      <c r="H78" s="36">
        <f t="shared" ref="H78:K78" si="40">H79+H86</f>
        <v>14575.75</v>
      </c>
      <c r="I78" s="36">
        <f t="shared" si="40"/>
        <v>279</v>
      </c>
      <c r="J78" s="36">
        <f t="shared" si="40"/>
        <v>261.91199999999998</v>
      </c>
      <c r="K78" s="36">
        <f t="shared" si="40"/>
        <v>261.91199999999998</v>
      </c>
      <c r="L78" s="36">
        <f t="shared" si="2"/>
        <v>1.7969023892424059</v>
      </c>
      <c r="M78" s="36">
        <f t="shared" si="3"/>
        <v>93.875268817204301</v>
      </c>
    </row>
    <row r="79" spans="1:13" ht="38.25">
      <c r="A79" s="60" t="s">
        <v>52</v>
      </c>
      <c r="B79" s="29" t="s">
        <v>15</v>
      </c>
      <c r="C79" s="29" t="s">
        <v>93</v>
      </c>
      <c r="D79" s="29" t="s">
        <v>17</v>
      </c>
      <c r="E79" s="29" t="s">
        <v>53</v>
      </c>
      <c r="F79" s="59" t="s">
        <v>0</v>
      </c>
      <c r="G79" s="36">
        <f>G80+G83</f>
        <v>14296.8</v>
      </c>
      <c r="H79" s="36">
        <f t="shared" ref="H79:K79" si="41">H80+H83</f>
        <v>14296.75</v>
      </c>
      <c r="I79" s="36">
        <f t="shared" si="41"/>
        <v>0</v>
      </c>
      <c r="J79" s="36">
        <f t="shared" si="41"/>
        <v>0</v>
      </c>
      <c r="K79" s="36">
        <f t="shared" si="41"/>
        <v>0</v>
      </c>
      <c r="L79" s="36">
        <f t="shared" si="2"/>
        <v>0</v>
      </c>
      <c r="M79" s="36">
        <v>0</v>
      </c>
    </row>
    <row r="80" spans="1:13" ht="25.5">
      <c r="A80" s="60" t="s">
        <v>95</v>
      </c>
      <c r="B80" s="29" t="s">
        <v>15</v>
      </c>
      <c r="C80" s="29" t="s">
        <v>93</v>
      </c>
      <c r="D80" s="29" t="s">
        <v>17</v>
      </c>
      <c r="E80" s="29" t="s">
        <v>96</v>
      </c>
      <c r="F80" s="59" t="s">
        <v>0</v>
      </c>
      <c r="G80" s="36">
        <f>G81</f>
        <v>3000</v>
      </c>
      <c r="H80" s="36">
        <f t="shared" ref="H80:K81" si="42">H81</f>
        <v>3000</v>
      </c>
      <c r="I80" s="36">
        <f t="shared" si="42"/>
        <v>0</v>
      </c>
      <c r="J80" s="36">
        <f t="shared" si="42"/>
        <v>0</v>
      </c>
      <c r="K80" s="36">
        <f t="shared" si="42"/>
        <v>0</v>
      </c>
      <c r="L80" s="36">
        <f t="shared" si="2"/>
        <v>0</v>
      </c>
      <c r="M80" s="36">
        <v>0</v>
      </c>
    </row>
    <row r="81" spans="1:13" ht="25.5">
      <c r="A81" s="60" t="s">
        <v>39</v>
      </c>
      <c r="B81" s="29" t="s">
        <v>15</v>
      </c>
      <c r="C81" s="29" t="s">
        <v>93</v>
      </c>
      <c r="D81" s="29" t="s">
        <v>17</v>
      </c>
      <c r="E81" s="29" t="s">
        <v>96</v>
      </c>
      <c r="F81" s="29" t="s">
        <v>40</v>
      </c>
      <c r="G81" s="36">
        <f>G82</f>
        <v>3000</v>
      </c>
      <c r="H81" s="36">
        <f t="shared" si="42"/>
        <v>3000</v>
      </c>
      <c r="I81" s="36">
        <f t="shared" si="42"/>
        <v>0</v>
      </c>
      <c r="J81" s="36">
        <f t="shared" si="42"/>
        <v>0</v>
      </c>
      <c r="K81" s="36">
        <f t="shared" si="42"/>
        <v>0</v>
      </c>
      <c r="L81" s="36">
        <f t="shared" si="2"/>
        <v>0</v>
      </c>
      <c r="M81" s="36">
        <v>0</v>
      </c>
    </row>
    <row r="82" spans="1:13">
      <c r="A82" s="60" t="s">
        <v>41</v>
      </c>
      <c r="B82" s="29" t="s">
        <v>15</v>
      </c>
      <c r="C82" s="29" t="s">
        <v>93</v>
      </c>
      <c r="D82" s="29" t="s">
        <v>17</v>
      </c>
      <c r="E82" s="29" t="s">
        <v>96</v>
      </c>
      <c r="F82" s="29" t="s">
        <v>42</v>
      </c>
      <c r="G82" s="36">
        <v>3000</v>
      </c>
      <c r="H82" s="36">
        <v>3000</v>
      </c>
      <c r="I82" s="36">
        <v>0</v>
      </c>
      <c r="J82" s="36">
        <v>0</v>
      </c>
      <c r="K82" s="36">
        <v>0</v>
      </c>
      <c r="L82" s="36">
        <f t="shared" ref="L82:L148" si="43">K82/H82*100</f>
        <v>0</v>
      </c>
      <c r="M82" s="36">
        <v>0</v>
      </c>
    </row>
    <row r="83" spans="1:13" ht="38.25">
      <c r="A83" s="60" t="s">
        <v>37</v>
      </c>
      <c r="B83" s="29" t="s">
        <v>15</v>
      </c>
      <c r="C83" s="29" t="s">
        <v>93</v>
      </c>
      <c r="D83" s="29" t="s">
        <v>17</v>
      </c>
      <c r="E83" s="29" t="s">
        <v>97</v>
      </c>
      <c r="F83" s="59" t="s">
        <v>0</v>
      </c>
      <c r="G83" s="36">
        <f>G84</f>
        <v>11296.8</v>
      </c>
      <c r="H83" s="36">
        <f t="shared" ref="H83:K84" si="44">H84</f>
        <v>11296.75</v>
      </c>
      <c r="I83" s="36">
        <f t="shared" si="44"/>
        <v>0</v>
      </c>
      <c r="J83" s="36">
        <f t="shared" si="44"/>
        <v>0</v>
      </c>
      <c r="K83" s="36">
        <f t="shared" si="44"/>
        <v>0</v>
      </c>
      <c r="L83" s="36">
        <f t="shared" si="43"/>
        <v>0</v>
      </c>
      <c r="M83" s="36">
        <v>0</v>
      </c>
    </row>
    <row r="84" spans="1:13" ht="25.5">
      <c r="A84" s="60" t="s">
        <v>39</v>
      </c>
      <c r="B84" s="29" t="s">
        <v>15</v>
      </c>
      <c r="C84" s="29" t="s">
        <v>93</v>
      </c>
      <c r="D84" s="29" t="s">
        <v>17</v>
      </c>
      <c r="E84" s="29" t="s">
        <v>97</v>
      </c>
      <c r="F84" s="29" t="s">
        <v>40</v>
      </c>
      <c r="G84" s="36">
        <f>G85</f>
        <v>11296.8</v>
      </c>
      <c r="H84" s="36">
        <f t="shared" si="44"/>
        <v>11296.75</v>
      </c>
      <c r="I84" s="36">
        <f t="shared" si="44"/>
        <v>0</v>
      </c>
      <c r="J84" s="36">
        <f t="shared" si="44"/>
        <v>0</v>
      </c>
      <c r="K84" s="36">
        <f t="shared" si="44"/>
        <v>0</v>
      </c>
      <c r="L84" s="36">
        <f t="shared" si="43"/>
        <v>0</v>
      </c>
      <c r="M84" s="36">
        <v>0</v>
      </c>
    </row>
    <row r="85" spans="1:13">
      <c r="A85" s="60" t="s">
        <v>41</v>
      </c>
      <c r="B85" s="29" t="s">
        <v>15</v>
      </c>
      <c r="C85" s="29" t="s">
        <v>93</v>
      </c>
      <c r="D85" s="29" t="s">
        <v>17</v>
      </c>
      <c r="E85" s="29" t="s">
        <v>97</v>
      </c>
      <c r="F85" s="29" t="s">
        <v>42</v>
      </c>
      <c r="G85" s="36">
        <v>11296.8</v>
      </c>
      <c r="H85" s="36">
        <v>11296.75</v>
      </c>
      <c r="I85" s="36"/>
      <c r="J85" s="36"/>
      <c r="K85" s="36"/>
      <c r="L85" s="36">
        <f t="shared" si="43"/>
        <v>0</v>
      </c>
      <c r="M85" s="36">
        <v>0</v>
      </c>
    </row>
    <row r="86" spans="1:13" ht="25.5">
      <c r="A86" s="60" t="s">
        <v>22</v>
      </c>
      <c r="B86" s="29" t="s">
        <v>15</v>
      </c>
      <c r="C86" s="29" t="s">
        <v>93</v>
      </c>
      <c r="D86" s="29" t="s">
        <v>17</v>
      </c>
      <c r="E86" s="29" t="s">
        <v>23</v>
      </c>
      <c r="F86" s="59" t="s">
        <v>0</v>
      </c>
      <c r="G86" s="36">
        <f>G87</f>
        <v>279</v>
      </c>
      <c r="H86" s="36">
        <f t="shared" ref="H86:K88" si="45">H87</f>
        <v>279</v>
      </c>
      <c r="I86" s="36">
        <f t="shared" si="45"/>
        <v>279</v>
      </c>
      <c r="J86" s="36">
        <f t="shared" si="45"/>
        <v>261.91199999999998</v>
      </c>
      <c r="K86" s="36">
        <f t="shared" si="45"/>
        <v>261.91199999999998</v>
      </c>
      <c r="L86" s="36">
        <f t="shared" si="43"/>
        <v>93.875268817204301</v>
      </c>
      <c r="M86" s="36">
        <f t="shared" ref="M86:M148" si="46">K86/I86*100</f>
        <v>93.875268817204301</v>
      </c>
    </row>
    <row r="87" spans="1:13" ht="25.5">
      <c r="A87" s="60" t="s">
        <v>76</v>
      </c>
      <c r="B87" s="29" t="s">
        <v>15</v>
      </c>
      <c r="C87" s="29" t="s">
        <v>93</v>
      </c>
      <c r="D87" s="29" t="s">
        <v>17</v>
      </c>
      <c r="E87" s="29" t="s">
        <v>77</v>
      </c>
      <c r="F87" s="59" t="s">
        <v>0</v>
      </c>
      <c r="G87" s="36">
        <f>G88</f>
        <v>279</v>
      </c>
      <c r="H87" s="36">
        <f t="shared" si="45"/>
        <v>279</v>
      </c>
      <c r="I87" s="36">
        <f t="shared" si="45"/>
        <v>279</v>
      </c>
      <c r="J87" s="36">
        <f t="shared" si="45"/>
        <v>261.91199999999998</v>
      </c>
      <c r="K87" s="36">
        <f t="shared" si="45"/>
        <v>261.91199999999998</v>
      </c>
      <c r="L87" s="36">
        <f t="shared" si="43"/>
        <v>93.875268817204301</v>
      </c>
      <c r="M87" s="36">
        <f t="shared" si="46"/>
        <v>93.875268817204301</v>
      </c>
    </row>
    <row r="88" spans="1:13" ht="25.5">
      <c r="A88" s="60" t="s">
        <v>64</v>
      </c>
      <c r="B88" s="29" t="s">
        <v>15</v>
      </c>
      <c r="C88" s="29" t="s">
        <v>93</v>
      </c>
      <c r="D88" s="29" t="s">
        <v>17</v>
      </c>
      <c r="E88" s="29" t="s">
        <v>77</v>
      </c>
      <c r="F88" s="29" t="s">
        <v>65</v>
      </c>
      <c r="G88" s="36">
        <f>G89</f>
        <v>279</v>
      </c>
      <c r="H88" s="36">
        <f t="shared" si="45"/>
        <v>279</v>
      </c>
      <c r="I88" s="36">
        <f t="shared" si="45"/>
        <v>279</v>
      </c>
      <c r="J88" s="36">
        <f t="shared" si="45"/>
        <v>261.91199999999998</v>
      </c>
      <c r="K88" s="36">
        <f t="shared" si="45"/>
        <v>261.91199999999998</v>
      </c>
      <c r="L88" s="36">
        <f t="shared" si="43"/>
        <v>93.875268817204301</v>
      </c>
      <c r="M88" s="36">
        <f t="shared" si="46"/>
        <v>93.875268817204301</v>
      </c>
    </row>
    <row r="89" spans="1:13" ht="25.5">
      <c r="A89" s="60" t="s">
        <v>66</v>
      </c>
      <c r="B89" s="29" t="s">
        <v>15</v>
      </c>
      <c r="C89" s="29" t="s">
        <v>93</v>
      </c>
      <c r="D89" s="29" t="s">
        <v>17</v>
      </c>
      <c r="E89" s="29" t="s">
        <v>77</v>
      </c>
      <c r="F89" s="29" t="s">
        <v>67</v>
      </c>
      <c r="G89" s="36">
        <v>279</v>
      </c>
      <c r="H89" s="36">
        <v>279</v>
      </c>
      <c r="I89" s="36">
        <v>279</v>
      </c>
      <c r="J89" s="36">
        <v>261.91199999999998</v>
      </c>
      <c r="K89" s="36">
        <v>261.91199999999998</v>
      </c>
      <c r="L89" s="36">
        <f t="shared" si="43"/>
        <v>93.875268817204301</v>
      </c>
      <c r="M89" s="36">
        <f t="shared" si="46"/>
        <v>93.875268817204301</v>
      </c>
    </row>
    <row r="90" spans="1:13" ht="76.5">
      <c r="A90" s="60" t="s">
        <v>98</v>
      </c>
      <c r="B90" s="29" t="s">
        <v>15</v>
      </c>
      <c r="C90" s="29" t="s">
        <v>93</v>
      </c>
      <c r="D90" s="29" t="s">
        <v>17</v>
      </c>
      <c r="E90" s="29" t="s">
        <v>99</v>
      </c>
      <c r="F90" s="59" t="s">
        <v>0</v>
      </c>
      <c r="G90" s="36">
        <f>G91</f>
        <v>1137540.8999999999</v>
      </c>
      <c r="H90" s="36">
        <f t="shared" ref="H90:K93" si="47">H91</f>
        <v>1137540.8999999999</v>
      </c>
      <c r="I90" s="36">
        <f t="shared" si="47"/>
        <v>327389.93406</v>
      </c>
      <c r="J90" s="36">
        <f t="shared" si="47"/>
        <v>307220.72090999997</v>
      </c>
      <c r="K90" s="36">
        <f t="shared" si="47"/>
        <v>307220.72090999997</v>
      </c>
      <c r="L90" s="36">
        <f t="shared" si="43"/>
        <v>27.007443944213342</v>
      </c>
      <c r="M90" s="36">
        <f t="shared" si="46"/>
        <v>93.839391181066773</v>
      </c>
    </row>
    <row r="91" spans="1:13" ht="63.75">
      <c r="A91" s="60" t="s">
        <v>100</v>
      </c>
      <c r="B91" s="29" t="s">
        <v>15</v>
      </c>
      <c r="C91" s="29" t="s">
        <v>93</v>
      </c>
      <c r="D91" s="29" t="s">
        <v>17</v>
      </c>
      <c r="E91" s="29" t="s">
        <v>101</v>
      </c>
      <c r="F91" s="59" t="s">
        <v>0</v>
      </c>
      <c r="G91" s="36">
        <f>G92+G95</f>
        <v>1137540.8999999999</v>
      </c>
      <c r="H91" s="36">
        <f t="shared" ref="H91:K91" si="48">H92+H95</f>
        <v>1137540.8999999999</v>
      </c>
      <c r="I91" s="36">
        <f t="shared" si="48"/>
        <v>327389.93406</v>
      </c>
      <c r="J91" s="36">
        <f t="shared" si="48"/>
        <v>307220.72090999997</v>
      </c>
      <c r="K91" s="36">
        <f t="shared" si="48"/>
        <v>307220.72090999997</v>
      </c>
      <c r="L91" s="36">
        <f t="shared" si="43"/>
        <v>27.007443944213342</v>
      </c>
      <c r="M91" s="36">
        <f t="shared" si="46"/>
        <v>93.839391181066773</v>
      </c>
    </row>
    <row r="92" spans="1:13" ht="63.75">
      <c r="A92" s="60" t="s">
        <v>102</v>
      </c>
      <c r="B92" s="29" t="s">
        <v>15</v>
      </c>
      <c r="C92" s="29" t="s">
        <v>93</v>
      </c>
      <c r="D92" s="29" t="s">
        <v>17</v>
      </c>
      <c r="E92" s="29" t="s">
        <v>103</v>
      </c>
      <c r="F92" s="59" t="s">
        <v>0</v>
      </c>
      <c r="G92" s="36">
        <f>G93</f>
        <v>902168.5</v>
      </c>
      <c r="H92" s="36">
        <f t="shared" si="47"/>
        <v>902168.5</v>
      </c>
      <c r="I92" s="36">
        <f t="shared" si="47"/>
        <v>92017.534060000005</v>
      </c>
      <c r="J92" s="36">
        <f t="shared" si="47"/>
        <v>71848.320909999995</v>
      </c>
      <c r="K92" s="36">
        <f t="shared" si="47"/>
        <v>71848.320909999995</v>
      </c>
      <c r="L92" s="36">
        <f t="shared" si="43"/>
        <v>7.9639580532904874</v>
      </c>
      <c r="M92" s="36">
        <f t="shared" si="46"/>
        <v>78.08111969524343</v>
      </c>
    </row>
    <row r="93" spans="1:13" ht="25.5">
      <c r="A93" s="60" t="s">
        <v>39</v>
      </c>
      <c r="B93" s="29" t="s">
        <v>15</v>
      </c>
      <c r="C93" s="29" t="s">
        <v>93</v>
      </c>
      <c r="D93" s="29" t="s">
        <v>17</v>
      </c>
      <c r="E93" s="29" t="s">
        <v>103</v>
      </c>
      <c r="F93" s="29" t="s">
        <v>40</v>
      </c>
      <c r="G93" s="36">
        <f>G94</f>
        <v>902168.5</v>
      </c>
      <c r="H93" s="36">
        <f t="shared" si="47"/>
        <v>902168.5</v>
      </c>
      <c r="I93" s="36">
        <f t="shared" si="47"/>
        <v>92017.534060000005</v>
      </c>
      <c r="J93" s="36">
        <f t="shared" si="47"/>
        <v>71848.320909999995</v>
      </c>
      <c r="K93" s="36">
        <f t="shared" si="47"/>
        <v>71848.320909999995</v>
      </c>
      <c r="L93" s="36">
        <f t="shared" si="43"/>
        <v>7.9639580532904874</v>
      </c>
      <c r="M93" s="36">
        <f t="shared" si="46"/>
        <v>78.08111969524343</v>
      </c>
    </row>
    <row r="94" spans="1:13">
      <c r="A94" s="60" t="s">
        <v>41</v>
      </c>
      <c r="B94" s="29" t="s">
        <v>15</v>
      </c>
      <c r="C94" s="29" t="s">
        <v>93</v>
      </c>
      <c r="D94" s="29" t="s">
        <v>17</v>
      </c>
      <c r="E94" s="29" t="s">
        <v>103</v>
      </c>
      <c r="F94" s="29" t="s">
        <v>42</v>
      </c>
      <c r="G94" s="36">
        <v>902168.5</v>
      </c>
      <c r="H94" s="36">
        <v>902168.5</v>
      </c>
      <c r="I94" s="36">
        <v>92017.534060000005</v>
      </c>
      <c r="J94" s="36">
        <v>71848.320909999995</v>
      </c>
      <c r="K94" s="36">
        <v>71848.320909999995</v>
      </c>
      <c r="L94" s="36">
        <f t="shared" si="43"/>
        <v>7.9639580532904874</v>
      </c>
      <c r="M94" s="36">
        <f t="shared" si="46"/>
        <v>78.08111969524343</v>
      </c>
    </row>
    <row r="95" spans="1:13" ht="63.75">
      <c r="A95" s="60" t="s">
        <v>102</v>
      </c>
      <c r="B95" s="29" t="s">
        <v>15</v>
      </c>
      <c r="C95" s="29" t="s">
        <v>93</v>
      </c>
      <c r="D95" s="29" t="s">
        <v>17</v>
      </c>
      <c r="E95" s="29" t="s">
        <v>104</v>
      </c>
      <c r="F95" s="59" t="s">
        <v>0</v>
      </c>
      <c r="G95" s="36">
        <f>G96</f>
        <v>235372.4</v>
      </c>
      <c r="H95" s="36">
        <f t="shared" ref="H95:K96" si="49">H96</f>
        <v>235372.4</v>
      </c>
      <c r="I95" s="36">
        <f t="shared" si="49"/>
        <v>235372.4</v>
      </c>
      <c r="J95" s="36">
        <f t="shared" si="49"/>
        <v>235372.4</v>
      </c>
      <c r="K95" s="36">
        <f t="shared" si="49"/>
        <v>235372.4</v>
      </c>
      <c r="L95" s="36">
        <f t="shared" si="43"/>
        <v>100</v>
      </c>
      <c r="M95" s="36">
        <f t="shared" si="46"/>
        <v>100</v>
      </c>
    </row>
    <row r="96" spans="1:13" ht="25.5">
      <c r="A96" s="60" t="s">
        <v>39</v>
      </c>
      <c r="B96" s="29" t="s">
        <v>15</v>
      </c>
      <c r="C96" s="29" t="s">
        <v>93</v>
      </c>
      <c r="D96" s="29" t="s">
        <v>17</v>
      </c>
      <c r="E96" s="29" t="s">
        <v>104</v>
      </c>
      <c r="F96" s="29" t="s">
        <v>40</v>
      </c>
      <c r="G96" s="36">
        <f>G97</f>
        <v>235372.4</v>
      </c>
      <c r="H96" s="36">
        <f t="shared" si="49"/>
        <v>235372.4</v>
      </c>
      <c r="I96" s="36">
        <f t="shared" si="49"/>
        <v>235372.4</v>
      </c>
      <c r="J96" s="36">
        <f t="shared" si="49"/>
        <v>235372.4</v>
      </c>
      <c r="K96" s="36">
        <f t="shared" si="49"/>
        <v>235372.4</v>
      </c>
      <c r="L96" s="36">
        <f t="shared" si="43"/>
        <v>100</v>
      </c>
      <c r="M96" s="36">
        <f t="shared" si="46"/>
        <v>100</v>
      </c>
    </row>
    <row r="97" spans="1:13">
      <c r="A97" s="60" t="s">
        <v>41</v>
      </c>
      <c r="B97" s="29" t="s">
        <v>15</v>
      </c>
      <c r="C97" s="29" t="s">
        <v>93</v>
      </c>
      <c r="D97" s="29" t="s">
        <v>17</v>
      </c>
      <c r="E97" s="29" t="s">
        <v>104</v>
      </c>
      <c r="F97" s="29" t="s">
        <v>42</v>
      </c>
      <c r="G97" s="36">
        <v>235372.4</v>
      </c>
      <c r="H97" s="36">
        <v>235372.4</v>
      </c>
      <c r="I97" s="36">
        <v>235372.4</v>
      </c>
      <c r="J97" s="36">
        <v>235372.4</v>
      </c>
      <c r="K97" s="36">
        <v>235372.4</v>
      </c>
      <c r="L97" s="36">
        <f t="shared" si="43"/>
        <v>100</v>
      </c>
      <c r="M97" s="36">
        <f t="shared" si="46"/>
        <v>100</v>
      </c>
    </row>
    <row r="98" spans="1:13">
      <c r="A98" s="60" t="s">
        <v>105</v>
      </c>
      <c r="B98" s="29" t="s">
        <v>15</v>
      </c>
      <c r="C98" s="29" t="s">
        <v>93</v>
      </c>
      <c r="D98" s="29" t="s">
        <v>106</v>
      </c>
      <c r="E98" s="59" t="s">
        <v>0</v>
      </c>
      <c r="F98" s="59" t="s">
        <v>0</v>
      </c>
      <c r="G98" s="36">
        <f>G99</f>
        <v>119441.9</v>
      </c>
      <c r="H98" s="36">
        <f t="shared" ref="H98:K99" si="50">H99</f>
        <v>119441.9</v>
      </c>
      <c r="I98" s="36">
        <f t="shared" si="50"/>
        <v>28103.822530000001</v>
      </c>
      <c r="J98" s="36">
        <f t="shared" si="50"/>
        <v>28103.822530000001</v>
      </c>
      <c r="K98" s="36">
        <f t="shared" si="50"/>
        <v>28103.822530000001</v>
      </c>
      <c r="L98" s="36">
        <f t="shared" si="43"/>
        <v>23.529282881467893</v>
      </c>
      <c r="M98" s="36">
        <f t="shared" si="46"/>
        <v>100</v>
      </c>
    </row>
    <row r="99" spans="1:13" ht="51">
      <c r="A99" s="60" t="s">
        <v>20</v>
      </c>
      <c r="B99" s="29" t="s">
        <v>15</v>
      </c>
      <c r="C99" s="29" t="s">
        <v>93</v>
      </c>
      <c r="D99" s="29" t="s">
        <v>106</v>
      </c>
      <c r="E99" s="29" t="s">
        <v>21</v>
      </c>
      <c r="F99" s="59" t="s">
        <v>0</v>
      </c>
      <c r="G99" s="36">
        <f>G100</f>
        <v>119441.9</v>
      </c>
      <c r="H99" s="36">
        <f t="shared" si="50"/>
        <v>119441.9</v>
      </c>
      <c r="I99" s="36">
        <f t="shared" si="50"/>
        <v>28103.822530000001</v>
      </c>
      <c r="J99" s="36">
        <f t="shared" si="50"/>
        <v>28103.822530000001</v>
      </c>
      <c r="K99" s="36">
        <f t="shared" si="50"/>
        <v>28103.822530000001</v>
      </c>
      <c r="L99" s="36">
        <f t="shared" si="43"/>
        <v>23.529282881467893</v>
      </c>
      <c r="M99" s="36">
        <f t="shared" si="46"/>
        <v>100</v>
      </c>
    </row>
    <row r="100" spans="1:13" ht="38.25">
      <c r="A100" s="60" t="s">
        <v>52</v>
      </c>
      <c r="B100" s="29" t="s">
        <v>15</v>
      </c>
      <c r="C100" s="29" t="s">
        <v>93</v>
      </c>
      <c r="D100" s="29" t="s">
        <v>106</v>
      </c>
      <c r="E100" s="29" t="s">
        <v>53</v>
      </c>
      <c r="F100" s="59" t="s">
        <v>0</v>
      </c>
      <c r="G100" s="36">
        <f>G101+G104</f>
        <v>119441.9</v>
      </c>
      <c r="H100" s="36">
        <f t="shared" ref="H100:K100" si="51">H101+H104</f>
        <v>119441.9</v>
      </c>
      <c r="I100" s="36">
        <f t="shared" si="51"/>
        <v>28103.822530000001</v>
      </c>
      <c r="J100" s="36">
        <f t="shared" si="51"/>
        <v>28103.822530000001</v>
      </c>
      <c r="K100" s="36">
        <f t="shared" si="51"/>
        <v>28103.822530000001</v>
      </c>
      <c r="L100" s="36">
        <f t="shared" si="43"/>
        <v>23.529282881467893</v>
      </c>
      <c r="M100" s="36">
        <f t="shared" si="46"/>
        <v>100</v>
      </c>
    </row>
    <row r="101" spans="1:13" ht="38.25">
      <c r="A101" s="60" t="s">
        <v>37</v>
      </c>
      <c r="B101" s="29" t="s">
        <v>15</v>
      </c>
      <c r="C101" s="29" t="s">
        <v>93</v>
      </c>
      <c r="D101" s="29" t="s">
        <v>106</v>
      </c>
      <c r="E101" s="29" t="s">
        <v>97</v>
      </c>
      <c r="F101" s="59" t="s">
        <v>0</v>
      </c>
      <c r="G101" s="36">
        <f>G102</f>
        <v>91441.9</v>
      </c>
      <c r="H101" s="36">
        <f t="shared" ref="H101:K102" si="52">H102</f>
        <v>91441.9</v>
      </c>
      <c r="I101" s="36">
        <f t="shared" si="52"/>
        <v>28103.822530000001</v>
      </c>
      <c r="J101" s="36">
        <f t="shared" si="52"/>
        <v>28103.822530000001</v>
      </c>
      <c r="K101" s="36">
        <f t="shared" si="52"/>
        <v>28103.822530000001</v>
      </c>
      <c r="L101" s="36">
        <f t="shared" si="43"/>
        <v>30.73407544025223</v>
      </c>
      <c r="M101" s="36">
        <f t="shared" si="46"/>
        <v>100</v>
      </c>
    </row>
    <row r="102" spans="1:13" ht="25.5">
      <c r="A102" s="60" t="s">
        <v>39</v>
      </c>
      <c r="B102" s="29" t="s">
        <v>15</v>
      </c>
      <c r="C102" s="29" t="s">
        <v>93</v>
      </c>
      <c r="D102" s="29" t="s">
        <v>106</v>
      </c>
      <c r="E102" s="29" t="s">
        <v>97</v>
      </c>
      <c r="F102" s="29" t="s">
        <v>40</v>
      </c>
      <c r="G102" s="36">
        <f>G103</f>
        <v>91441.9</v>
      </c>
      <c r="H102" s="36">
        <f t="shared" si="52"/>
        <v>91441.9</v>
      </c>
      <c r="I102" s="36">
        <f t="shared" si="52"/>
        <v>28103.822530000001</v>
      </c>
      <c r="J102" s="36">
        <f t="shared" si="52"/>
        <v>28103.822530000001</v>
      </c>
      <c r="K102" s="36">
        <f t="shared" si="52"/>
        <v>28103.822530000001</v>
      </c>
      <c r="L102" s="36">
        <f t="shared" si="43"/>
        <v>30.73407544025223</v>
      </c>
      <c r="M102" s="36">
        <f t="shared" si="46"/>
        <v>100</v>
      </c>
    </row>
    <row r="103" spans="1:13">
      <c r="A103" s="60" t="s">
        <v>41</v>
      </c>
      <c r="B103" s="29" t="s">
        <v>15</v>
      </c>
      <c r="C103" s="29" t="s">
        <v>93</v>
      </c>
      <c r="D103" s="29" t="s">
        <v>106</v>
      </c>
      <c r="E103" s="29" t="s">
        <v>97</v>
      </c>
      <c r="F103" s="29" t="s">
        <v>42</v>
      </c>
      <c r="G103" s="36">
        <v>91441.9</v>
      </c>
      <c r="H103" s="36">
        <v>91441.9</v>
      </c>
      <c r="I103" s="36">
        <v>28103.822530000001</v>
      </c>
      <c r="J103" s="36">
        <v>28103.822530000001</v>
      </c>
      <c r="K103" s="36">
        <v>28103.822530000001</v>
      </c>
      <c r="L103" s="36">
        <f t="shared" si="43"/>
        <v>30.73407544025223</v>
      </c>
      <c r="M103" s="36">
        <f t="shared" si="46"/>
        <v>100</v>
      </c>
    </row>
    <row r="104" spans="1:13" ht="25.5">
      <c r="A104" s="60" t="s">
        <v>107</v>
      </c>
      <c r="B104" s="29" t="s">
        <v>15</v>
      </c>
      <c r="C104" s="29" t="s">
        <v>93</v>
      </c>
      <c r="D104" s="29" t="s">
        <v>106</v>
      </c>
      <c r="E104" s="29" t="s">
        <v>108</v>
      </c>
      <c r="F104" s="59" t="s">
        <v>0</v>
      </c>
      <c r="G104" s="36">
        <f>G105</f>
        <v>28000</v>
      </c>
      <c r="H104" s="36">
        <f t="shared" ref="H104:K105" si="53">H105</f>
        <v>28000</v>
      </c>
      <c r="I104" s="36">
        <f t="shared" si="53"/>
        <v>0</v>
      </c>
      <c r="J104" s="36">
        <f t="shared" si="53"/>
        <v>0</v>
      </c>
      <c r="K104" s="36">
        <f t="shared" si="53"/>
        <v>0</v>
      </c>
      <c r="L104" s="36">
        <f t="shared" si="43"/>
        <v>0</v>
      </c>
      <c r="M104" s="36">
        <v>0</v>
      </c>
    </row>
    <row r="105" spans="1:13">
      <c r="A105" s="60" t="s">
        <v>26</v>
      </c>
      <c r="B105" s="29" t="s">
        <v>15</v>
      </c>
      <c r="C105" s="29" t="s">
        <v>93</v>
      </c>
      <c r="D105" s="29" t="s">
        <v>106</v>
      </c>
      <c r="E105" s="29" t="s">
        <v>108</v>
      </c>
      <c r="F105" s="29" t="s">
        <v>27</v>
      </c>
      <c r="G105" s="36">
        <f>G106</f>
        <v>28000</v>
      </c>
      <c r="H105" s="36">
        <f t="shared" si="53"/>
        <v>28000</v>
      </c>
      <c r="I105" s="36">
        <f t="shared" si="53"/>
        <v>0</v>
      </c>
      <c r="J105" s="36">
        <f t="shared" si="53"/>
        <v>0</v>
      </c>
      <c r="K105" s="36">
        <f t="shared" si="53"/>
        <v>0</v>
      </c>
      <c r="L105" s="36">
        <f t="shared" si="43"/>
        <v>0</v>
      </c>
      <c r="M105" s="36">
        <v>0</v>
      </c>
    </row>
    <row r="106" spans="1:13">
      <c r="A106" s="60" t="s">
        <v>56</v>
      </c>
      <c r="B106" s="29" t="s">
        <v>15</v>
      </c>
      <c r="C106" s="29" t="s">
        <v>93</v>
      </c>
      <c r="D106" s="29" t="s">
        <v>106</v>
      </c>
      <c r="E106" s="29" t="s">
        <v>108</v>
      </c>
      <c r="F106" s="29" t="s">
        <v>57</v>
      </c>
      <c r="G106" s="36">
        <v>28000</v>
      </c>
      <c r="H106" s="36">
        <v>28000</v>
      </c>
      <c r="I106" s="36">
        <v>0</v>
      </c>
      <c r="J106" s="36">
        <v>0</v>
      </c>
      <c r="K106" s="36">
        <v>0</v>
      </c>
      <c r="L106" s="36">
        <f t="shared" si="43"/>
        <v>0</v>
      </c>
      <c r="M106" s="36">
        <v>0</v>
      </c>
    </row>
    <row r="107" spans="1:13">
      <c r="A107" s="61" t="s">
        <v>0</v>
      </c>
      <c r="B107" s="59" t="s">
        <v>0</v>
      </c>
      <c r="C107" s="59" t="s">
        <v>0</v>
      </c>
      <c r="D107" s="59" t="s">
        <v>0</v>
      </c>
      <c r="E107" s="59" t="s">
        <v>0</v>
      </c>
      <c r="F107" s="59" t="s">
        <v>0</v>
      </c>
      <c r="G107" s="62" t="s">
        <v>0</v>
      </c>
      <c r="H107" s="62" t="s">
        <v>0</v>
      </c>
      <c r="I107" s="62" t="s">
        <v>0</v>
      </c>
      <c r="J107" s="62" t="s">
        <v>0</v>
      </c>
      <c r="K107" s="62" t="s">
        <v>0</v>
      </c>
      <c r="L107" s="62"/>
      <c r="M107" s="62"/>
    </row>
    <row r="108" spans="1:13">
      <c r="A108" s="60" t="s">
        <v>109</v>
      </c>
      <c r="B108" s="29" t="s">
        <v>15</v>
      </c>
      <c r="C108" s="29" t="s">
        <v>110</v>
      </c>
      <c r="D108" s="59" t="s">
        <v>0</v>
      </c>
      <c r="E108" s="59" t="s">
        <v>0</v>
      </c>
      <c r="F108" s="59" t="s">
        <v>0</v>
      </c>
      <c r="G108" s="36">
        <f>G109+G118+G141</f>
        <v>324500.3</v>
      </c>
      <c r="H108" s="36">
        <f t="shared" ref="H108:K108" si="54">H109+H118+H141</f>
        <v>331210.28336999996</v>
      </c>
      <c r="I108" s="36">
        <f t="shared" si="54"/>
        <v>213255.46369999999</v>
      </c>
      <c r="J108" s="36">
        <f t="shared" si="54"/>
        <v>212727.21161000003</v>
      </c>
      <c r="K108" s="36">
        <f t="shared" si="54"/>
        <v>212727.21161000003</v>
      </c>
      <c r="L108" s="36">
        <f t="shared" si="43"/>
        <v>64.227236378515244</v>
      </c>
      <c r="M108" s="36">
        <f t="shared" si="46"/>
        <v>99.752291415734561</v>
      </c>
    </row>
    <row r="109" spans="1:13">
      <c r="A109" s="60" t="s">
        <v>111</v>
      </c>
      <c r="B109" s="29" t="s">
        <v>15</v>
      </c>
      <c r="C109" s="29" t="s">
        <v>110</v>
      </c>
      <c r="D109" s="29" t="s">
        <v>17</v>
      </c>
      <c r="E109" s="59" t="s">
        <v>0</v>
      </c>
      <c r="F109" s="59" t="s">
        <v>0</v>
      </c>
      <c r="G109" s="36">
        <f>G110</f>
        <v>206890.5</v>
      </c>
      <c r="H109" s="36">
        <f t="shared" ref="H109:K113" si="55">H110</f>
        <v>206890.45551</v>
      </c>
      <c r="I109" s="36">
        <f t="shared" si="55"/>
        <v>145475.56761999999</v>
      </c>
      <c r="J109" s="36">
        <f t="shared" si="55"/>
        <v>145475.54662000001</v>
      </c>
      <c r="K109" s="36">
        <f t="shared" si="55"/>
        <v>145475.54662000001</v>
      </c>
      <c r="L109" s="36">
        <f t="shared" si="43"/>
        <v>70.315252707715402</v>
      </c>
      <c r="M109" s="36">
        <f t="shared" si="46"/>
        <v>99.999985564586325</v>
      </c>
    </row>
    <row r="110" spans="1:13" ht="38.25">
      <c r="A110" s="60" t="s">
        <v>112</v>
      </c>
      <c r="B110" s="29" t="s">
        <v>15</v>
      </c>
      <c r="C110" s="29" t="s">
        <v>110</v>
      </c>
      <c r="D110" s="29" t="s">
        <v>17</v>
      </c>
      <c r="E110" s="29" t="s">
        <v>113</v>
      </c>
      <c r="F110" s="59" t="s">
        <v>0</v>
      </c>
      <c r="G110" s="36">
        <f>G111</f>
        <v>206890.5</v>
      </c>
      <c r="H110" s="36">
        <f t="shared" si="55"/>
        <v>206890.45551</v>
      </c>
      <c r="I110" s="36">
        <f t="shared" si="55"/>
        <v>145475.56761999999</v>
      </c>
      <c r="J110" s="36">
        <f t="shared" si="55"/>
        <v>145475.54662000001</v>
      </c>
      <c r="K110" s="36">
        <f t="shared" si="55"/>
        <v>145475.54662000001</v>
      </c>
      <c r="L110" s="36">
        <f t="shared" si="43"/>
        <v>70.315252707715402</v>
      </c>
      <c r="M110" s="36">
        <f t="shared" si="46"/>
        <v>99.999985564586325</v>
      </c>
    </row>
    <row r="111" spans="1:13" ht="38.25">
      <c r="A111" s="60" t="s">
        <v>114</v>
      </c>
      <c r="B111" s="29" t="s">
        <v>15</v>
      </c>
      <c r="C111" s="29" t="s">
        <v>110</v>
      </c>
      <c r="D111" s="29" t="s">
        <v>17</v>
      </c>
      <c r="E111" s="29" t="s">
        <v>115</v>
      </c>
      <c r="F111" s="59" t="s">
        <v>0</v>
      </c>
      <c r="G111" s="36">
        <f>G112+G115</f>
        <v>206890.5</v>
      </c>
      <c r="H111" s="36">
        <f>H112+H115</f>
        <v>206890.45551</v>
      </c>
      <c r="I111" s="36">
        <f t="shared" ref="I111:K111" si="56">I112+I115</f>
        <v>145475.56761999999</v>
      </c>
      <c r="J111" s="36">
        <f t="shared" si="56"/>
        <v>145475.54662000001</v>
      </c>
      <c r="K111" s="36">
        <f t="shared" si="56"/>
        <v>145475.54662000001</v>
      </c>
      <c r="L111" s="36">
        <f t="shared" si="43"/>
        <v>70.315252707715402</v>
      </c>
      <c r="M111" s="36">
        <f t="shared" si="46"/>
        <v>99.999985564586325</v>
      </c>
    </row>
    <row r="112" spans="1:13" ht="25.5">
      <c r="A112" s="60" t="s">
        <v>107</v>
      </c>
      <c r="B112" s="29" t="s">
        <v>15</v>
      </c>
      <c r="C112" s="29" t="s">
        <v>110</v>
      </c>
      <c r="D112" s="29" t="s">
        <v>17</v>
      </c>
      <c r="E112" s="29" t="s">
        <v>116</v>
      </c>
      <c r="F112" s="59" t="s">
        <v>0</v>
      </c>
      <c r="G112" s="36">
        <f>G113</f>
        <v>161274.5</v>
      </c>
      <c r="H112" s="36">
        <f t="shared" si="55"/>
        <v>161274.45551</v>
      </c>
      <c r="I112" s="36">
        <f t="shared" si="55"/>
        <v>99909.567620000002</v>
      </c>
      <c r="J112" s="36">
        <f t="shared" si="55"/>
        <v>99909.567620000002</v>
      </c>
      <c r="K112" s="36">
        <f t="shared" si="55"/>
        <v>99909.567620000002</v>
      </c>
      <c r="L112" s="36">
        <f t="shared" si="43"/>
        <v>61.950026310152381</v>
      </c>
      <c r="M112" s="36">
        <f t="shared" si="46"/>
        <v>100</v>
      </c>
    </row>
    <row r="113" spans="1:13">
      <c r="A113" s="60" t="s">
        <v>26</v>
      </c>
      <c r="B113" s="29" t="s">
        <v>15</v>
      </c>
      <c r="C113" s="29" t="s">
        <v>110</v>
      </c>
      <c r="D113" s="29" t="s">
        <v>17</v>
      </c>
      <c r="E113" s="29" t="s">
        <v>116</v>
      </c>
      <c r="F113" s="29" t="s">
        <v>27</v>
      </c>
      <c r="G113" s="36">
        <f>G114</f>
        <v>161274.5</v>
      </c>
      <c r="H113" s="36">
        <f t="shared" si="55"/>
        <v>161274.45551</v>
      </c>
      <c r="I113" s="36">
        <f t="shared" si="55"/>
        <v>99909.567620000002</v>
      </c>
      <c r="J113" s="36">
        <f t="shared" si="55"/>
        <v>99909.567620000002</v>
      </c>
      <c r="K113" s="36">
        <f t="shared" si="55"/>
        <v>99909.567620000002</v>
      </c>
      <c r="L113" s="36">
        <f t="shared" si="43"/>
        <v>61.950026310152381</v>
      </c>
      <c r="M113" s="36">
        <f t="shared" si="46"/>
        <v>100</v>
      </c>
    </row>
    <row r="114" spans="1:13">
      <c r="A114" s="60" t="s">
        <v>56</v>
      </c>
      <c r="B114" s="29" t="s">
        <v>15</v>
      </c>
      <c r="C114" s="29" t="s">
        <v>110</v>
      </c>
      <c r="D114" s="29" t="s">
        <v>17</v>
      </c>
      <c r="E114" s="29" t="s">
        <v>116</v>
      </c>
      <c r="F114" s="29" t="s">
        <v>57</v>
      </c>
      <c r="G114" s="36">
        <v>161274.5</v>
      </c>
      <c r="H114" s="36">
        <v>161274.45551</v>
      </c>
      <c r="I114" s="36">
        <v>99909.567620000002</v>
      </c>
      <c r="J114" s="36">
        <v>99909.567620000002</v>
      </c>
      <c r="K114" s="36">
        <v>99909.567620000002</v>
      </c>
      <c r="L114" s="36">
        <f t="shared" si="43"/>
        <v>61.950026310152381</v>
      </c>
      <c r="M114" s="36">
        <f t="shared" si="46"/>
        <v>100</v>
      </c>
    </row>
    <row r="115" spans="1:13" ht="51">
      <c r="A115" s="60" t="s">
        <v>117</v>
      </c>
      <c r="B115" s="29" t="s">
        <v>15</v>
      </c>
      <c r="C115" s="29" t="s">
        <v>110</v>
      </c>
      <c r="D115" s="29" t="s">
        <v>17</v>
      </c>
      <c r="E115" s="29" t="s">
        <v>118</v>
      </c>
      <c r="F115" s="59" t="s">
        <v>0</v>
      </c>
      <c r="G115" s="36">
        <f>G116</f>
        <v>45616</v>
      </c>
      <c r="H115" s="36">
        <f t="shared" ref="H115:K116" si="57">H116</f>
        <v>45616</v>
      </c>
      <c r="I115" s="36">
        <f t="shared" si="57"/>
        <v>45566</v>
      </c>
      <c r="J115" s="36">
        <f t="shared" si="57"/>
        <v>45565.978999999999</v>
      </c>
      <c r="K115" s="36">
        <f t="shared" si="57"/>
        <v>45565.978999999999</v>
      </c>
      <c r="L115" s="36">
        <f t="shared" si="43"/>
        <v>99.890343300596285</v>
      </c>
      <c r="M115" s="36">
        <f t="shared" si="46"/>
        <v>99.999953913005314</v>
      </c>
    </row>
    <row r="116" spans="1:13">
      <c r="A116" s="60" t="s">
        <v>26</v>
      </c>
      <c r="B116" s="29" t="s">
        <v>15</v>
      </c>
      <c r="C116" s="29" t="s">
        <v>110</v>
      </c>
      <c r="D116" s="29" t="s">
        <v>17</v>
      </c>
      <c r="E116" s="29" t="s">
        <v>118</v>
      </c>
      <c r="F116" s="29" t="s">
        <v>27</v>
      </c>
      <c r="G116" s="36">
        <f>G117</f>
        <v>45616</v>
      </c>
      <c r="H116" s="36">
        <f t="shared" si="57"/>
        <v>45616</v>
      </c>
      <c r="I116" s="36">
        <f t="shared" si="57"/>
        <v>45566</v>
      </c>
      <c r="J116" s="36">
        <f t="shared" si="57"/>
        <v>45565.978999999999</v>
      </c>
      <c r="K116" s="36">
        <f t="shared" si="57"/>
        <v>45565.978999999999</v>
      </c>
      <c r="L116" s="36">
        <f t="shared" si="43"/>
        <v>99.890343300596285</v>
      </c>
      <c r="M116" s="36">
        <f t="shared" si="46"/>
        <v>99.999953913005314</v>
      </c>
    </row>
    <row r="117" spans="1:13">
      <c r="A117" s="60" t="s">
        <v>56</v>
      </c>
      <c r="B117" s="29" t="s">
        <v>15</v>
      </c>
      <c r="C117" s="29" t="s">
        <v>110</v>
      </c>
      <c r="D117" s="29" t="s">
        <v>17</v>
      </c>
      <c r="E117" s="29" t="s">
        <v>118</v>
      </c>
      <c r="F117" s="29" t="s">
        <v>57</v>
      </c>
      <c r="G117" s="36">
        <v>45616</v>
      </c>
      <c r="H117" s="36">
        <v>45616</v>
      </c>
      <c r="I117" s="36">
        <v>45566</v>
      </c>
      <c r="J117" s="36">
        <v>45565.978999999999</v>
      </c>
      <c r="K117" s="36">
        <v>45565.978999999999</v>
      </c>
      <c r="L117" s="36">
        <f t="shared" si="43"/>
        <v>99.890343300596285</v>
      </c>
      <c r="M117" s="36">
        <f t="shared" si="46"/>
        <v>99.999953913005314</v>
      </c>
    </row>
    <row r="118" spans="1:13">
      <c r="A118" s="60" t="s">
        <v>119</v>
      </c>
      <c r="B118" s="29" t="s">
        <v>15</v>
      </c>
      <c r="C118" s="29" t="s">
        <v>110</v>
      </c>
      <c r="D118" s="29" t="s">
        <v>106</v>
      </c>
      <c r="E118" s="59" t="s">
        <v>0</v>
      </c>
      <c r="F118" s="59" t="s">
        <v>0</v>
      </c>
      <c r="G118" s="36">
        <f>G119+G127+G131</f>
        <v>117418.7</v>
      </c>
      <c r="H118" s="36">
        <f t="shared" ref="H118:K118" si="58">H119+H127+H131</f>
        <v>124128.74892</v>
      </c>
      <c r="I118" s="36">
        <f t="shared" si="58"/>
        <v>67588.817139999999</v>
      </c>
      <c r="J118" s="36">
        <f t="shared" si="58"/>
        <v>67060.586049999998</v>
      </c>
      <c r="K118" s="36">
        <f t="shared" si="58"/>
        <v>67060.586049999998</v>
      </c>
      <c r="L118" s="36">
        <f t="shared" si="43"/>
        <v>54.025023722119379</v>
      </c>
      <c r="M118" s="36">
        <f t="shared" si="46"/>
        <v>99.218463774997204</v>
      </c>
    </row>
    <row r="119" spans="1:13" ht="38.25">
      <c r="A119" s="60" t="s">
        <v>112</v>
      </c>
      <c r="B119" s="29" t="s">
        <v>15</v>
      </c>
      <c r="C119" s="29" t="s">
        <v>110</v>
      </c>
      <c r="D119" s="29" t="s">
        <v>106</v>
      </c>
      <c r="E119" s="29" t="s">
        <v>113</v>
      </c>
      <c r="F119" s="59" t="s">
        <v>0</v>
      </c>
      <c r="G119" s="36">
        <f>G120</f>
        <v>35559.800000000003</v>
      </c>
      <c r="H119" s="36">
        <f t="shared" ref="H119:K119" si="59">H120</f>
        <v>35559.847649999996</v>
      </c>
      <c r="I119" s="36">
        <f t="shared" si="59"/>
        <v>8909.4917499999992</v>
      </c>
      <c r="J119" s="36">
        <f t="shared" si="59"/>
        <v>8381.2606599999999</v>
      </c>
      <c r="K119" s="36">
        <f t="shared" si="59"/>
        <v>8381.2606599999999</v>
      </c>
      <c r="L119" s="36">
        <f t="shared" si="43"/>
        <v>23.569450416360265</v>
      </c>
      <c r="M119" s="36">
        <f t="shared" si="46"/>
        <v>94.071142273631949</v>
      </c>
    </row>
    <row r="120" spans="1:13" ht="38.25">
      <c r="A120" s="60" t="s">
        <v>114</v>
      </c>
      <c r="B120" s="29" t="s">
        <v>15</v>
      </c>
      <c r="C120" s="29" t="s">
        <v>110</v>
      </c>
      <c r="D120" s="29" t="s">
        <v>106</v>
      </c>
      <c r="E120" s="29" t="s">
        <v>115</v>
      </c>
      <c r="F120" s="59" t="s">
        <v>0</v>
      </c>
      <c r="G120" s="36">
        <f>G121+G124</f>
        <v>35559.800000000003</v>
      </c>
      <c r="H120" s="36">
        <f t="shared" ref="H120:K120" si="60">H121+H124</f>
        <v>35559.847649999996</v>
      </c>
      <c r="I120" s="36">
        <f t="shared" si="60"/>
        <v>8909.4917499999992</v>
      </c>
      <c r="J120" s="36">
        <f t="shared" si="60"/>
        <v>8381.2606599999999</v>
      </c>
      <c r="K120" s="36">
        <f t="shared" si="60"/>
        <v>8381.2606599999999</v>
      </c>
      <c r="L120" s="36">
        <f t="shared" si="43"/>
        <v>23.569450416360265</v>
      </c>
      <c r="M120" s="36">
        <f t="shared" si="46"/>
        <v>94.071142273631949</v>
      </c>
    </row>
    <row r="121" spans="1:13" ht="25.5">
      <c r="A121" s="60" t="s">
        <v>76</v>
      </c>
      <c r="B121" s="29" t="s">
        <v>15</v>
      </c>
      <c r="C121" s="29" t="s">
        <v>110</v>
      </c>
      <c r="D121" s="29" t="s">
        <v>106</v>
      </c>
      <c r="E121" s="29" t="s">
        <v>120</v>
      </c>
      <c r="F121" s="59" t="s">
        <v>0</v>
      </c>
      <c r="G121" s="36">
        <f>G122</f>
        <v>27559.8</v>
      </c>
      <c r="H121" s="36">
        <f t="shared" ref="H121:K122" si="61">H122</f>
        <v>27559.84765</v>
      </c>
      <c r="I121" s="36">
        <f t="shared" si="61"/>
        <v>909.49175000000002</v>
      </c>
      <c r="J121" s="36">
        <f t="shared" si="61"/>
        <v>381.26065999999997</v>
      </c>
      <c r="K121" s="36">
        <f t="shared" si="61"/>
        <v>381.26065999999997</v>
      </c>
      <c r="L121" s="36">
        <f t="shared" si="43"/>
        <v>1.3833917547073231</v>
      </c>
      <c r="M121" s="36">
        <f t="shared" si="46"/>
        <v>41.920188940691325</v>
      </c>
    </row>
    <row r="122" spans="1:13" ht="25.5">
      <c r="A122" s="60" t="s">
        <v>64</v>
      </c>
      <c r="B122" s="29" t="s">
        <v>15</v>
      </c>
      <c r="C122" s="29" t="s">
        <v>110</v>
      </c>
      <c r="D122" s="29" t="s">
        <v>106</v>
      </c>
      <c r="E122" s="29" t="s">
        <v>120</v>
      </c>
      <c r="F122" s="29" t="s">
        <v>65</v>
      </c>
      <c r="G122" s="36">
        <f>G123</f>
        <v>27559.8</v>
      </c>
      <c r="H122" s="36">
        <f t="shared" si="61"/>
        <v>27559.84765</v>
      </c>
      <c r="I122" s="36">
        <f t="shared" si="61"/>
        <v>909.49175000000002</v>
      </c>
      <c r="J122" s="36">
        <f t="shared" si="61"/>
        <v>381.26065999999997</v>
      </c>
      <c r="K122" s="36">
        <f t="shared" si="61"/>
        <v>381.26065999999997</v>
      </c>
      <c r="L122" s="36">
        <f t="shared" si="43"/>
        <v>1.3833917547073231</v>
      </c>
      <c r="M122" s="36">
        <f t="shared" si="46"/>
        <v>41.920188940691325</v>
      </c>
    </row>
    <row r="123" spans="1:13" ht="25.5">
      <c r="A123" s="60" t="s">
        <v>66</v>
      </c>
      <c r="B123" s="29" t="s">
        <v>15</v>
      </c>
      <c r="C123" s="29" t="s">
        <v>110</v>
      </c>
      <c r="D123" s="29" t="s">
        <v>106</v>
      </c>
      <c r="E123" s="29" t="s">
        <v>120</v>
      </c>
      <c r="F123" s="29" t="s">
        <v>67</v>
      </c>
      <c r="G123" s="36">
        <v>27559.8</v>
      </c>
      <c r="H123" s="36">
        <v>27559.84765</v>
      </c>
      <c r="I123" s="36">
        <f>61.49175+848</f>
        <v>909.49175000000002</v>
      </c>
      <c r="J123" s="36">
        <v>381.26065999999997</v>
      </c>
      <c r="K123" s="36">
        <v>381.26065999999997</v>
      </c>
      <c r="L123" s="36">
        <f t="shared" si="43"/>
        <v>1.3833917547073231</v>
      </c>
      <c r="M123" s="36">
        <f t="shared" si="46"/>
        <v>41.920188940691325</v>
      </c>
    </row>
    <row r="124" spans="1:13" ht="25.5">
      <c r="A124" s="60" t="s">
        <v>107</v>
      </c>
      <c r="B124" s="29" t="s">
        <v>15</v>
      </c>
      <c r="C124" s="29" t="s">
        <v>110</v>
      </c>
      <c r="D124" s="29" t="s">
        <v>106</v>
      </c>
      <c r="E124" s="29" t="s">
        <v>116</v>
      </c>
      <c r="F124" s="59" t="s">
        <v>0</v>
      </c>
      <c r="G124" s="36">
        <f>G125</f>
        <v>8000</v>
      </c>
      <c r="H124" s="36">
        <f t="shared" ref="H124:K125" si="62">H125</f>
        <v>8000</v>
      </c>
      <c r="I124" s="36">
        <f t="shared" si="62"/>
        <v>8000</v>
      </c>
      <c r="J124" s="36">
        <f t="shared" si="62"/>
        <v>8000</v>
      </c>
      <c r="K124" s="36">
        <f t="shared" si="62"/>
        <v>8000</v>
      </c>
      <c r="L124" s="36">
        <f t="shared" si="43"/>
        <v>100</v>
      </c>
      <c r="M124" s="36">
        <f t="shared" si="46"/>
        <v>100</v>
      </c>
    </row>
    <row r="125" spans="1:13">
      <c r="A125" s="60" t="s">
        <v>26</v>
      </c>
      <c r="B125" s="29" t="s">
        <v>15</v>
      </c>
      <c r="C125" s="29" t="s">
        <v>110</v>
      </c>
      <c r="D125" s="29" t="s">
        <v>106</v>
      </c>
      <c r="E125" s="29" t="s">
        <v>116</v>
      </c>
      <c r="F125" s="29" t="s">
        <v>27</v>
      </c>
      <c r="G125" s="36">
        <f>G126</f>
        <v>8000</v>
      </c>
      <c r="H125" s="36">
        <f t="shared" si="62"/>
        <v>8000</v>
      </c>
      <c r="I125" s="36">
        <f t="shared" si="62"/>
        <v>8000</v>
      </c>
      <c r="J125" s="36">
        <f t="shared" si="62"/>
        <v>8000</v>
      </c>
      <c r="K125" s="36">
        <f t="shared" si="62"/>
        <v>8000</v>
      </c>
      <c r="L125" s="36">
        <f t="shared" si="43"/>
        <v>100</v>
      </c>
      <c r="M125" s="36">
        <f t="shared" si="46"/>
        <v>100</v>
      </c>
    </row>
    <row r="126" spans="1:13">
      <c r="A126" s="60" t="s">
        <v>56</v>
      </c>
      <c r="B126" s="29" t="s">
        <v>15</v>
      </c>
      <c r="C126" s="29" t="s">
        <v>110</v>
      </c>
      <c r="D126" s="29" t="s">
        <v>106</v>
      </c>
      <c r="E126" s="29" t="s">
        <v>116</v>
      </c>
      <c r="F126" s="29" t="s">
        <v>57</v>
      </c>
      <c r="G126" s="36">
        <v>8000</v>
      </c>
      <c r="H126" s="36">
        <v>8000</v>
      </c>
      <c r="I126" s="36">
        <v>8000</v>
      </c>
      <c r="J126" s="36">
        <v>8000</v>
      </c>
      <c r="K126" s="36">
        <v>8000</v>
      </c>
      <c r="L126" s="36">
        <f t="shared" si="43"/>
        <v>100</v>
      </c>
      <c r="M126" s="36">
        <f t="shared" si="46"/>
        <v>100</v>
      </c>
    </row>
    <row r="127" spans="1:13" ht="25.5">
      <c r="A127" s="60" t="s">
        <v>47</v>
      </c>
      <c r="B127" s="29" t="s">
        <v>15</v>
      </c>
      <c r="C127" s="29" t="s">
        <v>110</v>
      </c>
      <c r="D127" s="29" t="s">
        <v>106</v>
      </c>
      <c r="E127" s="29" t="s">
        <v>48</v>
      </c>
      <c r="F127" s="59" t="s">
        <v>0</v>
      </c>
      <c r="G127" s="36">
        <f>G128</f>
        <v>12598</v>
      </c>
      <c r="H127" s="36">
        <f t="shared" ref="H127:K129" si="63">H128</f>
        <v>12598.021699999999</v>
      </c>
      <c r="I127" s="36">
        <f t="shared" si="63"/>
        <v>0</v>
      </c>
      <c r="J127" s="36">
        <f t="shared" si="63"/>
        <v>0</v>
      </c>
      <c r="K127" s="36">
        <f t="shared" si="63"/>
        <v>0</v>
      </c>
      <c r="L127" s="36">
        <f t="shared" si="43"/>
        <v>0</v>
      </c>
      <c r="M127" s="36">
        <v>0</v>
      </c>
    </row>
    <row r="128" spans="1:13" ht="25.5">
      <c r="A128" s="60" t="s">
        <v>76</v>
      </c>
      <c r="B128" s="29" t="s">
        <v>15</v>
      </c>
      <c r="C128" s="29" t="s">
        <v>110</v>
      </c>
      <c r="D128" s="29" t="s">
        <v>106</v>
      </c>
      <c r="E128" s="29" t="s">
        <v>121</v>
      </c>
      <c r="F128" s="59" t="s">
        <v>0</v>
      </c>
      <c r="G128" s="36">
        <f>G129</f>
        <v>12598</v>
      </c>
      <c r="H128" s="36">
        <f t="shared" si="63"/>
        <v>12598.021699999999</v>
      </c>
      <c r="I128" s="36">
        <f t="shared" si="63"/>
        <v>0</v>
      </c>
      <c r="J128" s="36">
        <f t="shared" si="63"/>
        <v>0</v>
      </c>
      <c r="K128" s="36">
        <f t="shared" si="63"/>
        <v>0</v>
      </c>
      <c r="L128" s="36">
        <f t="shared" si="43"/>
        <v>0</v>
      </c>
      <c r="M128" s="36">
        <v>0</v>
      </c>
    </row>
    <row r="129" spans="1:13" ht="25.5">
      <c r="A129" s="60" t="s">
        <v>64</v>
      </c>
      <c r="B129" s="29" t="s">
        <v>15</v>
      </c>
      <c r="C129" s="29" t="s">
        <v>110</v>
      </c>
      <c r="D129" s="29" t="s">
        <v>106</v>
      </c>
      <c r="E129" s="29" t="s">
        <v>121</v>
      </c>
      <c r="F129" s="29" t="s">
        <v>65</v>
      </c>
      <c r="G129" s="36">
        <f>G130</f>
        <v>12598</v>
      </c>
      <c r="H129" s="36">
        <f t="shared" si="63"/>
        <v>12598.021699999999</v>
      </c>
      <c r="I129" s="36">
        <f t="shared" si="63"/>
        <v>0</v>
      </c>
      <c r="J129" s="36">
        <f t="shared" si="63"/>
        <v>0</v>
      </c>
      <c r="K129" s="36">
        <f t="shared" si="63"/>
        <v>0</v>
      </c>
      <c r="L129" s="36">
        <f t="shared" si="43"/>
        <v>0</v>
      </c>
      <c r="M129" s="36">
        <v>0</v>
      </c>
    </row>
    <row r="130" spans="1:13" ht="25.5">
      <c r="A130" s="60" t="s">
        <v>66</v>
      </c>
      <c r="B130" s="29" t="s">
        <v>15</v>
      </c>
      <c r="C130" s="29" t="s">
        <v>110</v>
      </c>
      <c r="D130" s="29" t="s">
        <v>106</v>
      </c>
      <c r="E130" s="29" t="s">
        <v>121</v>
      </c>
      <c r="F130" s="29" t="s">
        <v>67</v>
      </c>
      <c r="G130" s="36">
        <v>12598</v>
      </c>
      <c r="H130" s="36">
        <v>12598.021699999999</v>
      </c>
      <c r="I130" s="36">
        <v>0</v>
      </c>
      <c r="J130" s="36">
        <v>0</v>
      </c>
      <c r="K130" s="36">
        <v>0</v>
      </c>
      <c r="L130" s="36">
        <f t="shared" si="43"/>
        <v>0</v>
      </c>
      <c r="M130" s="36">
        <v>0</v>
      </c>
    </row>
    <row r="131" spans="1:13" ht="38.25">
      <c r="A131" s="60" t="s">
        <v>122</v>
      </c>
      <c r="B131" s="29" t="s">
        <v>15</v>
      </c>
      <c r="C131" s="29" t="s">
        <v>110</v>
      </c>
      <c r="D131" s="29" t="s">
        <v>106</v>
      </c>
      <c r="E131" s="29" t="s">
        <v>123</v>
      </c>
      <c r="F131" s="59" t="s">
        <v>0</v>
      </c>
      <c r="G131" s="36">
        <f>G135+G138</f>
        <v>69260.899999999994</v>
      </c>
      <c r="H131" s="36">
        <f>H135+H138+H132</f>
        <v>75970.879570000005</v>
      </c>
      <c r="I131" s="36">
        <f t="shared" ref="I131:K131" si="64">I135+I138+I132</f>
        <v>58679.325389999998</v>
      </c>
      <c r="J131" s="36">
        <f t="shared" si="64"/>
        <v>58679.325389999998</v>
      </c>
      <c r="K131" s="36">
        <f t="shared" si="64"/>
        <v>58679.325389999998</v>
      </c>
      <c r="L131" s="36">
        <f t="shared" si="43"/>
        <v>77.239233930327913</v>
      </c>
      <c r="M131" s="36">
        <f t="shared" si="46"/>
        <v>100</v>
      </c>
    </row>
    <row r="132" spans="1:13" ht="41.25" customHeight="1">
      <c r="A132" s="60" t="s">
        <v>1120</v>
      </c>
      <c r="B132" s="29" t="s">
        <v>15</v>
      </c>
      <c r="C132" s="29" t="s">
        <v>110</v>
      </c>
      <c r="D132" s="29" t="s">
        <v>106</v>
      </c>
      <c r="E132" s="29" t="s">
        <v>1121</v>
      </c>
      <c r="F132" s="59"/>
      <c r="G132" s="36"/>
      <c r="H132" s="36">
        <f>H133</f>
        <v>6710</v>
      </c>
      <c r="I132" s="36">
        <f t="shared" ref="I132:K133" si="65">I133</f>
        <v>6710</v>
      </c>
      <c r="J132" s="36">
        <f t="shared" si="65"/>
        <v>6710</v>
      </c>
      <c r="K132" s="36">
        <f t="shared" si="65"/>
        <v>6710</v>
      </c>
      <c r="L132" s="36">
        <f t="shared" ref="L132:L134" si="66">K132/H132*100</f>
        <v>100</v>
      </c>
      <c r="M132" s="36">
        <f t="shared" ref="M132:M134" si="67">K132/I132*100</f>
        <v>100</v>
      </c>
    </row>
    <row r="133" spans="1:13">
      <c r="A133" s="60" t="s">
        <v>26</v>
      </c>
      <c r="B133" s="29" t="s">
        <v>15</v>
      </c>
      <c r="C133" s="29" t="s">
        <v>110</v>
      </c>
      <c r="D133" s="29" t="s">
        <v>106</v>
      </c>
      <c r="E133" s="29" t="s">
        <v>1121</v>
      </c>
      <c r="F133" s="59">
        <v>500</v>
      </c>
      <c r="G133" s="36"/>
      <c r="H133" s="36">
        <f>H134</f>
        <v>6710</v>
      </c>
      <c r="I133" s="36">
        <f t="shared" si="65"/>
        <v>6710</v>
      </c>
      <c r="J133" s="36">
        <f t="shared" si="65"/>
        <v>6710</v>
      </c>
      <c r="K133" s="36">
        <f t="shared" si="65"/>
        <v>6710</v>
      </c>
      <c r="L133" s="36">
        <f t="shared" si="66"/>
        <v>100</v>
      </c>
      <c r="M133" s="36">
        <f t="shared" si="67"/>
        <v>100</v>
      </c>
    </row>
    <row r="134" spans="1:13">
      <c r="A134" s="60" t="s">
        <v>56</v>
      </c>
      <c r="B134" s="29" t="s">
        <v>15</v>
      </c>
      <c r="C134" s="29" t="s">
        <v>110</v>
      </c>
      <c r="D134" s="29" t="s">
        <v>106</v>
      </c>
      <c r="E134" s="29" t="s">
        <v>1121</v>
      </c>
      <c r="F134" s="59">
        <v>520</v>
      </c>
      <c r="G134" s="36"/>
      <c r="H134" s="36">
        <v>6710</v>
      </c>
      <c r="I134" s="36">
        <v>6710</v>
      </c>
      <c r="J134" s="36">
        <v>6710</v>
      </c>
      <c r="K134" s="36">
        <v>6710</v>
      </c>
      <c r="L134" s="36">
        <f t="shared" si="66"/>
        <v>100</v>
      </c>
      <c r="M134" s="36">
        <f t="shared" si="67"/>
        <v>100</v>
      </c>
    </row>
    <row r="135" spans="1:13" ht="25.5">
      <c r="A135" s="60" t="s">
        <v>107</v>
      </c>
      <c r="B135" s="29" t="s">
        <v>15</v>
      </c>
      <c r="C135" s="29" t="s">
        <v>110</v>
      </c>
      <c r="D135" s="29" t="s">
        <v>106</v>
      </c>
      <c r="E135" s="29" t="s">
        <v>124</v>
      </c>
      <c r="F135" s="59" t="s">
        <v>0</v>
      </c>
      <c r="G135" s="36">
        <f>G136</f>
        <v>10048.4</v>
      </c>
      <c r="H135" s="36">
        <f t="shared" ref="H135:K136" si="68">H136</f>
        <v>10048.3552</v>
      </c>
      <c r="I135" s="36">
        <f t="shared" si="68"/>
        <v>10048.3552</v>
      </c>
      <c r="J135" s="36">
        <f t="shared" si="68"/>
        <v>10048.3552</v>
      </c>
      <c r="K135" s="36">
        <f t="shared" si="68"/>
        <v>10048.3552</v>
      </c>
      <c r="L135" s="36">
        <f t="shared" si="43"/>
        <v>100</v>
      </c>
      <c r="M135" s="36">
        <f t="shared" si="46"/>
        <v>100</v>
      </c>
    </row>
    <row r="136" spans="1:13">
      <c r="A136" s="60" t="s">
        <v>26</v>
      </c>
      <c r="B136" s="29" t="s">
        <v>15</v>
      </c>
      <c r="C136" s="29" t="s">
        <v>110</v>
      </c>
      <c r="D136" s="29" t="s">
        <v>106</v>
      </c>
      <c r="E136" s="29" t="s">
        <v>124</v>
      </c>
      <c r="F136" s="29" t="s">
        <v>27</v>
      </c>
      <c r="G136" s="36">
        <f>G137</f>
        <v>10048.4</v>
      </c>
      <c r="H136" s="36">
        <f t="shared" si="68"/>
        <v>10048.3552</v>
      </c>
      <c r="I136" s="36">
        <f t="shared" si="68"/>
        <v>10048.3552</v>
      </c>
      <c r="J136" s="36">
        <f t="shared" si="68"/>
        <v>10048.3552</v>
      </c>
      <c r="K136" s="36">
        <f t="shared" si="68"/>
        <v>10048.3552</v>
      </c>
      <c r="L136" s="36">
        <f t="shared" si="43"/>
        <v>100</v>
      </c>
      <c r="M136" s="36">
        <f t="shared" si="46"/>
        <v>100</v>
      </c>
    </row>
    <row r="137" spans="1:13">
      <c r="A137" s="60" t="s">
        <v>56</v>
      </c>
      <c r="B137" s="29" t="s">
        <v>15</v>
      </c>
      <c r="C137" s="29" t="s">
        <v>110</v>
      </c>
      <c r="D137" s="29" t="s">
        <v>106</v>
      </c>
      <c r="E137" s="29" t="s">
        <v>124</v>
      </c>
      <c r="F137" s="29" t="s">
        <v>57</v>
      </c>
      <c r="G137" s="36">
        <v>10048.4</v>
      </c>
      <c r="H137" s="36">
        <v>10048.3552</v>
      </c>
      <c r="I137" s="36">
        <v>10048.3552</v>
      </c>
      <c r="J137" s="36">
        <v>10048.3552</v>
      </c>
      <c r="K137" s="36">
        <v>10048.3552</v>
      </c>
      <c r="L137" s="36">
        <f t="shared" si="43"/>
        <v>100</v>
      </c>
      <c r="M137" s="36">
        <f t="shared" si="46"/>
        <v>100</v>
      </c>
    </row>
    <row r="138" spans="1:13" ht="51">
      <c r="A138" s="60" t="s">
        <v>125</v>
      </c>
      <c r="B138" s="29" t="s">
        <v>15</v>
      </c>
      <c r="C138" s="29" t="s">
        <v>110</v>
      </c>
      <c r="D138" s="29" t="s">
        <v>106</v>
      </c>
      <c r="E138" s="29" t="s">
        <v>126</v>
      </c>
      <c r="F138" s="59" t="s">
        <v>0</v>
      </c>
      <c r="G138" s="36">
        <f>G139</f>
        <v>59212.5</v>
      </c>
      <c r="H138" s="36">
        <f t="shared" ref="H138:K139" si="69">H139</f>
        <v>59212.524369999999</v>
      </c>
      <c r="I138" s="36">
        <f t="shared" si="69"/>
        <v>41920.97019</v>
      </c>
      <c r="J138" s="36">
        <f t="shared" si="69"/>
        <v>41920.97019</v>
      </c>
      <c r="K138" s="36">
        <f t="shared" si="69"/>
        <v>41920.97019</v>
      </c>
      <c r="L138" s="36">
        <f t="shared" si="43"/>
        <v>70.797471710628912</v>
      </c>
      <c r="M138" s="36">
        <f t="shared" si="46"/>
        <v>100</v>
      </c>
    </row>
    <row r="139" spans="1:13">
      <c r="A139" s="60" t="s">
        <v>26</v>
      </c>
      <c r="B139" s="29" t="s">
        <v>15</v>
      </c>
      <c r="C139" s="29" t="s">
        <v>110</v>
      </c>
      <c r="D139" s="29" t="s">
        <v>106</v>
      </c>
      <c r="E139" s="29" t="s">
        <v>126</v>
      </c>
      <c r="F139" s="29" t="s">
        <v>27</v>
      </c>
      <c r="G139" s="36">
        <f>G140</f>
        <v>59212.5</v>
      </c>
      <c r="H139" s="36">
        <f t="shared" si="69"/>
        <v>59212.524369999999</v>
      </c>
      <c r="I139" s="36">
        <f t="shared" si="69"/>
        <v>41920.97019</v>
      </c>
      <c r="J139" s="36">
        <f t="shared" si="69"/>
        <v>41920.97019</v>
      </c>
      <c r="K139" s="36">
        <f t="shared" si="69"/>
        <v>41920.97019</v>
      </c>
      <c r="L139" s="36">
        <f t="shared" si="43"/>
        <v>70.797471710628912</v>
      </c>
      <c r="M139" s="36">
        <f t="shared" si="46"/>
        <v>100</v>
      </c>
    </row>
    <row r="140" spans="1:13">
      <c r="A140" s="60" t="s">
        <v>56</v>
      </c>
      <c r="B140" s="29" t="s">
        <v>15</v>
      </c>
      <c r="C140" s="29" t="s">
        <v>110</v>
      </c>
      <c r="D140" s="29" t="s">
        <v>106</v>
      </c>
      <c r="E140" s="29" t="s">
        <v>126</v>
      </c>
      <c r="F140" s="29" t="s">
        <v>57</v>
      </c>
      <c r="G140" s="36">
        <v>59212.5</v>
      </c>
      <c r="H140" s="36">
        <v>59212.524369999999</v>
      </c>
      <c r="I140" s="36">
        <v>41920.97019</v>
      </c>
      <c r="J140" s="36">
        <v>41920.97019</v>
      </c>
      <c r="K140" s="36">
        <v>41920.97019</v>
      </c>
      <c r="L140" s="36">
        <f t="shared" si="43"/>
        <v>70.797471710628912</v>
      </c>
      <c r="M140" s="36">
        <f t="shared" si="46"/>
        <v>100</v>
      </c>
    </row>
    <row r="141" spans="1:13">
      <c r="A141" s="60" t="s">
        <v>127</v>
      </c>
      <c r="B141" s="29" t="s">
        <v>15</v>
      </c>
      <c r="C141" s="29" t="s">
        <v>110</v>
      </c>
      <c r="D141" s="29" t="s">
        <v>19</v>
      </c>
      <c r="E141" s="59" t="s">
        <v>0</v>
      </c>
      <c r="F141" s="59" t="s">
        <v>0</v>
      </c>
      <c r="G141" s="36">
        <f>G142</f>
        <v>191.1</v>
      </c>
      <c r="H141" s="36">
        <f t="shared" ref="H141:K145" si="70">H142</f>
        <v>191.07893999999999</v>
      </c>
      <c r="I141" s="36">
        <f t="shared" si="70"/>
        <v>191.07893999999999</v>
      </c>
      <c r="J141" s="36">
        <f t="shared" si="70"/>
        <v>191.07893999999999</v>
      </c>
      <c r="K141" s="36">
        <f t="shared" si="70"/>
        <v>191.07893999999999</v>
      </c>
      <c r="L141" s="36">
        <f t="shared" si="43"/>
        <v>100</v>
      </c>
      <c r="M141" s="36">
        <f t="shared" si="46"/>
        <v>100</v>
      </c>
    </row>
    <row r="142" spans="1:13" ht="38.25">
      <c r="A142" s="60" t="s">
        <v>112</v>
      </c>
      <c r="B142" s="29" t="s">
        <v>15</v>
      </c>
      <c r="C142" s="29" t="s">
        <v>110</v>
      </c>
      <c r="D142" s="29" t="s">
        <v>19</v>
      </c>
      <c r="E142" s="29" t="s">
        <v>113</v>
      </c>
      <c r="F142" s="59" t="s">
        <v>0</v>
      </c>
      <c r="G142" s="36">
        <f>G143</f>
        <v>191.1</v>
      </c>
      <c r="H142" s="36">
        <f t="shared" si="70"/>
        <v>191.07893999999999</v>
      </c>
      <c r="I142" s="36">
        <f t="shared" si="70"/>
        <v>191.07893999999999</v>
      </c>
      <c r="J142" s="36">
        <f t="shared" si="70"/>
        <v>191.07893999999999</v>
      </c>
      <c r="K142" s="36">
        <f t="shared" si="70"/>
        <v>191.07893999999999</v>
      </c>
      <c r="L142" s="36">
        <f t="shared" si="43"/>
        <v>100</v>
      </c>
      <c r="M142" s="36">
        <f t="shared" si="46"/>
        <v>100</v>
      </c>
    </row>
    <row r="143" spans="1:13" ht="38.25">
      <c r="A143" s="60" t="s">
        <v>114</v>
      </c>
      <c r="B143" s="29" t="s">
        <v>15</v>
      </c>
      <c r="C143" s="29" t="s">
        <v>110</v>
      </c>
      <c r="D143" s="29" t="s">
        <v>19</v>
      </c>
      <c r="E143" s="29" t="s">
        <v>115</v>
      </c>
      <c r="F143" s="59" t="s">
        <v>0</v>
      </c>
      <c r="G143" s="36">
        <f>G144</f>
        <v>191.1</v>
      </c>
      <c r="H143" s="36">
        <f t="shared" si="70"/>
        <v>191.07893999999999</v>
      </c>
      <c r="I143" s="36">
        <f t="shared" si="70"/>
        <v>191.07893999999999</v>
      </c>
      <c r="J143" s="36">
        <f t="shared" si="70"/>
        <v>191.07893999999999</v>
      </c>
      <c r="K143" s="36">
        <f t="shared" si="70"/>
        <v>191.07893999999999</v>
      </c>
      <c r="L143" s="36">
        <f t="shared" si="43"/>
        <v>100</v>
      </c>
      <c r="M143" s="36">
        <f t="shared" si="46"/>
        <v>100</v>
      </c>
    </row>
    <row r="144" spans="1:13" ht="38.25">
      <c r="A144" s="60" t="s">
        <v>37</v>
      </c>
      <c r="B144" s="29" t="s">
        <v>15</v>
      </c>
      <c r="C144" s="29" t="s">
        <v>110</v>
      </c>
      <c r="D144" s="29" t="s">
        <v>19</v>
      </c>
      <c r="E144" s="29" t="s">
        <v>128</v>
      </c>
      <c r="F144" s="59" t="s">
        <v>0</v>
      </c>
      <c r="G144" s="36">
        <f>G145</f>
        <v>191.1</v>
      </c>
      <c r="H144" s="36">
        <f t="shared" si="70"/>
        <v>191.07893999999999</v>
      </c>
      <c r="I144" s="36">
        <f t="shared" si="70"/>
        <v>191.07893999999999</v>
      </c>
      <c r="J144" s="36">
        <f t="shared" si="70"/>
        <v>191.07893999999999</v>
      </c>
      <c r="K144" s="36">
        <f t="shared" si="70"/>
        <v>191.07893999999999</v>
      </c>
      <c r="L144" s="36">
        <f t="shared" si="43"/>
        <v>100</v>
      </c>
      <c r="M144" s="36">
        <f t="shared" si="46"/>
        <v>100</v>
      </c>
    </row>
    <row r="145" spans="1:13" ht="25.5">
      <c r="A145" s="60" t="s">
        <v>39</v>
      </c>
      <c r="B145" s="29" t="s">
        <v>15</v>
      </c>
      <c r="C145" s="29" t="s">
        <v>110</v>
      </c>
      <c r="D145" s="29" t="s">
        <v>19</v>
      </c>
      <c r="E145" s="29" t="s">
        <v>128</v>
      </c>
      <c r="F145" s="29" t="s">
        <v>40</v>
      </c>
      <c r="G145" s="36">
        <f>G146</f>
        <v>191.1</v>
      </c>
      <c r="H145" s="36">
        <f t="shared" si="70"/>
        <v>191.07893999999999</v>
      </c>
      <c r="I145" s="36">
        <f t="shared" si="70"/>
        <v>191.07893999999999</v>
      </c>
      <c r="J145" s="36">
        <f t="shared" si="70"/>
        <v>191.07893999999999</v>
      </c>
      <c r="K145" s="36">
        <f t="shared" si="70"/>
        <v>191.07893999999999</v>
      </c>
      <c r="L145" s="36">
        <f t="shared" si="43"/>
        <v>100</v>
      </c>
      <c r="M145" s="36">
        <f t="shared" si="46"/>
        <v>100</v>
      </c>
    </row>
    <row r="146" spans="1:13">
      <c r="A146" s="60" t="s">
        <v>41</v>
      </c>
      <c r="B146" s="29" t="s">
        <v>15</v>
      </c>
      <c r="C146" s="29" t="s">
        <v>110</v>
      </c>
      <c r="D146" s="29" t="s">
        <v>19</v>
      </c>
      <c r="E146" s="29" t="s">
        <v>128</v>
      </c>
      <c r="F146" s="29" t="s">
        <v>42</v>
      </c>
      <c r="G146" s="36">
        <v>191.1</v>
      </c>
      <c r="H146" s="36">
        <v>191.07893999999999</v>
      </c>
      <c r="I146" s="36">
        <v>191.07893999999999</v>
      </c>
      <c r="J146" s="36">
        <v>191.07893999999999</v>
      </c>
      <c r="K146" s="36">
        <v>191.07893999999999</v>
      </c>
      <c r="L146" s="36">
        <f t="shared" si="43"/>
        <v>100</v>
      </c>
      <c r="M146" s="36">
        <f t="shared" si="46"/>
        <v>100</v>
      </c>
    </row>
    <row r="147" spans="1:13">
      <c r="A147" s="61" t="s">
        <v>0</v>
      </c>
      <c r="B147" s="59" t="s">
        <v>0</v>
      </c>
      <c r="C147" s="59" t="s">
        <v>0</v>
      </c>
      <c r="D147" s="59" t="s">
        <v>0</v>
      </c>
      <c r="E147" s="59" t="s">
        <v>0</v>
      </c>
      <c r="F147" s="59" t="s">
        <v>0</v>
      </c>
      <c r="G147" s="62" t="s">
        <v>0</v>
      </c>
      <c r="H147" s="62" t="s">
        <v>0</v>
      </c>
      <c r="I147" s="62" t="s">
        <v>0</v>
      </c>
      <c r="J147" s="62" t="s">
        <v>0</v>
      </c>
      <c r="K147" s="62" t="s">
        <v>0</v>
      </c>
      <c r="L147" s="62"/>
      <c r="M147" s="62"/>
    </row>
    <row r="148" spans="1:13">
      <c r="A148" s="60" t="s">
        <v>129</v>
      </c>
      <c r="B148" s="29" t="s">
        <v>15</v>
      </c>
      <c r="C148" s="29" t="s">
        <v>130</v>
      </c>
      <c r="D148" s="59" t="s">
        <v>0</v>
      </c>
      <c r="E148" s="59" t="s">
        <v>0</v>
      </c>
      <c r="F148" s="59" t="s">
        <v>0</v>
      </c>
      <c r="G148" s="36">
        <f>G149</f>
        <v>130234</v>
      </c>
      <c r="H148" s="36">
        <f t="shared" ref="H148:K148" si="71">H149</f>
        <v>206022.89328999998</v>
      </c>
      <c r="I148" s="36">
        <f t="shared" si="71"/>
        <v>56609.60082</v>
      </c>
      <c r="J148" s="36">
        <f t="shared" si="71"/>
        <v>56609.601350000004</v>
      </c>
      <c r="K148" s="36">
        <f t="shared" si="71"/>
        <v>56514.27175</v>
      </c>
      <c r="L148" s="36">
        <f t="shared" si="43"/>
        <v>27.431064017943829</v>
      </c>
      <c r="M148" s="36">
        <f t="shared" si="46"/>
        <v>99.831602645807166</v>
      </c>
    </row>
    <row r="149" spans="1:13">
      <c r="A149" s="60" t="s">
        <v>131</v>
      </c>
      <c r="B149" s="29" t="s">
        <v>15</v>
      </c>
      <c r="C149" s="29" t="s">
        <v>130</v>
      </c>
      <c r="D149" s="29" t="s">
        <v>17</v>
      </c>
      <c r="E149" s="59" t="s">
        <v>0</v>
      </c>
      <c r="F149" s="59" t="s">
        <v>0</v>
      </c>
      <c r="G149" s="36">
        <f>G150</f>
        <v>130234</v>
      </c>
      <c r="H149" s="36">
        <f>H150+H164</f>
        <v>206022.89328999998</v>
      </c>
      <c r="I149" s="36">
        <f t="shared" ref="I149:K149" si="72">I150+I164</f>
        <v>56609.60082</v>
      </c>
      <c r="J149" s="36">
        <f t="shared" si="72"/>
        <v>56609.601350000004</v>
      </c>
      <c r="K149" s="36">
        <f t="shared" si="72"/>
        <v>56514.27175</v>
      </c>
      <c r="L149" s="36">
        <f t="shared" ref="L149:L223" si="73">K149/H149*100</f>
        <v>27.431064017943829</v>
      </c>
      <c r="M149" s="36">
        <f t="shared" ref="M149:M223" si="74">K149/I149*100</f>
        <v>99.831602645807166</v>
      </c>
    </row>
    <row r="150" spans="1:13" ht="25.5">
      <c r="A150" s="60" t="s">
        <v>47</v>
      </c>
      <c r="B150" s="29" t="s">
        <v>15</v>
      </c>
      <c r="C150" s="29" t="s">
        <v>130</v>
      </c>
      <c r="D150" s="29" t="s">
        <v>17</v>
      </c>
      <c r="E150" s="29" t="s">
        <v>48</v>
      </c>
      <c r="F150" s="59" t="s">
        <v>0</v>
      </c>
      <c r="G150" s="36">
        <f>G156+G159</f>
        <v>130234</v>
      </c>
      <c r="H150" s="36">
        <f>H156+H159+H151</f>
        <v>200187.39899999998</v>
      </c>
      <c r="I150" s="36">
        <f t="shared" ref="I150:K150" si="75">I156+I159+I151</f>
        <v>55449.586580000003</v>
      </c>
      <c r="J150" s="36">
        <f t="shared" si="75"/>
        <v>55449.586580000003</v>
      </c>
      <c r="K150" s="36">
        <f t="shared" si="75"/>
        <v>55449.586580000003</v>
      </c>
      <c r="L150" s="36">
        <f t="shared" si="73"/>
        <v>27.698839615774222</v>
      </c>
      <c r="M150" s="36">
        <f t="shared" si="74"/>
        <v>100</v>
      </c>
    </row>
    <row r="151" spans="1:13" ht="29.25" customHeight="1">
      <c r="A151" s="60" t="s">
        <v>354</v>
      </c>
      <c r="B151" s="29" t="s">
        <v>15</v>
      </c>
      <c r="C151" s="29" t="s">
        <v>130</v>
      </c>
      <c r="D151" s="29" t="s">
        <v>17</v>
      </c>
      <c r="E151" s="29" t="s">
        <v>355</v>
      </c>
      <c r="F151" s="59"/>
      <c r="G151" s="36"/>
      <c r="H151" s="36">
        <f>H152+H154</f>
        <v>69953.399999999994</v>
      </c>
      <c r="I151" s="36">
        <f t="shared" ref="I151:K151" si="76">I152+I154</f>
        <v>0</v>
      </c>
      <c r="J151" s="36">
        <f t="shared" si="76"/>
        <v>0</v>
      </c>
      <c r="K151" s="36">
        <f t="shared" si="76"/>
        <v>0</v>
      </c>
      <c r="L151" s="36">
        <f t="shared" ref="L151:L155" si="77">K151/H151*100</f>
        <v>0</v>
      </c>
      <c r="M151" s="36">
        <v>0</v>
      </c>
    </row>
    <row r="152" spans="1:13" ht="25.5">
      <c r="A152" s="60" t="s">
        <v>39</v>
      </c>
      <c r="B152" s="29" t="s">
        <v>15</v>
      </c>
      <c r="C152" s="29" t="s">
        <v>130</v>
      </c>
      <c r="D152" s="29" t="s">
        <v>17</v>
      </c>
      <c r="E152" s="29" t="s">
        <v>355</v>
      </c>
      <c r="F152" s="29" t="s">
        <v>40</v>
      </c>
      <c r="G152" s="36"/>
      <c r="H152" s="36">
        <f>H153</f>
        <v>20055.099999999999</v>
      </c>
      <c r="I152" s="36">
        <f t="shared" ref="I152:K152" si="78">I153</f>
        <v>0</v>
      </c>
      <c r="J152" s="36">
        <f t="shared" si="78"/>
        <v>0</v>
      </c>
      <c r="K152" s="36">
        <f t="shared" si="78"/>
        <v>0</v>
      </c>
      <c r="L152" s="36">
        <f t="shared" si="77"/>
        <v>0</v>
      </c>
      <c r="M152" s="36">
        <v>0</v>
      </c>
    </row>
    <row r="153" spans="1:13">
      <c r="A153" s="60" t="s">
        <v>41</v>
      </c>
      <c r="B153" s="29" t="s">
        <v>15</v>
      </c>
      <c r="C153" s="29" t="s">
        <v>130</v>
      </c>
      <c r="D153" s="29" t="s">
        <v>17</v>
      </c>
      <c r="E153" s="29" t="s">
        <v>355</v>
      </c>
      <c r="F153" s="29" t="s">
        <v>42</v>
      </c>
      <c r="G153" s="36"/>
      <c r="H153" s="36">
        <v>20055.099999999999</v>
      </c>
      <c r="I153" s="36"/>
      <c r="J153" s="36"/>
      <c r="K153" s="36"/>
      <c r="L153" s="36">
        <f t="shared" si="77"/>
        <v>0</v>
      </c>
      <c r="M153" s="36">
        <v>0</v>
      </c>
    </row>
    <row r="154" spans="1:13">
      <c r="A154" s="60" t="s">
        <v>26</v>
      </c>
      <c r="B154" s="29" t="s">
        <v>15</v>
      </c>
      <c r="C154" s="29" t="s">
        <v>130</v>
      </c>
      <c r="D154" s="29" t="s">
        <v>17</v>
      </c>
      <c r="E154" s="29" t="s">
        <v>355</v>
      </c>
      <c r="F154" s="29">
        <v>500</v>
      </c>
      <c r="G154" s="36"/>
      <c r="H154" s="36">
        <f>H155</f>
        <v>49898.3</v>
      </c>
      <c r="I154" s="36">
        <f t="shared" ref="I154:K154" si="79">I155</f>
        <v>0</v>
      </c>
      <c r="J154" s="36">
        <f t="shared" si="79"/>
        <v>0</v>
      </c>
      <c r="K154" s="36">
        <f t="shared" si="79"/>
        <v>0</v>
      </c>
      <c r="L154" s="36">
        <f t="shared" si="77"/>
        <v>0</v>
      </c>
      <c r="M154" s="36">
        <v>0</v>
      </c>
    </row>
    <row r="155" spans="1:13">
      <c r="A155" s="60" t="s">
        <v>56</v>
      </c>
      <c r="B155" s="29" t="s">
        <v>15</v>
      </c>
      <c r="C155" s="29" t="s">
        <v>130</v>
      </c>
      <c r="D155" s="29" t="s">
        <v>17</v>
      </c>
      <c r="E155" s="29" t="s">
        <v>355</v>
      </c>
      <c r="F155" s="59">
        <v>520</v>
      </c>
      <c r="G155" s="36"/>
      <c r="H155" s="36">
        <v>49898.3</v>
      </c>
      <c r="I155" s="36"/>
      <c r="J155" s="36"/>
      <c r="K155" s="36"/>
      <c r="L155" s="36">
        <f t="shared" si="77"/>
        <v>0</v>
      </c>
      <c r="M155" s="36">
        <v>0</v>
      </c>
    </row>
    <row r="156" spans="1:13" ht="25.5">
      <c r="A156" s="60" t="s">
        <v>76</v>
      </c>
      <c r="B156" s="29" t="s">
        <v>15</v>
      </c>
      <c r="C156" s="29" t="s">
        <v>130</v>
      </c>
      <c r="D156" s="29" t="s">
        <v>17</v>
      </c>
      <c r="E156" s="29" t="s">
        <v>121</v>
      </c>
      <c r="F156" s="59" t="s">
        <v>0</v>
      </c>
      <c r="G156" s="36">
        <f>G157</f>
        <v>14139.6</v>
      </c>
      <c r="H156" s="36">
        <f t="shared" ref="H156:K157" si="80">H157</f>
        <v>14139.599</v>
      </c>
      <c r="I156" s="36">
        <f t="shared" si="80"/>
        <v>0</v>
      </c>
      <c r="J156" s="36">
        <f t="shared" si="80"/>
        <v>0</v>
      </c>
      <c r="K156" s="36">
        <f t="shared" si="80"/>
        <v>0</v>
      </c>
      <c r="L156" s="36">
        <f t="shared" si="73"/>
        <v>0</v>
      </c>
      <c r="M156" s="36">
        <v>0</v>
      </c>
    </row>
    <row r="157" spans="1:13" ht="25.5">
      <c r="A157" s="60" t="s">
        <v>64</v>
      </c>
      <c r="B157" s="29" t="s">
        <v>15</v>
      </c>
      <c r="C157" s="29" t="s">
        <v>130</v>
      </c>
      <c r="D157" s="29" t="s">
        <v>17</v>
      </c>
      <c r="E157" s="29" t="s">
        <v>121</v>
      </c>
      <c r="F157" s="29" t="s">
        <v>65</v>
      </c>
      <c r="G157" s="36">
        <f>G158</f>
        <v>14139.6</v>
      </c>
      <c r="H157" s="36">
        <f t="shared" si="80"/>
        <v>14139.599</v>
      </c>
      <c r="I157" s="36">
        <f t="shared" si="80"/>
        <v>0</v>
      </c>
      <c r="J157" s="36">
        <f t="shared" si="80"/>
        <v>0</v>
      </c>
      <c r="K157" s="36">
        <f t="shared" si="80"/>
        <v>0</v>
      </c>
      <c r="L157" s="36">
        <f t="shared" si="73"/>
        <v>0</v>
      </c>
      <c r="M157" s="36">
        <v>0</v>
      </c>
    </row>
    <row r="158" spans="1:13" ht="25.5">
      <c r="A158" s="60" t="s">
        <v>66</v>
      </c>
      <c r="B158" s="29" t="s">
        <v>15</v>
      </c>
      <c r="C158" s="29" t="s">
        <v>130</v>
      </c>
      <c r="D158" s="29" t="s">
        <v>17</v>
      </c>
      <c r="E158" s="29" t="s">
        <v>121</v>
      </c>
      <c r="F158" s="29" t="s">
        <v>67</v>
      </c>
      <c r="G158" s="36">
        <v>14139.6</v>
      </c>
      <c r="H158" s="36">
        <v>14139.599</v>
      </c>
      <c r="I158" s="36">
        <v>0</v>
      </c>
      <c r="J158" s="36">
        <v>0</v>
      </c>
      <c r="K158" s="36">
        <v>0</v>
      </c>
      <c r="L158" s="36">
        <f t="shared" si="73"/>
        <v>0</v>
      </c>
      <c r="M158" s="36">
        <v>0</v>
      </c>
    </row>
    <row r="159" spans="1:13" ht="38.25">
      <c r="A159" s="60" t="s">
        <v>132</v>
      </c>
      <c r="B159" s="29" t="s">
        <v>15</v>
      </c>
      <c r="C159" s="29" t="s">
        <v>130</v>
      </c>
      <c r="D159" s="29" t="s">
        <v>17</v>
      </c>
      <c r="E159" s="29" t="s">
        <v>133</v>
      </c>
      <c r="F159" s="59" t="s">
        <v>0</v>
      </c>
      <c r="G159" s="36">
        <f>G160+G162</f>
        <v>116094.39999999999</v>
      </c>
      <c r="H159" s="36">
        <f t="shared" ref="H159:K159" si="81">H160+H162</f>
        <v>116094.39999999999</v>
      </c>
      <c r="I159" s="36">
        <f t="shared" si="81"/>
        <v>55449.586580000003</v>
      </c>
      <c r="J159" s="36">
        <f t="shared" si="81"/>
        <v>55449.586580000003</v>
      </c>
      <c r="K159" s="36">
        <f t="shared" si="81"/>
        <v>55449.586580000003</v>
      </c>
      <c r="L159" s="36">
        <f t="shared" si="73"/>
        <v>47.762498949131057</v>
      </c>
      <c r="M159" s="36">
        <f t="shared" si="74"/>
        <v>100</v>
      </c>
    </row>
    <row r="160" spans="1:13" ht="25.5">
      <c r="A160" s="60" t="s">
        <v>39</v>
      </c>
      <c r="B160" s="29" t="s">
        <v>15</v>
      </c>
      <c r="C160" s="29" t="s">
        <v>130</v>
      </c>
      <c r="D160" s="29" t="s">
        <v>17</v>
      </c>
      <c r="E160" s="29" t="s">
        <v>133</v>
      </c>
      <c r="F160" s="29" t="s">
        <v>40</v>
      </c>
      <c r="G160" s="36">
        <f>G161</f>
        <v>84700</v>
      </c>
      <c r="H160" s="36">
        <f t="shared" ref="H160:K160" si="82">H161</f>
        <v>84700</v>
      </c>
      <c r="I160" s="36">
        <f t="shared" si="82"/>
        <v>55449.586580000003</v>
      </c>
      <c r="J160" s="36">
        <f t="shared" si="82"/>
        <v>55449.586580000003</v>
      </c>
      <c r="K160" s="36">
        <f t="shared" si="82"/>
        <v>55449.586580000003</v>
      </c>
      <c r="L160" s="36">
        <f t="shared" si="73"/>
        <v>65.465863730814647</v>
      </c>
      <c r="M160" s="36">
        <f t="shared" si="74"/>
        <v>100</v>
      </c>
    </row>
    <row r="161" spans="1:13">
      <c r="A161" s="60" t="s">
        <v>41</v>
      </c>
      <c r="B161" s="29" t="s">
        <v>15</v>
      </c>
      <c r="C161" s="29" t="s">
        <v>130</v>
      </c>
      <c r="D161" s="29" t="s">
        <v>17</v>
      </c>
      <c r="E161" s="29" t="s">
        <v>133</v>
      </c>
      <c r="F161" s="29" t="s">
        <v>42</v>
      </c>
      <c r="G161" s="36">
        <v>84700</v>
      </c>
      <c r="H161" s="36">
        <v>84700</v>
      </c>
      <c r="I161" s="36">
        <v>55449.586580000003</v>
      </c>
      <c r="J161" s="36">
        <v>55449.586580000003</v>
      </c>
      <c r="K161" s="36">
        <v>55449.586580000003</v>
      </c>
      <c r="L161" s="36">
        <f t="shared" si="73"/>
        <v>65.465863730814647</v>
      </c>
      <c r="M161" s="36">
        <f t="shared" si="74"/>
        <v>100</v>
      </c>
    </row>
    <row r="162" spans="1:13">
      <c r="A162" s="60" t="s">
        <v>26</v>
      </c>
      <c r="B162" s="29" t="s">
        <v>15</v>
      </c>
      <c r="C162" s="29" t="s">
        <v>130</v>
      </c>
      <c r="D162" s="29" t="s">
        <v>17</v>
      </c>
      <c r="E162" s="29" t="s">
        <v>133</v>
      </c>
      <c r="F162" s="29" t="s">
        <v>27</v>
      </c>
      <c r="G162" s="36">
        <f>G163</f>
        <v>31394.400000000001</v>
      </c>
      <c r="H162" s="36">
        <f t="shared" ref="H162:K162" si="83">H163</f>
        <v>31394.400000000001</v>
      </c>
      <c r="I162" s="36">
        <f t="shared" si="83"/>
        <v>0</v>
      </c>
      <c r="J162" s="36">
        <f t="shared" si="83"/>
        <v>0</v>
      </c>
      <c r="K162" s="36">
        <f t="shared" si="83"/>
        <v>0</v>
      </c>
      <c r="L162" s="36">
        <f t="shared" si="73"/>
        <v>0</v>
      </c>
      <c r="M162" s="36">
        <v>0</v>
      </c>
    </row>
    <row r="163" spans="1:13">
      <c r="A163" s="60" t="s">
        <v>56</v>
      </c>
      <c r="B163" s="29" t="s">
        <v>15</v>
      </c>
      <c r="C163" s="29" t="s">
        <v>130</v>
      </c>
      <c r="D163" s="29" t="s">
        <v>17</v>
      </c>
      <c r="E163" s="29" t="s">
        <v>133</v>
      </c>
      <c r="F163" s="29" t="s">
        <v>57</v>
      </c>
      <c r="G163" s="36">
        <v>31394.400000000001</v>
      </c>
      <c r="H163" s="36">
        <v>31394.400000000001</v>
      </c>
      <c r="I163" s="36">
        <v>0</v>
      </c>
      <c r="J163" s="36">
        <v>0</v>
      </c>
      <c r="K163" s="36">
        <v>0</v>
      </c>
      <c r="L163" s="36">
        <f t="shared" si="73"/>
        <v>0</v>
      </c>
      <c r="M163" s="36">
        <v>0</v>
      </c>
    </row>
    <row r="164" spans="1:13">
      <c r="A164" s="63" t="s">
        <v>612</v>
      </c>
      <c r="B164" s="29" t="s">
        <v>15</v>
      </c>
      <c r="C164" s="29" t="s">
        <v>130</v>
      </c>
      <c r="D164" s="29" t="s">
        <v>17</v>
      </c>
      <c r="E164" s="30" t="s">
        <v>613</v>
      </c>
      <c r="F164" s="29"/>
      <c r="G164" s="36"/>
      <c r="H164" s="36">
        <f>H165</f>
        <v>5835.4942899999996</v>
      </c>
      <c r="I164" s="36">
        <f t="shared" ref="I164:K164" si="84">I165</f>
        <v>1160.01424</v>
      </c>
      <c r="J164" s="36">
        <f t="shared" si="84"/>
        <v>1160.01477</v>
      </c>
      <c r="K164" s="36">
        <f t="shared" si="84"/>
        <v>1064.68517</v>
      </c>
      <c r="L164" s="36">
        <f t="shared" ref="L164:L169" si="85">K164/H164*100</f>
        <v>18.244986921236453</v>
      </c>
      <c r="M164" s="36">
        <f t="shared" ref="M164:M169" si="86">K164/I164*100</f>
        <v>91.78207760621973</v>
      </c>
    </row>
    <row r="165" spans="1:13">
      <c r="A165" s="60" t="s">
        <v>612</v>
      </c>
      <c r="B165" s="29" t="s">
        <v>15</v>
      </c>
      <c r="C165" s="29" t="s">
        <v>130</v>
      </c>
      <c r="D165" s="29" t="s">
        <v>17</v>
      </c>
      <c r="E165" s="30" t="s">
        <v>614</v>
      </c>
      <c r="F165" s="29"/>
      <c r="G165" s="36"/>
      <c r="H165" s="36">
        <f>H166+H168</f>
        <v>5835.4942899999996</v>
      </c>
      <c r="I165" s="36">
        <f t="shared" ref="I165:K165" si="87">I166+I168</f>
        <v>1160.01424</v>
      </c>
      <c r="J165" s="36">
        <f t="shared" si="87"/>
        <v>1160.01477</v>
      </c>
      <c r="K165" s="36">
        <f t="shared" si="87"/>
        <v>1064.68517</v>
      </c>
      <c r="L165" s="36">
        <f t="shared" si="85"/>
        <v>18.244986921236453</v>
      </c>
      <c r="M165" s="36">
        <f t="shared" si="86"/>
        <v>91.78207760621973</v>
      </c>
    </row>
    <row r="166" spans="1:13" ht="25.5">
      <c r="A166" s="60" t="s">
        <v>64</v>
      </c>
      <c r="B166" s="29" t="s">
        <v>15</v>
      </c>
      <c r="C166" s="29" t="s">
        <v>130</v>
      </c>
      <c r="D166" s="29" t="s">
        <v>17</v>
      </c>
      <c r="E166" s="30" t="s">
        <v>614</v>
      </c>
      <c r="F166" s="29">
        <v>200</v>
      </c>
      <c r="G166" s="36"/>
      <c r="H166" s="36">
        <f>H167</f>
        <v>4770.8091199999999</v>
      </c>
      <c r="I166" s="36">
        <f t="shared" ref="I166:K166" si="88">I167</f>
        <v>95.329070000000002</v>
      </c>
      <c r="J166" s="36">
        <f t="shared" si="88"/>
        <v>95.329070000000002</v>
      </c>
      <c r="K166" s="36">
        <f t="shared" si="88"/>
        <v>0</v>
      </c>
      <c r="L166" s="36">
        <f t="shared" si="85"/>
        <v>0</v>
      </c>
      <c r="M166" s="36">
        <f t="shared" si="86"/>
        <v>0</v>
      </c>
    </row>
    <row r="167" spans="1:13" ht="25.5">
      <c r="A167" s="60" t="s">
        <v>66</v>
      </c>
      <c r="B167" s="29" t="s">
        <v>15</v>
      </c>
      <c r="C167" s="29" t="s">
        <v>130</v>
      </c>
      <c r="D167" s="29" t="s">
        <v>17</v>
      </c>
      <c r="E167" s="30" t="s">
        <v>614</v>
      </c>
      <c r="F167" s="29">
        <v>240</v>
      </c>
      <c r="G167" s="36"/>
      <c r="H167" s="36">
        <v>4770.8091199999999</v>
      </c>
      <c r="I167" s="36">
        <v>95.329070000000002</v>
      </c>
      <c r="J167" s="36">
        <v>95.329070000000002</v>
      </c>
      <c r="K167" s="36">
        <v>0</v>
      </c>
      <c r="L167" s="36">
        <f t="shared" si="85"/>
        <v>0</v>
      </c>
      <c r="M167" s="36">
        <f t="shared" si="86"/>
        <v>0</v>
      </c>
    </row>
    <row r="168" spans="1:13">
      <c r="A168" s="60" t="s">
        <v>26</v>
      </c>
      <c r="B168" s="29" t="s">
        <v>15</v>
      </c>
      <c r="C168" s="29" t="s">
        <v>130</v>
      </c>
      <c r="D168" s="29" t="s">
        <v>17</v>
      </c>
      <c r="E168" s="30" t="s">
        <v>614</v>
      </c>
      <c r="F168" s="29">
        <v>500</v>
      </c>
      <c r="G168" s="36"/>
      <c r="H168" s="36">
        <f>H169</f>
        <v>1064.68517</v>
      </c>
      <c r="I168" s="36">
        <f t="shared" ref="I168:K168" si="89">I169</f>
        <v>1064.68517</v>
      </c>
      <c r="J168" s="36">
        <f t="shared" si="89"/>
        <v>1064.6857</v>
      </c>
      <c r="K168" s="36">
        <f t="shared" si="89"/>
        <v>1064.68517</v>
      </c>
      <c r="L168" s="36">
        <f t="shared" si="85"/>
        <v>100</v>
      </c>
      <c r="M168" s="36">
        <f t="shared" si="86"/>
        <v>100</v>
      </c>
    </row>
    <row r="169" spans="1:13">
      <c r="A169" s="60" t="s">
        <v>352</v>
      </c>
      <c r="B169" s="29" t="s">
        <v>15</v>
      </c>
      <c r="C169" s="29" t="s">
        <v>130</v>
      </c>
      <c r="D169" s="29" t="s">
        <v>17</v>
      </c>
      <c r="E169" s="30" t="s">
        <v>614</v>
      </c>
      <c r="F169" s="29">
        <v>540</v>
      </c>
      <c r="G169" s="36"/>
      <c r="H169" s="36">
        <v>1064.68517</v>
      </c>
      <c r="I169" s="36">
        <v>1064.68517</v>
      </c>
      <c r="J169" s="36">
        <v>1064.6857</v>
      </c>
      <c r="K169" s="36">
        <v>1064.68517</v>
      </c>
      <c r="L169" s="36">
        <f t="shared" si="85"/>
        <v>100</v>
      </c>
      <c r="M169" s="36">
        <f t="shared" si="86"/>
        <v>100</v>
      </c>
    </row>
    <row r="170" spans="1:13">
      <c r="A170" s="60"/>
      <c r="B170" s="29"/>
      <c r="C170" s="29"/>
      <c r="D170" s="29"/>
      <c r="E170" s="30"/>
      <c r="F170" s="29"/>
      <c r="G170" s="36"/>
      <c r="H170" s="36"/>
      <c r="I170" s="36"/>
      <c r="J170" s="36"/>
      <c r="K170" s="36"/>
      <c r="L170" s="36"/>
      <c r="M170" s="36"/>
    </row>
    <row r="171" spans="1:13">
      <c r="A171" s="60" t="s">
        <v>134</v>
      </c>
      <c r="B171" s="29" t="s">
        <v>15</v>
      </c>
      <c r="C171" s="29" t="s">
        <v>46</v>
      </c>
      <c r="D171" s="59" t="s">
        <v>0</v>
      </c>
      <c r="E171" s="59" t="s">
        <v>0</v>
      </c>
      <c r="F171" s="59" t="s">
        <v>0</v>
      </c>
      <c r="G171" s="36">
        <f>G172</f>
        <v>199599.2</v>
      </c>
      <c r="H171" s="36">
        <f t="shared" ref="H171:K171" si="90">H172</f>
        <v>199599.2</v>
      </c>
      <c r="I171" s="36">
        <f t="shared" si="90"/>
        <v>1878</v>
      </c>
      <c r="J171" s="36">
        <f t="shared" si="90"/>
        <v>1864.0440000000001</v>
      </c>
      <c r="K171" s="36">
        <f t="shared" si="90"/>
        <v>1864.0440000000001</v>
      </c>
      <c r="L171" s="36">
        <f t="shared" si="73"/>
        <v>0.93389352261932912</v>
      </c>
      <c r="M171" s="36">
        <f t="shared" si="74"/>
        <v>99.256869009584676</v>
      </c>
    </row>
    <row r="172" spans="1:13">
      <c r="A172" s="60" t="s">
        <v>135</v>
      </c>
      <c r="B172" s="29" t="s">
        <v>15</v>
      </c>
      <c r="C172" s="29" t="s">
        <v>46</v>
      </c>
      <c r="D172" s="29" t="s">
        <v>17</v>
      </c>
      <c r="E172" s="59" t="s">
        <v>0</v>
      </c>
      <c r="F172" s="59" t="s">
        <v>0</v>
      </c>
      <c r="G172" s="36">
        <f>G173+G181</f>
        <v>199599.2</v>
      </c>
      <c r="H172" s="36">
        <f t="shared" ref="H172:K172" si="91">H173+H181</f>
        <v>199599.2</v>
      </c>
      <c r="I172" s="36">
        <f t="shared" si="91"/>
        <v>1878</v>
      </c>
      <c r="J172" s="36">
        <f t="shared" si="91"/>
        <v>1864.0440000000001</v>
      </c>
      <c r="K172" s="36">
        <f t="shared" si="91"/>
        <v>1864.0440000000001</v>
      </c>
      <c r="L172" s="36">
        <f t="shared" si="73"/>
        <v>0.93389352261932912</v>
      </c>
      <c r="M172" s="36">
        <f t="shared" si="74"/>
        <v>99.256869009584676</v>
      </c>
    </row>
    <row r="173" spans="1:13" ht="38.25">
      <c r="A173" s="60" t="s">
        <v>136</v>
      </c>
      <c r="B173" s="29" t="s">
        <v>15</v>
      </c>
      <c r="C173" s="29" t="s">
        <v>46</v>
      </c>
      <c r="D173" s="29" t="s">
        <v>17</v>
      </c>
      <c r="E173" s="29" t="s">
        <v>137</v>
      </c>
      <c r="F173" s="59" t="s">
        <v>0</v>
      </c>
      <c r="G173" s="36">
        <f>G174+G178</f>
        <v>1878</v>
      </c>
      <c r="H173" s="36">
        <f t="shared" ref="H173:K173" si="92">H174+H178</f>
        <v>1878</v>
      </c>
      <c r="I173" s="36">
        <f t="shared" si="92"/>
        <v>1878</v>
      </c>
      <c r="J173" s="36">
        <f t="shared" si="92"/>
        <v>1864.0440000000001</v>
      </c>
      <c r="K173" s="36">
        <f t="shared" si="92"/>
        <v>1864.0440000000001</v>
      </c>
      <c r="L173" s="36">
        <f t="shared" si="73"/>
        <v>99.256869009584676</v>
      </c>
      <c r="M173" s="36">
        <f t="shared" si="74"/>
        <v>99.256869009584676</v>
      </c>
    </row>
    <row r="174" spans="1:13" ht="38.25">
      <c r="A174" s="60" t="s">
        <v>138</v>
      </c>
      <c r="B174" s="29" t="s">
        <v>15</v>
      </c>
      <c r="C174" s="29" t="s">
        <v>46</v>
      </c>
      <c r="D174" s="29" t="s">
        <v>17</v>
      </c>
      <c r="E174" s="29" t="s">
        <v>139</v>
      </c>
      <c r="F174" s="59" t="s">
        <v>0</v>
      </c>
      <c r="G174" s="36">
        <f>G175</f>
        <v>93</v>
      </c>
      <c r="H174" s="36">
        <f t="shared" ref="H174:K176" si="93">H175</f>
        <v>93</v>
      </c>
      <c r="I174" s="36">
        <f t="shared" si="93"/>
        <v>93</v>
      </c>
      <c r="J174" s="36">
        <f t="shared" si="93"/>
        <v>79.043999999999997</v>
      </c>
      <c r="K174" s="36">
        <f t="shared" si="93"/>
        <v>79.043999999999997</v>
      </c>
      <c r="L174" s="36">
        <f t="shared" si="73"/>
        <v>84.99354838709678</v>
      </c>
      <c r="M174" s="36">
        <f t="shared" si="74"/>
        <v>84.99354838709678</v>
      </c>
    </row>
    <row r="175" spans="1:13" ht="25.5">
      <c r="A175" s="60" t="s">
        <v>76</v>
      </c>
      <c r="B175" s="29" t="s">
        <v>15</v>
      </c>
      <c r="C175" s="29" t="s">
        <v>46</v>
      </c>
      <c r="D175" s="29" t="s">
        <v>17</v>
      </c>
      <c r="E175" s="29" t="s">
        <v>140</v>
      </c>
      <c r="F175" s="59" t="s">
        <v>0</v>
      </c>
      <c r="G175" s="36">
        <f>G176</f>
        <v>93</v>
      </c>
      <c r="H175" s="36">
        <f t="shared" si="93"/>
        <v>93</v>
      </c>
      <c r="I175" s="36">
        <f t="shared" si="93"/>
        <v>93</v>
      </c>
      <c r="J175" s="36">
        <f t="shared" si="93"/>
        <v>79.043999999999997</v>
      </c>
      <c r="K175" s="36">
        <f t="shared" si="93"/>
        <v>79.043999999999997</v>
      </c>
      <c r="L175" s="36">
        <f t="shared" si="73"/>
        <v>84.99354838709678</v>
      </c>
      <c r="M175" s="36">
        <f t="shared" si="74"/>
        <v>84.99354838709678</v>
      </c>
    </row>
    <row r="176" spans="1:13" ht="25.5">
      <c r="A176" s="60" t="s">
        <v>64</v>
      </c>
      <c r="B176" s="29" t="s">
        <v>15</v>
      </c>
      <c r="C176" s="29" t="s">
        <v>46</v>
      </c>
      <c r="D176" s="29" t="s">
        <v>17</v>
      </c>
      <c r="E176" s="29" t="s">
        <v>140</v>
      </c>
      <c r="F176" s="29" t="s">
        <v>65</v>
      </c>
      <c r="G176" s="36">
        <f>G177</f>
        <v>93</v>
      </c>
      <c r="H176" s="36">
        <f t="shared" si="93"/>
        <v>93</v>
      </c>
      <c r="I176" s="36">
        <f t="shared" si="93"/>
        <v>93</v>
      </c>
      <c r="J176" s="36">
        <f t="shared" si="93"/>
        <v>79.043999999999997</v>
      </c>
      <c r="K176" s="36">
        <f t="shared" si="93"/>
        <v>79.043999999999997</v>
      </c>
      <c r="L176" s="36">
        <f t="shared" si="73"/>
        <v>84.99354838709678</v>
      </c>
      <c r="M176" s="36">
        <f t="shared" si="74"/>
        <v>84.99354838709678</v>
      </c>
    </row>
    <row r="177" spans="1:13" ht="25.5">
      <c r="A177" s="60" t="s">
        <v>66</v>
      </c>
      <c r="B177" s="29" t="s">
        <v>15</v>
      </c>
      <c r="C177" s="29" t="s">
        <v>46</v>
      </c>
      <c r="D177" s="29" t="s">
        <v>17</v>
      </c>
      <c r="E177" s="29" t="s">
        <v>140</v>
      </c>
      <c r="F177" s="29" t="s">
        <v>67</v>
      </c>
      <c r="G177" s="36">
        <v>93</v>
      </c>
      <c r="H177" s="36">
        <v>93</v>
      </c>
      <c r="I177" s="36">
        <v>93</v>
      </c>
      <c r="J177" s="36">
        <v>79.043999999999997</v>
      </c>
      <c r="K177" s="36">
        <v>79.043999999999997</v>
      </c>
      <c r="L177" s="36">
        <f t="shared" si="73"/>
        <v>84.99354838709678</v>
      </c>
      <c r="M177" s="36">
        <f t="shared" si="74"/>
        <v>84.99354838709678</v>
      </c>
    </row>
    <row r="178" spans="1:13" ht="38.25">
      <c r="A178" s="60" t="s">
        <v>37</v>
      </c>
      <c r="B178" s="29" t="s">
        <v>15</v>
      </c>
      <c r="C178" s="29" t="s">
        <v>46</v>
      </c>
      <c r="D178" s="29" t="s">
        <v>17</v>
      </c>
      <c r="E178" s="29" t="s">
        <v>141</v>
      </c>
      <c r="F178" s="59" t="s">
        <v>0</v>
      </c>
      <c r="G178" s="36">
        <f>G179</f>
        <v>1785</v>
      </c>
      <c r="H178" s="36">
        <f t="shared" ref="H178:K179" si="94">H179</f>
        <v>1785</v>
      </c>
      <c r="I178" s="36">
        <f t="shared" si="94"/>
        <v>1785</v>
      </c>
      <c r="J178" s="36">
        <f t="shared" si="94"/>
        <v>1785</v>
      </c>
      <c r="K178" s="36">
        <f t="shared" si="94"/>
        <v>1785</v>
      </c>
      <c r="L178" s="36">
        <f t="shared" si="73"/>
        <v>100</v>
      </c>
      <c r="M178" s="36">
        <f t="shared" si="74"/>
        <v>100</v>
      </c>
    </row>
    <row r="179" spans="1:13" ht="25.5">
      <c r="A179" s="60" t="s">
        <v>39</v>
      </c>
      <c r="B179" s="29" t="s">
        <v>15</v>
      </c>
      <c r="C179" s="29" t="s">
        <v>46</v>
      </c>
      <c r="D179" s="29" t="s">
        <v>17</v>
      </c>
      <c r="E179" s="29" t="s">
        <v>141</v>
      </c>
      <c r="F179" s="29" t="s">
        <v>40</v>
      </c>
      <c r="G179" s="36">
        <f>G180</f>
        <v>1785</v>
      </c>
      <c r="H179" s="36">
        <f t="shared" si="94"/>
        <v>1785</v>
      </c>
      <c r="I179" s="36">
        <f t="shared" si="94"/>
        <v>1785</v>
      </c>
      <c r="J179" s="36">
        <f t="shared" si="94"/>
        <v>1785</v>
      </c>
      <c r="K179" s="36">
        <f t="shared" si="94"/>
        <v>1785</v>
      </c>
      <c r="L179" s="36">
        <f t="shared" si="73"/>
        <v>100</v>
      </c>
      <c r="M179" s="36">
        <f t="shared" si="74"/>
        <v>100</v>
      </c>
    </row>
    <row r="180" spans="1:13">
      <c r="A180" s="60" t="s">
        <v>41</v>
      </c>
      <c r="B180" s="29" t="s">
        <v>15</v>
      </c>
      <c r="C180" s="29" t="s">
        <v>46</v>
      </c>
      <c r="D180" s="29" t="s">
        <v>17</v>
      </c>
      <c r="E180" s="29" t="s">
        <v>141</v>
      </c>
      <c r="F180" s="29" t="s">
        <v>42</v>
      </c>
      <c r="G180" s="36">
        <v>1785</v>
      </c>
      <c r="H180" s="36">
        <v>1785</v>
      </c>
      <c r="I180" s="36">
        <v>1785</v>
      </c>
      <c r="J180" s="36">
        <v>1785</v>
      </c>
      <c r="K180" s="36">
        <v>1785</v>
      </c>
      <c r="L180" s="36">
        <f t="shared" si="73"/>
        <v>100</v>
      </c>
      <c r="M180" s="36">
        <f t="shared" si="74"/>
        <v>100</v>
      </c>
    </row>
    <row r="181" spans="1:13" ht="25.5">
      <c r="A181" s="60" t="s">
        <v>142</v>
      </c>
      <c r="B181" s="29" t="s">
        <v>15</v>
      </c>
      <c r="C181" s="29" t="s">
        <v>46</v>
      </c>
      <c r="D181" s="29" t="s">
        <v>17</v>
      </c>
      <c r="E181" s="29" t="s">
        <v>143</v>
      </c>
      <c r="F181" s="59" t="s">
        <v>0</v>
      </c>
      <c r="G181" s="36">
        <f>G182</f>
        <v>197721.2</v>
      </c>
      <c r="H181" s="36">
        <f t="shared" ref="H181:K183" si="95">H182</f>
        <v>197721.2</v>
      </c>
      <c r="I181" s="36">
        <f t="shared" si="95"/>
        <v>0</v>
      </c>
      <c r="J181" s="36">
        <f t="shared" si="95"/>
        <v>0</v>
      </c>
      <c r="K181" s="36">
        <f t="shared" si="95"/>
        <v>0</v>
      </c>
      <c r="L181" s="36">
        <f t="shared" si="73"/>
        <v>0</v>
      </c>
      <c r="M181" s="36">
        <v>0</v>
      </c>
    </row>
    <row r="182" spans="1:13" ht="38.25">
      <c r="A182" s="60" t="s">
        <v>37</v>
      </c>
      <c r="B182" s="29" t="s">
        <v>15</v>
      </c>
      <c r="C182" s="29" t="s">
        <v>46</v>
      </c>
      <c r="D182" s="29" t="s">
        <v>17</v>
      </c>
      <c r="E182" s="29" t="s">
        <v>144</v>
      </c>
      <c r="F182" s="59" t="s">
        <v>0</v>
      </c>
      <c r="G182" s="36">
        <f>G183</f>
        <v>197721.2</v>
      </c>
      <c r="H182" s="36">
        <f t="shared" si="95"/>
        <v>197721.2</v>
      </c>
      <c r="I182" s="36">
        <f t="shared" si="95"/>
        <v>0</v>
      </c>
      <c r="J182" s="36">
        <f t="shared" si="95"/>
        <v>0</v>
      </c>
      <c r="K182" s="36">
        <f t="shared" si="95"/>
        <v>0</v>
      </c>
      <c r="L182" s="36">
        <f t="shared" si="73"/>
        <v>0</v>
      </c>
      <c r="M182" s="36">
        <v>0</v>
      </c>
    </row>
    <row r="183" spans="1:13">
      <c r="A183" s="60" t="s">
        <v>72</v>
      </c>
      <c r="B183" s="29" t="s">
        <v>15</v>
      </c>
      <c r="C183" s="29" t="s">
        <v>46</v>
      </c>
      <c r="D183" s="29" t="s">
        <v>17</v>
      </c>
      <c r="E183" s="29" t="s">
        <v>144</v>
      </c>
      <c r="F183" s="29" t="s">
        <v>73</v>
      </c>
      <c r="G183" s="36">
        <f>G184</f>
        <v>197721.2</v>
      </c>
      <c r="H183" s="36">
        <f t="shared" si="95"/>
        <v>197721.2</v>
      </c>
      <c r="I183" s="36">
        <f t="shared" si="95"/>
        <v>0</v>
      </c>
      <c r="J183" s="36">
        <f t="shared" si="95"/>
        <v>0</v>
      </c>
      <c r="K183" s="36">
        <f t="shared" si="95"/>
        <v>0</v>
      </c>
      <c r="L183" s="36">
        <f t="shared" si="73"/>
        <v>0</v>
      </c>
      <c r="M183" s="36">
        <v>0</v>
      </c>
    </row>
    <row r="184" spans="1:13">
      <c r="A184" s="60" t="s">
        <v>145</v>
      </c>
      <c r="B184" s="29" t="s">
        <v>15</v>
      </c>
      <c r="C184" s="29" t="s">
        <v>46</v>
      </c>
      <c r="D184" s="29" t="s">
        <v>17</v>
      </c>
      <c r="E184" s="29" t="s">
        <v>144</v>
      </c>
      <c r="F184" s="29" t="s">
        <v>146</v>
      </c>
      <c r="G184" s="36">
        <v>197721.2</v>
      </c>
      <c r="H184" s="36">
        <v>197721.2</v>
      </c>
      <c r="I184" s="36">
        <v>0</v>
      </c>
      <c r="J184" s="36">
        <v>0</v>
      </c>
      <c r="K184" s="36">
        <v>0</v>
      </c>
      <c r="L184" s="36">
        <v>0</v>
      </c>
      <c r="M184" s="36">
        <v>0</v>
      </c>
    </row>
    <row r="185" spans="1:13">
      <c r="A185" s="61" t="s">
        <v>0</v>
      </c>
      <c r="B185" s="59" t="s">
        <v>0</v>
      </c>
      <c r="C185" s="59" t="s">
        <v>0</v>
      </c>
      <c r="D185" s="59" t="s">
        <v>0</v>
      </c>
      <c r="E185" s="59" t="s">
        <v>0</v>
      </c>
      <c r="F185" s="59" t="s">
        <v>0</v>
      </c>
      <c r="G185" s="62" t="s">
        <v>0</v>
      </c>
      <c r="H185" s="62" t="s">
        <v>0</v>
      </c>
      <c r="I185" s="62" t="s">
        <v>0</v>
      </c>
      <c r="J185" s="62" t="s">
        <v>0</v>
      </c>
      <c r="K185" s="62" t="s">
        <v>0</v>
      </c>
      <c r="L185" s="62"/>
      <c r="M185" s="62"/>
    </row>
    <row r="186" spans="1:13">
      <c r="A186" s="60" t="s">
        <v>147</v>
      </c>
      <c r="B186" s="29" t="s">
        <v>15</v>
      </c>
      <c r="C186" s="29" t="s">
        <v>148</v>
      </c>
      <c r="D186" s="59" t="s">
        <v>0</v>
      </c>
      <c r="E186" s="59" t="s">
        <v>0</v>
      </c>
      <c r="F186" s="59" t="s">
        <v>0</v>
      </c>
      <c r="G186" s="36">
        <f t="shared" ref="G186:G191" si="96">G187</f>
        <v>31243.4</v>
      </c>
      <c r="H186" s="36">
        <f t="shared" ref="H186:K191" si="97">H187</f>
        <v>31243.4</v>
      </c>
      <c r="I186" s="36">
        <f t="shared" si="97"/>
        <v>5193.3059999999996</v>
      </c>
      <c r="J186" s="36">
        <f t="shared" si="97"/>
        <v>5193.3059999999996</v>
      </c>
      <c r="K186" s="36">
        <f t="shared" si="97"/>
        <v>5193.3059999999996</v>
      </c>
      <c r="L186" s="36">
        <f t="shared" si="73"/>
        <v>16.622089785362668</v>
      </c>
      <c r="M186" s="36">
        <f t="shared" si="74"/>
        <v>100</v>
      </c>
    </row>
    <row r="187" spans="1:13">
      <c r="A187" s="60" t="s">
        <v>149</v>
      </c>
      <c r="B187" s="29" t="s">
        <v>15</v>
      </c>
      <c r="C187" s="29" t="s">
        <v>148</v>
      </c>
      <c r="D187" s="29" t="s">
        <v>150</v>
      </c>
      <c r="E187" s="59" t="s">
        <v>0</v>
      </c>
      <c r="F187" s="59" t="s">
        <v>0</v>
      </c>
      <c r="G187" s="36">
        <f t="shared" si="96"/>
        <v>31243.4</v>
      </c>
      <c r="H187" s="36">
        <f t="shared" si="97"/>
        <v>31243.4</v>
      </c>
      <c r="I187" s="36">
        <f t="shared" si="97"/>
        <v>5193.3059999999996</v>
      </c>
      <c r="J187" s="36">
        <f t="shared" si="97"/>
        <v>5193.3059999999996</v>
      </c>
      <c r="K187" s="36">
        <f t="shared" si="97"/>
        <v>5193.3059999999996</v>
      </c>
      <c r="L187" s="36">
        <f t="shared" si="73"/>
        <v>16.622089785362668</v>
      </c>
      <c r="M187" s="36">
        <f t="shared" si="74"/>
        <v>100</v>
      </c>
    </row>
    <row r="188" spans="1:13" ht="51">
      <c r="A188" s="60" t="s">
        <v>20</v>
      </c>
      <c r="B188" s="29" t="s">
        <v>15</v>
      </c>
      <c r="C188" s="29" t="s">
        <v>148</v>
      </c>
      <c r="D188" s="29" t="s">
        <v>150</v>
      </c>
      <c r="E188" s="29" t="s">
        <v>21</v>
      </c>
      <c r="F188" s="59" t="s">
        <v>0</v>
      </c>
      <c r="G188" s="36">
        <f t="shared" si="96"/>
        <v>31243.4</v>
      </c>
      <c r="H188" s="36">
        <f t="shared" si="97"/>
        <v>31243.4</v>
      </c>
      <c r="I188" s="36">
        <f t="shared" si="97"/>
        <v>5193.3059999999996</v>
      </c>
      <c r="J188" s="36">
        <f t="shared" si="97"/>
        <v>5193.3059999999996</v>
      </c>
      <c r="K188" s="36">
        <f t="shared" si="97"/>
        <v>5193.3059999999996</v>
      </c>
      <c r="L188" s="36">
        <f t="shared" si="73"/>
        <v>16.622089785362668</v>
      </c>
      <c r="M188" s="36">
        <f t="shared" si="74"/>
        <v>100</v>
      </c>
    </row>
    <row r="189" spans="1:13" ht="38.25">
      <c r="A189" s="60" t="s">
        <v>52</v>
      </c>
      <c r="B189" s="29" t="s">
        <v>15</v>
      </c>
      <c r="C189" s="29" t="s">
        <v>148</v>
      </c>
      <c r="D189" s="29" t="s">
        <v>150</v>
      </c>
      <c r="E189" s="29" t="s">
        <v>53</v>
      </c>
      <c r="F189" s="59" t="s">
        <v>0</v>
      </c>
      <c r="G189" s="36">
        <f t="shared" si="96"/>
        <v>31243.4</v>
      </c>
      <c r="H189" s="36">
        <f t="shared" si="97"/>
        <v>31243.4</v>
      </c>
      <c r="I189" s="36">
        <f t="shared" si="97"/>
        <v>5193.3059999999996</v>
      </c>
      <c r="J189" s="36">
        <f t="shared" si="97"/>
        <v>5193.3059999999996</v>
      </c>
      <c r="K189" s="36">
        <f t="shared" si="97"/>
        <v>5193.3059999999996</v>
      </c>
      <c r="L189" s="36">
        <f t="shared" si="73"/>
        <v>16.622089785362668</v>
      </c>
      <c r="M189" s="36">
        <f t="shared" si="74"/>
        <v>100</v>
      </c>
    </row>
    <row r="190" spans="1:13" ht="25.5">
      <c r="A190" s="60" t="s">
        <v>95</v>
      </c>
      <c r="B190" s="29" t="s">
        <v>15</v>
      </c>
      <c r="C190" s="29" t="s">
        <v>148</v>
      </c>
      <c r="D190" s="29" t="s">
        <v>150</v>
      </c>
      <c r="E190" s="29" t="s">
        <v>96</v>
      </c>
      <c r="F190" s="59" t="s">
        <v>0</v>
      </c>
      <c r="G190" s="36">
        <f t="shared" si="96"/>
        <v>31243.4</v>
      </c>
      <c r="H190" s="36">
        <f t="shared" si="97"/>
        <v>31243.4</v>
      </c>
      <c r="I190" s="36">
        <f t="shared" si="97"/>
        <v>5193.3059999999996</v>
      </c>
      <c r="J190" s="36">
        <f t="shared" si="97"/>
        <v>5193.3059999999996</v>
      </c>
      <c r="K190" s="36">
        <f t="shared" si="97"/>
        <v>5193.3059999999996</v>
      </c>
      <c r="L190" s="36">
        <f t="shared" si="73"/>
        <v>16.622089785362668</v>
      </c>
      <c r="M190" s="36">
        <f t="shared" si="74"/>
        <v>100</v>
      </c>
    </row>
    <row r="191" spans="1:13">
      <c r="A191" s="60" t="s">
        <v>68</v>
      </c>
      <c r="B191" s="29" t="s">
        <v>15</v>
      </c>
      <c r="C191" s="29" t="s">
        <v>148</v>
      </c>
      <c r="D191" s="29" t="s">
        <v>150</v>
      </c>
      <c r="E191" s="29" t="s">
        <v>96</v>
      </c>
      <c r="F191" s="29" t="s">
        <v>69</v>
      </c>
      <c r="G191" s="36">
        <f t="shared" si="96"/>
        <v>31243.4</v>
      </c>
      <c r="H191" s="36">
        <f t="shared" si="97"/>
        <v>31243.4</v>
      </c>
      <c r="I191" s="36">
        <f t="shared" si="97"/>
        <v>5193.3059999999996</v>
      </c>
      <c r="J191" s="36">
        <f t="shared" si="97"/>
        <v>5193.3059999999996</v>
      </c>
      <c r="K191" s="36">
        <f t="shared" si="97"/>
        <v>5193.3059999999996</v>
      </c>
      <c r="L191" s="36">
        <f t="shared" si="73"/>
        <v>16.622089785362668</v>
      </c>
      <c r="M191" s="36">
        <f t="shared" si="74"/>
        <v>100</v>
      </c>
    </row>
    <row r="192" spans="1:13" ht="25.5">
      <c r="A192" s="60" t="s">
        <v>151</v>
      </c>
      <c r="B192" s="29" t="s">
        <v>15</v>
      </c>
      <c r="C192" s="29" t="s">
        <v>148</v>
      </c>
      <c r="D192" s="29" t="s">
        <v>150</v>
      </c>
      <c r="E192" s="29" t="s">
        <v>96</v>
      </c>
      <c r="F192" s="29" t="s">
        <v>152</v>
      </c>
      <c r="G192" s="36">
        <v>31243.4</v>
      </c>
      <c r="H192" s="36">
        <v>31243.4</v>
      </c>
      <c r="I192" s="36">
        <v>5193.3059999999996</v>
      </c>
      <c r="J192" s="36">
        <v>5193.3059999999996</v>
      </c>
      <c r="K192" s="36">
        <v>5193.3059999999996</v>
      </c>
      <c r="L192" s="36">
        <f t="shared" si="73"/>
        <v>16.622089785362668</v>
      </c>
      <c r="M192" s="36">
        <f t="shared" si="74"/>
        <v>100</v>
      </c>
    </row>
    <row r="193" spans="1:13">
      <c r="A193" s="61" t="s">
        <v>0</v>
      </c>
      <c r="B193" s="59" t="s">
        <v>0</v>
      </c>
      <c r="C193" s="59" t="s">
        <v>0</v>
      </c>
      <c r="D193" s="59" t="s">
        <v>0</v>
      </c>
      <c r="E193" s="59" t="s">
        <v>0</v>
      </c>
      <c r="F193" s="59" t="s">
        <v>0</v>
      </c>
      <c r="G193" s="62" t="s">
        <v>0</v>
      </c>
      <c r="H193" s="62" t="s">
        <v>0</v>
      </c>
      <c r="I193" s="62" t="s">
        <v>0</v>
      </c>
      <c r="J193" s="62" t="s">
        <v>0</v>
      </c>
      <c r="K193" s="62" t="s">
        <v>0</v>
      </c>
      <c r="L193" s="62"/>
      <c r="M193" s="62"/>
    </row>
    <row r="194" spans="1:13">
      <c r="A194" s="60" t="s">
        <v>153</v>
      </c>
      <c r="B194" s="29" t="s">
        <v>15</v>
      </c>
      <c r="C194" s="29" t="s">
        <v>154</v>
      </c>
      <c r="D194" s="59" t="s">
        <v>0</v>
      </c>
      <c r="E194" s="59" t="s">
        <v>0</v>
      </c>
      <c r="F194" s="59" t="s">
        <v>0</v>
      </c>
      <c r="G194" s="36">
        <f>G195</f>
        <v>56122.9</v>
      </c>
      <c r="H194" s="36">
        <f t="shared" ref="H194:K196" si="98">H195</f>
        <v>56122.863700000002</v>
      </c>
      <c r="I194" s="36">
        <f t="shared" si="98"/>
        <v>16942.747670000001</v>
      </c>
      <c r="J194" s="36">
        <f t="shared" si="98"/>
        <v>16942.747670000001</v>
      </c>
      <c r="K194" s="36">
        <f t="shared" si="98"/>
        <v>16942.747670000001</v>
      </c>
      <c r="L194" s="36">
        <f t="shared" si="73"/>
        <v>30.18867276724513</v>
      </c>
      <c r="M194" s="36">
        <f t="shared" si="74"/>
        <v>100</v>
      </c>
    </row>
    <row r="195" spans="1:13">
      <c r="A195" s="60" t="s">
        <v>155</v>
      </c>
      <c r="B195" s="29" t="s">
        <v>15</v>
      </c>
      <c r="C195" s="29" t="s">
        <v>154</v>
      </c>
      <c r="D195" s="29" t="s">
        <v>106</v>
      </c>
      <c r="E195" s="59" t="s">
        <v>0</v>
      </c>
      <c r="F195" s="59" t="s">
        <v>0</v>
      </c>
      <c r="G195" s="36">
        <f>G196</f>
        <v>56122.9</v>
      </c>
      <c r="H195" s="36">
        <f t="shared" si="98"/>
        <v>56122.863700000002</v>
      </c>
      <c r="I195" s="36">
        <f t="shared" si="98"/>
        <v>16942.747670000001</v>
      </c>
      <c r="J195" s="36">
        <f t="shared" si="98"/>
        <v>16942.747670000001</v>
      </c>
      <c r="K195" s="36">
        <f t="shared" si="98"/>
        <v>16942.747670000001</v>
      </c>
      <c r="L195" s="36">
        <f t="shared" si="73"/>
        <v>30.18867276724513</v>
      </c>
      <c r="M195" s="36">
        <f t="shared" si="74"/>
        <v>100</v>
      </c>
    </row>
    <row r="196" spans="1:13" ht="63.75">
      <c r="A196" s="60" t="s">
        <v>156</v>
      </c>
      <c r="B196" s="29" t="s">
        <v>15</v>
      </c>
      <c r="C196" s="29" t="s">
        <v>154</v>
      </c>
      <c r="D196" s="29" t="s">
        <v>106</v>
      </c>
      <c r="E196" s="29" t="s">
        <v>157</v>
      </c>
      <c r="F196" s="59" t="s">
        <v>0</v>
      </c>
      <c r="G196" s="36">
        <f>G197</f>
        <v>56122.9</v>
      </c>
      <c r="H196" s="36">
        <f t="shared" si="98"/>
        <v>56122.863700000002</v>
      </c>
      <c r="I196" s="36">
        <f t="shared" si="98"/>
        <v>16942.747670000001</v>
      </c>
      <c r="J196" s="36">
        <f t="shared" si="98"/>
        <v>16942.747670000001</v>
      </c>
      <c r="K196" s="36">
        <f t="shared" si="98"/>
        <v>16942.747670000001</v>
      </c>
      <c r="L196" s="36">
        <f t="shared" si="73"/>
        <v>30.18867276724513</v>
      </c>
      <c r="M196" s="36">
        <f t="shared" si="74"/>
        <v>100</v>
      </c>
    </row>
    <row r="197" spans="1:13">
      <c r="A197" s="60" t="s">
        <v>158</v>
      </c>
      <c r="B197" s="29" t="s">
        <v>15</v>
      </c>
      <c r="C197" s="29" t="s">
        <v>154</v>
      </c>
      <c r="D197" s="29" t="s">
        <v>106</v>
      </c>
      <c r="E197" s="29" t="s">
        <v>159</v>
      </c>
      <c r="F197" s="59" t="s">
        <v>0</v>
      </c>
      <c r="G197" s="36">
        <f>G198+G201</f>
        <v>56122.9</v>
      </c>
      <c r="H197" s="36">
        <f t="shared" ref="H197:K197" si="99">H198+H201</f>
        <v>56122.863700000002</v>
      </c>
      <c r="I197" s="36">
        <f t="shared" si="99"/>
        <v>16942.747670000001</v>
      </c>
      <c r="J197" s="36">
        <f t="shared" si="99"/>
        <v>16942.747670000001</v>
      </c>
      <c r="K197" s="36">
        <f t="shared" si="99"/>
        <v>16942.747670000001</v>
      </c>
      <c r="L197" s="36">
        <f t="shared" si="73"/>
        <v>30.18867276724513</v>
      </c>
      <c r="M197" s="36">
        <f t="shared" si="74"/>
        <v>100</v>
      </c>
    </row>
    <row r="198" spans="1:13" ht="38.25">
      <c r="A198" s="60" t="s">
        <v>37</v>
      </c>
      <c r="B198" s="29" t="s">
        <v>15</v>
      </c>
      <c r="C198" s="29" t="s">
        <v>154</v>
      </c>
      <c r="D198" s="29" t="s">
        <v>106</v>
      </c>
      <c r="E198" s="29" t="s">
        <v>160</v>
      </c>
      <c r="F198" s="59" t="s">
        <v>0</v>
      </c>
      <c r="G198" s="36">
        <f>G199</f>
        <v>40000</v>
      </c>
      <c r="H198" s="36">
        <f t="shared" ref="H198:K199" si="100">H199</f>
        <v>40000</v>
      </c>
      <c r="I198" s="36">
        <f t="shared" si="100"/>
        <v>5000.0617099999999</v>
      </c>
      <c r="J198" s="36">
        <f t="shared" si="100"/>
        <v>5000.0617099999999</v>
      </c>
      <c r="K198" s="36">
        <f t="shared" si="100"/>
        <v>5000.0617099999999</v>
      </c>
      <c r="L198" s="36">
        <f t="shared" si="73"/>
        <v>12.500154275</v>
      </c>
      <c r="M198" s="36">
        <f t="shared" si="74"/>
        <v>100</v>
      </c>
    </row>
    <row r="199" spans="1:13" ht="25.5">
      <c r="A199" s="60" t="s">
        <v>39</v>
      </c>
      <c r="B199" s="29" t="s">
        <v>15</v>
      </c>
      <c r="C199" s="29" t="s">
        <v>154</v>
      </c>
      <c r="D199" s="29" t="s">
        <v>106</v>
      </c>
      <c r="E199" s="29" t="s">
        <v>160</v>
      </c>
      <c r="F199" s="29" t="s">
        <v>40</v>
      </c>
      <c r="G199" s="36">
        <f>G200</f>
        <v>40000</v>
      </c>
      <c r="H199" s="36">
        <f t="shared" si="100"/>
        <v>40000</v>
      </c>
      <c r="I199" s="36">
        <f t="shared" si="100"/>
        <v>5000.0617099999999</v>
      </c>
      <c r="J199" s="36">
        <f t="shared" si="100"/>
        <v>5000.0617099999999</v>
      </c>
      <c r="K199" s="36">
        <f t="shared" si="100"/>
        <v>5000.0617099999999</v>
      </c>
      <c r="L199" s="36">
        <f t="shared" si="73"/>
        <v>12.500154275</v>
      </c>
      <c r="M199" s="36">
        <f t="shared" si="74"/>
        <v>100</v>
      </c>
    </row>
    <row r="200" spans="1:13">
      <c r="A200" s="60" t="s">
        <v>41</v>
      </c>
      <c r="B200" s="29" t="s">
        <v>15</v>
      </c>
      <c r="C200" s="29" t="s">
        <v>154</v>
      </c>
      <c r="D200" s="29" t="s">
        <v>106</v>
      </c>
      <c r="E200" s="29" t="s">
        <v>160</v>
      </c>
      <c r="F200" s="29" t="s">
        <v>42</v>
      </c>
      <c r="G200" s="36">
        <v>40000</v>
      </c>
      <c r="H200" s="36">
        <v>40000</v>
      </c>
      <c r="I200" s="36">
        <v>5000.0617099999999</v>
      </c>
      <c r="J200" s="36">
        <v>5000.0617099999999</v>
      </c>
      <c r="K200" s="36">
        <v>5000.0617099999999</v>
      </c>
      <c r="L200" s="36">
        <f t="shared" si="73"/>
        <v>12.500154275</v>
      </c>
      <c r="M200" s="36">
        <f t="shared" si="74"/>
        <v>100</v>
      </c>
    </row>
    <row r="201" spans="1:13" ht="25.5">
      <c r="A201" s="60" t="s">
        <v>107</v>
      </c>
      <c r="B201" s="29" t="s">
        <v>15</v>
      </c>
      <c r="C201" s="29" t="s">
        <v>154</v>
      </c>
      <c r="D201" s="29" t="s">
        <v>106</v>
      </c>
      <c r="E201" s="29" t="s">
        <v>161</v>
      </c>
      <c r="F201" s="59" t="s">
        <v>0</v>
      </c>
      <c r="G201" s="36">
        <f>G202</f>
        <v>16122.9</v>
      </c>
      <c r="H201" s="36">
        <f t="shared" ref="H201:K202" si="101">H202</f>
        <v>16122.8637</v>
      </c>
      <c r="I201" s="36">
        <f t="shared" si="101"/>
        <v>11942.685960000001</v>
      </c>
      <c r="J201" s="36">
        <f t="shared" si="101"/>
        <v>11942.685960000001</v>
      </c>
      <c r="K201" s="36">
        <f t="shared" si="101"/>
        <v>11942.685960000001</v>
      </c>
      <c r="L201" s="36">
        <f t="shared" si="73"/>
        <v>74.072982208489435</v>
      </c>
      <c r="M201" s="36">
        <f t="shared" si="74"/>
        <v>100</v>
      </c>
    </row>
    <row r="202" spans="1:13">
      <c r="A202" s="60" t="s">
        <v>26</v>
      </c>
      <c r="B202" s="29" t="s">
        <v>15</v>
      </c>
      <c r="C202" s="29" t="s">
        <v>154</v>
      </c>
      <c r="D202" s="29" t="s">
        <v>106</v>
      </c>
      <c r="E202" s="29" t="s">
        <v>161</v>
      </c>
      <c r="F202" s="29" t="s">
        <v>27</v>
      </c>
      <c r="G202" s="36">
        <f>G203</f>
        <v>16122.9</v>
      </c>
      <c r="H202" s="36">
        <f t="shared" si="101"/>
        <v>16122.8637</v>
      </c>
      <c r="I202" s="36">
        <f t="shared" si="101"/>
        <v>11942.685960000001</v>
      </c>
      <c r="J202" s="36">
        <f t="shared" si="101"/>
        <v>11942.685960000001</v>
      </c>
      <c r="K202" s="36">
        <f t="shared" si="101"/>
        <v>11942.685960000001</v>
      </c>
      <c r="L202" s="36">
        <f t="shared" si="73"/>
        <v>74.072982208489435</v>
      </c>
      <c r="M202" s="36">
        <f t="shared" si="74"/>
        <v>100</v>
      </c>
    </row>
    <row r="203" spans="1:13">
      <c r="A203" s="60" t="s">
        <v>56</v>
      </c>
      <c r="B203" s="29" t="s">
        <v>15</v>
      </c>
      <c r="C203" s="29" t="s">
        <v>154</v>
      </c>
      <c r="D203" s="29" t="s">
        <v>106</v>
      </c>
      <c r="E203" s="29" t="s">
        <v>161</v>
      </c>
      <c r="F203" s="29" t="s">
        <v>57</v>
      </c>
      <c r="G203" s="36">
        <v>16122.9</v>
      </c>
      <c r="H203" s="36">
        <v>16122.8637</v>
      </c>
      <c r="I203" s="36">
        <v>11942.685960000001</v>
      </c>
      <c r="J203" s="36">
        <v>11942.685960000001</v>
      </c>
      <c r="K203" s="36">
        <v>11942.685960000001</v>
      </c>
      <c r="L203" s="36">
        <f t="shared" si="73"/>
        <v>74.072982208489435</v>
      </c>
      <c r="M203" s="36">
        <f t="shared" si="74"/>
        <v>100</v>
      </c>
    </row>
    <row r="204" spans="1:13">
      <c r="A204" s="65" t="s">
        <v>0</v>
      </c>
      <c r="B204" s="66" t="s">
        <v>0</v>
      </c>
      <c r="C204" s="59" t="s">
        <v>0</v>
      </c>
      <c r="D204" s="59" t="s">
        <v>0</v>
      </c>
      <c r="E204" s="59" t="s">
        <v>0</v>
      </c>
      <c r="F204" s="59" t="s">
        <v>0</v>
      </c>
      <c r="G204" s="67" t="s">
        <v>0</v>
      </c>
      <c r="H204" s="67" t="s">
        <v>0</v>
      </c>
      <c r="I204" s="67" t="s">
        <v>0</v>
      </c>
      <c r="J204" s="67" t="s">
        <v>0</v>
      </c>
      <c r="K204" s="67" t="s">
        <v>0</v>
      </c>
      <c r="L204" s="67"/>
      <c r="M204" s="67"/>
    </row>
    <row r="205" spans="1:13" ht="51">
      <c r="A205" s="57" t="s">
        <v>162</v>
      </c>
      <c r="B205" s="58" t="s">
        <v>163</v>
      </c>
      <c r="C205" s="59" t="s">
        <v>0</v>
      </c>
      <c r="D205" s="59" t="s">
        <v>0</v>
      </c>
      <c r="E205" s="59" t="s">
        <v>0</v>
      </c>
      <c r="F205" s="59" t="s">
        <v>0</v>
      </c>
      <c r="G205" s="31">
        <f>G206+G214+G255++G348</f>
        <v>6413708.7999999989</v>
      </c>
      <c r="H205" s="31">
        <f>H206+H214+H255++H348</f>
        <v>6432935.0260199988</v>
      </c>
      <c r="I205" s="31">
        <f>I206+I214+I255++I348</f>
        <v>2505802.7663699999</v>
      </c>
      <c r="J205" s="31">
        <f>J206+J214+J255++J348</f>
        <v>2505801.1318999999</v>
      </c>
      <c r="K205" s="31">
        <f>K206+K214+K255++K348</f>
        <v>2482846.0938300001</v>
      </c>
      <c r="L205" s="31">
        <f t="shared" si="73"/>
        <v>38.595852185469923</v>
      </c>
      <c r="M205" s="31">
        <f t="shared" si="74"/>
        <v>99.083859557978869</v>
      </c>
    </row>
    <row r="206" spans="1:13" ht="25.5">
      <c r="A206" s="60" t="s">
        <v>164</v>
      </c>
      <c r="B206" s="29" t="s">
        <v>163</v>
      </c>
      <c r="C206" s="29" t="s">
        <v>150</v>
      </c>
      <c r="D206" s="59" t="s">
        <v>0</v>
      </c>
      <c r="E206" s="59" t="s">
        <v>0</v>
      </c>
      <c r="F206" s="59" t="s">
        <v>0</v>
      </c>
      <c r="G206" s="36">
        <f t="shared" ref="G206:G211" si="102">G207</f>
        <v>292.60000000000002</v>
      </c>
      <c r="H206" s="36">
        <f t="shared" ref="H206:K211" si="103">H207</f>
        <v>292.60000000000002</v>
      </c>
      <c r="I206" s="36">
        <f t="shared" si="103"/>
        <v>88.075609999999998</v>
      </c>
      <c r="J206" s="36">
        <f t="shared" si="103"/>
        <v>88.075609999999998</v>
      </c>
      <c r="K206" s="36">
        <f t="shared" si="103"/>
        <v>66.266199999999998</v>
      </c>
      <c r="L206" s="36">
        <f t="shared" si="73"/>
        <v>22.647368421052629</v>
      </c>
      <c r="M206" s="36">
        <f t="shared" si="74"/>
        <v>75.237855292742225</v>
      </c>
    </row>
    <row r="207" spans="1:13" ht="38.25">
      <c r="A207" s="60" t="s">
        <v>165</v>
      </c>
      <c r="B207" s="29" t="s">
        <v>163</v>
      </c>
      <c r="C207" s="29" t="s">
        <v>150</v>
      </c>
      <c r="D207" s="29" t="s">
        <v>46</v>
      </c>
      <c r="E207" s="59" t="s">
        <v>0</v>
      </c>
      <c r="F207" s="59" t="s">
        <v>0</v>
      </c>
      <c r="G207" s="36">
        <f t="shared" si="102"/>
        <v>292.60000000000002</v>
      </c>
      <c r="H207" s="36">
        <f t="shared" si="103"/>
        <v>292.60000000000002</v>
      </c>
      <c r="I207" s="36">
        <f t="shared" si="103"/>
        <v>88.075609999999998</v>
      </c>
      <c r="J207" s="36">
        <f t="shared" si="103"/>
        <v>88.075609999999998</v>
      </c>
      <c r="K207" s="36">
        <f t="shared" si="103"/>
        <v>66.266199999999998</v>
      </c>
      <c r="L207" s="36">
        <f t="shared" si="73"/>
        <v>22.647368421052629</v>
      </c>
      <c r="M207" s="36">
        <f t="shared" si="74"/>
        <v>75.237855292742225</v>
      </c>
    </row>
    <row r="208" spans="1:13" ht="63.75">
      <c r="A208" s="60" t="s">
        <v>166</v>
      </c>
      <c r="B208" s="29" t="s">
        <v>163</v>
      </c>
      <c r="C208" s="29" t="s">
        <v>150</v>
      </c>
      <c r="D208" s="29" t="s">
        <v>46</v>
      </c>
      <c r="E208" s="29" t="s">
        <v>167</v>
      </c>
      <c r="F208" s="59" t="s">
        <v>0</v>
      </c>
      <c r="G208" s="36">
        <f t="shared" si="102"/>
        <v>292.60000000000002</v>
      </c>
      <c r="H208" s="36">
        <f t="shared" si="103"/>
        <v>292.60000000000002</v>
      </c>
      <c r="I208" s="36">
        <f t="shared" si="103"/>
        <v>88.075609999999998</v>
      </c>
      <c r="J208" s="36">
        <f t="shared" si="103"/>
        <v>88.075609999999998</v>
      </c>
      <c r="K208" s="36">
        <f t="shared" si="103"/>
        <v>66.266199999999998</v>
      </c>
      <c r="L208" s="36">
        <f t="shared" si="73"/>
        <v>22.647368421052629</v>
      </c>
      <c r="M208" s="36">
        <f t="shared" si="74"/>
        <v>75.237855292742225</v>
      </c>
    </row>
    <row r="209" spans="1:13" ht="63.75">
      <c r="A209" s="60" t="s">
        <v>168</v>
      </c>
      <c r="B209" s="29" t="s">
        <v>163</v>
      </c>
      <c r="C209" s="29" t="s">
        <v>150</v>
      </c>
      <c r="D209" s="29" t="s">
        <v>46</v>
      </c>
      <c r="E209" s="29" t="s">
        <v>169</v>
      </c>
      <c r="F209" s="59" t="s">
        <v>0</v>
      </c>
      <c r="G209" s="36">
        <f t="shared" si="102"/>
        <v>292.60000000000002</v>
      </c>
      <c r="H209" s="36">
        <f t="shared" si="103"/>
        <v>292.60000000000002</v>
      </c>
      <c r="I209" s="36">
        <f t="shared" si="103"/>
        <v>88.075609999999998</v>
      </c>
      <c r="J209" s="36">
        <f t="shared" si="103"/>
        <v>88.075609999999998</v>
      </c>
      <c r="K209" s="36">
        <f t="shared" si="103"/>
        <v>66.266199999999998</v>
      </c>
      <c r="L209" s="36">
        <f t="shared" si="73"/>
        <v>22.647368421052629</v>
      </c>
      <c r="M209" s="36">
        <f t="shared" si="74"/>
        <v>75.237855292742225</v>
      </c>
    </row>
    <row r="210" spans="1:13" ht="51">
      <c r="A210" s="60" t="s">
        <v>170</v>
      </c>
      <c r="B210" s="29" t="s">
        <v>163</v>
      </c>
      <c r="C210" s="29" t="s">
        <v>150</v>
      </c>
      <c r="D210" s="29" t="s">
        <v>46</v>
      </c>
      <c r="E210" s="29" t="s">
        <v>171</v>
      </c>
      <c r="F210" s="59" t="s">
        <v>0</v>
      </c>
      <c r="G210" s="36">
        <f t="shared" si="102"/>
        <v>292.60000000000002</v>
      </c>
      <c r="H210" s="36">
        <f t="shared" si="103"/>
        <v>292.60000000000002</v>
      </c>
      <c r="I210" s="36">
        <f t="shared" si="103"/>
        <v>88.075609999999998</v>
      </c>
      <c r="J210" s="36">
        <f t="shared" si="103"/>
        <v>88.075609999999998</v>
      </c>
      <c r="K210" s="36">
        <f t="shared" si="103"/>
        <v>66.266199999999998</v>
      </c>
      <c r="L210" s="36">
        <f t="shared" si="73"/>
        <v>22.647368421052629</v>
      </c>
      <c r="M210" s="36">
        <f t="shared" si="74"/>
        <v>75.237855292742225</v>
      </c>
    </row>
    <row r="211" spans="1:13" ht="25.5">
      <c r="A211" s="60" t="s">
        <v>64</v>
      </c>
      <c r="B211" s="29" t="s">
        <v>163</v>
      </c>
      <c r="C211" s="29" t="s">
        <v>150</v>
      </c>
      <c r="D211" s="29" t="s">
        <v>46</v>
      </c>
      <c r="E211" s="29" t="s">
        <v>171</v>
      </c>
      <c r="F211" s="29" t="s">
        <v>65</v>
      </c>
      <c r="G211" s="36">
        <f t="shared" si="102"/>
        <v>292.60000000000002</v>
      </c>
      <c r="H211" s="36">
        <f t="shared" si="103"/>
        <v>292.60000000000002</v>
      </c>
      <c r="I211" s="36">
        <f t="shared" si="103"/>
        <v>88.075609999999998</v>
      </c>
      <c r="J211" s="36">
        <f t="shared" si="103"/>
        <v>88.075609999999998</v>
      </c>
      <c r="K211" s="36">
        <f t="shared" si="103"/>
        <v>66.266199999999998</v>
      </c>
      <c r="L211" s="36">
        <f t="shared" si="73"/>
        <v>22.647368421052629</v>
      </c>
      <c r="M211" s="36">
        <f t="shared" si="74"/>
        <v>75.237855292742225</v>
      </c>
    </row>
    <row r="212" spans="1:13" ht="25.5">
      <c r="A212" s="60" t="s">
        <v>172</v>
      </c>
      <c r="B212" s="29" t="s">
        <v>163</v>
      </c>
      <c r="C212" s="29" t="s">
        <v>150</v>
      </c>
      <c r="D212" s="29" t="s">
        <v>46</v>
      </c>
      <c r="E212" s="29" t="s">
        <v>171</v>
      </c>
      <c r="F212" s="29" t="s">
        <v>173</v>
      </c>
      <c r="G212" s="36">
        <v>292.60000000000002</v>
      </c>
      <c r="H212" s="36">
        <v>292.60000000000002</v>
      </c>
      <c r="I212" s="36">
        <v>88.075609999999998</v>
      </c>
      <c r="J212" s="36">
        <v>88.075609999999998</v>
      </c>
      <c r="K212" s="36">
        <v>66.266199999999998</v>
      </c>
      <c r="L212" s="36">
        <f t="shared" si="73"/>
        <v>22.647368421052629</v>
      </c>
      <c r="M212" s="36">
        <f t="shared" si="74"/>
        <v>75.237855292742225</v>
      </c>
    </row>
    <row r="213" spans="1:13">
      <c r="A213" s="61" t="s">
        <v>0</v>
      </c>
      <c r="B213" s="59" t="s">
        <v>0</v>
      </c>
      <c r="C213" s="59" t="s">
        <v>0</v>
      </c>
      <c r="D213" s="59" t="s">
        <v>0</v>
      </c>
      <c r="E213" s="59" t="s">
        <v>0</v>
      </c>
      <c r="F213" s="59" t="s">
        <v>0</v>
      </c>
      <c r="G213" s="62" t="s">
        <v>0</v>
      </c>
      <c r="H213" s="62" t="s">
        <v>0</v>
      </c>
      <c r="I213" s="62" t="s">
        <v>0</v>
      </c>
      <c r="J213" s="62" t="s">
        <v>0</v>
      </c>
      <c r="K213" s="62" t="s">
        <v>0</v>
      </c>
      <c r="L213" s="62"/>
      <c r="M213" s="62"/>
    </row>
    <row r="214" spans="1:13">
      <c r="A214" s="60" t="s">
        <v>30</v>
      </c>
      <c r="B214" s="29" t="s">
        <v>163</v>
      </c>
      <c r="C214" s="29" t="s">
        <v>19</v>
      </c>
      <c r="D214" s="59" t="s">
        <v>0</v>
      </c>
      <c r="E214" s="59" t="s">
        <v>0</v>
      </c>
      <c r="F214" s="59" t="s">
        <v>0</v>
      </c>
      <c r="G214" s="36">
        <f>G215+G239</f>
        <v>118411.70000000001</v>
      </c>
      <c r="H214" s="36">
        <f>H215+H239+H235</f>
        <v>118833.84816000001</v>
      </c>
      <c r="I214" s="36">
        <f t="shared" ref="I214:K214" si="104">I215+I239+I235</f>
        <v>50491.273439999997</v>
      </c>
      <c r="J214" s="36">
        <f t="shared" si="104"/>
        <v>50489.683290000001</v>
      </c>
      <c r="K214" s="36">
        <f t="shared" si="104"/>
        <v>41315.288789999999</v>
      </c>
      <c r="L214" s="36">
        <f t="shared" si="73"/>
        <v>34.767273322978113</v>
      </c>
      <c r="M214" s="36">
        <f t="shared" si="74"/>
        <v>81.826592944018245</v>
      </c>
    </row>
    <row r="215" spans="1:13">
      <c r="A215" s="60" t="s">
        <v>174</v>
      </c>
      <c r="B215" s="29" t="s">
        <v>163</v>
      </c>
      <c r="C215" s="29" t="s">
        <v>19</v>
      </c>
      <c r="D215" s="29" t="s">
        <v>106</v>
      </c>
      <c r="E215" s="59" t="s">
        <v>0</v>
      </c>
      <c r="F215" s="59" t="s">
        <v>0</v>
      </c>
      <c r="G215" s="36">
        <f>G216+G231</f>
        <v>64080.500000000007</v>
      </c>
      <c r="H215" s="36">
        <f>H216+H231</f>
        <v>64080.500000000007</v>
      </c>
      <c r="I215" s="36">
        <f t="shared" ref="I215:K215" si="105">I216+I231</f>
        <v>30861.925279999999</v>
      </c>
      <c r="J215" s="36">
        <f t="shared" si="105"/>
        <v>30860.335129999999</v>
      </c>
      <c r="K215" s="36">
        <f t="shared" si="105"/>
        <v>25343.728229999997</v>
      </c>
      <c r="L215" s="36">
        <f t="shared" si="73"/>
        <v>39.549829089972761</v>
      </c>
      <c r="M215" s="36">
        <f t="shared" si="74"/>
        <v>82.119725195575995</v>
      </c>
    </row>
    <row r="216" spans="1:13" ht="38.25">
      <c r="A216" s="60" t="s">
        <v>175</v>
      </c>
      <c r="B216" s="29" t="s">
        <v>163</v>
      </c>
      <c r="C216" s="29" t="s">
        <v>19</v>
      </c>
      <c r="D216" s="29" t="s">
        <v>106</v>
      </c>
      <c r="E216" s="29" t="s">
        <v>176</v>
      </c>
      <c r="F216" s="59" t="s">
        <v>0</v>
      </c>
      <c r="G216" s="36">
        <f>G217+G221</f>
        <v>58080.500000000007</v>
      </c>
      <c r="H216" s="36">
        <f t="shared" ref="H216:K216" si="106">H217+H221</f>
        <v>58080.500000000007</v>
      </c>
      <c r="I216" s="36">
        <f t="shared" si="106"/>
        <v>30861.925279999999</v>
      </c>
      <c r="J216" s="36">
        <f t="shared" si="106"/>
        <v>30860.335129999999</v>
      </c>
      <c r="K216" s="36">
        <f t="shared" si="106"/>
        <v>25343.728229999997</v>
      </c>
      <c r="L216" s="36">
        <f t="shared" si="73"/>
        <v>43.635520062671631</v>
      </c>
      <c r="M216" s="36">
        <f t="shared" si="74"/>
        <v>82.119725195575995</v>
      </c>
    </row>
    <row r="217" spans="1:13" ht="38.25">
      <c r="A217" s="60" t="s">
        <v>177</v>
      </c>
      <c r="B217" s="29" t="s">
        <v>163</v>
      </c>
      <c r="C217" s="29" t="s">
        <v>19</v>
      </c>
      <c r="D217" s="29" t="s">
        <v>106</v>
      </c>
      <c r="E217" s="29" t="s">
        <v>178</v>
      </c>
      <c r="F217" s="59" t="s">
        <v>0</v>
      </c>
      <c r="G217" s="36">
        <f>G218</f>
        <v>900</v>
      </c>
      <c r="H217" s="36">
        <f t="shared" ref="H217:K219" si="107">H218</f>
        <v>900</v>
      </c>
      <c r="I217" s="36">
        <f t="shared" si="107"/>
        <v>0</v>
      </c>
      <c r="J217" s="36">
        <f t="shared" si="107"/>
        <v>0</v>
      </c>
      <c r="K217" s="36">
        <f t="shared" si="107"/>
        <v>0</v>
      </c>
      <c r="L217" s="36">
        <f t="shared" si="73"/>
        <v>0</v>
      </c>
      <c r="M217" s="36">
        <v>0</v>
      </c>
    </row>
    <row r="218" spans="1:13" ht="25.5">
      <c r="A218" s="60" t="s">
        <v>179</v>
      </c>
      <c r="B218" s="29" t="s">
        <v>163</v>
      </c>
      <c r="C218" s="29" t="s">
        <v>19</v>
      </c>
      <c r="D218" s="29" t="s">
        <v>106</v>
      </c>
      <c r="E218" s="29" t="s">
        <v>180</v>
      </c>
      <c r="F218" s="59" t="s">
        <v>0</v>
      </c>
      <c r="G218" s="36">
        <f>G219</f>
        <v>900</v>
      </c>
      <c r="H218" s="36">
        <f t="shared" si="107"/>
        <v>900</v>
      </c>
      <c r="I218" s="36">
        <f t="shared" si="107"/>
        <v>0</v>
      </c>
      <c r="J218" s="36">
        <f t="shared" si="107"/>
        <v>0</v>
      </c>
      <c r="K218" s="36">
        <f t="shared" si="107"/>
        <v>0</v>
      </c>
      <c r="L218" s="36">
        <f t="shared" si="73"/>
        <v>0</v>
      </c>
      <c r="M218" s="36">
        <v>0</v>
      </c>
    </row>
    <row r="219" spans="1:13" ht="25.5">
      <c r="A219" s="60" t="s">
        <v>64</v>
      </c>
      <c r="B219" s="29" t="s">
        <v>163</v>
      </c>
      <c r="C219" s="29" t="s">
        <v>19</v>
      </c>
      <c r="D219" s="29" t="s">
        <v>106</v>
      </c>
      <c r="E219" s="29" t="s">
        <v>180</v>
      </c>
      <c r="F219" s="29" t="s">
        <v>65</v>
      </c>
      <c r="G219" s="36">
        <f>G220</f>
        <v>900</v>
      </c>
      <c r="H219" s="36">
        <f t="shared" si="107"/>
        <v>900</v>
      </c>
      <c r="I219" s="36">
        <f t="shared" si="107"/>
        <v>0</v>
      </c>
      <c r="J219" s="36">
        <f t="shared" si="107"/>
        <v>0</v>
      </c>
      <c r="K219" s="36">
        <f t="shared" si="107"/>
        <v>0</v>
      </c>
      <c r="L219" s="36">
        <f t="shared" si="73"/>
        <v>0</v>
      </c>
      <c r="M219" s="36">
        <v>0</v>
      </c>
    </row>
    <row r="220" spans="1:13" ht="25.5">
      <c r="A220" s="60" t="s">
        <v>66</v>
      </c>
      <c r="B220" s="29" t="s">
        <v>163</v>
      </c>
      <c r="C220" s="29" t="s">
        <v>19</v>
      </c>
      <c r="D220" s="29" t="s">
        <v>106</v>
      </c>
      <c r="E220" s="29" t="s">
        <v>180</v>
      </c>
      <c r="F220" s="29" t="s">
        <v>67</v>
      </c>
      <c r="G220" s="36">
        <v>900</v>
      </c>
      <c r="H220" s="36">
        <v>900</v>
      </c>
      <c r="I220" s="36"/>
      <c r="J220" s="36"/>
      <c r="K220" s="36"/>
      <c r="L220" s="36">
        <f t="shared" si="73"/>
        <v>0</v>
      </c>
      <c r="M220" s="36">
        <v>0</v>
      </c>
    </row>
    <row r="221" spans="1:13" ht="38.25">
      <c r="A221" s="60" t="s">
        <v>181</v>
      </c>
      <c r="B221" s="29" t="s">
        <v>163</v>
      </c>
      <c r="C221" s="29" t="s">
        <v>19</v>
      </c>
      <c r="D221" s="29" t="s">
        <v>106</v>
      </c>
      <c r="E221" s="29" t="s">
        <v>182</v>
      </c>
      <c r="F221" s="59" t="s">
        <v>0</v>
      </c>
      <c r="G221" s="36">
        <f>G222</f>
        <v>57180.500000000007</v>
      </c>
      <c r="H221" s="36">
        <f t="shared" ref="H221:K221" si="108">H222</f>
        <v>57180.500000000007</v>
      </c>
      <c r="I221" s="36">
        <f t="shared" si="108"/>
        <v>30861.925279999999</v>
      </c>
      <c r="J221" s="36">
        <f t="shared" si="108"/>
        <v>30860.335129999999</v>
      </c>
      <c r="K221" s="36">
        <f t="shared" si="108"/>
        <v>25343.728229999997</v>
      </c>
      <c r="L221" s="36">
        <f t="shared" si="73"/>
        <v>44.322327069542929</v>
      </c>
      <c r="M221" s="36">
        <f t="shared" si="74"/>
        <v>82.119725195575995</v>
      </c>
    </row>
    <row r="222" spans="1:13" ht="25.5">
      <c r="A222" s="60" t="s">
        <v>58</v>
      </c>
      <c r="B222" s="29" t="s">
        <v>163</v>
      </c>
      <c r="C222" s="29" t="s">
        <v>19</v>
      </c>
      <c r="D222" s="29" t="s">
        <v>106</v>
      </c>
      <c r="E222" s="29" t="s">
        <v>183</v>
      </c>
      <c r="F222" s="59" t="s">
        <v>0</v>
      </c>
      <c r="G222" s="36">
        <f>G223+G225+G227+G229</f>
        <v>57180.500000000007</v>
      </c>
      <c r="H222" s="36">
        <f t="shared" ref="H222:K222" si="109">H223+H225+H227+H229</f>
        <v>57180.500000000007</v>
      </c>
      <c r="I222" s="36">
        <f t="shared" si="109"/>
        <v>30861.925279999999</v>
      </c>
      <c r="J222" s="36">
        <f t="shared" si="109"/>
        <v>30860.335129999999</v>
      </c>
      <c r="K222" s="36">
        <f t="shared" si="109"/>
        <v>25343.728229999997</v>
      </c>
      <c r="L222" s="36">
        <f t="shared" si="73"/>
        <v>44.322327069542929</v>
      </c>
      <c r="M222" s="36">
        <f t="shared" si="74"/>
        <v>82.119725195575995</v>
      </c>
    </row>
    <row r="223" spans="1:13" ht="63.75">
      <c r="A223" s="60" t="s">
        <v>60</v>
      </c>
      <c r="B223" s="29" t="s">
        <v>163</v>
      </c>
      <c r="C223" s="29" t="s">
        <v>19</v>
      </c>
      <c r="D223" s="29" t="s">
        <v>106</v>
      </c>
      <c r="E223" s="29" t="s">
        <v>183</v>
      </c>
      <c r="F223" s="29" t="s">
        <v>61</v>
      </c>
      <c r="G223" s="36">
        <f>G224</f>
        <v>53946.9</v>
      </c>
      <c r="H223" s="36">
        <f t="shared" ref="H223:K223" si="110">H224</f>
        <v>53946.9</v>
      </c>
      <c r="I223" s="36">
        <f t="shared" si="110"/>
        <v>29147</v>
      </c>
      <c r="J223" s="36">
        <f t="shared" si="110"/>
        <v>29147</v>
      </c>
      <c r="K223" s="36">
        <f t="shared" si="110"/>
        <v>24053.253389999998</v>
      </c>
      <c r="L223" s="36">
        <f t="shared" si="73"/>
        <v>44.586905623863458</v>
      </c>
      <c r="M223" s="36">
        <f t="shared" si="74"/>
        <v>82.523942052355295</v>
      </c>
    </row>
    <row r="224" spans="1:13" ht="25.5">
      <c r="A224" s="60" t="s">
        <v>62</v>
      </c>
      <c r="B224" s="29" t="s">
        <v>163</v>
      </c>
      <c r="C224" s="29" t="s">
        <v>19</v>
      </c>
      <c r="D224" s="29" t="s">
        <v>106</v>
      </c>
      <c r="E224" s="29" t="s">
        <v>183</v>
      </c>
      <c r="F224" s="29" t="s">
        <v>63</v>
      </c>
      <c r="G224" s="36">
        <v>53946.9</v>
      </c>
      <c r="H224" s="36">
        <v>53946.9</v>
      </c>
      <c r="I224" s="36">
        <f>22000+560+6587</f>
        <v>29147</v>
      </c>
      <c r="J224" s="36">
        <v>29147</v>
      </c>
      <c r="K224" s="36">
        <f>18013.23542+488.53865+5551.47932</f>
        <v>24053.253389999998</v>
      </c>
      <c r="L224" s="36">
        <f t="shared" ref="L224:L291" si="111">K224/H224*100</f>
        <v>44.586905623863458</v>
      </c>
      <c r="M224" s="36">
        <f t="shared" ref="M224:M291" si="112">K224/I224*100</f>
        <v>82.523942052355295</v>
      </c>
    </row>
    <row r="225" spans="1:13" ht="25.5">
      <c r="A225" s="60" t="s">
        <v>64</v>
      </c>
      <c r="B225" s="29" t="s">
        <v>163</v>
      </c>
      <c r="C225" s="29" t="s">
        <v>19</v>
      </c>
      <c r="D225" s="29" t="s">
        <v>106</v>
      </c>
      <c r="E225" s="29" t="s">
        <v>183</v>
      </c>
      <c r="F225" s="29" t="s">
        <v>65</v>
      </c>
      <c r="G225" s="36">
        <f>G226</f>
        <v>3181.8</v>
      </c>
      <c r="H225" s="36">
        <f t="shared" ref="H225:K225" si="113">H226</f>
        <v>3181.8</v>
      </c>
      <c r="I225" s="36">
        <f t="shared" si="113"/>
        <v>1665</v>
      </c>
      <c r="J225" s="36">
        <f t="shared" si="113"/>
        <v>1665</v>
      </c>
      <c r="K225" s="36">
        <f t="shared" si="113"/>
        <v>1242.1397099999999</v>
      </c>
      <c r="L225" s="36">
        <f t="shared" si="111"/>
        <v>39.038899679426734</v>
      </c>
      <c r="M225" s="36">
        <f t="shared" si="112"/>
        <v>74.602985585585586</v>
      </c>
    </row>
    <row r="226" spans="1:13" ht="25.5">
      <c r="A226" s="60" t="s">
        <v>66</v>
      </c>
      <c r="B226" s="29" t="s">
        <v>163</v>
      </c>
      <c r="C226" s="29" t="s">
        <v>19</v>
      </c>
      <c r="D226" s="29" t="s">
        <v>106</v>
      </c>
      <c r="E226" s="29" t="s">
        <v>183</v>
      </c>
      <c r="F226" s="29" t="s">
        <v>67</v>
      </c>
      <c r="G226" s="36">
        <v>3181.8</v>
      </c>
      <c r="H226" s="36">
        <v>3181.8</v>
      </c>
      <c r="I226" s="36">
        <v>1665</v>
      </c>
      <c r="J226" s="36">
        <v>1665</v>
      </c>
      <c r="K226" s="36">
        <v>1242.1397099999999</v>
      </c>
      <c r="L226" s="36">
        <f t="shared" si="111"/>
        <v>39.038899679426734</v>
      </c>
      <c r="M226" s="36">
        <f t="shared" si="112"/>
        <v>74.602985585585586</v>
      </c>
    </row>
    <row r="227" spans="1:13">
      <c r="A227" s="60" t="s">
        <v>68</v>
      </c>
      <c r="B227" s="29" t="s">
        <v>163</v>
      </c>
      <c r="C227" s="29" t="s">
        <v>19</v>
      </c>
      <c r="D227" s="29" t="s">
        <v>106</v>
      </c>
      <c r="E227" s="29" t="s">
        <v>183</v>
      </c>
      <c r="F227" s="29" t="s">
        <v>69</v>
      </c>
      <c r="G227" s="36">
        <f>G228</f>
        <v>45</v>
      </c>
      <c r="H227" s="36">
        <f t="shared" ref="H227:K227" si="114">H228</f>
        <v>45</v>
      </c>
      <c r="I227" s="36">
        <f t="shared" si="114"/>
        <v>45</v>
      </c>
      <c r="J227" s="36">
        <f t="shared" si="114"/>
        <v>45</v>
      </c>
      <c r="K227" s="36">
        <f t="shared" si="114"/>
        <v>45</v>
      </c>
      <c r="L227" s="36">
        <f t="shared" si="111"/>
        <v>100</v>
      </c>
      <c r="M227" s="36">
        <f t="shared" si="112"/>
        <v>100</v>
      </c>
    </row>
    <row r="228" spans="1:13">
      <c r="A228" s="60" t="s">
        <v>70</v>
      </c>
      <c r="B228" s="29" t="s">
        <v>163</v>
      </c>
      <c r="C228" s="29" t="s">
        <v>19</v>
      </c>
      <c r="D228" s="29" t="s">
        <v>106</v>
      </c>
      <c r="E228" s="29" t="s">
        <v>183</v>
      </c>
      <c r="F228" s="29" t="s">
        <v>71</v>
      </c>
      <c r="G228" s="36">
        <v>45</v>
      </c>
      <c r="H228" s="36">
        <v>45</v>
      </c>
      <c r="I228" s="36">
        <v>45</v>
      </c>
      <c r="J228" s="36">
        <v>45</v>
      </c>
      <c r="K228" s="36">
        <v>45</v>
      </c>
      <c r="L228" s="36">
        <f t="shared" si="111"/>
        <v>100</v>
      </c>
      <c r="M228" s="36">
        <f t="shared" si="112"/>
        <v>100</v>
      </c>
    </row>
    <row r="229" spans="1:13">
      <c r="A229" s="60" t="s">
        <v>72</v>
      </c>
      <c r="B229" s="29" t="s">
        <v>163</v>
      </c>
      <c r="C229" s="29" t="s">
        <v>19</v>
      </c>
      <c r="D229" s="29" t="s">
        <v>106</v>
      </c>
      <c r="E229" s="29" t="s">
        <v>183</v>
      </c>
      <c r="F229" s="29" t="s">
        <v>73</v>
      </c>
      <c r="G229" s="36">
        <f>G230</f>
        <v>6.8</v>
      </c>
      <c r="H229" s="36">
        <f t="shared" ref="H229:K229" si="115">H230</f>
        <v>6.8</v>
      </c>
      <c r="I229" s="36">
        <f t="shared" si="115"/>
        <v>4.9252799999999999</v>
      </c>
      <c r="J229" s="36">
        <f t="shared" si="115"/>
        <v>3.3351299999999999</v>
      </c>
      <c r="K229" s="36">
        <f t="shared" si="115"/>
        <v>3.3351299999999999</v>
      </c>
      <c r="L229" s="36">
        <f t="shared" si="111"/>
        <v>49.046029411764707</v>
      </c>
      <c r="M229" s="36">
        <f t="shared" si="112"/>
        <v>67.714525874671082</v>
      </c>
    </row>
    <row r="230" spans="1:13">
      <c r="A230" s="60" t="s">
        <v>74</v>
      </c>
      <c r="B230" s="29" t="s">
        <v>163</v>
      </c>
      <c r="C230" s="29" t="s">
        <v>19</v>
      </c>
      <c r="D230" s="29" t="s">
        <v>106</v>
      </c>
      <c r="E230" s="29" t="s">
        <v>183</v>
      </c>
      <c r="F230" s="29" t="s">
        <v>75</v>
      </c>
      <c r="G230" s="36">
        <v>6.8</v>
      </c>
      <c r="H230" s="36">
        <v>6.8</v>
      </c>
      <c r="I230" s="36">
        <f>1.59015+3.33513</f>
        <v>4.9252799999999999</v>
      </c>
      <c r="J230" s="36">
        <f>3.33513</f>
        <v>3.3351299999999999</v>
      </c>
      <c r="K230" s="36">
        <v>3.3351299999999999</v>
      </c>
      <c r="L230" s="36">
        <f t="shared" si="111"/>
        <v>49.046029411764707</v>
      </c>
      <c r="M230" s="36">
        <f t="shared" si="112"/>
        <v>67.714525874671082</v>
      </c>
    </row>
    <row r="231" spans="1:13" ht="38.25">
      <c r="A231" s="60" t="s">
        <v>122</v>
      </c>
      <c r="B231" s="29" t="s">
        <v>163</v>
      </c>
      <c r="C231" s="29" t="s">
        <v>19</v>
      </c>
      <c r="D231" s="29" t="s">
        <v>106</v>
      </c>
      <c r="E231" s="29" t="s">
        <v>123</v>
      </c>
      <c r="F231" s="59" t="s">
        <v>0</v>
      </c>
      <c r="G231" s="36">
        <f>G232</f>
        <v>6000</v>
      </c>
      <c r="H231" s="36">
        <f t="shared" ref="H231:K233" si="116">H232</f>
        <v>6000</v>
      </c>
      <c r="I231" s="36">
        <f t="shared" si="116"/>
        <v>0</v>
      </c>
      <c r="J231" s="36">
        <f t="shared" si="116"/>
        <v>0</v>
      </c>
      <c r="K231" s="36">
        <f t="shared" si="116"/>
        <v>0</v>
      </c>
      <c r="L231" s="36">
        <f t="shared" si="111"/>
        <v>0</v>
      </c>
      <c r="M231" s="36">
        <v>0</v>
      </c>
    </row>
    <row r="232" spans="1:13" ht="63.75">
      <c r="A232" s="60" t="s">
        <v>184</v>
      </c>
      <c r="B232" s="29" t="s">
        <v>163</v>
      </c>
      <c r="C232" s="29" t="s">
        <v>19</v>
      </c>
      <c r="D232" s="29" t="s">
        <v>106</v>
      </c>
      <c r="E232" s="29" t="s">
        <v>185</v>
      </c>
      <c r="F232" s="59" t="s">
        <v>0</v>
      </c>
      <c r="G232" s="36">
        <f>G233</f>
        <v>6000</v>
      </c>
      <c r="H232" s="36">
        <f t="shared" si="116"/>
        <v>6000</v>
      </c>
      <c r="I232" s="36">
        <f t="shared" si="116"/>
        <v>0</v>
      </c>
      <c r="J232" s="36">
        <f t="shared" si="116"/>
        <v>0</v>
      </c>
      <c r="K232" s="36">
        <f t="shared" si="116"/>
        <v>0</v>
      </c>
      <c r="L232" s="36">
        <f t="shared" si="111"/>
        <v>0</v>
      </c>
      <c r="M232" s="36">
        <v>0</v>
      </c>
    </row>
    <row r="233" spans="1:13">
      <c r="A233" s="60" t="s">
        <v>26</v>
      </c>
      <c r="B233" s="29" t="s">
        <v>163</v>
      </c>
      <c r="C233" s="29" t="s">
        <v>19</v>
      </c>
      <c r="D233" s="29" t="s">
        <v>106</v>
      </c>
      <c r="E233" s="29" t="s">
        <v>185</v>
      </c>
      <c r="F233" s="29" t="s">
        <v>27</v>
      </c>
      <c r="G233" s="36">
        <f>G234</f>
        <v>6000</v>
      </c>
      <c r="H233" s="36">
        <f t="shared" si="116"/>
        <v>6000</v>
      </c>
      <c r="I233" s="36">
        <f t="shared" si="116"/>
        <v>0</v>
      </c>
      <c r="J233" s="36">
        <f t="shared" si="116"/>
        <v>0</v>
      </c>
      <c r="K233" s="36">
        <f t="shared" si="116"/>
        <v>0</v>
      </c>
      <c r="L233" s="36">
        <f t="shared" si="111"/>
        <v>0</v>
      </c>
      <c r="M233" s="36">
        <v>0</v>
      </c>
    </row>
    <row r="234" spans="1:13">
      <c r="A234" s="60" t="s">
        <v>56</v>
      </c>
      <c r="B234" s="29" t="s">
        <v>163</v>
      </c>
      <c r="C234" s="29" t="s">
        <v>19</v>
      </c>
      <c r="D234" s="29" t="s">
        <v>106</v>
      </c>
      <c r="E234" s="29" t="s">
        <v>185</v>
      </c>
      <c r="F234" s="29" t="s">
        <v>57</v>
      </c>
      <c r="G234" s="36">
        <v>6000</v>
      </c>
      <c r="H234" s="36">
        <v>6000</v>
      </c>
      <c r="I234" s="36"/>
      <c r="J234" s="36"/>
      <c r="K234" s="36"/>
      <c r="L234" s="36">
        <f t="shared" si="111"/>
        <v>0</v>
      </c>
      <c r="M234" s="36">
        <v>0</v>
      </c>
    </row>
    <row r="235" spans="1:13">
      <c r="A235" s="63" t="s">
        <v>612</v>
      </c>
      <c r="B235" s="29" t="s">
        <v>163</v>
      </c>
      <c r="C235" s="29" t="s">
        <v>19</v>
      </c>
      <c r="D235" s="68" t="s">
        <v>46</v>
      </c>
      <c r="E235" s="30" t="s">
        <v>613</v>
      </c>
      <c r="F235" s="29"/>
      <c r="G235" s="36"/>
      <c r="H235" s="36">
        <f>H236</f>
        <v>422.14816000000002</v>
      </c>
      <c r="I235" s="36">
        <f t="shared" ref="I235:K237" si="117">I236</f>
        <v>422.14816000000002</v>
      </c>
      <c r="J235" s="36">
        <f t="shared" si="117"/>
        <v>422.14816000000002</v>
      </c>
      <c r="K235" s="36">
        <f t="shared" si="117"/>
        <v>422.14816000000002</v>
      </c>
      <c r="L235" s="36">
        <f t="shared" ref="L235:L238" si="118">K235/H235*100</f>
        <v>100</v>
      </c>
      <c r="M235" s="36">
        <f t="shared" ref="M235:M238" si="119">K235/I235*100</f>
        <v>100</v>
      </c>
    </row>
    <row r="236" spans="1:13">
      <c r="A236" s="60" t="s">
        <v>612</v>
      </c>
      <c r="B236" s="29" t="s">
        <v>163</v>
      </c>
      <c r="C236" s="29" t="s">
        <v>19</v>
      </c>
      <c r="D236" s="68" t="s">
        <v>46</v>
      </c>
      <c r="E236" s="30" t="s">
        <v>614</v>
      </c>
      <c r="F236" s="29"/>
      <c r="G236" s="36"/>
      <c r="H236" s="36">
        <f>H237</f>
        <v>422.14816000000002</v>
      </c>
      <c r="I236" s="36">
        <f t="shared" si="117"/>
        <v>422.14816000000002</v>
      </c>
      <c r="J236" s="36">
        <f t="shared" si="117"/>
        <v>422.14816000000002</v>
      </c>
      <c r="K236" s="36">
        <f t="shared" si="117"/>
        <v>422.14816000000002</v>
      </c>
      <c r="L236" s="36">
        <f t="shared" si="118"/>
        <v>100</v>
      </c>
      <c r="M236" s="36">
        <f t="shared" si="119"/>
        <v>100</v>
      </c>
    </row>
    <row r="237" spans="1:13">
      <c r="A237" s="60" t="s">
        <v>26</v>
      </c>
      <c r="B237" s="29" t="s">
        <v>163</v>
      </c>
      <c r="C237" s="29" t="s">
        <v>19</v>
      </c>
      <c r="D237" s="68" t="s">
        <v>46</v>
      </c>
      <c r="E237" s="30" t="s">
        <v>614</v>
      </c>
      <c r="F237" s="29">
        <v>500</v>
      </c>
      <c r="G237" s="36"/>
      <c r="H237" s="36">
        <f>H238</f>
        <v>422.14816000000002</v>
      </c>
      <c r="I237" s="36">
        <f t="shared" si="117"/>
        <v>422.14816000000002</v>
      </c>
      <c r="J237" s="36">
        <f t="shared" si="117"/>
        <v>422.14816000000002</v>
      </c>
      <c r="K237" s="36">
        <f t="shared" si="117"/>
        <v>422.14816000000002</v>
      </c>
      <c r="L237" s="36">
        <f t="shared" si="118"/>
        <v>100</v>
      </c>
      <c r="M237" s="36">
        <f t="shared" si="119"/>
        <v>100</v>
      </c>
    </row>
    <row r="238" spans="1:13">
      <c r="A238" s="60" t="s">
        <v>352</v>
      </c>
      <c r="B238" s="29" t="s">
        <v>163</v>
      </c>
      <c r="C238" s="29" t="s">
        <v>19</v>
      </c>
      <c r="D238" s="68" t="s">
        <v>46</v>
      </c>
      <c r="E238" s="30" t="s">
        <v>614</v>
      </c>
      <c r="F238" s="29">
        <v>540</v>
      </c>
      <c r="G238" s="36"/>
      <c r="H238" s="36">
        <v>422.14816000000002</v>
      </c>
      <c r="I238" s="36">
        <v>422.14816000000002</v>
      </c>
      <c r="J238" s="36">
        <v>422.14816000000002</v>
      </c>
      <c r="K238" s="36">
        <v>422.14816000000002</v>
      </c>
      <c r="L238" s="36">
        <f t="shared" si="118"/>
        <v>100</v>
      </c>
      <c r="M238" s="36">
        <f t="shared" si="119"/>
        <v>100</v>
      </c>
    </row>
    <row r="239" spans="1:13">
      <c r="A239" s="60" t="s">
        <v>50</v>
      </c>
      <c r="B239" s="29" t="s">
        <v>163</v>
      </c>
      <c r="C239" s="29" t="s">
        <v>19</v>
      </c>
      <c r="D239" s="29" t="s">
        <v>51</v>
      </c>
      <c r="E239" s="59" t="s">
        <v>0</v>
      </c>
      <c r="F239" s="59" t="s">
        <v>0</v>
      </c>
      <c r="G239" s="36">
        <f>G240+G245</f>
        <v>54331.199999999997</v>
      </c>
      <c r="H239" s="36">
        <f t="shared" ref="H239:K239" si="120">H240+H245</f>
        <v>54331.199999999997</v>
      </c>
      <c r="I239" s="36">
        <f t="shared" si="120"/>
        <v>19207.2</v>
      </c>
      <c r="J239" s="36">
        <f t="shared" si="120"/>
        <v>19207.2</v>
      </c>
      <c r="K239" s="36">
        <f t="shared" si="120"/>
        <v>15549.412400000003</v>
      </c>
      <c r="L239" s="36">
        <f t="shared" si="111"/>
        <v>28.619674146714967</v>
      </c>
      <c r="M239" s="36">
        <f t="shared" si="112"/>
        <v>80.95616435503355</v>
      </c>
    </row>
    <row r="240" spans="1:13" ht="63.75">
      <c r="A240" s="60" t="s">
        <v>186</v>
      </c>
      <c r="B240" s="29" t="s">
        <v>163</v>
      </c>
      <c r="C240" s="29" t="s">
        <v>19</v>
      </c>
      <c r="D240" s="29" t="s">
        <v>51</v>
      </c>
      <c r="E240" s="29" t="s">
        <v>187</v>
      </c>
      <c r="F240" s="59" t="s">
        <v>0</v>
      </c>
      <c r="G240" s="36">
        <f>G241</f>
        <v>20000</v>
      </c>
      <c r="H240" s="36">
        <f t="shared" ref="H240:K243" si="121">H241</f>
        <v>20000</v>
      </c>
      <c r="I240" s="36">
        <f t="shared" si="121"/>
        <v>0</v>
      </c>
      <c r="J240" s="36">
        <f t="shared" si="121"/>
        <v>0</v>
      </c>
      <c r="K240" s="36">
        <f t="shared" si="121"/>
        <v>0</v>
      </c>
      <c r="L240" s="36">
        <f t="shared" si="111"/>
        <v>0</v>
      </c>
      <c r="M240" s="36">
        <v>0</v>
      </c>
    </row>
    <row r="241" spans="1:13" ht="25.5">
      <c r="A241" s="60" t="s">
        <v>188</v>
      </c>
      <c r="B241" s="29" t="s">
        <v>163</v>
      </c>
      <c r="C241" s="29" t="s">
        <v>19</v>
      </c>
      <c r="D241" s="29" t="s">
        <v>51</v>
      </c>
      <c r="E241" s="29" t="s">
        <v>189</v>
      </c>
      <c r="F241" s="59" t="s">
        <v>0</v>
      </c>
      <c r="G241" s="36">
        <f>G242</f>
        <v>20000</v>
      </c>
      <c r="H241" s="36">
        <f t="shared" si="121"/>
        <v>20000</v>
      </c>
      <c r="I241" s="36">
        <f t="shared" si="121"/>
        <v>0</v>
      </c>
      <c r="J241" s="36">
        <f t="shared" si="121"/>
        <v>0</v>
      </c>
      <c r="K241" s="36">
        <f t="shared" si="121"/>
        <v>0</v>
      </c>
      <c r="L241" s="36">
        <f t="shared" si="111"/>
        <v>0</v>
      </c>
      <c r="M241" s="36">
        <v>0</v>
      </c>
    </row>
    <row r="242" spans="1:13" ht="25.5">
      <c r="A242" s="60" t="s">
        <v>190</v>
      </c>
      <c r="B242" s="29" t="s">
        <v>163</v>
      </c>
      <c r="C242" s="29" t="s">
        <v>19</v>
      </c>
      <c r="D242" s="29" t="s">
        <v>51</v>
      </c>
      <c r="E242" s="29" t="s">
        <v>191</v>
      </c>
      <c r="F242" s="59" t="s">
        <v>0</v>
      </c>
      <c r="G242" s="36">
        <f>G243</f>
        <v>20000</v>
      </c>
      <c r="H242" s="36">
        <f t="shared" si="121"/>
        <v>20000</v>
      </c>
      <c r="I242" s="36">
        <f t="shared" si="121"/>
        <v>0</v>
      </c>
      <c r="J242" s="36">
        <f t="shared" si="121"/>
        <v>0</v>
      </c>
      <c r="K242" s="36">
        <f t="shared" si="121"/>
        <v>0</v>
      </c>
      <c r="L242" s="36">
        <f t="shared" si="111"/>
        <v>0</v>
      </c>
      <c r="M242" s="36">
        <v>0</v>
      </c>
    </row>
    <row r="243" spans="1:13">
      <c r="A243" s="60" t="s">
        <v>26</v>
      </c>
      <c r="B243" s="29" t="s">
        <v>163</v>
      </c>
      <c r="C243" s="29" t="s">
        <v>19</v>
      </c>
      <c r="D243" s="29" t="s">
        <v>51</v>
      </c>
      <c r="E243" s="29" t="s">
        <v>191</v>
      </c>
      <c r="F243" s="29" t="s">
        <v>27</v>
      </c>
      <c r="G243" s="36">
        <f>G244</f>
        <v>20000</v>
      </c>
      <c r="H243" s="36">
        <f t="shared" si="121"/>
        <v>20000</v>
      </c>
      <c r="I243" s="36">
        <f t="shared" si="121"/>
        <v>0</v>
      </c>
      <c r="J243" s="36">
        <f t="shared" si="121"/>
        <v>0</v>
      </c>
      <c r="K243" s="36">
        <f t="shared" si="121"/>
        <v>0</v>
      </c>
      <c r="L243" s="36">
        <f t="shared" si="111"/>
        <v>0</v>
      </c>
      <c r="M243" s="36">
        <v>0</v>
      </c>
    </row>
    <row r="244" spans="1:13">
      <c r="A244" s="60" t="s">
        <v>56</v>
      </c>
      <c r="B244" s="29" t="s">
        <v>163</v>
      </c>
      <c r="C244" s="29" t="s">
        <v>19</v>
      </c>
      <c r="D244" s="29" t="s">
        <v>51</v>
      </c>
      <c r="E244" s="29" t="s">
        <v>191</v>
      </c>
      <c r="F244" s="29" t="s">
        <v>57</v>
      </c>
      <c r="G244" s="36">
        <v>20000</v>
      </c>
      <c r="H244" s="36">
        <v>20000</v>
      </c>
      <c r="I244" s="36">
        <v>0</v>
      </c>
      <c r="J244" s="36">
        <v>0</v>
      </c>
      <c r="K244" s="36">
        <v>0</v>
      </c>
      <c r="L244" s="36">
        <f t="shared" si="111"/>
        <v>0</v>
      </c>
      <c r="M244" s="36">
        <v>0</v>
      </c>
    </row>
    <row r="245" spans="1:13" ht="38.25">
      <c r="A245" s="60" t="s">
        <v>175</v>
      </c>
      <c r="B245" s="29" t="s">
        <v>163</v>
      </c>
      <c r="C245" s="29" t="s">
        <v>19</v>
      </c>
      <c r="D245" s="29" t="s">
        <v>51</v>
      </c>
      <c r="E245" s="29" t="s">
        <v>176</v>
      </c>
      <c r="F245" s="59" t="s">
        <v>0</v>
      </c>
      <c r="G245" s="36">
        <f>G246</f>
        <v>34331.199999999997</v>
      </c>
      <c r="H245" s="36">
        <f t="shared" ref="H245:K246" si="122">H246</f>
        <v>34331.199999999997</v>
      </c>
      <c r="I245" s="36">
        <f t="shared" si="122"/>
        <v>19207.2</v>
      </c>
      <c r="J245" s="36">
        <f t="shared" si="122"/>
        <v>19207.2</v>
      </c>
      <c r="K245" s="36">
        <f t="shared" si="122"/>
        <v>15549.412400000003</v>
      </c>
      <c r="L245" s="36">
        <f t="shared" si="111"/>
        <v>45.29236496248312</v>
      </c>
      <c r="M245" s="36">
        <f t="shared" si="112"/>
        <v>80.95616435503355</v>
      </c>
    </row>
    <row r="246" spans="1:13" ht="38.25">
      <c r="A246" s="60" t="s">
        <v>181</v>
      </c>
      <c r="B246" s="29" t="s">
        <v>163</v>
      </c>
      <c r="C246" s="29" t="s">
        <v>19</v>
      </c>
      <c r="D246" s="29" t="s">
        <v>51</v>
      </c>
      <c r="E246" s="29" t="s">
        <v>182</v>
      </c>
      <c r="F246" s="59" t="s">
        <v>0</v>
      </c>
      <c r="G246" s="36">
        <f>G247</f>
        <v>34331.199999999997</v>
      </c>
      <c r="H246" s="36">
        <f t="shared" si="122"/>
        <v>34331.199999999997</v>
      </c>
      <c r="I246" s="36">
        <f t="shared" si="122"/>
        <v>19207.2</v>
      </c>
      <c r="J246" s="36">
        <f t="shared" si="122"/>
        <v>19207.2</v>
      </c>
      <c r="K246" s="36">
        <f t="shared" si="122"/>
        <v>15549.412400000003</v>
      </c>
      <c r="L246" s="36">
        <f t="shared" si="111"/>
        <v>45.29236496248312</v>
      </c>
      <c r="M246" s="36">
        <f t="shared" si="112"/>
        <v>80.95616435503355</v>
      </c>
    </row>
    <row r="247" spans="1:13" ht="25.5">
      <c r="A247" s="60" t="s">
        <v>76</v>
      </c>
      <c r="B247" s="29" t="s">
        <v>163</v>
      </c>
      <c r="C247" s="29" t="s">
        <v>19</v>
      </c>
      <c r="D247" s="29" t="s">
        <v>51</v>
      </c>
      <c r="E247" s="29" t="s">
        <v>192</v>
      </c>
      <c r="F247" s="59" t="s">
        <v>0</v>
      </c>
      <c r="G247" s="36">
        <f>G248+G250+G252</f>
        <v>34331.199999999997</v>
      </c>
      <c r="H247" s="36">
        <f t="shared" ref="H247:K247" si="123">H248+H250+H252</f>
        <v>34331.199999999997</v>
      </c>
      <c r="I247" s="36">
        <f t="shared" si="123"/>
        <v>19207.2</v>
      </c>
      <c r="J247" s="36">
        <f t="shared" si="123"/>
        <v>19207.2</v>
      </c>
      <c r="K247" s="36">
        <f t="shared" si="123"/>
        <v>15549.412400000003</v>
      </c>
      <c r="L247" s="36">
        <f t="shared" si="111"/>
        <v>45.29236496248312</v>
      </c>
      <c r="M247" s="36">
        <f t="shared" si="112"/>
        <v>80.95616435503355</v>
      </c>
    </row>
    <row r="248" spans="1:13" ht="63.75">
      <c r="A248" s="60" t="s">
        <v>60</v>
      </c>
      <c r="B248" s="29" t="s">
        <v>163</v>
      </c>
      <c r="C248" s="29" t="s">
        <v>19</v>
      </c>
      <c r="D248" s="29" t="s">
        <v>51</v>
      </c>
      <c r="E248" s="29" t="s">
        <v>192</v>
      </c>
      <c r="F248" s="29" t="s">
        <v>61</v>
      </c>
      <c r="G248" s="36">
        <f>G249</f>
        <v>32355.200000000001</v>
      </c>
      <c r="H248" s="36">
        <f t="shared" ref="H248:K248" si="124">H249</f>
        <v>32355.200000000001</v>
      </c>
      <c r="I248" s="36">
        <f t="shared" si="124"/>
        <v>18200</v>
      </c>
      <c r="J248" s="36">
        <f t="shared" si="124"/>
        <v>18200</v>
      </c>
      <c r="K248" s="36">
        <f t="shared" si="124"/>
        <v>14717.954560000002</v>
      </c>
      <c r="L248" s="36">
        <f t="shared" si="111"/>
        <v>45.488683611907824</v>
      </c>
      <c r="M248" s="36">
        <f t="shared" si="112"/>
        <v>80.867882197802203</v>
      </c>
    </row>
    <row r="249" spans="1:13">
      <c r="A249" s="60" t="s">
        <v>78</v>
      </c>
      <c r="B249" s="29" t="s">
        <v>163</v>
      </c>
      <c r="C249" s="29" t="s">
        <v>19</v>
      </c>
      <c r="D249" s="29" t="s">
        <v>51</v>
      </c>
      <c r="E249" s="29" t="s">
        <v>192</v>
      </c>
      <c r="F249" s="29" t="s">
        <v>79</v>
      </c>
      <c r="G249" s="36">
        <v>32355.200000000001</v>
      </c>
      <c r="H249" s="36">
        <v>32355.200000000001</v>
      </c>
      <c r="I249" s="36">
        <f>14300+240+3660</f>
        <v>18200</v>
      </c>
      <c r="J249" s="36">
        <v>18200</v>
      </c>
      <c r="K249" s="36">
        <f>11423.44193+169.83898+3124.67365</f>
        <v>14717.954560000002</v>
      </c>
      <c r="L249" s="36">
        <f t="shared" si="111"/>
        <v>45.488683611907824</v>
      </c>
      <c r="M249" s="36">
        <f t="shared" si="112"/>
        <v>80.867882197802203</v>
      </c>
    </row>
    <row r="250" spans="1:13" ht="25.5">
      <c r="A250" s="60" t="s">
        <v>64</v>
      </c>
      <c r="B250" s="29" t="s">
        <v>163</v>
      </c>
      <c r="C250" s="29" t="s">
        <v>19</v>
      </c>
      <c r="D250" s="29" t="s">
        <v>51</v>
      </c>
      <c r="E250" s="29" t="s">
        <v>192</v>
      </c>
      <c r="F250" s="29" t="s">
        <v>65</v>
      </c>
      <c r="G250" s="36">
        <f>G251</f>
        <v>1946.8</v>
      </c>
      <c r="H250" s="36">
        <f t="shared" ref="H250:K250" si="125">H251</f>
        <v>1946.8</v>
      </c>
      <c r="I250" s="36">
        <f t="shared" si="125"/>
        <v>990</v>
      </c>
      <c r="J250" s="36">
        <f t="shared" si="125"/>
        <v>990</v>
      </c>
      <c r="K250" s="36">
        <f t="shared" si="125"/>
        <v>826.24891000000002</v>
      </c>
      <c r="L250" s="36">
        <f t="shared" si="111"/>
        <v>42.441386377645365</v>
      </c>
      <c r="M250" s="36">
        <f t="shared" si="112"/>
        <v>83.459485858585865</v>
      </c>
    </row>
    <row r="251" spans="1:13" ht="25.5">
      <c r="A251" s="60" t="s">
        <v>66</v>
      </c>
      <c r="B251" s="29" t="s">
        <v>163</v>
      </c>
      <c r="C251" s="29" t="s">
        <v>19</v>
      </c>
      <c r="D251" s="29" t="s">
        <v>51</v>
      </c>
      <c r="E251" s="29" t="s">
        <v>192</v>
      </c>
      <c r="F251" s="29" t="s">
        <v>67</v>
      </c>
      <c r="G251" s="36">
        <v>1946.8</v>
      </c>
      <c r="H251" s="36">
        <v>1946.8</v>
      </c>
      <c r="I251" s="36">
        <v>990</v>
      </c>
      <c r="J251" s="36">
        <v>990</v>
      </c>
      <c r="K251" s="36">
        <v>826.24891000000002</v>
      </c>
      <c r="L251" s="36">
        <f t="shared" si="111"/>
        <v>42.441386377645365</v>
      </c>
      <c r="M251" s="36">
        <f t="shared" si="112"/>
        <v>83.459485858585865</v>
      </c>
    </row>
    <row r="252" spans="1:13">
      <c r="A252" s="60" t="s">
        <v>72</v>
      </c>
      <c r="B252" s="29" t="s">
        <v>163</v>
      </c>
      <c r="C252" s="29" t="s">
        <v>19</v>
      </c>
      <c r="D252" s="29" t="s">
        <v>51</v>
      </c>
      <c r="E252" s="29" t="s">
        <v>192</v>
      </c>
      <c r="F252" s="29" t="s">
        <v>73</v>
      </c>
      <c r="G252" s="36">
        <f>G253</f>
        <v>29.2</v>
      </c>
      <c r="H252" s="36">
        <f t="shared" ref="H252:K252" si="126">H253</f>
        <v>29.2</v>
      </c>
      <c r="I252" s="36">
        <f t="shared" si="126"/>
        <v>17.2</v>
      </c>
      <c r="J252" s="36">
        <f t="shared" si="126"/>
        <v>17.2</v>
      </c>
      <c r="K252" s="36">
        <f t="shared" si="126"/>
        <v>5.2089299999999996</v>
      </c>
      <c r="L252" s="36">
        <f t="shared" si="111"/>
        <v>17.838801369863013</v>
      </c>
      <c r="M252" s="36">
        <f t="shared" si="112"/>
        <v>30.284476744186044</v>
      </c>
    </row>
    <row r="253" spans="1:13">
      <c r="A253" s="60" t="s">
        <v>74</v>
      </c>
      <c r="B253" s="29" t="s">
        <v>163</v>
      </c>
      <c r="C253" s="29" t="s">
        <v>19</v>
      </c>
      <c r="D253" s="29" t="s">
        <v>51</v>
      </c>
      <c r="E253" s="29" t="s">
        <v>192</v>
      </c>
      <c r="F253" s="29" t="s">
        <v>75</v>
      </c>
      <c r="G253" s="36">
        <v>29.2</v>
      </c>
      <c r="H253" s="36">
        <v>29.2</v>
      </c>
      <c r="I253" s="36">
        <f>6+7+4.2</f>
        <v>17.2</v>
      </c>
      <c r="J253" s="36">
        <v>17.2</v>
      </c>
      <c r="K253" s="36">
        <f>0.418+4.42923+0.3617</f>
        <v>5.2089299999999996</v>
      </c>
      <c r="L253" s="36">
        <f t="shared" si="111"/>
        <v>17.838801369863013</v>
      </c>
      <c r="M253" s="36">
        <f t="shared" si="112"/>
        <v>30.284476744186044</v>
      </c>
    </row>
    <row r="254" spans="1:13">
      <c r="A254" s="61" t="s">
        <v>0</v>
      </c>
      <c r="B254" s="59" t="s">
        <v>0</v>
      </c>
      <c r="C254" s="59" t="s">
        <v>0</v>
      </c>
      <c r="D254" s="59" t="s">
        <v>0</v>
      </c>
      <c r="E254" s="59" t="s">
        <v>0</v>
      </c>
      <c r="F254" s="59" t="s">
        <v>0</v>
      </c>
      <c r="G254" s="62" t="s">
        <v>0</v>
      </c>
      <c r="H254" s="62" t="s">
        <v>0</v>
      </c>
      <c r="I254" s="62" t="s">
        <v>0</v>
      </c>
      <c r="J254" s="62" t="s">
        <v>0</v>
      </c>
      <c r="K254" s="62" t="s">
        <v>0</v>
      </c>
      <c r="L254" s="62"/>
      <c r="M254" s="62"/>
    </row>
    <row r="255" spans="1:13">
      <c r="A255" s="60" t="s">
        <v>92</v>
      </c>
      <c r="B255" s="29" t="s">
        <v>163</v>
      </c>
      <c r="C255" s="29" t="s">
        <v>93</v>
      </c>
      <c r="D255" s="59" t="s">
        <v>0</v>
      </c>
      <c r="E255" s="59" t="s">
        <v>0</v>
      </c>
      <c r="F255" s="59" t="s">
        <v>0</v>
      </c>
      <c r="G255" s="36">
        <f>G256+G298</f>
        <v>6167517.6999999993</v>
      </c>
      <c r="H255" s="36">
        <f>H256+H298+H337+H342</f>
        <v>6186321.7778599989</v>
      </c>
      <c r="I255" s="36">
        <f>I256+I298+I337+I342</f>
        <v>2455223.41732</v>
      </c>
      <c r="J255" s="36">
        <f t="shared" ref="J255:K255" si="127">J256+J298+J337+J342</f>
        <v>2455223.3730000001</v>
      </c>
      <c r="K255" s="36">
        <f t="shared" si="127"/>
        <v>2441464.5388400001</v>
      </c>
      <c r="L255" s="36">
        <f t="shared" si="111"/>
        <v>39.4655277644572</v>
      </c>
      <c r="M255" s="36">
        <f t="shared" si="112"/>
        <v>99.439607883219921</v>
      </c>
    </row>
    <row r="256" spans="1:13">
      <c r="A256" s="60" t="s">
        <v>94</v>
      </c>
      <c r="B256" s="29" t="s">
        <v>163</v>
      </c>
      <c r="C256" s="29" t="s">
        <v>93</v>
      </c>
      <c r="D256" s="29" t="s">
        <v>17</v>
      </c>
      <c r="E256" s="59" t="s">
        <v>0</v>
      </c>
      <c r="F256" s="59" t="s">
        <v>0</v>
      </c>
      <c r="G256" s="36">
        <f>G257+G268++G294</f>
        <v>3179103.1</v>
      </c>
      <c r="H256" s="36">
        <f t="shared" ref="H256:K256" si="128">H257+H268++H294</f>
        <v>3179103.0928199999</v>
      </c>
      <c r="I256" s="36">
        <f t="shared" si="128"/>
        <v>358820.14288</v>
      </c>
      <c r="J256" s="36">
        <f t="shared" si="128"/>
        <v>358820.14288</v>
      </c>
      <c r="K256" s="36">
        <f t="shared" si="128"/>
        <v>345880.96745</v>
      </c>
      <c r="L256" s="36">
        <f t="shared" si="111"/>
        <v>10.879828597920328</v>
      </c>
      <c r="M256" s="36">
        <f t="shared" si="112"/>
        <v>96.393966256702797</v>
      </c>
    </row>
    <row r="257" spans="1:13" ht="38.25">
      <c r="A257" s="60" t="s">
        <v>175</v>
      </c>
      <c r="B257" s="29" t="s">
        <v>163</v>
      </c>
      <c r="C257" s="29" t="s">
        <v>93</v>
      </c>
      <c r="D257" s="29" t="s">
        <v>17</v>
      </c>
      <c r="E257" s="29" t="s">
        <v>176</v>
      </c>
      <c r="F257" s="59" t="s">
        <v>0</v>
      </c>
      <c r="G257" s="36">
        <f>G258</f>
        <v>68779.199999999997</v>
      </c>
      <c r="H257" s="36">
        <f t="shared" ref="H257:K257" si="129">H258</f>
        <v>68779.199999999997</v>
      </c>
      <c r="I257" s="36">
        <f t="shared" si="129"/>
        <v>25627</v>
      </c>
      <c r="J257" s="36">
        <f t="shared" si="129"/>
        <v>25627</v>
      </c>
      <c r="K257" s="36">
        <f t="shared" si="129"/>
        <v>25627</v>
      </c>
      <c r="L257" s="36">
        <f t="shared" si="111"/>
        <v>37.259811105683113</v>
      </c>
      <c r="M257" s="36">
        <f t="shared" si="112"/>
        <v>100</v>
      </c>
    </row>
    <row r="258" spans="1:13" ht="38.25">
      <c r="A258" s="60" t="s">
        <v>181</v>
      </c>
      <c r="B258" s="29" t="s">
        <v>163</v>
      </c>
      <c r="C258" s="29" t="s">
        <v>93</v>
      </c>
      <c r="D258" s="29" t="s">
        <v>17</v>
      </c>
      <c r="E258" s="29" t="s">
        <v>182</v>
      </c>
      <c r="F258" s="59" t="s">
        <v>0</v>
      </c>
      <c r="G258" s="36">
        <f>G259+G262+G265</f>
        <v>68779.199999999997</v>
      </c>
      <c r="H258" s="36">
        <f t="shared" ref="H258:K258" si="130">H259+H262+H265</f>
        <v>68779.199999999997</v>
      </c>
      <c r="I258" s="36">
        <f t="shared" si="130"/>
        <v>25627</v>
      </c>
      <c r="J258" s="36">
        <f t="shared" si="130"/>
        <v>25627</v>
      </c>
      <c r="K258" s="36">
        <f t="shared" si="130"/>
        <v>25627</v>
      </c>
      <c r="L258" s="36">
        <f t="shared" si="111"/>
        <v>37.259811105683113</v>
      </c>
      <c r="M258" s="36">
        <f t="shared" si="112"/>
        <v>100</v>
      </c>
    </row>
    <row r="259" spans="1:13" ht="25.5">
      <c r="A259" s="60" t="s">
        <v>76</v>
      </c>
      <c r="B259" s="29" t="s">
        <v>163</v>
      </c>
      <c r="C259" s="29" t="s">
        <v>93</v>
      </c>
      <c r="D259" s="29" t="s">
        <v>17</v>
      </c>
      <c r="E259" s="29" t="s">
        <v>192</v>
      </c>
      <c r="F259" s="59" t="s">
        <v>0</v>
      </c>
      <c r="G259" s="36">
        <f>G260</f>
        <v>400</v>
      </c>
      <c r="H259" s="36">
        <f t="shared" ref="H259:K260" si="131">H260</f>
        <v>400</v>
      </c>
      <c r="I259" s="36">
        <f t="shared" si="131"/>
        <v>200</v>
      </c>
      <c r="J259" s="36">
        <f t="shared" si="131"/>
        <v>200</v>
      </c>
      <c r="K259" s="36">
        <f t="shared" si="131"/>
        <v>200</v>
      </c>
      <c r="L259" s="36">
        <f t="shared" si="111"/>
        <v>50</v>
      </c>
      <c r="M259" s="36">
        <f t="shared" si="112"/>
        <v>100</v>
      </c>
    </row>
    <row r="260" spans="1:13" ht="25.5">
      <c r="A260" s="60" t="s">
        <v>80</v>
      </c>
      <c r="B260" s="29" t="s">
        <v>163</v>
      </c>
      <c r="C260" s="29" t="s">
        <v>93</v>
      </c>
      <c r="D260" s="29" t="s">
        <v>17</v>
      </c>
      <c r="E260" s="29" t="s">
        <v>192</v>
      </c>
      <c r="F260" s="29" t="s">
        <v>81</v>
      </c>
      <c r="G260" s="36">
        <f>G261</f>
        <v>400</v>
      </c>
      <c r="H260" s="36">
        <f t="shared" si="131"/>
        <v>400</v>
      </c>
      <c r="I260" s="36">
        <f t="shared" si="131"/>
        <v>200</v>
      </c>
      <c r="J260" s="36">
        <f t="shared" si="131"/>
        <v>200</v>
      </c>
      <c r="K260" s="36">
        <f t="shared" si="131"/>
        <v>200</v>
      </c>
      <c r="L260" s="36">
        <f t="shared" si="111"/>
        <v>50</v>
      </c>
      <c r="M260" s="36">
        <f t="shared" si="112"/>
        <v>100</v>
      </c>
    </row>
    <row r="261" spans="1:13">
      <c r="A261" s="60" t="s">
        <v>82</v>
      </c>
      <c r="B261" s="29" t="s">
        <v>163</v>
      </c>
      <c r="C261" s="29" t="s">
        <v>93</v>
      </c>
      <c r="D261" s="29" t="s">
        <v>17</v>
      </c>
      <c r="E261" s="29" t="s">
        <v>192</v>
      </c>
      <c r="F261" s="29" t="s">
        <v>83</v>
      </c>
      <c r="G261" s="36">
        <v>400</v>
      </c>
      <c r="H261" s="36">
        <v>400</v>
      </c>
      <c r="I261" s="36">
        <v>200</v>
      </c>
      <c r="J261" s="36">
        <v>200</v>
      </c>
      <c r="K261" s="36">
        <v>200</v>
      </c>
      <c r="L261" s="36">
        <f t="shared" si="111"/>
        <v>50</v>
      </c>
      <c r="M261" s="36">
        <f t="shared" si="112"/>
        <v>100</v>
      </c>
    </row>
    <row r="262" spans="1:13" ht="38.25">
      <c r="A262" s="60" t="s">
        <v>193</v>
      </c>
      <c r="B262" s="29" t="s">
        <v>163</v>
      </c>
      <c r="C262" s="29" t="s">
        <v>93</v>
      </c>
      <c r="D262" s="29" t="s">
        <v>17</v>
      </c>
      <c r="E262" s="29" t="s">
        <v>194</v>
      </c>
      <c r="F262" s="59" t="s">
        <v>0</v>
      </c>
      <c r="G262" s="36">
        <f>G263</f>
        <v>1854</v>
      </c>
      <c r="H262" s="36">
        <f t="shared" ref="H262:K263" si="132">H263</f>
        <v>1854</v>
      </c>
      <c r="I262" s="36">
        <f t="shared" si="132"/>
        <v>927</v>
      </c>
      <c r="J262" s="36">
        <f t="shared" si="132"/>
        <v>927</v>
      </c>
      <c r="K262" s="36">
        <f t="shared" si="132"/>
        <v>927</v>
      </c>
      <c r="L262" s="36">
        <f t="shared" si="111"/>
        <v>50</v>
      </c>
      <c r="M262" s="36">
        <f t="shared" si="112"/>
        <v>100</v>
      </c>
    </row>
    <row r="263" spans="1:13" ht="25.5">
      <c r="A263" s="60" t="s">
        <v>80</v>
      </c>
      <c r="B263" s="29" t="s">
        <v>163</v>
      </c>
      <c r="C263" s="29" t="s">
        <v>93</v>
      </c>
      <c r="D263" s="29" t="s">
        <v>17</v>
      </c>
      <c r="E263" s="29" t="s">
        <v>194</v>
      </c>
      <c r="F263" s="29" t="s">
        <v>81</v>
      </c>
      <c r="G263" s="36">
        <f>G264</f>
        <v>1854</v>
      </c>
      <c r="H263" s="36">
        <f t="shared" si="132"/>
        <v>1854</v>
      </c>
      <c r="I263" s="36">
        <f t="shared" si="132"/>
        <v>927</v>
      </c>
      <c r="J263" s="36">
        <f t="shared" si="132"/>
        <v>927</v>
      </c>
      <c r="K263" s="36">
        <f t="shared" si="132"/>
        <v>927</v>
      </c>
      <c r="L263" s="36">
        <f t="shared" si="111"/>
        <v>50</v>
      </c>
      <c r="M263" s="36">
        <f t="shared" si="112"/>
        <v>100</v>
      </c>
    </row>
    <row r="264" spans="1:13" ht="38.25">
      <c r="A264" s="60" t="s">
        <v>195</v>
      </c>
      <c r="B264" s="29" t="s">
        <v>163</v>
      </c>
      <c r="C264" s="29" t="s">
        <v>93</v>
      </c>
      <c r="D264" s="29" t="s">
        <v>17</v>
      </c>
      <c r="E264" s="29" t="s">
        <v>194</v>
      </c>
      <c r="F264" s="29" t="s">
        <v>196</v>
      </c>
      <c r="G264" s="36">
        <v>1854</v>
      </c>
      <c r="H264" s="36">
        <v>1854</v>
      </c>
      <c r="I264" s="36">
        <v>927</v>
      </c>
      <c r="J264" s="36">
        <v>927</v>
      </c>
      <c r="K264" s="36">
        <v>927</v>
      </c>
      <c r="L264" s="36">
        <f t="shared" si="111"/>
        <v>50</v>
      </c>
      <c r="M264" s="36">
        <f t="shared" si="112"/>
        <v>100</v>
      </c>
    </row>
    <row r="265" spans="1:13" ht="38.25">
      <c r="A265" s="60" t="s">
        <v>197</v>
      </c>
      <c r="B265" s="29" t="s">
        <v>163</v>
      </c>
      <c r="C265" s="29" t="s">
        <v>93</v>
      </c>
      <c r="D265" s="29" t="s">
        <v>17</v>
      </c>
      <c r="E265" s="29" t="s">
        <v>198</v>
      </c>
      <c r="F265" s="59" t="s">
        <v>0</v>
      </c>
      <c r="G265" s="36">
        <f>G266</f>
        <v>66525.2</v>
      </c>
      <c r="H265" s="36">
        <f t="shared" ref="H265:K266" si="133">H266</f>
        <v>66525.2</v>
      </c>
      <c r="I265" s="36">
        <f t="shared" si="133"/>
        <v>24500</v>
      </c>
      <c r="J265" s="36">
        <f t="shared" si="133"/>
        <v>24500</v>
      </c>
      <c r="K265" s="36">
        <f t="shared" si="133"/>
        <v>24500</v>
      </c>
      <c r="L265" s="36">
        <f t="shared" si="111"/>
        <v>36.828149332884379</v>
      </c>
      <c r="M265" s="36">
        <f t="shared" si="112"/>
        <v>100</v>
      </c>
    </row>
    <row r="266" spans="1:13" ht="25.5">
      <c r="A266" s="60" t="s">
        <v>80</v>
      </c>
      <c r="B266" s="29" t="s">
        <v>163</v>
      </c>
      <c r="C266" s="29" t="s">
        <v>93</v>
      </c>
      <c r="D266" s="29" t="s">
        <v>17</v>
      </c>
      <c r="E266" s="29" t="s">
        <v>198</v>
      </c>
      <c r="F266" s="29" t="s">
        <v>81</v>
      </c>
      <c r="G266" s="36">
        <f>G267</f>
        <v>66525.2</v>
      </c>
      <c r="H266" s="36">
        <f t="shared" si="133"/>
        <v>66525.2</v>
      </c>
      <c r="I266" s="36">
        <f t="shared" si="133"/>
        <v>24500</v>
      </c>
      <c r="J266" s="36">
        <f t="shared" si="133"/>
        <v>24500</v>
      </c>
      <c r="K266" s="36">
        <f t="shared" si="133"/>
        <v>24500</v>
      </c>
      <c r="L266" s="36">
        <f t="shared" si="111"/>
        <v>36.828149332884379</v>
      </c>
      <c r="M266" s="36">
        <f t="shared" si="112"/>
        <v>100</v>
      </c>
    </row>
    <row r="267" spans="1:13" ht="38.25">
      <c r="A267" s="60" t="s">
        <v>195</v>
      </c>
      <c r="B267" s="29" t="s">
        <v>163</v>
      </c>
      <c r="C267" s="29" t="s">
        <v>93</v>
      </c>
      <c r="D267" s="29" t="s">
        <v>17</v>
      </c>
      <c r="E267" s="29" t="s">
        <v>198</v>
      </c>
      <c r="F267" s="29" t="s">
        <v>196</v>
      </c>
      <c r="G267" s="36">
        <v>66525.2</v>
      </c>
      <c r="H267" s="36">
        <v>66525.2</v>
      </c>
      <c r="I267" s="36">
        <v>24500</v>
      </c>
      <c r="J267" s="36">
        <v>24500</v>
      </c>
      <c r="K267" s="36">
        <v>24500</v>
      </c>
      <c r="L267" s="36">
        <f t="shared" si="111"/>
        <v>36.828149332884379</v>
      </c>
      <c r="M267" s="36">
        <f t="shared" si="112"/>
        <v>100</v>
      </c>
    </row>
    <row r="268" spans="1:13" ht="76.5">
      <c r="A268" s="60" t="s">
        <v>98</v>
      </c>
      <c r="B268" s="29" t="s">
        <v>163</v>
      </c>
      <c r="C268" s="29" t="s">
        <v>93</v>
      </c>
      <c r="D268" s="29" t="s">
        <v>17</v>
      </c>
      <c r="E268" s="29" t="s">
        <v>99</v>
      </c>
      <c r="F268" s="59" t="s">
        <v>0</v>
      </c>
      <c r="G268" s="36">
        <f>G269+G275</f>
        <v>3069166.9</v>
      </c>
      <c r="H268" s="36">
        <f t="shared" ref="H268:K268" si="134">H269+H275</f>
        <v>3069166.8928199997</v>
      </c>
      <c r="I268" s="36">
        <f t="shared" si="134"/>
        <v>333193.14288</v>
      </c>
      <c r="J268" s="36">
        <f t="shared" si="134"/>
        <v>333193.14288</v>
      </c>
      <c r="K268" s="36">
        <f t="shared" si="134"/>
        <v>320253.96745</v>
      </c>
      <c r="L268" s="36">
        <f t="shared" si="111"/>
        <v>10.434556954175454</v>
      </c>
      <c r="M268" s="36">
        <f t="shared" si="112"/>
        <v>96.116614130123295</v>
      </c>
    </row>
    <row r="269" spans="1:13" ht="25.5">
      <c r="A269" s="60" t="s">
        <v>199</v>
      </c>
      <c r="B269" s="29" t="s">
        <v>163</v>
      </c>
      <c r="C269" s="29" t="s">
        <v>93</v>
      </c>
      <c r="D269" s="29" t="s">
        <v>17</v>
      </c>
      <c r="E269" s="29" t="s">
        <v>200</v>
      </c>
      <c r="F269" s="59" t="s">
        <v>0</v>
      </c>
      <c r="G269" s="36">
        <f>G270</f>
        <v>10355.799999999999</v>
      </c>
      <c r="H269" s="36">
        <f t="shared" ref="H269:K269" si="135">H270</f>
        <v>10355.79782</v>
      </c>
      <c r="I269" s="36">
        <f t="shared" si="135"/>
        <v>10355.79782</v>
      </c>
      <c r="J269" s="36">
        <f t="shared" si="135"/>
        <v>10355.79782</v>
      </c>
      <c r="K269" s="36">
        <f t="shared" si="135"/>
        <v>10355.79782</v>
      </c>
      <c r="L269" s="36">
        <f t="shared" si="111"/>
        <v>100</v>
      </c>
      <c r="M269" s="36">
        <f t="shared" si="112"/>
        <v>100</v>
      </c>
    </row>
    <row r="270" spans="1:13" ht="25.5">
      <c r="A270" s="60" t="s">
        <v>199</v>
      </c>
      <c r="B270" s="29" t="s">
        <v>163</v>
      </c>
      <c r="C270" s="29" t="s">
        <v>93</v>
      </c>
      <c r="D270" s="29" t="s">
        <v>17</v>
      </c>
      <c r="E270" s="29" t="s">
        <v>201</v>
      </c>
      <c r="F270" s="59" t="s">
        <v>0</v>
      </c>
      <c r="G270" s="36">
        <f>G272+G273</f>
        <v>10355.799999999999</v>
      </c>
      <c r="H270" s="36">
        <f t="shared" ref="H270:K270" si="136">H272+H273</f>
        <v>10355.79782</v>
      </c>
      <c r="I270" s="36">
        <f t="shared" si="136"/>
        <v>10355.79782</v>
      </c>
      <c r="J270" s="36">
        <f t="shared" si="136"/>
        <v>10355.79782</v>
      </c>
      <c r="K270" s="36">
        <f t="shared" si="136"/>
        <v>10355.79782</v>
      </c>
      <c r="L270" s="36">
        <f t="shared" si="111"/>
        <v>100</v>
      </c>
      <c r="M270" s="36">
        <f t="shared" si="112"/>
        <v>100</v>
      </c>
    </row>
    <row r="271" spans="1:13">
      <c r="A271" s="60" t="s">
        <v>26</v>
      </c>
      <c r="B271" s="29" t="s">
        <v>163</v>
      </c>
      <c r="C271" s="29" t="s">
        <v>93</v>
      </c>
      <c r="D271" s="29" t="s">
        <v>17</v>
      </c>
      <c r="E271" s="29" t="s">
        <v>201</v>
      </c>
      <c r="F271" s="29" t="s">
        <v>27</v>
      </c>
      <c r="G271" s="36">
        <f>G272</f>
        <v>1742.8</v>
      </c>
      <c r="H271" s="36">
        <f t="shared" ref="H271:K271" si="137">H272</f>
        <v>1742.8091300000001</v>
      </c>
      <c r="I271" s="36">
        <f t="shared" si="137"/>
        <v>1742.8091300000001</v>
      </c>
      <c r="J271" s="36">
        <f t="shared" si="137"/>
        <v>1742.8091300000001</v>
      </c>
      <c r="K271" s="36">
        <f t="shared" si="137"/>
        <v>1742.8091300000001</v>
      </c>
      <c r="L271" s="36">
        <f t="shared" si="111"/>
        <v>100</v>
      </c>
      <c r="M271" s="36">
        <f t="shared" si="112"/>
        <v>100</v>
      </c>
    </row>
    <row r="272" spans="1:13">
      <c r="A272" s="60" t="s">
        <v>56</v>
      </c>
      <c r="B272" s="29" t="s">
        <v>163</v>
      </c>
      <c r="C272" s="29" t="s">
        <v>93</v>
      </c>
      <c r="D272" s="29" t="s">
        <v>17</v>
      </c>
      <c r="E272" s="29" t="s">
        <v>201</v>
      </c>
      <c r="F272" s="29" t="s">
        <v>57</v>
      </c>
      <c r="G272" s="36">
        <v>1742.8</v>
      </c>
      <c r="H272" s="36">
        <v>1742.8091300000001</v>
      </c>
      <c r="I272" s="36">
        <v>1742.8091300000001</v>
      </c>
      <c r="J272" s="36">
        <v>1742.8091300000001</v>
      </c>
      <c r="K272" s="36">
        <v>1742.8091300000001</v>
      </c>
      <c r="L272" s="36">
        <f t="shared" si="111"/>
        <v>100</v>
      </c>
      <c r="M272" s="36">
        <f t="shared" si="112"/>
        <v>100</v>
      </c>
    </row>
    <row r="273" spans="1:13" ht="25.5">
      <c r="A273" s="60" t="s">
        <v>80</v>
      </c>
      <c r="B273" s="29" t="s">
        <v>163</v>
      </c>
      <c r="C273" s="29" t="s">
        <v>93</v>
      </c>
      <c r="D273" s="29" t="s">
        <v>17</v>
      </c>
      <c r="E273" s="29" t="s">
        <v>201</v>
      </c>
      <c r="F273" s="29" t="s">
        <v>81</v>
      </c>
      <c r="G273" s="36">
        <f>G274</f>
        <v>8613</v>
      </c>
      <c r="H273" s="36">
        <f t="shared" ref="H273:K273" si="138">H274</f>
        <v>8612.9886900000001</v>
      </c>
      <c r="I273" s="36">
        <f t="shared" si="138"/>
        <v>8612.9886900000001</v>
      </c>
      <c r="J273" s="36">
        <f t="shared" si="138"/>
        <v>8612.9886900000001</v>
      </c>
      <c r="K273" s="36">
        <f t="shared" si="138"/>
        <v>8612.9886900000001</v>
      </c>
      <c r="L273" s="36">
        <f t="shared" si="111"/>
        <v>100</v>
      </c>
      <c r="M273" s="36">
        <f t="shared" si="112"/>
        <v>100</v>
      </c>
    </row>
    <row r="274" spans="1:13" ht="38.25">
      <c r="A274" s="60" t="s">
        <v>195</v>
      </c>
      <c r="B274" s="29" t="s">
        <v>163</v>
      </c>
      <c r="C274" s="29" t="s">
        <v>93</v>
      </c>
      <c r="D274" s="29" t="s">
        <v>17</v>
      </c>
      <c r="E274" s="29" t="s">
        <v>201</v>
      </c>
      <c r="F274" s="29" t="s">
        <v>196</v>
      </c>
      <c r="G274" s="36">
        <v>8613</v>
      </c>
      <c r="H274" s="36">
        <v>8612.9886900000001</v>
      </c>
      <c r="I274" s="36">
        <v>8612.9886900000001</v>
      </c>
      <c r="J274" s="36">
        <v>8612.9886900000001</v>
      </c>
      <c r="K274" s="36">
        <v>8612.9886900000001</v>
      </c>
      <c r="L274" s="36">
        <f t="shared" si="111"/>
        <v>100</v>
      </c>
      <c r="M274" s="36">
        <f t="shared" si="112"/>
        <v>100</v>
      </c>
    </row>
    <row r="275" spans="1:13" ht="63.75">
      <c r="A275" s="60" t="s">
        <v>100</v>
      </c>
      <c r="B275" s="29" t="s">
        <v>163</v>
      </c>
      <c r="C275" s="29" t="s">
        <v>93</v>
      </c>
      <c r="D275" s="29" t="s">
        <v>17</v>
      </c>
      <c r="E275" s="29" t="s">
        <v>101</v>
      </c>
      <c r="F275" s="59" t="s">
        <v>0</v>
      </c>
      <c r="G275" s="36">
        <f>G276+G279+G282+G285+G288+G291</f>
        <v>3058811.1</v>
      </c>
      <c r="H275" s="36">
        <f t="shared" ref="H275:K275" si="139">H276+H279+H282+H285+H288+H291</f>
        <v>3058811.0949999997</v>
      </c>
      <c r="I275" s="36">
        <f t="shared" si="139"/>
        <v>322837.34506000002</v>
      </c>
      <c r="J275" s="36">
        <f t="shared" si="139"/>
        <v>322837.34506000002</v>
      </c>
      <c r="K275" s="36">
        <f t="shared" si="139"/>
        <v>309898.16963000002</v>
      </c>
      <c r="L275" s="36">
        <f t="shared" si="111"/>
        <v>10.131327499647377</v>
      </c>
      <c r="M275" s="36">
        <f t="shared" si="112"/>
        <v>95.992045025771347</v>
      </c>
    </row>
    <row r="276" spans="1:13" ht="63.75">
      <c r="A276" s="60" t="s">
        <v>102</v>
      </c>
      <c r="B276" s="29" t="s">
        <v>163</v>
      </c>
      <c r="C276" s="29" t="s">
        <v>93</v>
      </c>
      <c r="D276" s="29" t="s">
        <v>17</v>
      </c>
      <c r="E276" s="29" t="s">
        <v>103</v>
      </c>
      <c r="F276" s="59" t="s">
        <v>0</v>
      </c>
      <c r="G276" s="36">
        <f>G277</f>
        <v>1342869.2</v>
      </c>
      <c r="H276" s="36">
        <f t="shared" ref="H276:K277" si="140">H277</f>
        <v>1342869.2</v>
      </c>
      <c r="I276" s="36">
        <f t="shared" si="140"/>
        <v>17496.74612</v>
      </c>
      <c r="J276" s="36">
        <f t="shared" si="140"/>
        <v>17496.74612</v>
      </c>
      <c r="K276" s="36">
        <f t="shared" si="140"/>
        <v>17496.74612</v>
      </c>
      <c r="L276" s="36">
        <f t="shared" si="111"/>
        <v>1.3029374804336864</v>
      </c>
      <c r="M276" s="36">
        <f t="shared" si="112"/>
        <v>100</v>
      </c>
    </row>
    <row r="277" spans="1:13">
      <c r="A277" s="60" t="s">
        <v>26</v>
      </c>
      <c r="B277" s="29" t="s">
        <v>163</v>
      </c>
      <c r="C277" s="29" t="s">
        <v>93</v>
      </c>
      <c r="D277" s="29" t="s">
        <v>17</v>
      </c>
      <c r="E277" s="29" t="s">
        <v>103</v>
      </c>
      <c r="F277" s="29" t="s">
        <v>27</v>
      </c>
      <c r="G277" s="36">
        <f>G278</f>
        <v>1342869.2</v>
      </c>
      <c r="H277" s="36">
        <f t="shared" si="140"/>
        <v>1342869.2</v>
      </c>
      <c r="I277" s="36">
        <f t="shared" si="140"/>
        <v>17496.74612</v>
      </c>
      <c r="J277" s="36">
        <f t="shared" si="140"/>
        <v>17496.74612</v>
      </c>
      <c r="K277" s="36">
        <f t="shared" si="140"/>
        <v>17496.74612</v>
      </c>
      <c r="L277" s="36">
        <f t="shared" si="111"/>
        <v>1.3029374804336864</v>
      </c>
      <c r="M277" s="36">
        <f t="shared" si="112"/>
        <v>100</v>
      </c>
    </row>
    <row r="278" spans="1:13">
      <c r="A278" s="60" t="s">
        <v>56</v>
      </c>
      <c r="B278" s="29" t="s">
        <v>163</v>
      </c>
      <c r="C278" s="29" t="s">
        <v>93</v>
      </c>
      <c r="D278" s="29" t="s">
        <v>17</v>
      </c>
      <c r="E278" s="29" t="s">
        <v>103</v>
      </c>
      <c r="F278" s="29" t="s">
        <v>57</v>
      </c>
      <c r="G278" s="36">
        <v>1342869.2</v>
      </c>
      <c r="H278" s="36">
        <v>1342869.2</v>
      </c>
      <c r="I278" s="36">
        <v>17496.74612</v>
      </c>
      <c r="J278" s="36">
        <v>17496.74612</v>
      </c>
      <c r="K278" s="36">
        <v>17496.74612</v>
      </c>
      <c r="L278" s="36">
        <f t="shared" si="111"/>
        <v>1.3029374804336864</v>
      </c>
      <c r="M278" s="36">
        <f t="shared" si="112"/>
        <v>100</v>
      </c>
    </row>
    <row r="279" spans="1:13" ht="25.5">
      <c r="A279" s="60" t="s">
        <v>202</v>
      </c>
      <c r="B279" s="29" t="s">
        <v>163</v>
      </c>
      <c r="C279" s="29" t="s">
        <v>93</v>
      </c>
      <c r="D279" s="29" t="s">
        <v>17</v>
      </c>
      <c r="E279" s="29" t="s">
        <v>203</v>
      </c>
      <c r="F279" s="59" t="s">
        <v>0</v>
      </c>
      <c r="G279" s="36">
        <f>G280</f>
        <v>686659.8</v>
      </c>
      <c r="H279" s="36">
        <f t="shared" ref="H279:K280" si="141">H280</f>
        <v>751659.78500000003</v>
      </c>
      <c r="I279" s="36">
        <f t="shared" si="141"/>
        <v>65148.545579999998</v>
      </c>
      <c r="J279" s="36">
        <f t="shared" si="141"/>
        <v>65148.545579999998</v>
      </c>
      <c r="K279" s="36">
        <f t="shared" si="141"/>
        <v>65148.545579999998</v>
      </c>
      <c r="L279" s="36">
        <f t="shared" si="111"/>
        <v>8.6672916231643278</v>
      </c>
      <c r="M279" s="36">
        <f t="shared" si="112"/>
        <v>100</v>
      </c>
    </row>
    <row r="280" spans="1:13">
      <c r="A280" s="60" t="s">
        <v>26</v>
      </c>
      <c r="B280" s="29" t="s">
        <v>163</v>
      </c>
      <c r="C280" s="29" t="s">
        <v>93</v>
      </c>
      <c r="D280" s="29" t="s">
        <v>17</v>
      </c>
      <c r="E280" s="29" t="s">
        <v>203</v>
      </c>
      <c r="F280" s="29" t="s">
        <v>27</v>
      </c>
      <c r="G280" s="36">
        <f>G281</f>
        <v>686659.8</v>
      </c>
      <c r="H280" s="36">
        <f t="shared" si="141"/>
        <v>751659.78500000003</v>
      </c>
      <c r="I280" s="36">
        <f t="shared" si="141"/>
        <v>65148.545579999998</v>
      </c>
      <c r="J280" s="36">
        <f t="shared" si="141"/>
        <v>65148.545579999998</v>
      </c>
      <c r="K280" s="36">
        <f t="shared" si="141"/>
        <v>65148.545579999998</v>
      </c>
      <c r="L280" s="36">
        <f t="shared" si="111"/>
        <v>8.6672916231643278</v>
      </c>
      <c r="M280" s="36">
        <f t="shared" si="112"/>
        <v>100</v>
      </c>
    </row>
    <row r="281" spans="1:13">
      <c r="A281" s="60" t="s">
        <v>56</v>
      </c>
      <c r="B281" s="29" t="s">
        <v>163</v>
      </c>
      <c r="C281" s="29" t="s">
        <v>93</v>
      </c>
      <c r="D281" s="29" t="s">
        <v>17</v>
      </c>
      <c r="E281" s="29" t="s">
        <v>203</v>
      </c>
      <c r="F281" s="29" t="s">
        <v>57</v>
      </c>
      <c r="G281" s="36">
        <v>686659.8</v>
      </c>
      <c r="H281" s="36">
        <v>751659.78500000003</v>
      </c>
      <c r="I281" s="36">
        <v>65148.545579999998</v>
      </c>
      <c r="J281" s="36">
        <v>65148.545579999998</v>
      </c>
      <c r="K281" s="36">
        <v>65148.545579999998</v>
      </c>
      <c r="L281" s="36">
        <f t="shared" si="111"/>
        <v>8.6672916231643278</v>
      </c>
      <c r="M281" s="36">
        <f t="shared" si="112"/>
        <v>100</v>
      </c>
    </row>
    <row r="282" spans="1:13" ht="51">
      <c r="A282" s="60" t="s">
        <v>204</v>
      </c>
      <c r="B282" s="29" t="s">
        <v>163</v>
      </c>
      <c r="C282" s="29" t="s">
        <v>93</v>
      </c>
      <c r="D282" s="29" t="s">
        <v>17</v>
      </c>
      <c r="E282" s="29" t="s">
        <v>205</v>
      </c>
      <c r="F282" s="59" t="s">
        <v>0</v>
      </c>
      <c r="G282" s="36">
        <f>G283</f>
        <v>263799.5</v>
      </c>
      <c r="H282" s="36">
        <f t="shared" ref="H282:K283" si="142">H283</f>
        <v>198799.51</v>
      </c>
      <c r="I282" s="36">
        <f t="shared" si="142"/>
        <v>72283.210089999993</v>
      </c>
      <c r="J282" s="36">
        <f t="shared" si="142"/>
        <v>72283.210089999993</v>
      </c>
      <c r="K282" s="36">
        <f t="shared" si="142"/>
        <v>67691.994940000004</v>
      </c>
      <c r="L282" s="36">
        <f t="shared" si="111"/>
        <v>34.050383192594389</v>
      </c>
      <c r="M282" s="36">
        <f t="shared" si="112"/>
        <v>93.648296548695811</v>
      </c>
    </row>
    <row r="283" spans="1:13">
      <c r="A283" s="60" t="s">
        <v>26</v>
      </c>
      <c r="B283" s="29" t="s">
        <v>163</v>
      </c>
      <c r="C283" s="29" t="s">
        <v>93</v>
      </c>
      <c r="D283" s="29" t="s">
        <v>17</v>
      </c>
      <c r="E283" s="29" t="s">
        <v>205</v>
      </c>
      <c r="F283" s="29" t="s">
        <v>27</v>
      </c>
      <c r="G283" s="36">
        <f>G284</f>
        <v>263799.5</v>
      </c>
      <c r="H283" s="36">
        <f t="shared" si="142"/>
        <v>198799.51</v>
      </c>
      <c r="I283" s="36">
        <f t="shared" si="142"/>
        <v>72283.210089999993</v>
      </c>
      <c r="J283" s="36">
        <f t="shared" si="142"/>
        <v>72283.210089999993</v>
      </c>
      <c r="K283" s="36">
        <f t="shared" si="142"/>
        <v>67691.994940000004</v>
      </c>
      <c r="L283" s="36">
        <f t="shared" si="111"/>
        <v>34.050383192594389</v>
      </c>
      <c r="M283" s="36">
        <f t="shared" si="112"/>
        <v>93.648296548695811</v>
      </c>
    </row>
    <row r="284" spans="1:13">
      <c r="A284" s="60" t="s">
        <v>56</v>
      </c>
      <c r="B284" s="29" t="s">
        <v>163</v>
      </c>
      <c r="C284" s="29" t="s">
        <v>93</v>
      </c>
      <c r="D284" s="29" t="s">
        <v>17</v>
      </c>
      <c r="E284" s="29" t="s">
        <v>205</v>
      </c>
      <c r="F284" s="29" t="s">
        <v>57</v>
      </c>
      <c r="G284" s="36">
        <v>263799.5</v>
      </c>
      <c r="H284" s="36">
        <v>198799.51</v>
      </c>
      <c r="I284" s="36">
        <v>72283.210089999993</v>
      </c>
      <c r="J284" s="36">
        <v>72283.210089999993</v>
      </c>
      <c r="K284" s="36">
        <v>67691.994940000004</v>
      </c>
      <c r="L284" s="36">
        <f t="shared" si="111"/>
        <v>34.050383192594389</v>
      </c>
      <c r="M284" s="36">
        <f t="shared" si="112"/>
        <v>93.648296548695811</v>
      </c>
    </row>
    <row r="285" spans="1:13" ht="63.75">
      <c r="A285" s="60" t="s">
        <v>102</v>
      </c>
      <c r="B285" s="29" t="s">
        <v>163</v>
      </c>
      <c r="C285" s="29" t="s">
        <v>93</v>
      </c>
      <c r="D285" s="29" t="s">
        <v>17</v>
      </c>
      <c r="E285" s="29" t="s">
        <v>104</v>
      </c>
      <c r="F285" s="59" t="s">
        <v>0</v>
      </c>
      <c r="G285" s="36">
        <f>G286</f>
        <v>212946.5</v>
      </c>
      <c r="H285" s="36">
        <f t="shared" ref="H285:K286" si="143">H286</f>
        <v>241237.22675999999</v>
      </c>
      <c r="I285" s="36">
        <f t="shared" si="143"/>
        <v>12089.75361</v>
      </c>
      <c r="J285" s="36">
        <f t="shared" si="143"/>
        <v>12089.75361</v>
      </c>
      <c r="K285" s="36">
        <f t="shared" si="143"/>
        <v>8233.7628800000002</v>
      </c>
      <c r="L285" s="36">
        <f t="shared" si="111"/>
        <v>3.4131394190630187</v>
      </c>
      <c r="M285" s="36">
        <f t="shared" si="112"/>
        <v>68.105299294019289</v>
      </c>
    </row>
    <row r="286" spans="1:13">
      <c r="A286" s="60" t="s">
        <v>26</v>
      </c>
      <c r="B286" s="29" t="s">
        <v>163</v>
      </c>
      <c r="C286" s="29" t="s">
        <v>93</v>
      </c>
      <c r="D286" s="29" t="s">
        <v>17</v>
      </c>
      <c r="E286" s="29" t="s">
        <v>104</v>
      </c>
      <c r="F286" s="29" t="s">
        <v>27</v>
      </c>
      <c r="G286" s="36">
        <f>G287</f>
        <v>212946.5</v>
      </c>
      <c r="H286" s="36">
        <f t="shared" si="143"/>
        <v>241237.22675999999</v>
      </c>
      <c r="I286" s="36">
        <f t="shared" si="143"/>
        <v>12089.75361</v>
      </c>
      <c r="J286" s="36">
        <f t="shared" si="143"/>
        <v>12089.75361</v>
      </c>
      <c r="K286" s="36">
        <f t="shared" si="143"/>
        <v>8233.7628800000002</v>
      </c>
      <c r="L286" s="36">
        <f t="shared" si="111"/>
        <v>3.4131394190630187</v>
      </c>
      <c r="M286" s="36">
        <f t="shared" si="112"/>
        <v>68.105299294019289</v>
      </c>
    </row>
    <row r="287" spans="1:13">
      <c r="A287" s="60" t="s">
        <v>56</v>
      </c>
      <c r="B287" s="29" t="s">
        <v>163</v>
      </c>
      <c r="C287" s="29" t="s">
        <v>93</v>
      </c>
      <c r="D287" s="29" t="s">
        <v>17</v>
      </c>
      <c r="E287" s="29" t="s">
        <v>104</v>
      </c>
      <c r="F287" s="29" t="s">
        <v>57</v>
      </c>
      <c r="G287" s="36">
        <v>212946.5</v>
      </c>
      <c r="H287" s="36">
        <v>241237.22675999999</v>
      </c>
      <c r="I287" s="36">
        <v>12089.75361</v>
      </c>
      <c r="J287" s="36">
        <v>12089.75361</v>
      </c>
      <c r="K287" s="36">
        <v>8233.7628800000002</v>
      </c>
      <c r="L287" s="36">
        <f t="shared" si="111"/>
        <v>3.4131394190630187</v>
      </c>
      <c r="M287" s="36">
        <f t="shared" si="112"/>
        <v>68.105299294019289</v>
      </c>
    </row>
    <row r="288" spans="1:13" ht="25.5">
      <c r="A288" s="60" t="s">
        <v>202</v>
      </c>
      <c r="B288" s="29" t="s">
        <v>163</v>
      </c>
      <c r="C288" s="29" t="s">
        <v>93</v>
      </c>
      <c r="D288" s="29" t="s">
        <v>17</v>
      </c>
      <c r="E288" s="29" t="s">
        <v>206</v>
      </c>
      <c r="F288" s="59" t="s">
        <v>0</v>
      </c>
      <c r="G288" s="36">
        <f>G289</f>
        <v>482113.1</v>
      </c>
      <c r="H288" s="36">
        <f t="shared" ref="H288:K289" si="144">H289</f>
        <v>453822.36323999998</v>
      </c>
      <c r="I288" s="36">
        <f t="shared" si="144"/>
        <v>88212.780639999997</v>
      </c>
      <c r="J288" s="36">
        <f t="shared" si="144"/>
        <v>88212.780639999997</v>
      </c>
      <c r="K288" s="36">
        <f t="shared" si="144"/>
        <v>88212.780440000002</v>
      </c>
      <c r="L288" s="36">
        <f t="shared" si="111"/>
        <v>19.437733259819424</v>
      </c>
      <c r="M288" s="36">
        <f t="shared" si="112"/>
        <v>99.999999773275491</v>
      </c>
    </row>
    <row r="289" spans="1:13">
      <c r="A289" s="60" t="s">
        <v>26</v>
      </c>
      <c r="B289" s="29" t="s">
        <v>163</v>
      </c>
      <c r="C289" s="29" t="s">
        <v>93</v>
      </c>
      <c r="D289" s="29" t="s">
        <v>17</v>
      </c>
      <c r="E289" s="29" t="s">
        <v>206</v>
      </c>
      <c r="F289" s="29" t="s">
        <v>27</v>
      </c>
      <c r="G289" s="36">
        <f>G290</f>
        <v>482113.1</v>
      </c>
      <c r="H289" s="36">
        <f t="shared" si="144"/>
        <v>453822.36323999998</v>
      </c>
      <c r="I289" s="36">
        <f t="shared" si="144"/>
        <v>88212.780639999997</v>
      </c>
      <c r="J289" s="36">
        <f t="shared" si="144"/>
        <v>88212.780639999997</v>
      </c>
      <c r="K289" s="36">
        <f t="shared" si="144"/>
        <v>88212.780440000002</v>
      </c>
      <c r="L289" s="36">
        <f t="shared" si="111"/>
        <v>19.437733259819424</v>
      </c>
      <c r="M289" s="36">
        <f t="shared" si="112"/>
        <v>99.999999773275491</v>
      </c>
    </row>
    <row r="290" spans="1:13">
      <c r="A290" s="60" t="s">
        <v>56</v>
      </c>
      <c r="B290" s="29" t="s">
        <v>163</v>
      </c>
      <c r="C290" s="29" t="s">
        <v>93</v>
      </c>
      <c r="D290" s="29" t="s">
        <v>17</v>
      </c>
      <c r="E290" s="29" t="s">
        <v>206</v>
      </c>
      <c r="F290" s="29" t="s">
        <v>57</v>
      </c>
      <c r="G290" s="36">
        <v>482113.1</v>
      </c>
      <c r="H290" s="36">
        <v>453822.36323999998</v>
      </c>
      <c r="I290" s="36">
        <v>88212.780639999997</v>
      </c>
      <c r="J290" s="36">
        <v>88212.780639999997</v>
      </c>
      <c r="K290" s="36">
        <v>88212.780440000002</v>
      </c>
      <c r="L290" s="36">
        <f t="shared" si="111"/>
        <v>19.437733259819424</v>
      </c>
      <c r="M290" s="36">
        <f t="shared" si="112"/>
        <v>99.999999773275491</v>
      </c>
    </row>
    <row r="291" spans="1:13" ht="51">
      <c r="A291" s="60" t="s">
        <v>204</v>
      </c>
      <c r="B291" s="29" t="s">
        <v>163</v>
      </c>
      <c r="C291" s="29" t="s">
        <v>93</v>
      </c>
      <c r="D291" s="29" t="s">
        <v>17</v>
      </c>
      <c r="E291" s="29" t="s">
        <v>207</v>
      </c>
      <c r="F291" s="59" t="s">
        <v>0</v>
      </c>
      <c r="G291" s="36">
        <f>G292</f>
        <v>70423</v>
      </c>
      <c r="H291" s="36">
        <f t="shared" ref="H291:K292" si="145">H292</f>
        <v>70423.009999999995</v>
      </c>
      <c r="I291" s="36">
        <f t="shared" si="145"/>
        <v>67606.309020000001</v>
      </c>
      <c r="J291" s="36">
        <f t="shared" si="145"/>
        <v>67606.309020000001</v>
      </c>
      <c r="K291" s="36">
        <f t="shared" si="145"/>
        <v>63114.339670000001</v>
      </c>
      <c r="L291" s="36">
        <f t="shared" si="111"/>
        <v>89.621758101506884</v>
      </c>
      <c r="M291" s="36">
        <f t="shared" si="112"/>
        <v>93.355695030368921</v>
      </c>
    </row>
    <row r="292" spans="1:13">
      <c r="A292" s="60" t="s">
        <v>26</v>
      </c>
      <c r="B292" s="29" t="s">
        <v>163</v>
      </c>
      <c r="C292" s="29" t="s">
        <v>93</v>
      </c>
      <c r="D292" s="29" t="s">
        <v>17</v>
      </c>
      <c r="E292" s="29" t="s">
        <v>207</v>
      </c>
      <c r="F292" s="29" t="s">
        <v>27</v>
      </c>
      <c r="G292" s="36">
        <f>G293</f>
        <v>70423</v>
      </c>
      <c r="H292" s="36">
        <f t="shared" si="145"/>
        <v>70423.009999999995</v>
      </c>
      <c r="I292" s="36">
        <f t="shared" si="145"/>
        <v>67606.309020000001</v>
      </c>
      <c r="J292" s="36">
        <f t="shared" si="145"/>
        <v>67606.309020000001</v>
      </c>
      <c r="K292" s="36">
        <f t="shared" si="145"/>
        <v>63114.339670000001</v>
      </c>
      <c r="L292" s="36">
        <f t="shared" ref="L292:L376" si="146">K292/H292*100</f>
        <v>89.621758101506884</v>
      </c>
      <c r="M292" s="36">
        <f t="shared" ref="M292:M370" si="147">K292/I292*100</f>
        <v>93.355695030368921</v>
      </c>
    </row>
    <row r="293" spans="1:13">
      <c r="A293" s="60" t="s">
        <v>56</v>
      </c>
      <c r="B293" s="29" t="s">
        <v>163</v>
      </c>
      <c r="C293" s="29" t="s">
        <v>93</v>
      </c>
      <c r="D293" s="29" t="s">
        <v>17</v>
      </c>
      <c r="E293" s="29" t="s">
        <v>207</v>
      </c>
      <c r="F293" s="29" t="s">
        <v>57</v>
      </c>
      <c r="G293" s="36">
        <v>70423</v>
      </c>
      <c r="H293" s="36">
        <v>70423.009999999995</v>
      </c>
      <c r="I293" s="36">
        <v>67606.309020000001</v>
      </c>
      <c r="J293" s="36">
        <v>67606.309020000001</v>
      </c>
      <c r="K293" s="36">
        <v>63114.339670000001</v>
      </c>
      <c r="L293" s="36">
        <f t="shared" si="146"/>
        <v>89.621758101506884</v>
      </c>
      <c r="M293" s="36">
        <f t="shared" si="147"/>
        <v>93.355695030368921</v>
      </c>
    </row>
    <row r="294" spans="1:13" ht="38.25">
      <c r="A294" s="60" t="s">
        <v>208</v>
      </c>
      <c r="B294" s="29" t="s">
        <v>163</v>
      </c>
      <c r="C294" s="29" t="s">
        <v>93</v>
      </c>
      <c r="D294" s="29" t="s">
        <v>17</v>
      </c>
      <c r="E294" s="29" t="s">
        <v>209</v>
      </c>
      <c r="F294" s="59" t="s">
        <v>0</v>
      </c>
      <c r="G294" s="36">
        <f>G295</f>
        <v>41157</v>
      </c>
      <c r="H294" s="36">
        <f t="shared" ref="H294:K296" si="148">H295</f>
        <v>41157</v>
      </c>
      <c r="I294" s="36">
        <f t="shared" si="148"/>
        <v>0</v>
      </c>
      <c r="J294" s="36">
        <f t="shared" si="148"/>
        <v>0</v>
      </c>
      <c r="K294" s="36">
        <f t="shared" si="148"/>
        <v>0</v>
      </c>
      <c r="L294" s="36">
        <f t="shared" si="146"/>
        <v>0</v>
      </c>
      <c r="M294" s="36">
        <v>0</v>
      </c>
    </row>
    <row r="295" spans="1:13" ht="25.5">
      <c r="A295" s="60" t="s">
        <v>199</v>
      </c>
      <c r="B295" s="29" t="s">
        <v>163</v>
      </c>
      <c r="C295" s="29" t="s">
        <v>93</v>
      </c>
      <c r="D295" s="29" t="s">
        <v>17</v>
      </c>
      <c r="E295" s="29" t="s">
        <v>210</v>
      </c>
      <c r="F295" s="59" t="s">
        <v>0</v>
      </c>
      <c r="G295" s="36">
        <f>G296</f>
        <v>41157</v>
      </c>
      <c r="H295" s="36">
        <f t="shared" si="148"/>
        <v>41157</v>
      </c>
      <c r="I295" s="36">
        <f t="shared" si="148"/>
        <v>0</v>
      </c>
      <c r="J295" s="36">
        <f t="shared" si="148"/>
        <v>0</v>
      </c>
      <c r="K295" s="36">
        <f t="shared" si="148"/>
        <v>0</v>
      </c>
      <c r="L295" s="36">
        <f t="shared" si="146"/>
        <v>0</v>
      </c>
      <c r="M295" s="36">
        <v>0</v>
      </c>
    </row>
    <row r="296" spans="1:13" ht="25.5">
      <c r="A296" s="60" t="s">
        <v>80</v>
      </c>
      <c r="B296" s="29" t="s">
        <v>163</v>
      </c>
      <c r="C296" s="29" t="s">
        <v>93</v>
      </c>
      <c r="D296" s="29" t="s">
        <v>17</v>
      </c>
      <c r="E296" s="29" t="s">
        <v>210</v>
      </c>
      <c r="F296" s="29" t="s">
        <v>81</v>
      </c>
      <c r="G296" s="36">
        <f>G297</f>
        <v>41157</v>
      </c>
      <c r="H296" s="36">
        <f t="shared" si="148"/>
        <v>41157</v>
      </c>
      <c r="I296" s="36">
        <f t="shared" si="148"/>
        <v>0</v>
      </c>
      <c r="J296" s="36">
        <f t="shared" si="148"/>
        <v>0</v>
      </c>
      <c r="K296" s="36">
        <f t="shared" si="148"/>
        <v>0</v>
      </c>
      <c r="L296" s="36">
        <f t="shared" si="146"/>
        <v>0</v>
      </c>
      <c r="M296" s="36">
        <v>0</v>
      </c>
    </row>
    <row r="297" spans="1:13" ht="38.25">
      <c r="A297" s="60" t="s">
        <v>195</v>
      </c>
      <c r="B297" s="29" t="s">
        <v>163</v>
      </c>
      <c r="C297" s="29" t="s">
        <v>93</v>
      </c>
      <c r="D297" s="29" t="s">
        <v>17</v>
      </c>
      <c r="E297" s="29" t="s">
        <v>210</v>
      </c>
      <c r="F297" s="29" t="s">
        <v>196</v>
      </c>
      <c r="G297" s="36">
        <v>41157</v>
      </c>
      <c r="H297" s="36">
        <v>41157</v>
      </c>
      <c r="I297" s="36">
        <v>0</v>
      </c>
      <c r="J297" s="36">
        <v>0</v>
      </c>
      <c r="K297" s="36">
        <v>0</v>
      </c>
      <c r="L297" s="36">
        <f t="shared" si="146"/>
        <v>0</v>
      </c>
      <c r="M297" s="36">
        <v>0</v>
      </c>
    </row>
    <row r="298" spans="1:13">
      <c r="A298" s="60" t="s">
        <v>105</v>
      </c>
      <c r="B298" s="29" t="s">
        <v>163</v>
      </c>
      <c r="C298" s="29" t="s">
        <v>93</v>
      </c>
      <c r="D298" s="29" t="s">
        <v>106</v>
      </c>
      <c r="E298" s="59" t="s">
        <v>0</v>
      </c>
      <c r="F298" s="59" t="s">
        <v>0</v>
      </c>
      <c r="G298" s="36">
        <f>G299</f>
        <v>2988414.5999999996</v>
      </c>
      <c r="H298" s="36">
        <f>H299+H329+H333</f>
        <v>3000927.1209999998</v>
      </c>
      <c r="I298" s="36">
        <f t="shared" ref="I298:K298" si="149">I299+I329+I333</f>
        <v>2090111.7104</v>
      </c>
      <c r="J298" s="36">
        <f t="shared" si="149"/>
        <v>2090111.6660799999</v>
      </c>
      <c r="K298" s="36">
        <f t="shared" si="149"/>
        <v>2089292.0073499999</v>
      </c>
      <c r="L298" s="36">
        <f t="shared" si="146"/>
        <v>69.621551044324747</v>
      </c>
      <c r="M298" s="36">
        <f t="shared" si="147"/>
        <v>99.960781854581199</v>
      </c>
    </row>
    <row r="299" spans="1:13" ht="38.25">
      <c r="A299" s="60" t="s">
        <v>175</v>
      </c>
      <c r="B299" s="29" t="s">
        <v>163</v>
      </c>
      <c r="C299" s="29" t="s">
        <v>93</v>
      </c>
      <c r="D299" s="29" t="s">
        <v>106</v>
      </c>
      <c r="E299" s="29" t="s">
        <v>176</v>
      </c>
      <c r="F299" s="59" t="s">
        <v>0</v>
      </c>
      <c r="G299" s="36">
        <f>G300+G310</f>
        <v>2988414.5999999996</v>
      </c>
      <c r="H299" s="36">
        <f t="shared" ref="H299:K299" si="150">H300+H310</f>
        <v>2988414.5999999996</v>
      </c>
      <c r="I299" s="36">
        <f t="shared" si="150"/>
        <v>2085849.1894</v>
      </c>
      <c r="J299" s="36">
        <f t="shared" si="150"/>
        <v>2085849.1450799999</v>
      </c>
      <c r="K299" s="36">
        <f t="shared" si="150"/>
        <v>2085029.4863499999</v>
      </c>
      <c r="L299" s="36">
        <f t="shared" si="146"/>
        <v>69.770422295152756</v>
      </c>
      <c r="M299" s="36">
        <f t="shared" si="147"/>
        <v>99.960701710643036</v>
      </c>
    </row>
    <row r="300" spans="1:13" ht="38.25">
      <c r="A300" s="60" t="s">
        <v>177</v>
      </c>
      <c r="B300" s="29" t="s">
        <v>163</v>
      </c>
      <c r="C300" s="29" t="s">
        <v>93</v>
      </c>
      <c r="D300" s="29" t="s">
        <v>106</v>
      </c>
      <c r="E300" s="29" t="s">
        <v>178</v>
      </c>
      <c r="F300" s="59" t="s">
        <v>0</v>
      </c>
      <c r="G300" s="36">
        <f>G301+G304+G307</f>
        <v>192762.4</v>
      </c>
      <c r="H300" s="36">
        <f t="shared" ref="H300:K300" si="151">H301+H304+H307</f>
        <v>192762.4</v>
      </c>
      <c r="I300" s="36">
        <f t="shared" si="151"/>
        <v>10255</v>
      </c>
      <c r="J300" s="36">
        <f t="shared" si="151"/>
        <v>10254.955679999999</v>
      </c>
      <c r="K300" s="36">
        <f t="shared" si="151"/>
        <v>10254.955679999999</v>
      </c>
      <c r="L300" s="36">
        <f t="shared" si="146"/>
        <v>5.3199979249065166</v>
      </c>
      <c r="M300" s="36">
        <f t="shared" si="147"/>
        <v>99.999567820575322</v>
      </c>
    </row>
    <row r="301" spans="1:13" ht="25.5">
      <c r="A301" s="60" t="s">
        <v>107</v>
      </c>
      <c r="B301" s="29" t="s">
        <v>163</v>
      </c>
      <c r="C301" s="29" t="s">
        <v>93</v>
      </c>
      <c r="D301" s="29" t="s">
        <v>106</v>
      </c>
      <c r="E301" s="29" t="s">
        <v>211</v>
      </c>
      <c r="F301" s="59" t="s">
        <v>0</v>
      </c>
      <c r="G301" s="36">
        <f>G302</f>
        <v>70861.399999999994</v>
      </c>
      <c r="H301" s="36">
        <f t="shared" ref="H301:K302" si="152">H302</f>
        <v>70861.399999999994</v>
      </c>
      <c r="I301" s="36">
        <f t="shared" si="152"/>
        <v>0</v>
      </c>
      <c r="J301" s="36">
        <f t="shared" si="152"/>
        <v>0</v>
      </c>
      <c r="K301" s="36">
        <f t="shared" si="152"/>
        <v>0</v>
      </c>
      <c r="L301" s="36">
        <f t="shared" si="146"/>
        <v>0</v>
      </c>
      <c r="M301" s="36">
        <v>0</v>
      </c>
    </row>
    <row r="302" spans="1:13">
      <c r="A302" s="60" t="s">
        <v>26</v>
      </c>
      <c r="B302" s="29" t="s">
        <v>163</v>
      </c>
      <c r="C302" s="29" t="s">
        <v>93</v>
      </c>
      <c r="D302" s="29" t="s">
        <v>106</v>
      </c>
      <c r="E302" s="29" t="s">
        <v>211</v>
      </c>
      <c r="F302" s="29" t="s">
        <v>27</v>
      </c>
      <c r="G302" s="36">
        <f>G303</f>
        <v>70861.399999999994</v>
      </c>
      <c r="H302" s="36">
        <f t="shared" si="152"/>
        <v>70861.399999999994</v>
      </c>
      <c r="I302" s="36">
        <f t="shared" si="152"/>
        <v>0</v>
      </c>
      <c r="J302" s="36">
        <f t="shared" si="152"/>
        <v>0</v>
      </c>
      <c r="K302" s="36">
        <f t="shared" si="152"/>
        <v>0</v>
      </c>
      <c r="L302" s="36">
        <f t="shared" si="146"/>
        <v>0</v>
      </c>
      <c r="M302" s="36">
        <v>0</v>
      </c>
    </row>
    <row r="303" spans="1:13">
      <c r="A303" s="60" t="s">
        <v>56</v>
      </c>
      <c r="B303" s="29" t="s">
        <v>163</v>
      </c>
      <c r="C303" s="29" t="s">
        <v>93</v>
      </c>
      <c r="D303" s="29" t="s">
        <v>106</v>
      </c>
      <c r="E303" s="29" t="s">
        <v>211</v>
      </c>
      <c r="F303" s="29" t="s">
        <v>57</v>
      </c>
      <c r="G303" s="36">
        <v>70861.399999999994</v>
      </c>
      <c r="H303" s="36">
        <v>70861.399999999994</v>
      </c>
      <c r="I303" s="36">
        <v>0</v>
      </c>
      <c r="J303" s="36">
        <v>0</v>
      </c>
      <c r="K303" s="36">
        <v>0</v>
      </c>
      <c r="L303" s="36">
        <f t="shared" si="146"/>
        <v>0</v>
      </c>
      <c r="M303" s="36">
        <v>0</v>
      </c>
    </row>
    <row r="304" spans="1:13" ht="38.25">
      <c r="A304" s="60" t="s">
        <v>212</v>
      </c>
      <c r="B304" s="29" t="s">
        <v>163</v>
      </c>
      <c r="C304" s="29" t="s">
        <v>93</v>
      </c>
      <c r="D304" s="29" t="s">
        <v>106</v>
      </c>
      <c r="E304" s="29" t="s">
        <v>213</v>
      </c>
      <c r="F304" s="59" t="s">
        <v>0</v>
      </c>
      <c r="G304" s="36">
        <f>G305</f>
        <v>115255</v>
      </c>
      <c r="H304" s="36">
        <f t="shared" ref="H304:K305" si="153">H305</f>
        <v>115255</v>
      </c>
      <c r="I304" s="36">
        <f t="shared" si="153"/>
        <v>10255</v>
      </c>
      <c r="J304" s="36">
        <f t="shared" si="153"/>
        <v>10254.955679999999</v>
      </c>
      <c r="K304" s="36">
        <f t="shared" si="153"/>
        <v>10254.955679999999</v>
      </c>
      <c r="L304" s="36">
        <f t="shared" si="146"/>
        <v>8.8976232527872963</v>
      </c>
      <c r="M304" s="36">
        <f t="shared" si="147"/>
        <v>99.999567820575322</v>
      </c>
    </row>
    <row r="305" spans="1:13">
      <c r="A305" s="60" t="s">
        <v>26</v>
      </c>
      <c r="B305" s="29" t="s">
        <v>163</v>
      </c>
      <c r="C305" s="29" t="s">
        <v>93</v>
      </c>
      <c r="D305" s="29" t="s">
        <v>106</v>
      </c>
      <c r="E305" s="29" t="s">
        <v>213</v>
      </c>
      <c r="F305" s="29" t="s">
        <v>27</v>
      </c>
      <c r="G305" s="36">
        <f>G306</f>
        <v>115255</v>
      </c>
      <c r="H305" s="36">
        <f t="shared" si="153"/>
        <v>115255</v>
      </c>
      <c r="I305" s="36">
        <f t="shared" si="153"/>
        <v>10255</v>
      </c>
      <c r="J305" s="36">
        <f t="shared" si="153"/>
        <v>10254.955679999999</v>
      </c>
      <c r="K305" s="36">
        <f t="shared" si="153"/>
        <v>10254.955679999999</v>
      </c>
      <c r="L305" s="36">
        <f t="shared" si="146"/>
        <v>8.8976232527872963</v>
      </c>
      <c r="M305" s="36">
        <f t="shared" si="147"/>
        <v>99.999567820575322</v>
      </c>
    </row>
    <row r="306" spans="1:13">
      <c r="A306" s="60" t="s">
        <v>56</v>
      </c>
      <c r="B306" s="29" t="s">
        <v>163</v>
      </c>
      <c r="C306" s="29" t="s">
        <v>93</v>
      </c>
      <c r="D306" s="29" t="s">
        <v>106</v>
      </c>
      <c r="E306" s="29" t="s">
        <v>213</v>
      </c>
      <c r="F306" s="29" t="s">
        <v>57</v>
      </c>
      <c r="G306" s="36">
        <v>115255</v>
      </c>
      <c r="H306" s="36">
        <v>115255</v>
      </c>
      <c r="I306" s="36">
        <v>10255</v>
      </c>
      <c r="J306" s="36">
        <v>10254.955679999999</v>
      </c>
      <c r="K306" s="36">
        <v>10254.955679999999</v>
      </c>
      <c r="L306" s="36">
        <f t="shared" si="146"/>
        <v>8.8976232527872963</v>
      </c>
      <c r="M306" s="36">
        <f t="shared" si="147"/>
        <v>99.999567820575322</v>
      </c>
    </row>
    <row r="307" spans="1:13" ht="63.75">
      <c r="A307" s="60" t="s">
        <v>214</v>
      </c>
      <c r="B307" s="29" t="s">
        <v>163</v>
      </c>
      <c r="C307" s="29" t="s">
        <v>93</v>
      </c>
      <c r="D307" s="29" t="s">
        <v>106</v>
      </c>
      <c r="E307" s="29" t="s">
        <v>215</v>
      </c>
      <c r="F307" s="59" t="s">
        <v>0</v>
      </c>
      <c r="G307" s="36">
        <f>G308</f>
        <v>6646</v>
      </c>
      <c r="H307" s="36">
        <f t="shared" ref="H307:K308" si="154">H308</f>
        <v>6646</v>
      </c>
      <c r="I307" s="36">
        <f t="shared" si="154"/>
        <v>0</v>
      </c>
      <c r="J307" s="36">
        <f t="shared" si="154"/>
        <v>0</v>
      </c>
      <c r="K307" s="36">
        <f t="shared" si="154"/>
        <v>0</v>
      </c>
      <c r="L307" s="36">
        <f t="shared" si="146"/>
        <v>0</v>
      </c>
      <c r="M307" s="36">
        <v>0</v>
      </c>
    </row>
    <row r="308" spans="1:13">
      <c r="A308" s="60" t="s">
        <v>26</v>
      </c>
      <c r="B308" s="29" t="s">
        <v>163</v>
      </c>
      <c r="C308" s="29" t="s">
        <v>93</v>
      </c>
      <c r="D308" s="29" t="s">
        <v>106</v>
      </c>
      <c r="E308" s="29" t="s">
        <v>215</v>
      </c>
      <c r="F308" s="29" t="s">
        <v>27</v>
      </c>
      <c r="G308" s="36">
        <f>G309</f>
        <v>6646</v>
      </c>
      <c r="H308" s="36">
        <f t="shared" si="154"/>
        <v>6646</v>
      </c>
      <c r="I308" s="36">
        <f t="shared" si="154"/>
        <v>0</v>
      </c>
      <c r="J308" s="36">
        <f t="shared" si="154"/>
        <v>0</v>
      </c>
      <c r="K308" s="36">
        <f t="shared" si="154"/>
        <v>0</v>
      </c>
      <c r="L308" s="36">
        <f t="shared" si="146"/>
        <v>0</v>
      </c>
      <c r="M308" s="36">
        <v>0</v>
      </c>
    </row>
    <row r="309" spans="1:13">
      <c r="A309" s="60" t="s">
        <v>56</v>
      </c>
      <c r="B309" s="29" t="s">
        <v>163</v>
      </c>
      <c r="C309" s="29" t="s">
        <v>93</v>
      </c>
      <c r="D309" s="29" t="s">
        <v>106</v>
      </c>
      <c r="E309" s="29" t="s">
        <v>215</v>
      </c>
      <c r="F309" s="29" t="s">
        <v>57</v>
      </c>
      <c r="G309" s="36">
        <v>6646</v>
      </c>
      <c r="H309" s="36">
        <v>6646</v>
      </c>
      <c r="I309" s="36">
        <v>0</v>
      </c>
      <c r="J309" s="36">
        <v>0</v>
      </c>
      <c r="K309" s="36">
        <v>0</v>
      </c>
      <c r="L309" s="36">
        <f t="shared" si="146"/>
        <v>0</v>
      </c>
      <c r="M309" s="36">
        <v>0</v>
      </c>
    </row>
    <row r="310" spans="1:13" ht="38.25">
      <c r="A310" s="60" t="s">
        <v>181</v>
      </c>
      <c r="B310" s="29" t="s">
        <v>163</v>
      </c>
      <c r="C310" s="29" t="s">
        <v>93</v>
      </c>
      <c r="D310" s="29" t="s">
        <v>106</v>
      </c>
      <c r="E310" s="29" t="s">
        <v>182</v>
      </c>
      <c r="F310" s="59" t="s">
        <v>0</v>
      </c>
      <c r="G310" s="36">
        <f>G314+G317+G320+G323+G326</f>
        <v>2795652.1999999997</v>
      </c>
      <c r="H310" s="36">
        <f>H314+H317+H320+H323+H326+H311</f>
        <v>2795652.1999999997</v>
      </c>
      <c r="I310" s="36">
        <f t="shared" ref="I310:K310" si="155">I314+I317+I320+I323+I326+I311</f>
        <v>2075594.1894</v>
      </c>
      <c r="J310" s="36">
        <f t="shared" si="155"/>
        <v>2075594.1894</v>
      </c>
      <c r="K310" s="36">
        <f t="shared" si="155"/>
        <v>2074774.53067</v>
      </c>
      <c r="L310" s="36">
        <f t="shared" si="146"/>
        <v>74.214329331452618</v>
      </c>
      <c r="M310" s="36">
        <f t="shared" si="147"/>
        <v>99.960509682760431</v>
      </c>
    </row>
    <row r="311" spans="1:13" ht="18" customHeight="1">
      <c r="A311" s="60" t="s">
        <v>609</v>
      </c>
      <c r="B311" s="29" t="s">
        <v>163</v>
      </c>
      <c r="C311" s="29" t="s">
        <v>93</v>
      </c>
      <c r="D311" s="29" t="s">
        <v>106</v>
      </c>
      <c r="E311" s="30" t="s">
        <v>1122</v>
      </c>
      <c r="F311" s="59"/>
      <c r="G311" s="36"/>
      <c r="H311" s="36">
        <f>H312</f>
        <v>74.63</v>
      </c>
      <c r="I311" s="36">
        <f t="shared" ref="I311:K312" si="156">I312</f>
        <v>74.63</v>
      </c>
      <c r="J311" s="36">
        <f t="shared" si="156"/>
        <v>74.63</v>
      </c>
      <c r="K311" s="36">
        <f t="shared" si="156"/>
        <v>74.63</v>
      </c>
      <c r="L311" s="36">
        <f t="shared" ref="L311:L313" si="157">K311/H311*100</f>
        <v>100</v>
      </c>
      <c r="M311" s="36">
        <f t="shared" ref="M311:M313" si="158">K311/I311*100</f>
        <v>100</v>
      </c>
    </row>
    <row r="312" spans="1:13">
      <c r="A312" s="60" t="s">
        <v>72</v>
      </c>
      <c r="B312" s="29" t="s">
        <v>163</v>
      </c>
      <c r="C312" s="29" t="s">
        <v>93</v>
      </c>
      <c r="D312" s="29" t="s">
        <v>106</v>
      </c>
      <c r="E312" s="30" t="s">
        <v>1122</v>
      </c>
      <c r="F312" s="59">
        <v>800</v>
      </c>
      <c r="G312" s="36"/>
      <c r="H312" s="36">
        <f>H313</f>
        <v>74.63</v>
      </c>
      <c r="I312" s="36">
        <f t="shared" si="156"/>
        <v>74.63</v>
      </c>
      <c r="J312" s="36">
        <f t="shared" si="156"/>
        <v>74.63</v>
      </c>
      <c r="K312" s="36">
        <f t="shared" si="156"/>
        <v>74.63</v>
      </c>
      <c r="L312" s="36">
        <f t="shared" si="157"/>
        <v>100</v>
      </c>
      <c r="M312" s="36">
        <f t="shared" si="158"/>
        <v>100</v>
      </c>
    </row>
    <row r="313" spans="1:13">
      <c r="A313" s="60" t="s">
        <v>84</v>
      </c>
      <c r="B313" s="29" t="s">
        <v>163</v>
      </c>
      <c r="C313" s="29" t="s">
        <v>93</v>
      </c>
      <c r="D313" s="29" t="s">
        <v>106</v>
      </c>
      <c r="E313" s="30" t="s">
        <v>1122</v>
      </c>
      <c r="F313" s="59">
        <v>830</v>
      </c>
      <c r="G313" s="36"/>
      <c r="H313" s="36">
        <v>74.63</v>
      </c>
      <c r="I313" s="36">
        <v>74.63</v>
      </c>
      <c r="J313" s="36">
        <v>74.63</v>
      </c>
      <c r="K313" s="36">
        <v>74.63</v>
      </c>
      <c r="L313" s="36">
        <f t="shared" si="157"/>
        <v>100</v>
      </c>
      <c r="M313" s="36">
        <f t="shared" si="158"/>
        <v>100</v>
      </c>
    </row>
    <row r="314" spans="1:13" ht="51">
      <c r="A314" s="60" t="s">
        <v>216</v>
      </c>
      <c r="B314" s="29" t="s">
        <v>163</v>
      </c>
      <c r="C314" s="29" t="s">
        <v>93</v>
      </c>
      <c r="D314" s="29" t="s">
        <v>106</v>
      </c>
      <c r="E314" s="29" t="s">
        <v>217</v>
      </c>
      <c r="F314" s="59" t="s">
        <v>0</v>
      </c>
      <c r="G314" s="36">
        <f>G315</f>
        <v>71526.600000000006</v>
      </c>
      <c r="H314" s="36">
        <f t="shared" ref="H314:K315" si="159">H315</f>
        <v>71526.600000000006</v>
      </c>
      <c r="I314" s="36">
        <f t="shared" si="159"/>
        <v>42494.94341</v>
      </c>
      <c r="J314" s="36">
        <f t="shared" si="159"/>
        <v>42494.94341</v>
      </c>
      <c r="K314" s="36">
        <f t="shared" si="159"/>
        <v>42494.94341</v>
      </c>
      <c r="L314" s="36">
        <f t="shared" si="146"/>
        <v>59.411384589788973</v>
      </c>
      <c r="M314" s="36">
        <f t="shared" si="147"/>
        <v>100</v>
      </c>
    </row>
    <row r="315" spans="1:13">
      <c r="A315" s="60" t="s">
        <v>72</v>
      </c>
      <c r="B315" s="29" t="s">
        <v>163</v>
      </c>
      <c r="C315" s="29" t="s">
        <v>93</v>
      </c>
      <c r="D315" s="29" t="s">
        <v>106</v>
      </c>
      <c r="E315" s="29" t="s">
        <v>217</v>
      </c>
      <c r="F315" s="29" t="s">
        <v>73</v>
      </c>
      <c r="G315" s="36">
        <f>G316</f>
        <v>71526.600000000006</v>
      </c>
      <c r="H315" s="36">
        <f t="shared" si="159"/>
        <v>71526.600000000006</v>
      </c>
      <c r="I315" s="36">
        <f t="shared" si="159"/>
        <v>42494.94341</v>
      </c>
      <c r="J315" s="36">
        <f t="shared" si="159"/>
        <v>42494.94341</v>
      </c>
      <c r="K315" s="36">
        <f t="shared" si="159"/>
        <v>42494.94341</v>
      </c>
      <c r="L315" s="36">
        <f t="shared" si="146"/>
        <v>59.411384589788973</v>
      </c>
      <c r="M315" s="36">
        <f t="shared" si="147"/>
        <v>100</v>
      </c>
    </row>
    <row r="316" spans="1:13" ht="51">
      <c r="A316" s="60" t="s">
        <v>218</v>
      </c>
      <c r="B316" s="29" t="s">
        <v>163</v>
      </c>
      <c r="C316" s="29" t="s">
        <v>93</v>
      </c>
      <c r="D316" s="29" t="s">
        <v>106</v>
      </c>
      <c r="E316" s="29" t="s">
        <v>217</v>
      </c>
      <c r="F316" s="29" t="s">
        <v>219</v>
      </c>
      <c r="G316" s="36">
        <v>71526.600000000006</v>
      </c>
      <c r="H316" s="36">
        <v>71526.600000000006</v>
      </c>
      <c r="I316" s="36">
        <v>42494.94341</v>
      </c>
      <c r="J316" s="36">
        <v>42494.94341</v>
      </c>
      <c r="K316" s="36">
        <v>42494.94341</v>
      </c>
      <c r="L316" s="36">
        <f t="shared" si="146"/>
        <v>59.411384589788973</v>
      </c>
      <c r="M316" s="36">
        <f t="shared" si="147"/>
        <v>100</v>
      </c>
    </row>
    <row r="317" spans="1:13" ht="63.75">
      <c r="A317" s="60" t="s">
        <v>220</v>
      </c>
      <c r="B317" s="29" t="s">
        <v>163</v>
      </c>
      <c r="C317" s="29" t="s">
        <v>93</v>
      </c>
      <c r="D317" s="29" t="s">
        <v>106</v>
      </c>
      <c r="E317" s="29" t="s">
        <v>221</v>
      </c>
      <c r="F317" s="59" t="s">
        <v>0</v>
      </c>
      <c r="G317" s="36">
        <f>G318</f>
        <v>799292.6</v>
      </c>
      <c r="H317" s="36">
        <f t="shared" ref="H317:K318" si="160">H318</f>
        <v>799282.09600000002</v>
      </c>
      <c r="I317" s="36">
        <f t="shared" si="160"/>
        <v>712140.07504999998</v>
      </c>
      <c r="J317" s="36">
        <f t="shared" si="160"/>
        <v>712140.07504999998</v>
      </c>
      <c r="K317" s="36">
        <f t="shared" si="160"/>
        <v>712140.07504999998</v>
      </c>
      <c r="L317" s="36">
        <f t="shared" si="146"/>
        <v>89.097463663192073</v>
      </c>
      <c r="M317" s="36">
        <f t="shared" si="147"/>
        <v>100</v>
      </c>
    </row>
    <row r="318" spans="1:13">
      <c r="A318" s="60" t="s">
        <v>72</v>
      </c>
      <c r="B318" s="29" t="s">
        <v>163</v>
      </c>
      <c r="C318" s="29" t="s">
        <v>93</v>
      </c>
      <c r="D318" s="29" t="s">
        <v>106</v>
      </c>
      <c r="E318" s="29" t="s">
        <v>221</v>
      </c>
      <c r="F318" s="29" t="s">
        <v>73</v>
      </c>
      <c r="G318" s="36">
        <f>G319</f>
        <v>799292.6</v>
      </c>
      <c r="H318" s="36">
        <f t="shared" si="160"/>
        <v>799282.09600000002</v>
      </c>
      <c r="I318" s="36">
        <f t="shared" si="160"/>
        <v>712140.07504999998</v>
      </c>
      <c r="J318" s="36">
        <f t="shared" si="160"/>
        <v>712140.07504999998</v>
      </c>
      <c r="K318" s="36">
        <f t="shared" si="160"/>
        <v>712140.07504999998</v>
      </c>
      <c r="L318" s="36">
        <f t="shared" si="146"/>
        <v>89.097463663192073</v>
      </c>
      <c r="M318" s="36">
        <f t="shared" si="147"/>
        <v>100</v>
      </c>
    </row>
    <row r="319" spans="1:13" ht="51">
      <c r="A319" s="60" t="s">
        <v>218</v>
      </c>
      <c r="B319" s="29" t="s">
        <v>163</v>
      </c>
      <c r="C319" s="29" t="s">
        <v>93</v>
      </c>
      <c r="D319" s="29" t="s">
        <v>106</v>
      </c>
      <c r="E319" s="29" t="s">
        <v>221</v>
      </c>
      <c r="F319" s="29" t="s">
        <v>219</v>
      </c>
      <c r="G319" s="36">
        <v>799292.6</v>
      </c>
      <c r="H319" s="36">
        <v>799282.09600000002</v>
      </c>
      <c r="I319" s="36">
        <v>712140.07504999998</v>
      </c>
      <c r="J319" s="36">
        <v>712140.07504999998</v>
      </c>
      <c r="K319" s="36">
        <v>712140.07504999998</v>
      </c>
      <c r="L319" s="36">
        <f t="shared" si="146"/>
        <v>89.097463663192073</v>
      </c>
      <c r="M319" s="36">
        <f t="shared" si="147"/>
        <v>100</v>
      </c>
    </row>
    <row r="320" spans="1:13" ht="63.75">
      <c r="A320" s="60" t="s">
        <v>222</v>
      </c>
      <c r="B320" s="29" t="s">
        <v>163</v>
      </c>
      <c r="C320" s="29" t="s">
        <v>93</v>
      </c>
      <c r="D320" s="29" t="s">
        <v>106</v>
      </c>
      <c r="E320" s="29" t="s">
        <v>223</v>
      </c>
      <c r="F320" s="59" t="s">
        <v>0</v>
      </c>
      <c r="G320" s="36">
        <f>G321</f>
        <v>1383826.4</v>
      </c>
      <c r="H320" s="36">
        <f t="shared" ref="H320:K321" si="161">H321</f>
        <v>1383792.274</v>
      </c>
      <c r="I320" s="36">
        <f t="shared" si="161"/>
        <v>1059292.4807800001</v>
      </c>
      <c r="J320" s="36">
        <f t="shared" si="161"/>
        <v>1059292.4807800001</v>
      </c>
      <c r="K320" s="36">
        <f t="shared" si="161"/>
        <v>1058472.8220500001</v>
      </c>
      <c r="L320" s="36">
        <f t="shared" si="146"/>
        <v>76.490730721481114</v>
      </c>
      <c r="M320" s="36">
        <f t="shared" si="147"/>
        <v>99.922622057187027</v>
      </c>
    </row>
    <row r="321" spans="1:13">
      <c r="A321" s="60" t="s">
        <v>72</v>
      </c>
      <c r="B321" s="29" t="s">
        <v>163</v>
      </c>
      <c r="C321" s="29" t="s">
        <v>93</v>
      </c>
      <c r="D321" s="29" t="s">
        <v>106</v>
      </c>
      <c r="E321" s="29" t="s">
        <v>223</v>
      </c>
      <c r="F321" s="29" t="s">
        <v>73</v>
      </c>
      <c r="G321" s="36">
        <f>G322</f>
        <v>1383826.4</v>
      </c>
      <c r="H321" s="36">
        <f t="shared" si="161"/>
        <v>1383792.274</v>
      </c>
      <c r="I321" s="36">
        <f t="shared" si="161"/>
        <v>1059292.4807800001</v>
      </c>
      <c r="J321" s="36">
        <f t="shared" si="161"/>
        <v>1059292.4807800001</v>
      </c>
      <c r="K321" s="36">
        <f t="shared" si="161"/>
        <v>1058472.8220500001</v>
      </c>
      <c r="L321" s="36">
        <f t="shared" si="146"/>
        <v>76.490730721481114</v>
      </c>
      <c r="M321" s="36">
        <f t="shared" si="147"/>
        <v>99.922622057187027</v>
      </c>
    </row>
    <row r="322" spans="1:13" ht="51">
      <c r="A322" s="60" t="s">
        <v>218</v>
      </c>
      <c r="B322" s="29" t="s">
        <v>163</v>
      </c>
      <c r="C322" s="29" t="s">
        <v>93</v>
      </c>
      <c r="D322" s="29" t="s">
        <v>106</v>
      </c>
      <c r="E322" s="29" t="s">
        <v>223</v>
      </c>
      <c r="F322" s="29" t="s">
        <v>219</v>
      </c>
      <c r="G322" s="36">
        <v>1383826.4</v>
      </c>
      <c r="H322" s="36">
        <v>1383792.274</v>
      </c>
      <c r="I322" s="36">
        <v>1059292.4807800001</v>
      </c>
      <c r="J322" s="36">
        <v>1059292.4807800001</v>
      </c>
      <c r="K322" s="36">
        <v>1058472.8220500001</v>
      </c>
      <c r="L322" s="36">
        <f t="shared" si="146"/>
        <v>76.490730721481114</v>
      </c>
      <c r="M322" s="36">
        <f t="shared" si="147"/>
        <v>99.922622057187027</v>
      </c>
    </row>
    <row r="323" spans="1:13" ht="51">
      <c r="A323" s="60" t="s">
        <v>224</v>
      </c>
      <c r="B323" s="29" t="s">
        <v>163</v>
      </c>
      <c r="C323" s="29" t="s">
        <v>93</v>
      </c>
      <c r="D323" s="29" t="s">
        <v>106</v>
      </c>
      <c r="E323" s="29" t="s">
        <v>225</v>
      </c>
      <c r="F323" s="59" t="s">
        <v>0</v>
      </c>
      <c r="G323" s="36">
        <f>G324</f>
        <v>96964.5</v>
      </c>
      <c r="H323" s="36">
        <f t="shared" ref="H323:K324" si="162">H324</f>
        <v>96964.5</v>
      </c>
      <c r="I323" s="36">
        <f t="shared" si="162"/>
        <v>42381.030220000001</v>
      </c>
      <c r="J323" s="36">
        <f t="shared" si="162"/>
        <v>42381.030220000001</v>
      </c>
      <c r="K323" s="36">
        <f t="shared" si="162"/>
        <v>42381.030220000001</v>
      </c>
      <c r="L323" s="36">
        <f t="shared" si="146"/>
        <v>43.707779878202842</v>
      </c>
      <c r="M323" s="36">
        <f t="shared" si="147"/>
        <v>100</v>
      </c>
    </row>
    <row r="324" spans="1:13">
      <c r="A324" s="60" t="s">
        <v>72</v>
      </c>
      <c r="B324" s="29" t="s">
        <v>163</v>
      </c>
      <c r="C324" s="29" t="s">
        <v>93</v>
      </c>
      <c r="D324" s="29" t="s">
        <v>106</v>
      </c>
      <c r="E324" s="29" t="s">
        <v>225</v>
      </c>
      <c r="F324" s="29" t="s">
        <v>73</v>
      </c>
      <c r="G324" s="36">
        <f>G325</f>
        <v>96964.5</v>
      </c>
      <c r="H324" s="36">
        <f t="shared" si="162"/>
        <v>96964.5</v>
      </c>
      <c r="I324" s="36">
        <f t="shared" si="162"/>
        <v>42381.030220000001</v>
      </c>
      <c r="J324" s="36">
        <f t="shared" si="162"/>
        <v>42381.030220000001</v>
      </c>
      <c r="K324" s="36">
        <f t="shared" si="162"/>
        <v>42381.030220000001</v>
      </c>
      <c r="L324" s="36">
        <f t="shared" si="146"/>
        <v>43.707779878202842</v>
      </c>
      <c r="M324" s="36">
        <f t="shared" si="147"/>
        <v>100</v>
      </c>
    </row>
    <row r="325" spans="1:13" ht="51">
      <c r="A325" s="60" t="s">
        <v>218</v>
      </c>
      <c r="B325" s="29" t="s">
        <v>163</v>
      </c>
      <c r="C325" s="29" t="s">
        <v>93</v>
      </c>
      <c r="D325" s="29" t="s">
        <v>106</v>
      </c>
      <c r="E325" s="29" t="s">
        <v>225</v>
      </c>
      <c r="F325" s="29" t="s">
        <v>219</v>
      </c>
      <c r="G325" s="36">
        <v>96964.5</v>
      </c>
      <c r="H325" s="36">
        <v>96964.5</v>
      </c>
      <c r="I325" s="36">
        <v>42381.030220000001</v>
      </c>
      <c r="J325" s="36">
        <v>42381.030220000001</v>
      </c>
      <c r="K325" s="36">
        <v>42381.030220000001</v>
      </c>
      <c r="L325" s="36">
        <f t="shared" si="146"/>
        <v>43.707779878202842</v>
      </c>
      <c r="M325" s="36">
        <f t="shared" si="147"/>
        <v>100</v>
      </c>
    </row>
    <row r="326" spans="1:13" ht="51">
      <c r="A326" s="60" t="s">
        <v>226</v>
      </c>
      <c r="B326" s="29" t="s">
        <v>163</v>
      </c>
      <c r="C326" s="29" t="s">
        <v>93</v>
      </c>
      <c r="D326" s="29" t="s">
        <v>106</v>
      </c>
      <c r="E326" s="29" t="s">
        <v>227</v>
      </c>
      <c r="F326" s="59" t="s">
        <v>0</v>
      </c>
      <c r="G326" s="36">
        <f>G327</f>
        <v>444042.1</v>
      </c>
      <c r="H326" s="36">
        <f t="shared" ref="H326:K327" si="163">H327</f>
        <v>444012.1</v>
      </c>
      <c r="I326" s="36">
        <f t="shared" si="163"/>
        <v>219211.02994000001</v>
      </c>
      <c r="J326" s="36">
        <f t="shared" si="163"/>
        <v>219211.02994000001</v>
      </c>
      <c r="K326" s="36">
        <f t="shared" si="163"/>
        <v>219211.02994000001</v>
      </c>
      <c r="L326" s="36">
        <f t="shared" si="146"/>
        <v>49.370508132548643</v>
      </c>
      <c r="M326" s="36">
        <f t="shared" si="147"/>
        <v>100</v>
      </c>
    </row>
    <row r="327" spans="1:13">
      <c r="A327" s="60" t="s">
        <v>72</v>
      </c>
      <c r="B327" s="29" t="s">
        <v>163</v>
      </c>
      <c r="C327" s="29" t="s">
        <v>93</v>
      </c>
      <c r="D327" s="29" t="s">
        <v>106</v>
      </c>
      <c r="E327" s="29" t="s">
        <v>227</v>
      </c>
      <c r="F327" s="29" t="s">
        <v>73</v>
      </c>
      <c r="G327" s="36">
        <f>G328</f>
        <v>444042.1</v>
      </c>
      <c r="H327" s="36">
        <f t="shared" si="163"/>
        <v>444012.1</v>
      </c>
      <c r="I327" s="36">
        <f t="shared" si="163"/>
        <v>219211.02994000001</v>
      </c>
      <c r="J327" s="36">
        <f t="shared" si="163"/>
        <v>219211.02994000001</v>
      </c>
      <c r="K327" s="36">
        <f t="shared" si="163"/>
        <v>219211.02994000001</v>
      </c>
      <c r="L327" s="36">
        <f t="shared" si="146"/>
        <v>49.370508132548643</v>
      </c>
      <c r="M327" s="36">
        <f t="shared" si="147"/>
        <v>100</v>
      </c>
    </row>
    <row r="328" spans="1:13" ht="51">
      <c r="A328" s="60" t="s">
        <v>218</v>
      </c>
      <c r="B328" s="29" t="s">
        <v>163</v>
      </c>
      <c r="C328" s="29" t="s">
        <v>93</v>
      </c>
      <c r="D328" s="29" t="s">
        <v>106</v>
      </c>
      <c r="E328" s="29" t="s">
        <v>227</v>
      </c>
      <c r="F328" s="29" t="s">
        <v>219</v>
      </c>
      <c r="G328" s="36">
        <v>444042.1</v>
      </c>
      <c r="H328" s="36">
        <v>444012.1</v>
      </c>
      <c r="I328" s="36">
        <v>219211.02994000001</v>
      </c>
      <c r="J328" s="36">
        <v>219211.02994000001</v>
      </c>
      <c r="K328" s="36">
        <v>219211.02994000001</v>
      </c>
      <c r="L328" s="36">
        <f t="shared" si="146"/>
        <v>49.370508132548643</v>
      </c>
      <c r="M328" s="36">
        <f t="shared" si="147"/>
        <v>100</v>
      </c>
    </row>
    <row r="329" spans="1:13" ht="39.75" customHeight="1">
      <c r="A329" s="60" t="s">
        <v>122</v>
      </c>
      <c r="B329" s="29" t="s">
        <v>163</v>
      </c>
      <c r="C329" s="29" t="s">
        <v>93</v>
      </c>
      <c r="D329" s="29" t="s">
        <v>106</v>
      </c>
      <c r="E329" s="30" t="s">
        <v>1123</v>
      </c>
      <c r="F329" s="29"/>
      <c r="G329" s="36"/>
      <c r="H329" s="36">
        <f>H330</f>
        <v>8250</v>
      </c>
      <c r="I329" s="36">
        <f t="shared" ref="I329:L331" si="164">I330</f>
        <v>0</v>
      </c>
      <c r="J329" s="36">
        <f t="shared" si="164"/>
        <v>0</v>
      </c>
      <c r="K329" s="36">
        <f t="shared" si="164"/>
        <v>0</v>
      </c>
      <c r="L329" s="36">
        <f t="shared" si="164"/>
        <v>0</v>
      </c>
      <c r="M329" s="36">
        <v>0</v>
      </c>
    </row>
    <row r="330" spans="1:13" ht="45" customHeight="1">
      <c r="A330" s="60" t="s">
        <v>1120</v>
      </c>
      <c r="B330" s="29" t="s">
        <v>163</v>
      </c>
      <c r="C330" s="29" t="s">
        <v>93</v>
      </c>
      <c r="D330" s="29" t="s">
        <v>106</v>
      </c>
      <c r="E330" s="30" t="s">
        <v>1121</v>
      </c>
      <c r="F330" s="29"/>
      <c r="G330" s="36"/>
      <c r="H330" s="36">
        <f>H331</f>
        <v>8250</v>
      </c>
      <c r="I330" s="36">
        <f t="shared" si="164"/>
        <v>0</v>
      </c>
      <c r="J330" s="36">
        <f t="shared" si="164"/>
        <v>0</v>
      </c>
      <c r="K330" s="36">
        <f t="shared" si="164"/>
        <v>0</v>
      </c>
      <c r="L330" s="36">
        <f t="shared" si="164"/>
        <v>0</v>
      </c>
      <c r="M330" s="36">
        <v>0</v>
      </c>
    </row>
    <row r="331" spans="1:13">
      <c r="A331" s="60" t="s">
        <v>26</v>
      </c>
      <c r="B331" s="29" t="s">
        <v>163</v>
      </c>
      <c r="C331" s="29" t="s">
        <v>93</v>
      </c>
      <c r="D331" s="29" t="s">
        <v>106</v>
      </c>
      <c r="E331" s="30" t="s">
        <v>1121</v>
      </c>
      <c r="F331" s="29">
        <v>500</v>
      </c>
      <c r="G331" s="36"/>
      <c r="H331" s="36">
        <f>H332</f>
        <v>8250</v>
      </c>
      <c r="I331" s="36">
        <f t="shared" si="164"/>
        <v>0</v>
      </c>
      <c r="J331" s="36">
        <f t="shared" si="164"/>
        <v>0</v>
      </c>
      <c r="K331" s="36">
        <f t="shared" si="164"/>
        <v>0</v>
      </c>
      <c r="L331" s="36">
        <f t="shared" si="164"/>
        <v>0</v>
      </c>
      <c r="M331" s="36">
        <v>0</v>
      </c>
    </row>
    <row r="332" spans="1:13">
      <c r="A332" s="60" t="s">
        <v>56</v>
      </c>
      <c r="B332" s="29" t="s">
        <v>163</v>
      </c>
      <c r="C332" s="29" t="s">
        <v>93</v>
      </c>
      <c r="D332" s="29" t="s">
        <v>106</v>
      </c>
      <c r="E332" s="30" t="s">
        <v>1121</v>
      </c>
      <c r="F332" s="29">
        <v>520</v>
      </c>
      <c r="G332" s="36"/>
      <c r="H332" s="36">
        <v>8250</v>
      </c>
      <c r="I332" s="36">
        <v>0</v>
      </c>
      <c r="J332" s="36">
        <v>0</v>
      </c>
      <c r="K332" s="36">
        <v>0</v>
      </c>
      <c r="L332" s="36">
        <v>0</v>
      </c>
      <c r="M332" s="36">
        <v>0</v>
      </c>
    </row>
    <row r="333" spans="1:13">
      <c r="A333" s="63" t="s">
        <v>612</v>
      </c>
      <c r="B333" s="29" t="s">
        <v>163</v>
      </c>
      <c r="C333" s="29" t="s">
        <v>93</v>
      </c>
      <c r="D333" s="29" t="s">
        <v>106</v>
      </c>
      <c r="E333" s="30" t="s">
        <v>613</v>
      </c>
      <c r="F333" s="29"/>
      <c r="G333" s="36"/>
      <c r="H333" s="36">
        <f>H334</f>
        <v>4262.5209999999997</v>
      </c>
      <c r="I333" s="36">
        <f t="shared" ref="I333:K334" si="165">I334</f>
        <v>4262.5209999999997</v>
      </c>
      <c r="J333" s="36">
        <f t="shared" si="165"/>
        <v>4262.5209999999997</v>
      </c>
      <c r="K333" s="36">
        <f t="shared" si="165"/>
        <v>4262.5209999999997</v>
      </c>
      <c r="L333" s="36">
        <f t="shared" ref="L333:L345" si="166">K333/H333*100</f>
        <v>100</v>
      </c>
      <c r="M333" s="36">
        <f t="shared" ref="M333:M345" si="167">K333/I333*100</f>
        <v>100</v>
      </c>
    </row>
    <row r="334" spans="1:13">
      <c r="A334" s="60" t="s">
        <v>612</v>
      </c>
      <c r="B334" s="29" t="s">
        <v>163</v>
      </c>
      <c r="C334" s="29" t="s">
        <v>93</v>
      </c>
      <c r="D334" s="29" t="s">
        <v>106</v>
      </c>
      <c r="E334" s="30" t="s">
        <v>614</v>
      </c>
      <c r="F334" s="29"/>
      <c r="G334" s="36"/>
      <c r="H334" s="36">
        <f>H335</f>
        <v>4262.5209999999997</v>
      </c>
      <c r="I334" s="36">
        <f t="shared" si="165"/>
        <v>4262.5209999999997</v>
      </c>
      <c r="J334" s="36">
        <f t="shared" si="165"/>
        <v>4262.5209999999997</v>
      </c>
      <c r="K334" s="36">
        <f t="shared" si="165"/>
        <v>4262.5209999999997</v>
      </c>
      <c r="L334" s="36">
        <f t="shared" si="166"/>
        <v>100</v>
      </c>
      <c r="M334" s="36">
        <f t="shared" si="167"/>
        <v>100</v>
      </c>
    </row>
    <row r="335" spans="1:13">
      <c r="A335" s="60" t="s">
        <v>26</v>
      </c>
      <c r="B335" s="29" t="s">
        <v>163</v>
      </c>
      <c r="C335" s="29" t="s">
        <v>93</v>
      </c>
      <c r="D335" s="29" t="s">
        <v>106</v>
      </c>
      <c r="E335" s="30" t="s">
        <v>614</v>
      </c>
      <c r="F335" s="29">
        <v>500</v>
      </c>
      <c r="G335" s="36"/>
      <c r="H335" s="36">
        <f>H336</f>
        <v>4262.5209999999997</v>
      </c>
      <c r="I335" s="36">
        <f>I336</f>
        <v>4262.5209999999997</v>
      </c>
      <c r="J335" s="36">
        <f>J336</f>
        <v>4262.5209999999997</v>
      </c>
      <c r="K335" s="36">
        <f>K336</f>
        <v>4262.5209999999997</v>
      </c>
      <c r="L335" s="36">
        <f t="shared" si="166"/>
        <v>100</v>
      </c>
      <c r="M335" s="36">
        <f t="shared" si="167"/>
        <v>100</v>
      </c>
    </row>
    <row r="336" spans="1:13">
      <c r="A336" s="69" t="s">
        <v>352</v>
      </c>
      <c r="B336" s="29" t="s">
        <v>163</v>
      </c>
      <c r="C336" s="29" t="s">
        <v>93</v>
      </c>
      <c r="D336" s="29" t="s">
        <v>106</v>
      </c>
      <c r="E336" s="30" t="s">
        <v>614</v>
      </c>
      <c r="F336" s="59">
        <v>540</v>
      </c>
      <c r="G336" s="62" t="s">
        <v>0</v>
      </c>
      <c r="H336" s="62">
        <v>4262.5209999999997</v>
      </c>
      <c r="I336" s="62">
        <v>4262.5209999999997</v>
      </c>
      <c r="J336" s="62">
        <v>4262.5209999999997</v>
      </c>
      <c r="K336" s="62">
        <v>4262.5209999999997</v>
      </c>
      <c r="L336" s="36">
        <f t="shared" si="166"/>
        <v>100</v>
      </c>
      <c r="M336" s="36">
        <f t="shared" si="167"/>
        <v>100</v>
      </c>
    </row>
    <row r="337" spans="1:13">
      <c r="A337" s="69" t="s">
        <v>1124</v>
      </c>
      <c r="B337" s="29" t="s">
        <v>163</v>
      </c>
      <c r="C337" s="29" t="s">
        <v>93</v>
      </c>
      <c r="D337" s="29" t="s">
        <v>150</v>
      </c>
      <c r="E337" s="30"/>
      <c r="F337" s="59"/>
      <c r="G337" s="62"/>
      <c r="H337" s="62">
        <f>H338</f>
        <v>4891.5640400000002</v>
      </c>
      <c r="I337" s="62">
        <f t="shared" ref="I337:K340" si="168">I338</f>
        <v>4891.5640400000002</v>
      </c>
      <c r="J337" s="62">
        <f t="shared" si="168"/>
        <v>4891.5640400000002</v>
      </c>
      <c r="K337" s="62">
        <f t="shared" si="168"/>
        <v>4891.5640400000002</v>
      </c>
      <c r="L337" s="36">
        <f t="shared" si="166"/>
        <v>100</v>
      </c>
      <c r="M337" s="36">
        <f t="shared" si="167"/>
        <v>100</v>
      </c>
    </row>
    <row r="338" spans="1:13">
      <c r="A338" s="63" t="s">
        <v>612</v>
      </c>
      <c r="B338" s="29" t="s">
        <v>163</v>
      </c>
      <c r="C338" s="29" t="s">
        <v>93</v>
      </c>
      <c r="D338" s="29" t="s">
        <v>150</v>
      </c>
      <c r="E338" s="30" t="s">
        <v>613</v>
      </c>
      <c r="F338" s="59"/>
      <c r="G338" s="62"/>
      <c r="H338" s="62">
        <f>H339</f>
        <v>4891.5640400000002</v>
      </c>
      <c r="I338" s="62">
        <f t="shared" si="168"/>
        <v>4891.5640400000002</v>
      </c>
      <c r="J338" s="62">
        <f t="shared" si="168"/>
        <v>4891.5640400000002</v>
      </c>
      <c r="K338" s="62">
        <f t="shared" si="168"/>
        <v>4891.5640400000002</v>
      </c>
      <c r="L338" s="36">
        <f t="shared" si="166"/>
        <v>100</v>
      </c>
      <c r="M338" s="36">
        <f t="shared" si="167"/>
        <v>100</v>
      </c>
    </row>
    <row r="339" spans="1:13">
      <c r="A339" s="60" t="s">
        <v>612</v>
      </c>
      <c r="B339" s="29" t="s">
        <v>163</v>
      </c>
      <c r="C339" s="29" t="s">
        <v>93</v>
      </c>
      <c r="D339" s="29" t="s">
        <v>150</v>
      </c>
      <c r="E339" s="30" t="s">
        <v>614</v>
      </c>
      <c r="F339" s="59"/>
      <c r="G339" s="62"/>
      <c r="H339" s="62">
        <f>H340</f>
        <v>4891.5640400000002</v>
      </c>
      <c r="I339" s="62">
        <f t="shared" si="168"/>
        <v>4891.5640400000002</v>
      </c>
      <c r="J339" s="62">
        <f t="shared" si="168"/>
        <v>4891.5640400000002</v>
      </c>
      <c r="K339" s="62">
        <f t="shared" si="168"/>
        <v>4891.5640400000002</v>
      </c>
      <c r="L339" s="36">
        <f t="shared" si="166"/>
        <v>100</v>
      </c>
      <c r="M339" s="36">
        <f t="shared" si="167"/>
        <v>100</v>
      </c>
    </row>
    <row r="340" spans="1:13">
      <c r="A340" s="60" t="s">
        <v>26</v>
      </c>
      <c r="B340" s="29" t="s">
        <v>163</v>
      </c>
      <c r="C340" s="29" t="s">
        <v>93</v>
      </c>
      <c r="D340" s="29" t="s">
        <v>150</v>
      </c>
      <c r="E340" s="30" t="s">
        <v>614</v>
      </c>
      <c r="F340" s="29">
        <v>500</v>
      </c>
      <c r="G340" s="62"/>
      <c r="H340" s="62">
        <f>H341</f>
        <v>4891.5640400000002</v>
      </c>
      <c r="I340" s="62">
        <f t="shared" si="168"/>
        <v>4891.5640400000002</v>
      </c>
      <c r="J340" s="62">
        <f t="shared" si="168"/>
        <v>4891.5640400000002</v>
      </c>
      <c r="K340" s="62">
        <f t="shared" si="168"/>
        <v>4891.5640400000002</v>
      </c>
      <c r="L340" s="36">
        <f t="shared" si="166"/>
        <v>100</v>
      </c>
      <c r="M340" s="36">
        <f t="shared" si="167"/>
        <v>100</v>
      </c>
    </row>
    <row r="341" spans="1:13">
      <c r="A341" s="69" t="s">
        <v>352</v>
      </c>
      <c r="B341" s="29" t="s">
        <v>163</v>
      </c>
      <c r="C341" s="29" t="s">
        <v>93</v>
      </c>
      <c r="D341" s="29" t="s">
        <v>150</v>
      </c>
      <c r="E341" s="30" t="s">
        <v>614</v>
      </c>
      <c r="F341" s="59">
        <v>540</v>
      </c>
      <c r="G341" s="62"/>
      <c r="H341" s="62">
        <v>4891.5640400000002</v>
      </c>
      <c r="I341" s="62">
        <v>4891.5640400000002</v>
      </c>
      <c r="J341" s="62">
        <v>4891.5640400000002</v>
      </c>
      <c r="K341" s="62">
        <v>4891.5640400000002</v>
      </c>
      <c r="L341" s="36">
        <f t="shared" si="166"/>
        <v>100</v>
      </c>
      <c r="M341" s="36">
        <f t="shared" si="167"/>
        <v>100</v>
      </c>
    </row>
    <row r="342" spans="1:13" ht="25.5">
      <c r="A342" s="69" t="s">
        <v>1065</v>
      </c>
      <c r="B342" s="29" t="s">
        <v>163</v>
      </c>
      <c r="C342" s="29" t="s">
        <v>93</v>
      </c>
      <c r="D342" s="68" t="s">
        <v>93</v>
      </c>
      <c r="E342" s="30"/>
      <c r="F342" s="59"/>
      <c r="G342" s="62"/>
      <c r="H342" s="36">
        <f>H343</f>
        <v>1400</v>
      </c>
      <c r="I342" s="36">
        <f t="shared" ref="I342:K345" si="169">I343</f>
        <v>1400</v>
      </c>
      <c r="J342" s="36">
        <f t="shared" si="169"/>
        <v>1400</v>
      </c>
      <c r="K342" s="36">
        <f t="shared" si="169"/>
        <v>1400</v>
      </c>
      <c r="L342" s="36">
        <f t="shared" si="166"/>
        <v>100</v>
      </c>
      <c r="M342" s="36">
        <f t="shared" si="167"/>
        <v>100</v>
      </c>
    </row>
    <row r="343" spans="1:13">
      <c r="A343" s="63" t="s">
        <v>612</v>
      </c>
      <c r="B343" s="29" t="s">
        <v>163</v>
      </c>
      <c r="C343" s="29" t="s">
        <v>93</v>
      </c>
      <c r="D343" s="68" t="s">
        <v>93</v>
      </c>
      <c r="E343" s="30" t="s">
        <v>613</v>
      </c>
      <c r="F343" s="59"/>
      <c r="G343" s="62"/>
      <c r="H343" s="62">
        <f>H344</f>
        <v>1400</v>
      </c>
      <c r="I343" s="62">
        <f t="shared" si="169"/>
        <v>1400</v>
      </c>
      <c r="J343" s="62">
        <f t="shared" si="169"/>
        <v>1400</v>
      </c>
      <c r="K343" s="62">
        <f t="shared" si="169"/>
        <v>1400</v>
      </c>
      <c r="L343" s="36">
        <f t="shared" si="166"/>
        <v>100</v>
      </c>
      <c r="M343" s="36">
        <f t="shared" si="167"/>
        <v>100</v>
      </c>
    </row>
    <row r="344" spans="1:13">
      <c r="A344" s="60" t="s">
        <v>612</v>
      </c>
      <c r="B344" s="29" t="s">
        <v>163</v>
      </c>
      <c r="C344" s="29" t="s">
        <v>93</v>
      </c>
      <c r="D344" s="68" t="s">
        <v>93</v>
      </c>
      <c r="E344" s="30" t="s">
        <v>614</v>
      </c>
      <c r="F344" s="59"/>
      <c r="G344" s="62"/>
      <c r="H344" s="62">
        <f>H345</f>
        <v>1400</v>
      </c>
      <c r="I344" s="62">
        <f t="shared" si="169"/>
        <v>1400</v>
      </c>
      <c r="J344" s="62">
        <f t="shared" si="169"/>
        <v>1400</v>
      </c>
      <c r="K344" s="62">
        <f t="shared" si="169"/>
        <v>1400</v>
      </c>
      <c r="L344" s="36">
        <f t="shared" si="166"/>
        <v>100</v>
      </c>
      <c r="M344" s="36">
        <f t="shared" si="167"/>
        <v>100</v>
      </c>
    </row>
    <row r="345" spans="1:13">
      <c r="A345" s="60" t="s">
        <v>26</v>
      </c>
      <c r="B345" s="29" t="s">
        <v>163</v>
      </c>
      <c r="C345" s="29" t="s">
        <v>93</v>
      </c>
      <c r="D345" s="68" t="s">
        <v>93</v>
      </c>
      <c r="E345" s="30" t="s">
        <v>614</v>
      </c>
      <c r="F345" s="29">
        <v>500</v>
      </c>
      <c r="G345" s="62"/>
      <c r="H345" s="62">
        <f>H346</f>
        <v>1400</v>
      </c>
      <c r="I345" s="62">
        <f t="shared" si="169"/>
        <v>1400</v>
      </c>
      <c r="J345" s="62">
        <f t="shared" si="169"/>
        <v>1400</v>
      </c>
      <c r="K345" s="62">
        <f t="shared" si="169"/>
        <v>1400</v>
      </c>
      <c r="L345" s="36">
        <f t="shared" si="166"/>
        <v>100</v>
      </c>
      <c r="M345" s="36">
        <f t="shared" si="167"/>
        <v>100</v>
      </c>
    </row>
    <row r="346" spans="1:13">
      <c r="A346" s="69" t="s">
        <v>352</v>
      </c>
      <c r="B346" s="29" t="s">
        <v>163</v>
      </c>
      <c r="C346" s="29" t="s">
        <v>93</v>
      </c>
      <c r="D346" s="68" t="s">
        <v>93</v>
      </c>
      <c r="E346" s="30" t="s">
        <v>614</v>
      </c>
      <c r="F346" s="59">
        <v>540</v>
      </c>
      <c r="G346" s="62"/>
      <c r="H346" s="62">
        <v>1400</v>
      </c>
      <c r="I346" s="62">
        <v>1400</v>
      </c>
      <c r="J346" s="62">
        <v>1400</v>
      </c>
      <c r="K346" s="62">
        <v>1400</v>
      </c>
      <c r="L346" s="36">
        <f t="shared" ref="L346" si="170">K346/H346*100</f>
        <v>100</v>
      </c>
      <c r="M346" s="36">
        <f t="shared" ref="M346" si="171">K346/I346*100</f>
        <v>100</v>
      </c>
    </row>
    <row r="347" spans="1:13">
      <c r="A347" s="61"/>
      <c r="B347" s="59"/>
      <c r="C347" s="59"/>
      <c r="D347" s="59"/>
      <c r="E347" s="59"/>
      <c r="F347" s="59"/>
      <c r="G347" s="62"/>
      <c r="H347" s="62"/>
      <c r="I347" s="62"/>
      <c r="J347" s="62"/>
      <c r="K347" s="62"/>
      <c r="L347" s="62"/>
      <c r="M347" s="62"/>
    </row>
    <row r="348" spans="1:13">
      <c r="A348" s="60" t="s">
        <v>147</v>
      </c>
      <c r="B348" s="29" t="s">
        <v>163</v>
      </c>
      <c r="C348" s="29" t="s">
        <v>148</v>
      </c>
      <c r="D348" s="59" t="s">
        <v>0</v>
      </c>
      <c r="E348" s="59" t="s">
        <v>0</v>
      </c>
      <c r="F348" s="59" t="s">
        <v>0</v>
      </c>
      <c r="G348" s="36">
        <f t="shared" ref="G348:G353" si="172">G349</f>
        <v>127486.8</v>
      </c>
      <c r="H348" s="36">
        <f t="shared" ref="H348:K353" si="173">H349</f>
        <v>127486.8</v>
      </c>
      <c r="I348" s="36">
        <f t="shared" si="173"/>
        <v>0</v>
      </c>
      <c r="J348" s="36">
        <f t="shared" si="173"/>
        <v>0</v>
      </c>
      <c r="K348" s="36">
        <f t="shared" si="173"/>
        <v>0</v>
      </c>
      <c r="L348" s="36">
        <f t="shared" si="146"/>
        <v>0</v>
      </c>
      <c r="M348" s="36">
        <v>0</v>
      </c>
    </row>
    <row r="349" spans="1:13">
      <c r="A349" s="60" t="s">
        <v>149</v>
      </c>
      <c r="B349" s="29" t="s">
        <v>163</v>
      </c>
      <c r="C349" s="29" t="s">
        <v>148</v>
      </c>
      <c r="D349" s="29" t="s">
        <v>150</v>
      </c>
      <c r="E349" s="59" t="s">
        <v>0</v>
      </c>
      <c r="F349" s="59" t="s">
        <v>0</v>
      </c>
      <c r="G349" s="36">
        <f t="shared" si="172"/>
        <v>127486.8</v>
      </c>
      <c r="H349" s="36">
        <f t="shared" si="173"/>
        <v>127486.8</v>
      </c>
      <c r="I349" s="36">
        <f t="shared" si="173"/>
        <v>0</v>
      </c>
      <c r="J349" s="36">
        <f t="shared" si="173"/>
        <v>0</v>
      </c>
      <c r="K349" s="36">
        <f t="shared" si="173"/>
        <v>0</v>
      </c>
      <c r="L349" s="36">
        <f t="shared" si="146"/>
        <v>0</v>
      </c>
      <c r="M349" s="36">
        <v>0</v>
      </c>
    </row>
    <row r="350" spans="1:13" ht="76.5">
      <c r="A350" s="60" t="s">
        <v>98</v>
      </c>
      <c r="B350" s="29" t="s">
        <v>163</v>
      </c>
      <c r="C350" s="29" t="s">
        <v>148</v>
      </c>
      <c r="D350" s="29" t="s">
        <v>150</v>
      </c>
      <c r="E350" s="29" t="s">
        <v>99</v>
      </c>
      <c r="F350" s="59" t="s">
        <v>0</v>
      </c>
      <c r="G350" s="36">
        <f t="shared" si="172"/>
        <v>127486.8</v>
      </c>
      <c r="H350" s="36">
        <f t="shared" si="173"/>
        <v>127486.8</v>
      </c>
      <c r="I350" s="36">
        <f t="shared" si="173"/>
        <v>0</v>
      </c>
      <c r="J350" s="36">
        <f t="shared" si="173"/>
        <v>0</v>
      </c>
      <c r="K350" s="36">
        <f t="shared" si="173"/>
        <v>0</v>
      </c>
      <c r="L350" s="36">
        <f t="shared" si="146"/>
        <v>0</v>
      </c>
      <c r="M350" s="36">
        <v>0</v>
      </c>
    </row>
    <row r="351" spans="1:13" ht="63.75">
      <c r="A351" s="60" t="s">
        <v>100</v>
      </c>
      <c r="B351" s="29" t="s">
        <v>163</v>
      </c>
      <c r="C351" s="29" t="s">
        <v>148</v>
      </c>
      <c r="D351" s="29" t="s">
        <v>150</v>
      </c>
      <c r="E351" s="29" t="s">
        <v>101</v>
      </c>
      <c r="F351" s="59" t="s">
        <v>0</v>
      </c>
      <c r="G351" s="36">
        <f t="shared" si="172"/>
        <v>127486.8</v>
      </c>
      <c r="H351" s="36">
        <f t="shared" si="173"/>
        <v>127486.8</v>
      </c>
      <c r="I351" s="36">
        <f t="shared" si="173"/>
        <v>0</v>
      </c>
      <c r="J351" s="36">
        <f t="shared" si="173"/>
        <v>0</v>
      </c>
      <c r="K351" s="36">
        <f t="shared" si="173"/>
        <v>0</v>
      </c>
      <c r="L351" s="36">
        <f t="shared" si="146"/>
        <v>0</v>
      </c>
      <c r="M351" s="36">
        <v>0</v>
      </c>
    </row>
    <row r="352" spans="1:13" ht="63.75">
      <c r="A352" s="60" t="s">
        <v>102</v>
      </c>
      <c r="B352" s="29" t="s">
        <v>163</v>
      </c>
      <c r="C352" s="29" t="s">
        <v>148</v>
      </c>
      <c r="D352" s="29" t="s">
        <v>150</v>
      </c>
      <c r="E352" s="29" t="s">
        <v>104</v>
      </c>
      <c r="F352" s="59" t="s">
        <v>0</v>
      </c>
      <c r="G352" s="36">
        <f t="shared" si="172"/>
        <v>127486.8</v>
      </c>
      <c r="H352" s="36">
        <f t="shared" si="173"/>
        <v>127486.8</v>
      </c>
      <c r="I352" s="36">
        <f t="shared" si="173"/>
        <v>0</v>
      </c>
      <c r="J352" s="36">
        <f t="shared" si="173"/>
        <v>0</v>
      </c>
      <c r="K352" s="36">
        <f t="shared" si="173"/>
        <v>0</v>
      </c>
      <c r="L352" s="36">
        <f t="shared" si="146"/>
        <v>0</v>
      </c>
      <c r="M352" s="36">
        <v>0</v>
      </c>
    </row>
    <row r="353" spans="1:13">
      <c r="A353" s="60" t="s">
        <v>26</v>
      </c>
      <c r="B353" s="29" t="s">
        <v>163</v>
      </c>
      <c r="C353" s="29" t="s">
        <v>148</v>
      </c>
      <c r="D353" s="29" t="s">
        <v>150</v>
      </c>
      <c r="E353" s="29" t="s">
        <v>104</v>
      </c>
      <c r="F353" s="29" t="s">
        <v>27</v>
      </c>
      <c r="G353" s="36">
        <f t="shared" si="172"/>
        <v>127486.8</v>
      </c>
      <c r="H353" s="36">
        <f t="shared" si="173"/>
        <v>127486.8</v>
      </c>
      <c r="I353" s="36">
        <f t="shared" si="173"/>
        <v>0</v>
      </c>
      <c r="J353" s="36">
        <f t="shared" si="173"/>
        <v>0</v>
      </c>
      <c r="K353" s="36">
        <f t="shared" si="173"/>
        <v>0</v>
      </c>
      <c r="L353" s="36">
        <f t="shared" si="146"/>
        <v>0</v>
      </c>
      <c r="M353" s="36">
        <v>0</v>
      </c>
    </row>
    <row r="354" spans="1:13">
      <c r="A354" s="60" t="s">
        <v>56</v>
      </c>
      <c r="B354" s="29" t="s">
        <v>163</v>
      </c>
      <c r="C354" s="29" t="s">
        <v>148</v>
      </c>
      <c r="D354" s="29" t="s">
        <v>150</v>
      </c>
      <c r="E354" s="29" t="s">
        <v>104</v>
      </c>
      <c r="F354" s="29" t="s">
        <v>57</v>
      </c>
      <c r="G354" s="36">
        <v>127486.8</v>
      </c>
      <c r="H354" s="36">
        <v>127486.8</v>
      </c>
      <c r="I354" s="36">
        <v>0</v>
      </c>
      <c r="J354" s="36">
        <v>0</v>
      </c>
      <c r="K354" s="36">
        <v>0</v>
      </c>
      <c r="L354" s="36">
        <v>0</v>
      </c>
      <c r="M354" s="36">
        <v>0</v>
      </c>
    </row>
    <row r="355" spans="1:13">
      <c r="A355" s="65" t="s">
        <v>0</v>
      </c>
      <c r="B355" s="66" t="s">
        <v>0</v>
      </c>
      <c r="C355" s="59" t="s">
        <v>0</v>
      </c>
      <c r="D355" s="59" t="s">
        <v>0</v>
      </c>
      <c r="E355" s="59" t="s">
        <v>0</v>
      </c>
      <c r="F355" s="59" t="s">
        <v>0</v>
      </c>
      <c r="G355" s="67" t="s">
        <v>0</v>
      </c>
      <c r="H355" s="67" t="s">
        <v>0</v>
      </c>
      <c r="I355" s="67" t="s">
        <v>0</v>
      </c>
      <c r="J355" s="67" t="s">
        <v>0</v>
      </c>
      <c r="K355" s="67" t="s">
        <v>0</v>
      </c>
      <c r="L355" s="67"/>
      <c r="M355" s="67"/>
    </row>
    <row r="356" spans="1:13" ht="38.25">
      <c r="A356" s="57" t="s">
        <v>228</v>
      </c>
      <c r="B356" s="58" t="s">
        <v>229</v>
      </c>
      <c r="C356" s="59" t="s">
        <v>0</v>
      </c>
      <c r="D356" s="59" t="s">
        <v>0</v>
      </c>
      <c r="E356" s="59" t="s">
        <v>0</v>
      </c>
      <c r="F356" s="59" t="s">
        <v>0</v>
      </c>
      <c r="G356" s="31">
        <f>G357+G432</f>
        <v>1017413.8999999999</v>
      </c>
      <c r="H356" s="31">
        <f t="shared" ref="H356:K356" si="174">H357+H432</f>
        <v>1017918.6</v>
      </c>
      <c r="I356" s="31">
        <f t="shared" si="174"/>
        <v>421420.77594999998</v>
      </c>
      <c r="J356" s="31">
        <f t="shared" si="174"/>
        <v>421420.77594999998</v>
      </c>
      <c r="K356" s="31">
        <f t="shared" si="174"/>
        <v>392514.50204000005</v>
      </c>
      <c r="L356" s="31">
        <f t="shared" si="146"/>
        <v>38.560500028194795</v>
      </c>
      <c r="M356" s="31">
        <f t="shared" si="147"/>
        <v>93.140757276421141</v>
      </c>
    </row>
    <row r="357" spans="1:13">
      <c r="A357" s="60" t="s">
        <v>30</v>
      </c>
      <c r="B357" s="29" t="s">
        <v>229</v>
      </c>
      <c r="C357" s="29" t="s">
        <v>19</v>
      </c>
      <c r="D357" s="59" t="s">
        <v>0</v>
      </c>
      <c r="E357" s="59" t="s">
        <v>0</v>
      </c>
      <c r="F357" s="59" t="s">
        <v>0</v>
      </c>
      <c r="G357" s="36">
        <f>G358+G371+G383</f>
        <v>954718.7</v>
      </c>
      <c r="H357" s="36">
        <f t="shared" ref="H357:K357" si="175">H358+H371+H383</f>
        <v>953223.4</v>
      </c>
      <c r="I357" s="36">
        <f t="shared" si="175"/>
        <v>393935.62594999996</v>
      </c>
      <c r="J357" s="36">
        <f t="shared" si="175"/>
        <v>393935.62594999996</v>
      </c>
      <c r="K357" s="36">
        <f t="shared" si="175"/>
        <v>366462.05739000003</v>
      </c>
      <c r="L357" s="36">
        <f t="shared" si="146"/>
        <v>38.444509166476614</v>
      </c>
      <c r="M357" s="36">
        <f t="shared" si="147"/>
        <v>93.025873581820449</v>
      </c>
    </row>
    <row r="358" spans="1:13">
      <c r="A358" s="60" t="s">
        <v>230</v>
      </c>
      <c r="B358" s="29" t="s">
        <v>229</v>
      </c>
      <c r="C358" s="29" t="s">
        <v>19</v>
      </c>
      <c r="D358" s="29" t="s">
        <v>17</v>
      </c>
      <c r="E358" s="59" t="s">
        <v>0</v>
      </c>
      <c r="F358" s="59" t="s">
        <v>0</v>
      </c>
      <c r="G358" s="36">
        <f>G359</f>
        <v>65901.599999999991</v>
      </c>
      <c r="H358" s="36">
        <f t="shared" ref="H358:K360" si="176">H359</f>
        <v>65901.599999999991</v>
      </c>
      <c r="I358" s="36">
        <f t="shared" si="176"/>
        <v>28869.585949999997</v>
      </c>
      <c r="J358" s="36">
        <f t="shared" si="176"/>
        <v>28869.585949999997</v>
      </c>
      <c r="K358" s="36">
        <f t="shared" si="176"/>
        <v>26618.316800000004</v>
      </c>
      <c r="L358" s="36">
        <f t="shared" si="146"/>
        <v>40.391002342886985</v>
      </c>
      <c r="M358" s="36">
        <f t="shared" si="147"/>
        <v>92.201934749258172</v>
      </c>
    </row>
    <row r="359" spans="1:13" ht="38.25">
      <c r="A359" s="60" t="s">
        <v>231</v>
      </c>
      <c r="B359" s="29" t="s">
        <v>229</v>
      </c>
      <c r="C359" s="29" t="s">
        <v>19</v>
      </c>
      <c r="D359" s="29" t="s">
        <v>17</v>
      </c>
      <c r="E359" s="29" t="s">
        <v>232</v>
      </c>
      <c r="F359" s="59" t="s">
        <v>0</v>
      </c>
      <c r="G359" s="36">
        <f>G360</f>
        <v>65901.599999999991</v>
      </c>
      <c r="H359" s="36">
        <f t="shared" si="176"/>
        <v>65901.599999999991</v>
      </c>
      <c r="I359" s="36">
        <f t="shared" si="176"/>
        <v>28869.585949999997</v>
      </c>
      <c r="J359" s="36">
        <f t="shared" si="176"/>
        <v>28869.585949999997</v>
      </c>
      <c r="K359" s="36">
        <f t="shared" si="176"/>
        <v>26618.316800000004</v>
      </c>
      <c r="L359" s="36">
        <f t="shared" si="146"/>
        <v>40.391002342886985</v>
      </c>
      <c r="M359" s="36">
        <f t="shared" si="147"/>
        <v>92.201934749258172</v>
      </c>
    </row>
    <row r="360" spans="1:13" ht="51">
      <c r="A360" s="60" t="s">
        <v>233</v>
      </c>
      <c r="B360" s="29" t="s">
        <v>229</v>
      </c>
      <c r="C360" s="29" t="s">
        <v>19</v>
      </c>
      <c r="D360" s="29" t="s">
        <v>17</v>
      </c>
      <c r="E360" s="29" t="s">
        <v>234</v>
      </c>
      <c r="F360" s="59" t="s">
        <v>0</v>
      </c>
      <c r="G360" s="36">
        <f>G361</f>
        <v>65901.599999999991</v>
      </c>
      <c r="H360" s="36">
        <f t="shared" si="176"/>
        <v>65901.599999999991</v>
      </c>
      <c r="I360" s="36">
        <f t="shared" si="176"/>
        <v>28869.585949999997</v>
      </c>
      <c r="J360" s="36">
        <f t="shared" si="176"/>
        <v>28869.585949999997</v>
      </c>
      <c r="K360" s="36">
        <f t="shared" si="176"/>
        <v>26618.316800000004</v>
      </c>
      <c r="L360" s="36">
        <f t="shared" si="146"/>
        <v>40.391002342886985</v>
      </c>
      <c r="M360" s="36">
        <f t="shared" si="147"/>
        <v>92.201934749258172</v>
      </c>
    </row>
    <row r="361" spans="1:13" ht="25.5">
      <c r="A361" s="60" t="s">
        <v>58</v>
      </c>
      <c r="B361" s="29" t="s">
        <v>229</v>
      </c>
      <c r="C361" s="29" t="s">
        <v>19</v>
      </c>
      <c r="D361" s="29" t="s">
        <v>17</v>
      </c>
      <c r="E361" s="29" t="s">
        <v>235</v>
      </c>
      <c r="F361" s="59" t="s">
        <v>0</v>
      </c>
      <c r="G361" s="36">
        <f>G362+G364+G366+G368</f>
        <v>65901.599999999991</v>
      </c>
      <c r="H361" s="36">
        <f t="shared" ref="H361:K361" si="177">H362+H364+H366+H368</f>
        <v>65901.599999999991</v>
      </c>
      <c r="I361" s="36">
        <f t="shared" si="177"/>
        <v>28869.585949999997</v>
      </c>
      <c r="J361" s="36">
        <f t="shared" si="177"/>
        <v>28869.585949999997</v>
      </c>
      <c r="K361" s="36">
        <f t="shared" si="177"/>
        <v>26618.316800000004</v>
      </c>
      <c r="L361" s="36">
        <f t="shared" si="146"/>
        <v>40.391002342886985</v>
      </c>
      <c r="M361" s="36">
        <f t="shared" si="147"/>
        <v>92.201934749258172</v>
      </c>
    </row>
    <row r="362" spans="1:13" ht="63.75">
      <c r="A362" s="60" t="s">
        <v>60</v>
      </c>
      <c r="B362" s="29" t="s">
        <v>229</v>
      </c>
      <c r="C362" s="29" t="s">
        <v>19</v>
      </c>
      <c r="D362" s="29" t="s">
        <v>17</v>
      </c>
      <c r="E362" s="29" t="s">
        <v>235</v>
      </c>
      <c r="F362" s="29" t="s">
        <v>61</v>
      </c>
      <c r="G362" s="36">
        <f>G363</f>
        <v>53818.1</v>
      </c>
      <c r="H362" s="36">
        <f t="shared" ref="H362:K362" si="178">H363</f>
        <v>53671.521159999997</v>
      </c>
      <c r="I362" s="36">
        <f t="shared" si="178"/>
        <v>22970.1</v>
      </c>
      <c r="J362" s="36">
        <f t="shared" si="178"/>
        <v>22970.1</v>
      </c>
      <c r="K362" s="36">
        <f t="shared" si="178"/>
        <v>22243.750220000002</v>
      </c>
      <c r="L362" s="36">
        <f t="shared" si="146"/>
        <v>41.444232880393365</v>
      </c>
      <c r="M362" s="36">
        <f t="shared" si="147"/>
        <v>96.837846678943507</v>
      </c>
    </row>
    <row r="363" spans="1:13" ht="25.5">
      <c r="A363" s="60" t="s">
        <v>62</v>
      </c>
      <c r="B363" s="29" t="s">
        <v>229</v>
      </c>
      <c r="C363" s="29" t="s">
        <v>19</v>
      </c>
      <c r="D363" s="29" t="s">
        <v>17</v>
      </c>
      <c r="E363" s="29" t="s">
        <v>235</v>
      </c>
      <c r="F363" s="29" t="s">
        <v>63</v>
      </c>
      <c r="G363" s="36">
        <v>53818.1</v>
      </c>
      <c r="H363" s="36">
        <f>53818.1-146.57884</f>
        <v>53671.521159999997</v>
      </c>
      <c r="I363" s="36">
        <f>17200+1090.8+4679.3</f>
        <v>22970.1</v>
      </c>
      <c r="J363" s="36">
        <f>17200+1090.8+4679.3</f>
        <v>22970.1</v>
      </c>
      <c r="K363" s="36">
        <f>16663.0721+1000.30579+4580.37233</f>
        <v>22243.750220000002</v>
      </c>
      <c r="L363" s="36">
        <f t="shared" si="146"/>
        <v>41.444232880393365</v>
      </c>
      <c r="M363" s="36">
        <f t="shared" si="147"/>
        <v>96.837846678943507</v>
      </c>
    </row>
    <row r="364" spans="1:13" ht="25.5">
      <c r="A364" s="60" t="s">
        <v>64</v>
      </c>
      <c r="B364" s="29" t="s">
        <v>229</v>
      </c>
      <c r="C364" s="29" t="s">
        <v>19</v>
      </c>
      <c r="D364" s="29" t="s">
        <v>17</v>
      </c>
      <c r="E364" s="29" t="s">
        <v>235</v>
      </c>
      <c r="F364" s="29" t="s">
        <v>65</v>
      </c>
      <c r="G364" s="36">
        <f>G365</f>
        <v>9235.6</v>
      </c>
      <c r="H364" s="36">
        <f t="shared" ref="H364:K364" si="179">H365</f>
        <v>9235.6</v>
      </c>
      <c r="I364" s="36">
        <f t="shared" si="179"/>
        <v>4725.085</v>
      </c>
      <c r="J364" s="36">
        <f t="shared" si="179"/>
        <v>4725.085</v>
      </c>
      <c r="K364" s="36">
        <f t="shared" si="179"/>
        <v>3273.6714499999998</v>
      </c>
      <c r="L364" s="36">
        <f t="shared" si="146"/>
        <v>35.446223851184541</v>
      </c>
      <c r="M364" s="36">
        <f t="shared" si="147"/>
        <v>69.282805494504331</v>
      </c>
    </row>
    <row r="365" spans="1:13" ht="25.5">
      <c r="A365" s="60" t="s">
        <v>66</v>
      </c>
      <c r="B365" s="29" t="s">
        <v>229</v>
      </c>
      <c r="C365" s="29" t="s">
        <v>19</v>
      </c>
      <c r="D365" s="29" t="s">
        <v>17</v>
      </c>
      <c r="E365" s="29" t="s">
        <v>235</v>
      </c>
      <c r="F365" s="29" t="s">
        <v>67</v>
      </c>
      <c r="G365" s="36">
        <v>9235.6</v>
      </c>
      <c r="H365" s="36">
        <v>9235.6</v>
      </c>
      <c r="I365" s="36">
        <v>4725.085</v>
      </c>
      <c r="J365" s="36">
        <v>4725.085</v>
      </c>
      <c r="K365" s="36">
        <v>3273.6714499999998</v>
      </c>
      <c r="L365" s="36">
        <f t="shared" si="146"/>
        <v>35.446223851184541</v>
      </c>
      <c r="M365" s="36">
        <f t="shared" si="147"/>
        <v>69.282805494504331</v>
      </c>
    </row>
    <row r="366" spans="1:13">
      <c r="A366" s="60" t="s">
        <v>68</v>
      </c>
      <c r="B366" s="29" t="s">
        <v>229</v>
      </c>
      <c r="C366" s="29" t="s">
        <v>19</v>
      </c>
      <c r="D366" s="29" t="s">
        <v>17</v>
      </c>
      <c r="E366" s="29" t="s">
        <v>235</v>
      </c>
      <c r="F366" s="29" t="s">
        <v>69</v>
      </c>
      <c r="G366" s="36">
        <f>G367</f>
        <v>60</v>
      </c>
      <c r="H366" s="36">
        <f t="shared" ref="H366:K366" si="180">H367</f>
        <v>60</v>
      </c>
      <c r="I366" s="36">
        <f t="shared" si="180"/>
        <v>0</v>
      </c>
      <c r="J366" s="36">
        <f t="shared" si="180"/>
        <v>0</v>
      </c>
      <c r="K366" s="36">
        <f t="shared" si="180"/>
        <v>0</v>
      </c>
      <c r="L366" s="36">
        <f t="shared" si="146"/>
        <v>0</v>
      </c>
      <c r="M366" s="36">
        <v>0</v>
      </c>
    </row>
    <row r="367" spans="1:13">
      <c r="A367" s="60" t="s">
        <v>70</v>
      </c>
      <c r="B367" s="29" t="s">
        <v>229</v>
      </c>
      <c r="C367" s="29" t="s">
        <v>19</v>
      </c>
      <c r="D367" s="29" t="s">
        <v>17</v>
      </c>
      <c r="E367" s="29" t="s">
        <v>235</v>
      </c>
      <c r="F367" s="29" t="s">
        <v>71</v>
      </c>
      <c r="G367" s="36">
        <v>60</v>
      </c>
      <c r="H367" s="36">
        <v>60</v>
      </c>
      <c r="I367" s="36">
        <v>0</v>
      </c>
      <c r="J367" s="36">
        <v>0</v>
      </c>
      <c r="K367" s="36">
        <v>0</v>
      </c>
      <c r="L367" s="36">
        <f t="shared" si="146"/>
        <v>0</v>
      </c>
      <c r="M367" s="36">
        <v>0</v>
      </c>
    </row>
    <row r="368" spans="1:13">
      <c r="A368" s="60" t="s">
        <v>72</v>
      </c>
      <c r="B368" s="29" t="s">
        <v>229</v>
      </c>
      <c r="C368" s="29" t="s">
        <v>19</v>
      </c>
      <c r="D368" s="29" t="s">
        <v>17</v>
      </c>
      <c r="E368" s="29" t="s">
        <v>235</v>
      </c>
      <c r="F368" s="29" t="s">
        <v>73</v>
      </c>
      <c r="G368" s="36">
        <f>G369+G370</f>
        <v>2787.9</v>
      </c>
      <c r="H368" s="36">
        <f t="shared" ref="H368:K368" si="181">H369+H370</f>
        <v>2934.4788400000002</v>
      </c>
      <c r="I368" s="36">
        <f t="shared" si="181"/>
        <v>1174.40095</v>
      </c>
      <c r="J368" s="36">
        <f t="shared" si="181"/>
        <v>1174.40095</v>
      </c>
      <c r="K368" s="36">
        <f t="shared" si="181"/>
        <v>1100.8951300000001</v>
      </c>
      <c r="L368" s="36">
        <f t="shared" si="146"/>
        <v>37.515865338459896</v>
      </c>
      <c r="M368" s="36">
        <f t="shared" si="147"/>
        <v>93.740994504474827</v>
      </c>
    </row>
    <row r="369" spans="1:13">
      <c r="A369" s="60" t="s">
        <v>84</v>
      </c>
      <c r="B369" s="29" t="s">
        <v>229</v>
      </c>
      <c r="C369" s="29" t="s">
        <v>19</v>
      </c>
      <c r="D369" s="29" t="s">
        <v>17</v>
      </c>
      <c r="E369" s="29" t="s">
        <v>235</v>
      </c>
      <c r="F369" s="29" t="s">
        <v>85</v>
      </c>
      <c r="G369" s="36">
        <v>120</v>
      </c>
      <c r="H369" s="36">
        <f>156.85095+146.57884</f>
        <v>303.42979000000003</v>
      </c>
      <c r="I369" s="36">
        <v>156.85095000000001</v>
      </c>
      <c r="J369" s="36">
        <v>156.85095000000001</v>
      </c>
      <c r="K369" s="36">
        <v>156.85095000000001</v>
      </c>
      <c r="L369" s="36">
        <f t="shared" si="146"/>
        <v>51.692666695646459</v>
      </c>
      <c r="M369" s="36">
        <f t="shared" si="147"/>
        <v>100</v>
      </c>
    </row>
    <row r="370" spans="1:13">
      <c r="A370" s="60" t="s">
        <v>74</v>
      </c>
      <c r="B370" s="29" t="s">
        <v>229</v>
      </c>
      <c r="C370" s="29" t="s">
        <v>19</v>
      </c>
      <c r="D370" s="29" t="s">
        <v>17</v>
      </c>
      <c r="E370" s="29" t="s">
        <v>235</v>
      </c>
      <c r="F370" s="29" t="s">
        <v>75</v>
      </c>
      <c r="G370" s="36">
        <v>2667.9</v>
      </c>
      <c r="H370" s="36">
        <f>2015.94905+45+570.1</f>
        <v>2631.0490500000001</v>
      </c>
      <c r="I370" s="36">
        <f>757+218.75+41.8</f>
        <v>1017.55</v>
      </c>
      <c r="J370" s="36">
        <f>757+218.75+41.8</f>
        <v>1017.55</v>
      </c>
      <c r="K370" s="36">
        <f>695.55542+208.39267+40.09609</f>
        <v>944.0441800000001</v>
      </c>
      <c r="L370" s="36">
        <f t="shared" si="146"/>
        <v>35.880903854681087</v>
      </c>
      <c r="M370" s="36">
        <f t="shared" si="147"/>
        <v>92.776195764335924</v>
      </c>
    </row>
    <row r="371" spans="1:13">
      <c r="A371" s="60" t="s">
        <v>31</v>
      </c>
      <c r="B371" s="29" t="s">
        <v>229</v>
      </c>
      <c r="C371" s="29" t="s">
        <v>19</v>
      </c>
      <c r="D371" s="29" t="s">
        <v>32</v>
      </c>
      <c r="E371" s="59" t="s">
        <v>0</v>
      </c>
      <c r="F371" s="59" t="s">
        <v>0</v>
      </c>
      <c r="G371" s="36">
        <f>G372</f>
        <v>19852.7</v>
      </c>
      <c r="H371" s="36">
        <f t="shared" ref="H371:K372" si="182">H372</f>
        <v>18357.400000000001</v>
      </c>
      <c r="I371" s="36">
        <f t="shared" si="182"/>
        <v>0</v>
      </c>
      <c r="J371" s="36">
        <f t="shared" si="182"/>
        <v>0</v>
      </c>
      <c r="K371" s="36">
        <f t="shared" si="182"/>
        <v>0</v>
      </c>
      <c r="L371" s="36">
        <f t="shared" si="146"/>
        <v>0</v>
      </c>
      <c r="M371" s="36">
        <v>0</v>
      </c>
    </row>
    <row r="372" spans="1:13" ht="51">
      <c r="A372" s="60" t="s">
        <v>33</v>
      </c>
      <c r="B372" s="29" t="s">
        <v>229</v>
      </c>
      <c r="C372" s="29" t="s">
        <v>19</v>
      </c>
      <c r="D372" s="29" t="s">
        <v>32</v>
      </c>
      <c r="E372" s="29" t="s">
        <v>34</v>
      </c>
      <c r="F372" s="59" t="s">
        <v>0</v>
      </c>
      <c r="G372" s="36">
        <f>G373</f>
        <v>19852.7</v>
      </c>
      <c r="H372" s="36">
        <f t="shared" si="182"/>
        <v>18357.400000000001</v>
      </c>
      <c r="I372" s="36">
        <f t="shared" si="182"/>
        <v>0</v>
      </c>
      <c r="J372" s="36">
        <f t="shared" si="182"/>
        <v>0</v>
      </c>
      <c r="K372" s="36">
        <f t="shared" si="182"/>
        <v>0</v>
      </c>
      <c r="L372" s="36">
        <f t="shared" si="146"/>
        <v>0</v>
      </c>
      <c r="M372" s="36">
        <v>0</v>
      </c>
    </row>
    <row r="373" spans="1:13" ht="25.5">
      <c r="A373" s="60" t="s">
        <v>35</v>
      </c>
      <c r="B373" s="29" t="s">
        <v>229</v>
      </c>
      <c r="C373" s="29" t="s">
        <v>19</v>
      </c>
      <c r="D373" s="29" t="s">
        <v>32</v>
      </c>
      <c r="E373" s="29" t="s">
        <v>36</v>
      </c>
      <c r="F373" s="59" t="s">
        <v>0</v>
      </c>
      <c r="G373" s="36">
        <f>G374+G377+G380</f>
        <v>19852.7</v>
      </c>
      <c r="H373" s="36">
        <f t="shared" ref="H373:K373" si="183">H374+H377+H380</f>
        <v>18357.400000000001</v>
      </c>
      <c r="I373" s="36">
        <f t="shared" si="183"/>
        <v>0</v>
      </c>
      <c r="J373" s="36">
        <f t="shared" si="183"/>
        <v>0</v>
      </c>
      <c r="K373" s="36">
        <f t="shared" si="183"/>
        <v>0</v>
      </c>
      <c r="L373" s="36">
        <f t="shared" si="146"/>
        <v>0</v>
      </c>
      <c r="M373" s="36">
        <v>0</v>
      </c>
    </row>
    <row r="374" spans="1:13" ht="25.5">
      <c r="A374" s="60" t="s">
        <v>236</v>
      </c>
      <c r="B374" s="29" t="s">
        <v>229</v>
      </c>
      <c r="C374" s="29" t="s">
        <v>19</v>
      </c>
      <c r="D374" s="29" t="s">
        <v>32</v>
      </c>
      <c r="E374" s="29" t="s">
        <v>237</v>
      </c>
      <c r="F374" s="59" t="s">
        <v>0</v>
      </c>
      <c r="G374" s="36">
        <f>G375</f>
        <v>14952.7</v>
      </c>
      <c r="H374" s="36">
        <f t="shared" ref="H374:K375" si="184">H375</f>
        <v>13457.4</v>
      </c>
      <c r="I374" s="36">
        <f t="shared" si="184"/>
        <v>0</v>
      </c>
      <c r="J374" s="36">
        <f t="shared" si="184"/>
        <v>0</v>
      </c>
      <c r="K374" s="36">
        <f t="shared" si="184"/>
        <v>0</v>
      </c>
      <c r="L374" s="36">
        <f t="shared" si="146"/>
        <v>0</v>
      </c>
      <c r="M374" s="36">
        <v>0</v>
      </c>
    </row>
    <row r="375" spans="1:13" ht="25.5">
      <c r="A375" s="60" t="s">
        <v>64</v>
      </c>
      <c r="B375" s="29" t="s">
        <v>229</v>
      </c>
      <c r="C375" s="29" t="s">
        <v>19</v>
      </c>
      <c r="D375" s="29" t="s">
        <v>32</v>
      </c>
      <c r="E375" s="29" t="s">
        <v>237</v>
      </c>
      <c r="F375" s="29" t="s">
        <v>65</v>
      </c>
      <c r="G375" s="36">
        <f>G376</f>
        <v>14952.7</v>
      </c>
      <c r="H375" s="36">
        <f t="shared" si="184"/>
        <v>13457.4</v>
      </c>
      <c r="I375" s="36">
        <f t="shared" si="184"/>
        <v>0</v>
      </c>
      <c r="J375" s="36">
        <f t="shared" si="184"/>
        <v>0</v>
      </c>
      <c r="K375" s="36">
        <f t="shared" si="184"/>
        <v>0</v>
      </c>
      <c r="L375" s="36">
        <f t="shared" si="146"/>
        <v>0</v>
      </c>
      <c r="M375" s="36">
        <v>0</v>
      </c>
    </row>
    <row r="376" spans="1:13" ht="25.5">
      <c r="A376" s="60" t="s">
        <v>66</v>
      </c>
      <c r="B376" s="29" t="s">
        <v>229</v>
      </c>
      <c r="C376" s="29" t="s">
        <v>19</v>
      </c>
      <c r="D376" s="29" t="s">
        <v>32</v>
      </c>
      <c r="E376" s="29" t="s">
        <v>237</v>
      </c>
      <c r="F376" s="29" t="s">
        <v>67</v>
      </c>
      <c r="G376" s="36">
        <v>14952.7</v>
      </c>
      <c r="H376" s="36">
        <v>13457.4</v>
      </c>
      <c r="I376" s="36">
        <v>0</v>
      </c>
      <c r="J376" s="36">
        <v>0</v>
      </c>
      <c r="K376" s="36">
        <v>0</v>
      </c>
      <c r="L376" s="36">
        <f t="shared" si="146"/>
        <v>0</v>
      </c>
      <c r="M376" s="36">
        <v>0</v>
      </c>
    </row>
    <row r="377" spans="1:13">
      <c r="A377" s="60" t="s">
        <v>238</v>
      </c>
      <c r="B377" s="29" t="s">
        <v>229</v>
      </c>
      <c r="C377" s="29" t="s">
        <v>19</v>
      </c>
      <c r="D377" s="29" t="s">
        <v>32</v>
      </c>
      <c r="E377" s="29" t="s">
        <v>239</v>
      </c>
      <c r="F377" s="59" t="s">
        <v>0</v>
      </c>
      <c r="G377" s="36">
        <f>G378</f>
        <v>3900</v>
      </c>
      <c r="H377" s="36">
        <f t="shared" ref="H377:K378" si="185">H378</f>
        <v>3900</v>
      </c>
      <c r="I377" s="36">
        <f t="shared" si="185"/>
        <v>0</v>
      </c>
      <c r="J377" s="36">
        <f t="shared" si="185"/>
        <v>0</v>
      </c>
      <c r="K377" s="36">
        <f t="shared" si="185"/>
        <v>0</v>
      </c>
      <c r="L377" s="36">
        <f t="shared" ref="L377:L440" si="186">K377/H377*100</f>
        <v>0</v>
      </c>
      <c r="M377" s="36">
        <v>0</v>
      </c>
    </row>
    <row r="378" spans="1:13" ht="25.5">
      <c r="A378" s="60" t="s">
        <v>64</v>
      </c>
      <c r="B378" s="29" t="s">
        <v>229</v>
      </c>
      <c r="C378" s="29" t="s">
        <v>19</v>
      </c>
      <c r="D378" s="29" t="s">
        <v>32</v>
      </c>
      <c r="E378" s="29" t="s">
        <v>239</v>
      </c>
      <c r="F378" s="29" t="s">
        <v>65</v>
      </c>
      <c r="G378" s="36">
        <f>G379</f>
        <v>3900</v>
      </c>
      <c r="H378" s="36">
        <f t="shared" si="185"/>
        <v>3900</v>
      </c>
      <c r="I378" s="36">
        <f t="shared" si="185"/>
        <v>0</v>
      </c>
      <c r="J378" s="36">
        <f t="shared" si="185"/>
        <v>0</v>
      </c>
      <c r="K378" s="36">
        <f t="shared" si="185"/>
        <v>0</v>
      </c>
      <c r="L378" s="36">
        <f t="shared" si="186"/>
        <v>0</v>
      </c>
      <c r="M378" s="36">
        <v>0</v>
      </c>
    </row>
    <row r="379" spans="1:13" ht="25.5">
      <c r="A379" s="60" t="s">
        <v>66</v>
      </c>
      <c r="B379" s="29" t="s">
        <v>229</v>
      </c>
      <c r="C379" s="29" t="s">
        <v>19</v>
      </c>
      <c r="D379" s="29" t="s">
        <v>32</v>
      </c>
      <c r="E379" s="29" t="s">
        <v>239</v>
      </c>
      <c r="F379" s="29" t="s">
        <v>67</v>
      </c>
      <c r="G379" s="36">
        <v>3900</v>
      </c>
      <c r="H379" s="36">
        <v>3900</v>
      </c>
      <c r="I379" s="36">
        <v>0</v>
      </c>
      <c r="J379" s="36">
        <v>0</v>
      </c>
      <c r="K379" s="36">
        <v>0</v>
      </c>
      <c r="L379" s="36">
        <f t="shared" si="186"/>
        <v>0</v>
      </c>
      <c r="M379" s="36">
        <v>0</v>
      </c>
    </row>
    <row r="380" spans="1:13">
      <c r="A380" s="60" t="s">
        <v>240</v>
      </c>
      <c r="B380" s="29" t="s">
        <v>229</v>
      </c>
      <c r="C380" s="29" t="s">
        <v>19</v>
      </c>
      <c r="D380" s="29" t="s">
        <v>32</v>
      </c>
      <c r="E380" s="29" t="s">
        <v>241</v>
      </c>
      <c r="F380" s="59" t="s">
        <v>0</v>
      </c>
      <c r="G380" s="36">
        <f>G381</f>
        <v>1000</v>
      </c>
      <c r="H380" s="36">
        <f t="shared" ref="H380:K381" si="187">H381</f>
        <v>1000</v>
      </c>
      <c r="I380" s="36">
        <f t="shared" si="187"/>
        <v>0</v>
      </c>
      <c r="J380" s="36">
        <f t="shared" si="187"/>
        <v>0</v>
      </c>
      <c r="K380" s="36">
        <f t="shared" si="187"/>
        <v>0</v>
      </c>
      <c r="L380" s="36">
        <f t="shared" si="186"/>
        <v>0</v>
      </c>
      <c r="M380" s="36">
        <v>0</v>
      </c>
    </row>
    <row r="381" spans="1:13">
      <c r="A381" s="60" t="s">
        <v>26</v>
      </c>
      <c r="B381" s="29" t="s">
        <v>229</v>
      </c>
      <c r="C381" s="29" t="s">
        <v>19</v>
      </c>
      <c r="D381" s="29" t="s">
        <v>32</v>
      </c>
      <c r="E381" s="29" t="s">
        <v>241</v>
      </c>
      <c r="F381" s="29" t="s">
        <v>27</v>
      </c>
      <c r="G381" s="36">
        <f>G382</f>
        <v>1000</v>
      </c>
      <c r="H381" s="36">
        <f t="shared" si="187"/>
        <v>1000</v>
      </c>
      <c r="I381" s="36">
        <f t="shared" si="187"/>
        <v>0</v>
      </c>
      <c r="J381" s="36">
        <f t="shared" si="187"/>
        <v>0</v>
      </c>
      <c r="K381" s="36">
        <f t="shared" si="187"/>
        <v>0</v>
      </c>
      <c r="L381" s="36">
        <f t="shared" si="186"/>
        <v>0</v>
      </c>
      <c r="M381" s="36">
        <v>0</v>
      </c>
    </row>
    <row r="382" spans="1:13">
      <c r="A382" s="60" t="s">
        <v>56</v>
      </c>
      <c r="B382" s="29" t="s">
        <v>229</v>
      </c>
      <c r="C382" s="29" t="s">
        <v>19</v>
      </c>
      <c r="D382" s="29" t="s">
        <v>32</v>
      </c>
      <c r="E382" s="29" t="s">
        <v>241</v>
      </c>
      <c r="F382" s="29" t="s">
        <v>57</v>
      </c>
      <c r="G382" s="36">
        <v>1000</v>
      </c>
      <c r="H382" s="36">
        <v>1000</v>
      </c>
      <c r="I382" s="36"/>
      <c r="J382" s="36"/>
      <c r="K382" s="36"/>
      <c r="L382" s="36">
        <f t="shared" si="186"/>
        <v>0</v>
      </c>
      <c r="M382" s="36">
        <v>0</v>
      </c>
    </row>
    <row r="383" spans="1:13">
      <c r="A383" s="60" t="s">
        <v>242</v>
      </c>
      <c r="B383" s="29" t="s">
        <v>229</v>
      </c>
      <c r="C383" s="29" t="s">
        <v>19</v>
      </c>
      <c r="D383" s="29" t="s">
        <v>110</v>
      </c>
      <c r="E383" s="59" t="s">
        <v>0</v>
      </c>
      <c r="F383" s="59" t="s">
        <v>0</v>
      </c>
      <c r="G383" s="36">
        <f>G384</f>
        <v>868964.4</v>
      </c>
      <c r="H383" s="36">
        <f t="shared" ref="H383:K383" si="188">H384</f>
        <v>868964.4</v>
      </c>
      <c r="I383" s="36">
        <f t="shared" si="188"/>
        <v>365066.04</v>
      </c>
      <c r="J383" s="36">
        <f t="shared" si="188"/>
        <v>365066.04</v>
      </c>
      <c r="K383" s="36">
        <f t="shared" si="188"/>
        <v>339843.74059</v>
      </c>
      <c r="L383" s="36">
        <f t="shared" si="186"/>
        <v>39.109052176360734</v>
      </c>
      <c r="M383" s="36">
        <f t="shared" ref="M383:M440" si="189">K383/I383*100</f>
        <v>93.091031033727489</v>
      </c>
    </row>
    <row r="384" spans="1:13" ht="38.25">
      <c r="A384" s="60" t="s">
        <v>231</v>
      </c>
      <c r="B384" s="29" t="s">
        <v>229</v>
      </c>
      <c r="C384" s="29" t="s">
        <v>19</v>
      </c>
      <c r="D384" s="29" t="s">
        <v>110</v>
      </c>
      <c r="E384" s="29" t="s">
        <v>232</v>
      </c>
      <c r="F384" s="59" t="s">
        <v>0</v>
      </c>
      <c r="G384" s="36">
        <f>G385+G397+G404+G417</f>
        <v>868964.4</v>
      </c>
      <c r="H384" s="36">
        <f t="shared" ref="H384:K384" si="190">H385+H397+H404+H417</f>
        <v>868964.4</v>
      </c>
      <c r="I384" s="36">
        <f t="shared" si="190"/>
        <v>365066.04</v>
      </c>
      <c r="J384" s="36">
        <f t="shared" si="190"/>
        <v>365066.04</v>
      </c>
      <c r="K384" s="36">
        <f t="shared" si="190"/>
        <v>339843.74059</v>
      </c>
      <c r="L384" s="36">
        <f t="shared" si="186"/>
        <v>39.109052176360734</v>
      </c>
      <c r="M384" s="36">
        <f t="shared" si="189"/>
        <v>93.091031033727489</v>
      </c>
    </row>
    <row r="385" spans="1:13">
      <c r="A385" s="60" t="s">
        <v>243</v>
      </c>
      <c r="B385" s="29" t="s">
        <v>229</v>
      </c>
      <c r="C385" s="29" t="s">
        <v>19</v>
      </c>
      <c r="D385" s="29" t="s">
        <v>110</v>
      </c>
      <c r="E385" s="29" t="s">
        <v>244</v>
      </c>
      <c r="F385" s="59" t="s">
        <v>0</v>
      </c>
      <c r="G385" s="36">
        <f>G386+G391+G394</f>
        <v>102087</v>
      </c>
      <c r="H385" s="36">
        <f t="shared" ref="H385:K385" si="191">H386+H391+H394</f>
        <v>102087</v>
      </c>
      <c r="I385" s="36">
        <f t="shared" si="191"/>
        <v>20661.7</v>
      </c>
      <c r="J385" s="36">
        <f t="shared" si="191"/>
        <v>20661.7</v>
      </c>
      <c r="K385" s="36">
        <f t="shared" si="191"/>
        <v>10960.05524</v>
      </c>
      <c r="L385" s="36">
        <f t="shared" si="186"/>
        <v>10.735995023852205</v>
      </c>
      <c r="M385" s="36">
        <f t="shared" si="189"/>
        <v>53.04527333181683</v>
      </c>
    </row>
    <row r="386" spans="1:13" ht="25.5">
      <c r="A386" s="60" t="s">
        <v>245</v>
      </c>
      <c r="B386" s="29" t="s">
        <v>229</v>
      </c>
      <c r="C386" s="29" t="s">
        <v>19</v>
      </c>
      <c r="D386" s="29" t="s">
        <v>110</v>
      </c>
      <c r="E386" s="29" t="s">
        <v>246</v>
      </c>
      <c r="F386" s="59" t="s">
        <v>0</v>
      </c>
      <c r="G386" s="36">
        <f>G387+G389</f>
        <v>62247</v>
      </c>
      <c r="H386" s="36">
        <f t="shared" ref="H386:K386" si="192">H387+H389</f>
        <v>62247</v>
      </c>
      <c r="I386" s="36">
        <f t="shared" si="192"/>
        <v>11861.7</v>
      </c>
      <c r="J386" s="36">
        <f t="shared" si="192"/>
        <v>11861.7</v>
      </c>
      <c r="K386" s="36">
        <f t="shared" si="192"/>
        <v>6960.0552399999997</v>
      </c>
      <c r="L386" s="36">
        <f t="shared" si="186"/>
        <v>11.181350490786704</v>
      </c>
      <c r="M386" s="36">
        <f t="shared" si="189"/>
        <v>58.676709409275233</v>
      </c>
    </row>
    <row r="387" spans="1:13" ht="25.5">
      <c r="A387" s="60" t="s">
        <v>64</v>
      </c>
      <c r="B387" s="29" t="s">
        <v>229</v>
      </c>
      <c r="C387" s="29" t="s">
        <v>19</v>
      </c>
      <c r="D387" s="29" t="s">
        <v>110</v>
      </c>
      <c r="E387" s="29" t="s">
        <v>246</v>
      </c>
      <c r="F387" s="29" t="s">
        <v>65</v>
      </c>
      <c r="G387" s="36">
        <f>G388</f>
        <v>53694.9</v>
      </c>
      <c r="H387" s="36">
        <f t="shared" ref="H387:K387" si="193">H388</f>
        <v>53694.9</v>
      </c>
      <c r="I387" s="36">
        <f t="shared" si="193"/>
        <v>8432</v>
      </c>
      <c r="J387" s="36">
        <f t="shared" si="193"/>
        <v>8432</v>
      </c>
      <c r="K387" s="36">
        <f t="shared" si="193"/>
        <v>3532</v>
      </c>
      <c r="L387" s="36">
        <f t="shared" si="186"/>
        <v>6.5779059091273098</v>
      </c>
      <c r="M387" s="36">
        <f t="shared" si="189"/>
        <v>41.888045540796966</v>
      </c>
    </row>
    <row r="388" spans="1:13" ht="25.5">
      <c r="A388" s="60" t="s">
        <v>66</v>
      </c>
      <c r="B388" s="29" t="s">
        <v>229</v>
      </c>
      <c r="C388" s="29" t="s">
        <v>19</v>
      </c>
      <c r="D388" s="29" t="s">
        <v>110</v>
      </c>
      <c r="E388" s="29" t="s">
        <v>246</v>
      </c>
      <c r="F388" s="29" t="s">
        <v>67</v>
      </c>
      <c r="G388" s="36">
        <v>53694.9</v>
      </c>
      <c r="H388" s="36">
        <v>53694.9</v>
      </c>
      <c r="I388" s="36">
        <v>8432</v>
      </c>
      <c r="J388" s="36">
        <v>8432</v>
      </c>
      <c r="K388" s="36">
        <v>3532</v>
      </c>
      <c r="L388" s="36">
        <f t="shared" si="186"/>
        <v>6.5779059091273098</v>
      </c>
      <c r="M388" s="36">
        <f t="shared" si="189"/>
        <v>41.888045540796966</v>
      </c>
    </row>
    <row r="389" spans="1:13" ht="25.5">
      <c r="A389" s="60" t="s">
        <v>80</v>
      </c>
      <c r="B389" s="29" t="s">
        <v>229</v>
      </c>
      <c r="C389" s="29" t="s">
        <v>19</v>
      </c>
      <c r="D389" s="29" t="s">
        <v>110</v>
      </c>
      <c r="E389" s="29" t="s">
        <v>246</v>
      </c>
      <c r="F389" s="29" t="s">
        <v>81</v>
      </c>
      <c r="G389" s="36">
        <f>G390</f>
        <v>8552.1</v>
      </c>
      <c r="H389" s="36">
        <f t="shared" ref="H389:K389" si="194">H390</f>
        <v>8552.1</v>
      </c>
      <c r="I389" s="36">
        <f t="shared" si="194"/>
        <v>3429.7</v>
      </c>
      <c r="J389" s="36">
        <f t="shared" si="194"/>
        <v>3429.7</v>
      </c>
      <c r="K389" s="36">
        <f t="shared" si="194"/>
        <v>3428.0552400000001</v>
      </c>
      <c r="L389" s="36">
        <f t="shared" si="186"/>
        <v>40.084368049952644</v>
      </c>
      <c r="M389" s="36">
        <f t="shared" si="189"/>
        <v>99.952043618975424</v>
      </c>
    </row>
    <row r="390" spans="1:13">
      <c r="A390" s="60" t="s">
        <v>82</v>
      </c>
      <c r="B390" s="29" t="s">
        <v>229</v>
      </c>
      <c r="C390" s="29" t="s">
        <v>19</v>
      </c>
      <c r="D390" s="29" t="s">
        <v>110</v>
      </c>
      <c r="E390" s="29" t="s">
        <v>246</v>
      </c>
      <c r="F390" s="29" t="s">
        <v>83</v>
      </c>
      <c r="G390" s="36">
        <v>8552.1</v>
      </c>
      <c r="H390" s="36">
        <v>8552.1</v>
      </c>
      <c r="I390" s="36">
        <v>3429.7</v>
      </c>
      <c r="J390" s="36">
        <v>3429.7</v>
      </c>
      <c r="K390" s="36">
        <v>3428.0552400000001</v>
      </c>
      <c r="L390" s="36">
        <f t="shared" si="186"/>
        <v>40.084368049952644</v>
      </c>
      <c r="M390" s="36">
        <f t="shared" si="189"/>
        <v>99.952043618975424</v>
      </c>
    </row>
    <row r="391" spans="1:13" ht="25.5">
      <c r="A391" s="60" t="s">
        <v>76</v>
      </c>
      <c r="B391" s="29" t="s">
        <v>229</v>
      </c>
      <c r="C391" s="29" t="s">
        <v>19</v>
      </c>
      <c r="D391" s="29" t="s">
        <v>110</v>
      </c>
      <c r="E391" s="29" t="s">
        <v>247</v>
      </c>
      <c r="F391" s="59" t="s">
        <v>0</v>
      </c>
      <c r="G391" s="36">
        <f>G392</f>
        <v>37840</v>
      </c>
      <c r="H391" s="36">
        <f t="shared" ref="H391:K392" si="195">H392</f>
        <v>37840</v>
      </c>
      <c r="I391" s="36">
        <f t="shared" si="195"/>
        <v>8800</v>
      </c>
      <c r="J391" s="36">
        <f t="shared" si="195"/>
        <v>8800</v>
      </c>
      <c r="K391" s="36">
        <f t="shared" si="195"/>
        <v>4000</v>
      </c>
      <c r="L391" s="36">
        <f t="shared" si="186"/>
        <v>10.570824524312897</v>
      </c>
      <c r="M391" s="36">
        <f t="shared" si="189"/>
        <v>45.454545454545453</v>
      </c>
    </row>
    <row r="392" spans="1:13" ht="25.5">
      <c r="A392" s="60" t="s">
        <v>80</v>
      </c>
      <c r="B392" s="29" t="s">
        <v>229</v>
      </c>
      <c r="C392" s="29" t="s">
        <v>19</v>
      </c>
      <c r="D392" s="29" t="s">
        <v>110</v>
      </c>
      <c r="E392" s="29" t="s">
        <v>247</v>
      </c>
      <c r="F392" s="29" t="s">
        <v>81</v>
      </c>
      <c r="G392" s="36">
        <f>G393</f>
        <v>37840</v>
      </c>
      <c r="H392" s="36">
        <f t="shared" si="195"/>
        <v>37840</v>
      </c>
      <c r="I392" s="36">
        <f t="shared" si="195"/>
        <v>8800</v>
      </c>
      <c r="J392" s="36">
        <f t="shared" si="195"/>
        <v>8800</v>
      </c>
      <c r="K392" s="36">
        <f t="shared" si="195"/>
        <v>4000</v>
      </c>
      <c r="L392" s="36">
        <f t="shared" si="186"/>
        <v>10.570824524312897</v>
      </c>
      <c r="M392" s="36">
        <f t="shared" si="189"/>
        <v>45.454545454545453</v>
      </c>
    </row>
    <row r="393" spans="1:13">
      <c r="A393" s="60" t="s">
        <v>82</v>
      </c>
      <c r="B393" s="29" t="s">
        <v>229</v>
      </c>
      <c r="C393" s="29" t="s">
        <v>19</v>
      </c>
      <c r="D393" s="29" t="s">
        <v>110</v>
      </c>
      <c r="E393" s="29" t="s">
        <v>247</v>
      </c>
      <c r="F393" s="29" t="s">
        <v>83</v>
      </c>
      <c r="G393" s="36">
        <v>37840</v>
      </c>
      <c r="H393" s="36">
        <v>37840</v>
      </c>
      <c r="I393" s="36">
        <v>8800</v>
      </c>
      <c r="J393" s="36">
        <v>8800</v>
      </c>
      <c r="K393" s="36">
        <v>4000</v>
      </c>
      <c r="L393" s="36">
        <f t="shared" si="186"/>
        <v>10.570824524312897</v>
      </c>
      <c r="M393" s="36">
        <f t="shared" si="189"/>
        <v>45.454545454545453</v>
      </c>
    </row>
    <row r="394" spans="1:13" ht="25.5">
      <c r="A394" s="60" t="s">
        <v>248</v>
      </c>
      <c r="B394" s="29" t="s">
        <v>229</v>
      </c>
      <c r="C394" s="29" t="s">
        <v>19</v>
      </c>
      <c r="D394" s="29" t="s">
        <v>110</v>
      </c>
      <c r="E394" s="29" t="s">
        <v>249</v>
      </c>
      <c r="F394" s="59" t="s">
        <v>0</v>
      </c>
      <c r="G394" s="36">
        <f>G395</f>
        <v>2000</v>
      </c>
      <c r="H394" s="36">
        <f t="shared" ref="H394:K395" si="196">H395</f>
        <v>2000</v>
      </c>
      <c r="I394" s="36">
        <f t="shared" si="196"/>
        <v>0</v>
      </c>
      <c r="J394" s="36">
        <f t="shared" si="196"/>
        <v>0</v>
      </c>
      <c r="K394" s="36">
        <f t="shared" si="196"/>
        <v>0</v>
      </c>
      <c r="L394" s="36">
        <f t="shared" si="186"/>
        <v>0</v>
      </c>
      <c r="M394" s="36">
        <v>0</v>
      </c>
    </row>
    <row r="395" spans="1:13" ht="25.5">
      <c r="A395" s="60" t="s">
        <v>64</v>
      </c>
      <c r="B395" s="29" t="s">
        <v>229</v>
      </c>
      <c r="C395" s="29" t="s">
        <v>19</v>
      </c>
      <c r="D395" s="29" t="s">
        <v>110</v>
      </c>
      <c r="E395" s="29" t="s">
        <v>249</v>
      </c>
      <c r="F395" s="29" t="s">
        <v>65</v>
      </c>
      <c r="G395" s="36">
        <f>G396</f>
        <v>2000</v>
      </c>
      <c r="H395" s="36">
        <f t="shared" si="196"/>
        <v>2000</v>
      </c>
      <c r="I395" s="36">
        <f t="shared" si="196"/>
        <v>0</v>
      </c>
      <c r="J395" s="36">
        <f t="shared" si="196"/>
        <v>0</v>
      </c>
      <c r="K395" s="36">
        <f t="shared" si="196"/>
        <v>0</v>
      </c>
      <c r="L395" s="36">
        <f t="shared" si="186"/>
        <v>0</v>
      </c>
      <c r="M395" s="36">
        <v>0</v>
      </c>
    </row>
    <row r="396" spans="1:13" ht="25.5">
      <c r="A396" s="60" t="s">
        <v>66</v>
      </c>
      <c r="B396" s="29" t="s">
        <v>229</v>
      </c>
      <c r="C396" s="29" t="s">
        <v>19</v>
      </c>
      <c r="D396" s="29" t="s">
        <v>110</v>
      </c>
      <c r="E396" s="29" t="s">
        <v>249</v>
      </c>
      <c r="F396" s="29" t="s">
        <v>67</v>
      </c>
      <c r="G396" s="36">
        <v>2000</v>
      </c>
      <c r="H396" s="36">
        <v>2000</v>
      </c>
      <c r="I396" s="36">
        <v>0</v>
      </c>
      <c r="J396" s="36">
        <v>0</v>
      </c>
      <c r="K396" s="36">
        <v>0</v>
      </c>
      <c r="L396" s="36">
        <f t="shared" si="186"/>
        <v>0</v>
      </c>
      <c r="M396" s="36">
        <v>0</v>
      </c>
    </row>
    <row r="397" spans="1:13">
      <c r="A397" s="60" t="s">
        <v>250</v>
      </c>
      <c r="B397" s="29" t="s">
        <v>229</v>
      </c>
      <c r="C397" s="29" t="s">
        <v>19</v>
      </c>
      <c r="D397" s="29" t="s">
        <v>110</v>
      </c>
      <c r="E397" s="29" t="s">
        <v>251</v>
      </c>
      <c r="F397" s="59" t="s">
        <v>0</v>
      </c>
      <c r="G397" s="36">
        <f>G398+G401</f>
        <v>28578.800000000003</v>
      </c>
      <c r="H397" s="36">
        <f t="shared" ref="H397:K397" si="197">H398+H401</f>
        <v>28578.800000000003</v>
      </c>
      <c r="I397" s="36">
        <f t="shared" si="197"/>
        <v>5321.8</v>
      </c>
      <c r="J397" s="36">
        <f t="shared" si="197"/>
        <v>5321.8</v>
      </c>
      <c r="K397" s="36">
        <f t="shared" si="197"/>
        <v>4118.9550900000004</v>
      </c>
      <c r="L397" s="36">
        <f t="shared" si="186"/>
        <v>14.412624357915657</v>
      </c>
      <c r="M397" s="36">
        <f t="shared" si="189"/>
        <v>77.397780638129959</v>
      </c>
    </row>
    <row r="398" spans="1:13" ht="25.5">
      <c r="A398" s="60" t="s">
        <v>245</v>
      </c>
      <c r="B398" s="29" t="s">
        <v>229</v>
      </c>
      <c r="C398" s="29" t="s">
        <v>19</v>
      </c>
      <c r="D398" s="29" t="s">
        <v>110</v>
      </c>
      <c r="E398" s="29" t="s">
        <v>252</v>
      </c>
      <c r="F398" s="59" t="s">
        <v>0</v>
      </c>
      <c r="G398" s="36">
        <f>G399</f>
        <v>12309.1</v>
      </c>
      <c r="H398" s="36">
        <f t="shared" ref="H398:K399" si="198">H399</f>
        <v>12309.1</v>
      </c>
      <c r="I398" s="36">
        <f t="shared" si="198"/>
        <v>4121.8</v>
      </c>
      <c r="J398" s="36">
        <f t="shared" si="198"/>
        <v>4121.8</v>
      </c>
      <c r="K398" s="36">
        <f t="shared" si="198"/>
        <v>4118.9550900000004</v>
      </c>
      <c r="L398" s="36">
        <f t="shared" si="186"/>
        <v>33.462682811903392</v>
      </c>
      <c r="M398" s="36">
        <f t="shared" si="189"/>
        <v>99.930978941239275</v>
      </c>
    </row>
    <row r="399" spans="1:13" ht="25.5">
      <c r="A399" s="60" t="s">
        <v>80</v>
      </c>
      <c r="B399" s="29" t="s">
        <v>229</v>
      </c>
      <c r="C399" s="29" t="s">
        <v>19</v>
      </c>
      <c r="D399" s="29" t="s">
        <v>110</v>
      </c>
      <c r="E399" s="29" t="s">
        <v>252</v>
      </c>
      <c r="F399" s="29" t="s">
        <v>81</v>
      </c>
      <c r="G399" s="36">
        <f>G400</f>
        <v>12309.1</v>
      </c>
      <c r="H399" s="36">
        <f t="shared" si="198"/>
        <v>12309.1</v>
      </c>
      <c r="I399" s="36">
        <f t="shared" si="198"/>
        <v>4121.8</v>
      </c>
      <c r="J399" s="36">
        <f t="shared" si="198"/>
        <v>4121.8</v>
      </c>
      <c r="K399" s="36">
        <f t="shared" si="198"/>
        <v>4118.9550900000004</v>
      </c>
      <c r="L399" s="36">
        <f t="shared" si="186"/>
        <v>33.462682811903392</v>
      </c>
      <c r="M399" s="36">
        <f t="shared" si="189"/>
        <v>99.930978941239275</v>
      </c>
    </row>
    <row r="400" spans="1:13">
      <c r="A400" s="60" t="s">
        <v>82</v>
      </c>
      <c r="B400" s="29" t="s">
        <v>229</v>
      </c>
      <c r="C400" s="29" t="s">
        <v>19</v>
      </c>
      <c r="D400" s="29" t="s">
        <v>110</v>
      </c>
      <c r="E400" s="29" t="s">
        <v>252</v>
      </c>
      <c r="F400" s="29" t="s">
        <v>83</v>
      </c>
      <c r="G400" s="36">
        <v>12309.1</v>
      </c>
      <c r="H400" s="36">
        <v>12309.1</v>
      </c>
      <c r="I400" s="36">
        <v>4121.8</v>
      </c>
      <c r="J400" s="36">
        <v>4121.8</v>
      </c>
      <c r="K400" s="36">
        <v>4118.9550900000004</v>
      </c>
      <c r="L400" s="36">
        <f t="shared" si="186"/>
        <v>33.462682811903392</v>
      </c>
      <c r="M400" s="36">
        <f t="shared" si="189"/>
        <v>99.930978941239275</v>
      </c>
    </row>
    <row r="401" spans="1:13" ht="25.5">
      <c r="A401" s="60" t="s">
        <v>76</v>
      </c>
      <c r="B401" s="29" t="s">
        <v>229</v>
      </c>
      <c r="C401" s="29" t="s">
        <v>19</v>
      </c>
      <c r="D401" s="29" t="s">
        <v>110</v>
      </c>
      <c r="E401" s="29" t="s">
        <v>253</v>
      </c>
      <c r="F401" s="59" t="s">
        <v>0</v>
      </c>
      <c r="G401" s="36">
        <f>G402</f>
        <v>16269.7</v>
      </c>
      <c r="H401" s="36">
        <f t="shared" ref="H401:K402" si="199">H402</f>
        <v>16269.7</v>
      </c>
      <c r="I401" s="36">
        <f t="shared" si="199"/>
        <v>1200</v>
      </c>
      <c r="J401" s="36">
        <f t="shared" si="199"/>
        <v>1200</v>
      </c>
      <c r="K401" s="36">
        <f t="shared" si="199"/>
        <v>0</v>
      </c>
      <c r="L401" s="36">
        <f t="shared" si="186"/>
        <v>0</v>
      </c>
      <c r="M401" s="36">
        <f t="shared" si="189"/>
        <v>0</v>
      </c>
    </row>
    <row r="402" spans="1:13" ht="25.5">
      <c r="A402" s="60" t="s">
        <v>80</v>
      </c>
      <c r="B402" s="29" t="s">
        <v>229</v>
      </c>
      <c r="C402" s="29" t="s">
        <v>19</v>
      </c>
      <c r="D402" s="29" t="s">
        <v>110</v>
      </c>
      <c r="E402" s="29" t="s">
        <v>253</v>
      </c>
      <c r="F402" s="29" t="s">
        <v>81</v>
      </c>
      <c r="G402" s="36">
        <f>G403</f>
        <v>16269.7</v>
      </c>
      <c r="H402" s="36">
        <f t="shared" si="199"/>
        <v>16269.7</v>
      </c>
      <c r="I402" s="36">
        <f t="shared" si="199"/>
        <v>1200</v>
      </c>
      <c r="J402" s="36">
        <f t="shared" si="199"/>
        <v>1200</v>
      </c>
      <c r="K402" s="36">
        <f t="shared" si="199"/>
        <v>0</v>
      </c>
      <c r="L402" s="36">
        <f t="shared" si="186"/>
        <v>0</v>
      </c>
      <c r="M402" s="36">
        <f t="shared" si="189"/>
        <v>0</v>
      </c>
    </row>
    <row r="403" spans="1:13">
      <c r="A403" s="60" t="s">
        <v>82</v>
      </c>
      <c r="B403" s="29" t="s">
        <v>229</v>
      </c>
      <c r="C403" s="29" t="s">
        <v>19</v>
      </c>
      <c r="D403" s="29" t="s">
        <v>110</v>
      </c>
      <c r="E403" s="29" t="s">
        <v>253</v>
      </c>
      <c r="F403" s="29" t="s">
        <v>83</v>
      </c>
      <c r="G403" s="36">
        <v>16269.7</v>
      </c>
      <c r="H403" s="36">
        <v>16269.7</v>
      </c>
      <c r="I403" s="36">
        <v>1200</v>
      </c>
      <c r="J403" s="36">
        <v>1200</v>
      </c>
      <c r="K403" s="36">
        <v>0</v>
      </c>
      <c r="L403" s="36">
        <f t="shared" si="186"/>
        <v>0</v>
      </c>
      <c r="M403" s="36">
        <f t="shared" si="189"/>
        <v>0</v>
      </c>
    </row>
    <row r="404" spans="1:13">
      <c r="A404" s="60" t="s">
        <v>254</v>
      </c>
      <c r="B404" s="29" t="s">
        <v>229</v>
      </c>
      <c r="C404" s="29" t="s">
        <v>19</v>
      </c>
      <c r="D404" s="29" t="s">
        <v>110</v>
      </c>
      <c r="E404" s="29" t="s">
        <v>255</v>
      </c>
      <c r="F404" s="59" t="s">
        <v>0</v>
      </c>
      <c r="G404" s="36">
        <f>G405+G408+G411+G414</f>
        <v>251950.5</v>
      </c>
      <c r="H404" s="36">
        <f t="shared" ref="H404:K404" si="200">H405+H408+H411+H414</f>
        <v>251950.5</v>
      </c>
      <c r="I404" s="36">
        <f t="shared" si="200"/>
        <v>132245.74</v>
      </c>
      <c r="J404" s="36">
        <f t="shared" si="200"/>
        <v>132245.74</v>
      </c>
      <c r="K404" s="36">
        <f t="shared" si="200"/>
        <v>131621.80859999999</v>
      </c>
      <c r="L404" s="36">
        <f t="shared" si="186"/>
        <v>52.241138080694412</v>
      </c>
      <c r="M404" s="36">
        <f t="shared" si="189"/>
        <v>99.528203025670237</v>
      </c>
    </row>
    <row r="405" spans="1:13" ht="25.5">
      <c r="A405" s="60" t="s">
        <v>245</v>
      </c>
      <c r="B405" s="29" t="s">
        <v>229</v>
      </c>
      <c r="C405" s="29" t="s">
        <v>19</v>
      </c>
      <c r="D405" s="29" t="s">
        <v>110</v>
      </c>
      <c r="E405" s="29" t="s">
        <v>256</v>
      </c>
      <c r="F405" s="59" t="s">
        <v>0</v>
      </c>
      <c r="G405" s="36">
        <f>G406</f>
        <v>73075.8</v>
      </c>
      <c r="H405" s="36">
        <f t="shared" ref="H405:K406" si="201">H406</f>
        <v>73075.8</v>
      </c>
      <c r="I405" s="36">
        <f t="shared" si="201"/>
        <v>40570.9</v>
      </c>
      <c r="J405" s="36">
        <f t="shared" si="201"/>
        <v>40570.9</v>
      </c>
      <c r="K405" s="36">
        <f t="shared" si="201"/>
        <v>40030.273000000001</v>
      </c>
      <c r="L405" s="36">
        <f t="shared" si="186"/>
        <v>54.779110184219668</v>
      </c>
      <c r="M405" s="36">
        <f t="shared" si="189"/>
        <v>98.667451301302165</v>
      </c>
    </row>
    <row r="406" spans="1:13" ht="25.5">
      <c r="A406" s="60" t="s">
        <v>80</v>
      </c>
      <c r="B406" s="29" t="s">
        <v>229</v>
      </c>
      <c r="C406" s="29" t="s">
        <v>19</v>
      </c>
      <c r="D406" s="29" t="s">
        <v>110</v>
      </c>
      <c r="E406" s="29" t="s">
        <v>256</v>
      </c>
      <c r="F406" s="29" t="s">
        <v>81</v>
      </c>
      <c r="G406" s="36">
        <f>G407</f>
        <v>73075.8</v>
      </c>
      <c r="H406" s="36">
        <f t="shared" si="201"/>
        <v>73075.8</v>
      </c>
      <c r="I406" s="36">
        <f t="shared" si="201"/>
        <v>40570.9</v>
      </c>
      <c r="J406" s="36">
        <f t="shared" si="201"/>
        <v>40570.9</v>
      </c>
      <c r="K406" s="36">
        <f t="shared" si="201"/>
        <v>40030.273000000001</v>
      </c>
      <c r="L406" s="36">
        <f t="shared" si="186"/>
        <v>54.779110184219668</v>
      </c>
      <c r="M406" s="36">
        <f t="shared" si="189"/>
        <v>98.667451301302165</v>
      </c>
    </row>
    <row r="407" spans="1:13">
      <c r="A407" s="60" t="s">
        <v>82</v>
      </c>
      <c r="B407" s="29" t="s">
        <v>229</v>
      </c>
      <c r="C407" s="29" t="s">
        <v>19</v>
      </c>
      <c r="D407" s="29" t="s">
        <v>110</v>
      </c>
      <c r="E407" s="29" t="s">
        <v>256</v>
      </c>
      <c r="F407" s="29" t="s">
        <v>83</v>
      </c>
      <c r="G407" s="36">
        <v>73075.8</v>
      </c>
      <c r="H407" s="36">
        <v>73075.8</v>
      </c>
      <c r="I407" s="36">
        <v>40570.9</v>
      </c>
      <c r="J407" s="36">
        <v>40570.9</v>
      </c>
      <c r="K407" s="36">
        <v>40030.273000000001</v>
      </c>
      <c r="L407" s="36">
        <f t="shared" si="186"/>
        <v>54.779110184219668</v>
      </c>
      <c r="M407" s="36">
        <f t="shared" si="189"/>
        <v>98.667451301302165</v>
      </c>
    </row>
    <row r="408" spans="1:13" ht="25.5">
      <c r="A408" s="60" t="s">
        <v>257</v>
      </c>
      <c r="B408" s="29" t="s">
        <v>229</v>
      </c>
      <c r="C408" s="29" t="s">
        <v>19</v>
      </c>
      <c r="D408" s="29" t="s">
        <v>110</v>
      </c>
      <c r="E408" s="29" t="s">
        <v>258</v>
      </c>
      <c r="F408" s="59" t="s">
        <v>0</v>
      </c>
      <c r="G408" s="36">
        <f>G409</f>
        <v>9598.5</v>
      </c>
      <c r="H408" s="36">
        <f t="shared" ref="H408:K409" si="202">H409</f>
        <v>9598.5</v>
      </c>
      <c r="I408" s="36">
        <f t="shared" si="202"/>
        <v>0</v>
      </c>
      <c r="J408" s="36">
        <f t="shared" si="202"/>
        <v>0</v>
      </c>
      <c r="K408" s="36">
        <f t="shared" si="202"/>
        <v>0</v>
      </c>
      <c r="L408" s="36">
        <f t="shared" si="186"/>
        <v>0</v>
      </c>
      <c r="M408" s="36">
        <v>0</v>
      </c>
    </row>
    <row r="409" spans="1:13" ht="25.5">
      <c r="A409" s="60" t="s">
        <v>64</v>
      </c>
      <c r="B409" s="29" t="s">
        <v>229</v>
      </c>
      <c r="C409" s="29" t="s">
        <v>19</v>
      </c>
      <c r="D409" s="29" t="s">
        <v>110</v>
      </c>
      <c r="E409" s="29" t="s">
        <v>258</v>
      </c>
      <c r="F409" s="29" t="s">
        <v>65</v>
      </c>
      <c r="G409" s="36">
        <f>G410</f>
        <v>9598.5</v>
      </c>
      <c r="H409" s="36">
        <f t="shared" si="202"/>
        <v>9598.5</v>
      </c>
      <c r="I409" s="36">
        <f t="shared" si="202"/>
        <v>0</v>
      </c>
      <c r="J409" s="36">
        <f t="shared" si="202"/>
        <v>0</v>
      </c>
      <c r="K409" s="36">
        <f t="shared" si="202"/>
        <v>0</v>
      </c>
      <c r="L409" s="36">
        <f t="shared" si="186"/>
        <v>0</v>
      </c>
      <c r="M409" s="36">
        <v>0</v>
      </c>
    </row>
    <row r="410" spans="1:13" ht="25.5">
      <c r="A410" s="60" t="s">
        <v>66</v>
      </c>
      <c r="B410" s="29" t="s">
        <v>229</v>
      </c>
      <c r="C410" s="29" t="s">
        <v>19</v>
      </c>
      <c r="D410" s="29" t="s">
        <v>110</v>
      </c>
      <c r="E410" s="29" t="s">
        <v>258</v>
      </c>
      <c r="F410" s="29" t="s">
        <v>67</v>
      </c>
      <c r="G410" s="36">
        <v>9598.5</v>
      </c>
      <c r="H410" s="36">
        <v>9598.5</v>
      </c>
      <c r="I410" s="36">
        <v>0</v>
      </c>
      <c r="J410" s="36">
        <v>0</v>
      </c>
      <c r="K410" s="36">
        <v>0</v>
      </c>
      <c r="L410" s="36">
        <f t="shared" si="186"/>
        <v>0</v>
      </c>
      <c r="M410" s="36">
        <v>0</v>
      </c>
    </row>
    <row r="411" spans="1:13" ht="25.5">
      <c r="A411" s="60" t="s">
        <v>76</v>
      </c>
      <c r="B411" s="29" t="s">
        <v>229</v>
      </c>
      <c r="C411" s="29" t="s">
        <v>19</v>
      </c>
      <c r="D411" s="29" t="s">
        <v>110</v>
      </c>
      <c r="E411" s="29" t="s">
        <v>259</v>
      </c>
      <c r="F411" s="59" t="s">
        <v>0</v>
      </c>
      <c r="G411" s="36">
        <f>G412</f>
        <v>168771</v>
      </c>
      <c r="H411" s="36">
        <f t="shared" ref="H411:K412" si="203">H412</f>
        <v>168771</v>
      </c>
      <c r="I411" s="36">
        <f t="shared" si="203"/>
        <v>91674.84</v>
      </c>
      <c r="J411" s="36">
        <f t="shared" si="203"/>
        <v>91674.84</v>
      </c>
      <c r="K411" s="36">
        <f t="shared" si="203"/>
        <v>91591.535600000003</v>
      </c>
      <c r="L411" s="36">
        <f t="shared" si="186"/>
        <v>54.269711976583658</v>
      </c>
      <c r="M411" s="36">
        <f t="shared" si="189"/>
        <v>99.909130574975649</v>
      </c>
    </row>
    <row r="412" spans="1:13" ht="25.5">
      <c r="A412" s="60" t="s">
        <v>80</v>
      </c>
      <c r="B412" s="29" t="s">
        <v>229</v>
      </c>
      <c r="C412" s="29" t="s">
        <v>19</v>
      </c>
      <c r="D412" s="29" t="s">
        <v>110</v>
      </c>
      <c r="E412" s="29" t="s">
        <v>259</v>
      </c>
      <c r="F412" s="29" t="s">
        <v>81</v>
      </c>
      <c r="G412" s="36">
        <f>G413</f>
        <v>168771</v>
      </c>
      <c r="H412" s="36">
        <f t="shared" si="203"/>
        <v>168771</v>
      </c>
      <c r="I412" s="36">
        <f t="shared" si="203"/>
        <v>91674.84</v>
      </c>
      <c r="J412" s="36">
        <f t="shared" si="203"/>
        <v>91674.84</v>
      </c>
      <c r="K412" s="36">
        <f t="shared" si="203"/>
        <v>91591.535600000003</v>
      </c>
      <c r="L412" s="36">
        <f t="shared" si="186"/>
        <v>54.269711976583658</v>
      </c>
      <c r="M412" s="36">
        <f t="shared" si="189"/>
        <v>99.909130574975649</v>
      </c>
    </row>
    <row r="413" spans="1:13">
      <c r="A413" s="60" t="s">
        <v>82</v>
      </c>
      <c r="B413" s="29" t="s">
        <v>229</v>
      </c>
      <c r="C413" s="29" t="s">
        <v>19</v>
      </c>
      <c r="D413" s="29" t="s">
        <v>110</v>
      </c>
      <c r="E413" s="29" t="s">
        <v>259</v>
      </c>
      <c r="F413" s="29" t="s">
        <v>83</v>
      </c>
      <c r="G413" s="36">
        <v>168771</v>
      </c>
      <c r="H413" s="36">
        <v>168771</v>
      </c>
      <c r="I413" s="36">
        <f>91262.7+412.14</f>
        <v>91674.84</v>
      </c>
      <c r="J413" s="36">
        <f>91262.7+412.14</f>
        <v>91674.84</v>
      </c>
      <c r="K413" s="36">
        <f>91179.3956+412.14</f>
        <v>91591.535600000003</v>
      </c>
      <c r="L413" s="36">
        <f t="shared" si="186"/>
        <v>54.269711976583658</v>
      </c>
      <c r="M413" s="36">
        <f t="shared" si="189"/>
        <v>99.909130574975649</v>
      </c>
    </row>
    <row r="414" spans="1:13" ht="25.5">
      <c r="A414" s="60" t="s">
        <v>260</v>
      </c>
      <c r="B414" s="29" t="s">
        <v>229</v>
      </c>
      <c r="C414" s="29" t="s">
        <v>19</v>
      </c>
      <c r="D414" s="29" t="s">
        <v>110</v>
      </c>
      <c r="E414" s="29" t="s">
        <v>261</v>
      </c>
      <c r="F414" s="59" t="s">
        <v>0</v>
      </c>
      <c r="G414" s="36">
        <f>G415</f>
        <v>505.2</v>
      </c>
      <c r="H414" s="36">
        <f t="shared" ref="H414:K415" si="204">H415</f>
        <v>505.2</v>
      </c>
      <c r="I414" s="36">
        <f t="shared" si="204"/>
        <v>0</v>
      </c>
      <c r="J414" s="36">
        <f t="shared" si="204"/>
        <v>0</v>
      </c>
      <c r="K414" s="36">
        <f t="shared" si="204"/>
        <v>0</v>
      </c>
      <c r="L414" s="36">
        <f t="shared" si="186"/>
        <v>0</v>
      </c>
      <c r="M414" s="36">
        <v>0</v>
      </c>
    </row>
    <row r="415" spans="1:13" ht="25.5">
      <c r="A415" s="60" t="s">
        <v>64</v>
      </c>
      <c r="B415" s="29" t="s">
        <v>229</v>
      </c>
      <c r="C415" s="29" t="s">
        <v>19</v>
      </c>
      <c r="D415" s="29" t="s">
        <v>110</v>
      </c>
      <c r="E415" s="29" t="s">
        <v>261</v>
      </c>
      <c r="F415" s="29" t="s">
        <v>65</v>
      </c>
      <c r="G415" s="36">
        <f>G416</f>
        <v>505.2</v>
      </c>
      <c r="H415" s="36">
        <f t="shared" si="204"/>
        <v>505.2</v>
      </c>
      <c r="I415" s="36">
        <f t="shared" si="204"/>
        <v>0</v>
      </c>
      <c r="J415" s="36">
        <f t="shared" si="204"/>
        <v>0</v>
      </c>
      <c r="K415" s="36">
        <f t="shared" si="204"/>
        <v>0</v>
      </c>
      <c r="L415" s="36">
        <f t="shared" si="186"/>
        <v>0</v>
      </c>
      <c r="M415" s="36">
        <v>0</v>
      </c>
    </row>
    <row r="416" spans="1:13" ht="25.5">
      <c r="A416" s="60" t="s">
        <v>66</v>
      </c>
      <c r="B416" s="29" t="s">
        <v>229</v>
      </c>
      <c r="C416" s="29" t="s">
        <v>19</v>
      </c>
      <c r="D416" s="29" t="s">
        <v>110</v>
      </c>
      <c r="E416" s="29" t="s">
        <v>261</v>
      </c>
      <c r="F416" s="29" t="s">
        <v>67</v>
      </c>
      <c r="G416" s="36">
        <v>505.2</v>
      </c>
      <c r="H416" s="36">
        <v>505.2</v>
      </c>
      <c r="I416" s="36">
        <v>0</v>
      </c>
      <c r="J416" s="36">
        <v>0</v>
      </c>
      <c r="K416" s="36">
        <v>0</v>
      </c>
      <c r="L416" s="36">
        <f t="shared" si="186"/>
        <v>0</v>
      </c>
      <c r="M416" s="36">
        <v>0</v>
      </c>
    </row>
    <row r="417" spans="1:13" ht="51">
      <c r="A417" s="60" t="s">
        <v>233</v>
      </c>
      <c r="B417" s="29" t="s">
        <v>229</v>
      </c>
      <c r="C417" s="29" t="s">
        <v>19</v>
      </c>
      <c r="D417" s="29" t="s">
        <v>110</v>
      </c>
      <c r="E417" s="29" t="s">
        <v>234</v>
      </c>
      <c r="F417" s="59" t="s">
        <v>0</v>
      </c>
      <c r="G417" s="36">
        <f>G418+G426</f>
        <v>486348.10000000003</v>
      </c>
      <c r="H417" s="36">
        <f t="shared" ref="H417:K417" si="205">H418+H426</f>
        <v>486348.10000000003</v>
      </c>
      <c r="I417" s="36">
        <f t="shared" si="205"/>
        <v>206836.8</v>
      </c>
      <c r="J417" s="36">
        <f t="shared" si="205"/>
        <v>206836.8</v>
      </c>
      <c r="K417" s="36">
        <f t="shared" si="205"/>
        <v>193142.92166000002</v>
      </c>
      <c r="L417" s="36">
        <f t="shared" si="186"/>
        <v>39.71289733834675</v>
      </c>
      <c r="M417" s="36">
        <f t="shared" si="189"/>
        <v>93.379380100639736</v>
      </c>
    </row>
    <row r="418" spans="1:13" ht="25.5">
      <c r="A418" s="60" t="s">
        <v>245</v>
      </c>
      <c r="B418" s="29" t="s">
        <v>229</v>
      </c>
      <c r="C418" s="29" t="s">
        <v>19</v>
      </c>
      <c r="D418" s="29" t="s">
        <v>110</v>
      </c>
      <c r="E418" s="29" t="s">
        <v>262</v>
      </c>
      <c r="F418" s="59" t="s">
        <v>0</v>
      </c>
      <c r="G418" s="36">
        <f>G419+G421+G423</f>
        <v>394612.9</v>
      </c>
      <c r="H418" s="36">
        <f t="shared" ref="H418:K418" si="206">H419+H421+H423</f>
        <v>394612.9</v>
      </c>
      <c r="I418" s="36">
        <f t="shared" si="206"/>
        <v>166534.5</v>
      </c>
      <c r="J418" s="36">
        <f t="shared" si="206"/>
        <v>166534.5</v>
      </c>
      <c r="K418" s="36">
        <f t="shared" si="206"/>
        <v>154650.53452000002</v>
      </c>
      <c r="L418" s="36">
        <f t="shared" si="186"/>
        <v>39.190440687570025</v>
      </c>
      <c r="M418" s="36">
        <f t="shared" si="189"/>
        <v>92.863961833734166</v>
      </c>
    </row>
    <row r="419" spans="1:13" ht="63.75">
      <c r="A419" s="60" t="s">
        <v>60</v>
      </c>
      <c r="B419" s="29" t="s">
        <v>229</v>
      </c>
      <c r="C419" s="29" t="s">
        <v>19</v>
      </c>
      <c r="D419" s="29" t="s">
        <v>110</v>
      </c>
      <c r="E419" s="29" t="s">
        <v>262</v>
      </c>
      <c r="F419" s="29" t="s">
        <v>61</v>
      </c>
      <c r="G419" s="36">
        <f>G420</f>
        <v>350139.4</v>
      </c>
      <c r="H419" s="36">
        <f t="shared" ref="H419:K419" si="207">H420</f>
        <v>350139.4</v>
      </c>
      <c r="I419" s="36">
        <f t="shared" si="207"/>
        <v>149184.9</v>
      </c>
      <c r="J419" s="36">
        <f t="shared" si="207"/>
        <v>149184.9</v>
      </c>
      <c r="K419" s="36">
        <f t="shared" si="207"/>
        <v>140135.4136</v>
      </c>
      <c r="L419" s="36">
        <f t="shared" si="186"/>
        <v>40.022749110782726</v>
      </c>
      <c r="M419" s="36">
        <f t="shared" si="189"/>
        <v>93.934046676305712</v>
      </c>
    </row>
    <row r="420" spans="1:13" ht="25.5">
      <c r="A420" s="60" t="s">
        <v>62</v>
      </c>
      <c r="B420" s="29" t="s">
        <v>229</v>
      </c>
      <c r="C420" s="29" t="s">
        <v>19</v>
      </c>
      <c r="D420" s="29" t="s">
        <v>110</v>
      </c>
      <c r="E420" s="29" t="s">
        <v>262</v>
      </c>
      <c r="F420" s="29" t="s">
        <v>63</v>
      </c>
      <c r="G420" s="36">
        <v>350139.4</v>
      </c>
      <c r="H420" s="36">
        <v>350139.4</v>
      </c>
      <c r="I420" s="36">
        <f>113884.5+2658.9+32641.5</f>
        <v>149184.9</v>
      </c>
      <c r="J420" s="36">
        <f>113884.5+2658.9+32641.5</f>
        <v>149184.9</v>
      </c>
      <c r="K420" s="36">
        <f>108091.02435+2377.52485+29666.8644</f>
        <v>140135.4136</v>
      </c>
      <c r="L420" s="36">
        <f t="shared" si="186"/>
        <v>40.022749110782726</v>
      </c>
      <c r="M420" s="36">
        <f t="shared" si="189"/>
        <v>93.934046676305712</v>
      </c>
    </row>
    <row r="421" spans="1:13" ht="25.5">
      <c r="A421" s="60" t="s">
        <v>64</v>
      </c>
      <c r="B421" s="29" t="s">
        <v>229</v>
      </c>
      <c r="C421" s="29" t="s">
        <v>19</v>
      </c>
      <c r="D421" s="29" t="s">
        <v>110</v>
      </c>
      <c r="E421" s="29" t="s">
        <v>262</v>
      </c>
      <c r="F421" s="29" t="s">
        <v>65</v>
      </c>
      <c r="G421" s="36">
        <f>G422</f>
        <v>44040.800000000003</v>
      </c>
      <c r="H421" s="36">
        <f t="shared" ref="H421:K421" si="208">H422</f>
        <v>44040.800000000003</v>
      </c>
      <c r="I421" s="36">
        <f t="shared" si="208"/>
        <v>16956.599999999999</v>
      </c>
      <c r="J421" s="36">
        <f t="shared" si="208"/>
        <v>16956.599999999999</v>
      </c>
      <c r="K421" s="36">
        <f t="shared" si="208"/>
        <v>14373.11227</v>
      </c>
      <c r="L421" s="36">
        <f t="shared" si="186"/>
        <v>32.635901868267602</v>
      </c>
      <c r="M421" s="36">
        <f t="shared" si="189"/>
        <v>84.764117039972646</v>
      </c>
    </row>
    <row r="422" spans="1:13" ht="25.5">
      <c r="A422" s="60" t="s">
        <v>66</v>
      </c>
      <c r="B422" s="29" t="s">
        <v>229</v>
      </c>
      <c r="C422" s="29" t="s">
        <v>19</v>
      </c>
      <c r="D422" s="29" t="s">
        <v>110</v>
      </c>
      <c r="E422" s="29" t="s">
        <v>262</v>
      </c>
      <c r="F422" s="29" t="s">
        <v>67</v>
      </c>
      <c r="G422" s="36">
        <v>44040.800000000003</v>
      </c>
      <c r="H422" s="36">
        <v>44040.800000000003</v>
      </c>
      <c r="I422" s="36">
        <v>16956.599999999999</v>
      </c>
      <c r="J422" s="36">
        <v>16956.599999999999</v>
      </c>
      <c r="K422" s="36">
        <v>14373.11227</v>
      </c>
      <c r="L422" s="36">
        <f t="shared" si="186"/>
        <v>32.635901868267602</v>
      </c>
      <c r="M422" s="36">
        <f t="shared" si="189"/>
        <v>84.764117039972646</v>
      </c>
    </row>
    <row r="423" spans="1:13">
      <c r="A423" s="60" t="s">
        <v>72</v>
      </c>
      <c r="B423" s="29" t="s">
        <v>229</v>
      </c>
      <c r="C423" s="29" t="s">
        <v>19</v>
      </c>
      <c r="D423" s="29" t="s">
        <v>110</v>
      </c>
      <c r="E423" s="29" t="s">
        <v>262</v>
      </c>
      <c r="F423" s="29" t="s">
        <v>73</v>
      </c>
      <c r="G423" s="36">
        <f>G424+G425</f>
        <v>432.7</v>
      </c>
      <c r="H423" s="36">
        <f t="shared" ref="H423:K423" si="209">H424+H425</f>
        <v>432.7</v>
      </c>
      <c r="I423" s="36">
        <f t="shared" si="209"/>
        <v>393</v>
      </c>
      <c r="J423" s="36">
        <f t="shared" si="209"/>
        <v>393</v>
      </c>
      <c r="K423" s="36">
        <f t="shared" si="209"/>
        <v>142.00864999999999</v>
      </c>
      <c r="L423" s="36">
        <f t="shared" si="186"/>
        <v>32.819193436561129</v>
      </c>
      <c r="M423" s="36">
        <f t="shared" si="189"/>
        <v>36.134516539440199</v>
      </c>
    </row>
    <row r="424" spans="1:13">
      <c r="A424" s="60" t="s">
        <v>84</v>
      </c>
      <c r="B424" s="29" t="s">
        <v>229</v>
      </c>
      <c r="C424" s="29" t="s">
        <v>19</v>
      </c>
      <c r="D424" s="29" t="s">
        <v>110</v>
      </c>
      <c r="E424" s="29" t="s">
        <v>262</v>
      </c>
      <c r="F424" s="29" t="s">
        <v>85</v>
      </c>
      <c r="G424" s="36">
        <v>180</v>
      </c>
      <c r="H424" s="36">
        <v>180</v>
      </c>
      <c r="I424" s="36">
        <v>180</v>
      </c>
      <c r="J424" s="36">
        <v>180</v>
      </c>
      <c r="K424" s="36">
        <v>69</v>
      </c>
      <c r="L424" s="36">
        <f t="shared" si="186"/>
        <v>38.333333333333336</v>
      </c>
      <c r="M424" s="36">
        <f t="shared" si="189"/>
        <v>38.333333333333336</v>
      </c>
    </row>
    <row r="425" spans="1:13">
      <c r="A425" s="60" t="s">
        <v>74</v>
      </c>
      <c r="B425" s="29" t="s">
        <v>229</v>
      </c>
      <c r="C425" s="29" t="s">
        <v>19</v>
      </c>
      <c r="D425" s="29" t="s">
        <v>110</v>
      </c>
      <c r="E425" s="29" t="s">
        <v>262</v>
      </c>
      <c r="F425" s="29" t="s">
        <v>75</v>
      </c>
      <c r="G425" s="36">
        <v>252.7</v>
      </c>
      <c r="H425" s="36">
        <f>229.7+23</f>
        <v>252.7</v>
      </c>
      <c r="I425" s="36">
        <f>190+23</f>
        <v>213</v>
      </c>
      <c r="J425" s="36">
        <f>190+23</f>
        <v>213</v>
      </c>
      <c r="K425" s="36">
        <f>50.5862+22.42245</f>
        <v>73.008650000000003</v>
      </c>
      <c r="L425" s="36">
        <f t="shared" si="186"/>
        <v>28.891432528690146</v>
      </c>
      <c r="M425" s="36">
        <f t="shared" si="189"/>
        <v>34.27636150234742</v>
      </c>
    </row>
    <row r="426" spans="1:13" ht="25.5">
      <c r="A426" s="60" t="s">
        <v>248</v>
      </c>
      <c r="B426" s="29" t="s">
        <v>229</v>
      </c>
      <c r="C426" s="29" t="s">
        <v>19</v>
      </c>
      <c r="D426" s="29" t="s">
        <v>110</v>
      </c>
      <c r="E426" s="29" t="s">
        <v>263</v>
      </c>
      <c r="F426" s="59" t="s">
        <v>0</v>
      </c>
      <c r="G426" s="36">
        <f>G427+G429</f>
        <v>91735.2</v>
      </c>
      <c r="H426" s="36">
        <f t="shared" ref="H426:K426" si="210">H427+H429</f>
        <v>91735.2</v>
      </c>
      <c r="I426" s="36">
        <f t="shared" si="210"/>
        <v>40302.300000000003</v>
      </c>
      <c r="J426" s="36">
        <f t="shared" si="210"/>
        <v>40302.300000000003</v>
      </c>
      <c r="K426" s="36">
        <f t="shared" si="210"/>
        <v>38492.387139999999</v>
      </c>
      <c r="L426" s="36">
        <f t="shared" si="186"/>
        <v>41.960323997767482</v>
      </c>
      <c r="M426" s="36">
        <f t="shared" si="189"/>
        <v>95.509157393002369</v>
      </c>
    </row>
    <row r="427" spans="1:13" ht="63.75">
      <c r="A427" s="60" t="s">
        <v>60</v>
      </c>
      <c r="B427" s="29" t="s">
        <v>229</v>
      </c>
      <c r="C427" s="29" t="s">
        <v>19</v>
      </c>
      <c r="D427" s="29" t="s">
        <v>110</v>
      </c>
      <c r="E427" s="29" t="s">
        <v>263</v>
      </c>
      <c r="F427" s="29" t="s">
        <v>61</v>
      </c>
      <c r="G427" s="36">
        <f>G428</f>
        <v>91355</v>
      </c>
      <c r="H427" s="36">
        <f t="shared" ref="H427:K427" si="211">H428</f>
        <v>91355</v>
      </c>
      <c r="I427" s="36">
        <f t="shared" si="211"/>
        <v>40188.300000000003</v>
      </c>
      <c r="J427" s="36">
        <f t="shared" si="211"/>
        <v>40188.300000000003</v>
      </c>
      <c r="K427" s="36">
        <f t="shared" si="211"/>
        <v>38378.387139999999</v>
      </c>
      <c r="L427" s="36">
        <f t="shared" si="186"/>
        <v>42.010165989819932</v>
      </c>
      <c r="M427" s="36">
        <f t="shared" si="189"/>
        <v>95.496418460099079</v>
      </c>
    </row>
    <row r="428" spans="1:13" ht="25.5">
      <c r="A428" s="60" t="s">
        <v>62</v>
      </c>
      <c r="B428" s="29" t="s">
        <v>229</v>
      </c>
      <c r="C428" s="29" t="s">
        <v>19</v>
      </c>
      <c r="D428" s="29" t="s">
        <v>110</v>
      </c>
      <c r="E428" s="29" t="s">
        <v>263</v>
      </c>
      <c r="F428" s="29" t="s">
        <v>63</v>
      </c>
      <c r="G428" s="36">
        <v>91355</v>
      </c>
      <c r="H428" s="36">
        <v>91355</v>
      </c>
      <c r="I428" s="36">
        <f>31400+8788.3</f>
        <v>40188.300000000003</v>
      </c>
      <c r="J428" s="36">
        <f>31400+8788.3</f>
        <v>40188.300000000003</v>
      </c>
      <c r="K428" s="36">
        <f>29887.61299+8490.77415</f>
        <v>38378.387139999999</v>
      </c>
      <c r="L428" s="36">
        <f t="shared" si="186"/>
        <v>42.010165989819932</v>
      </c>
      <c r="M428" s="36">
        <f t="shared" si="189"/>
        <v>95.496418460099079</v>
      </c>
    </row>
    <row r="429" spans="1:13" ht="25.5">
      <c r="A429" s="60" t="s">
        <v>64</v>
      </c>
      <c r="B429" s="29" t="s">
        <v>229</v>
      </c>
      <c r="C429" s="29" t="s">
        <v>19</v>
      </c>
      <c r="D429" s="29" t="s">
        <v>110</v>
      </c>
      <c r="E429" s="29" t="s">
        <v>263</v>
      </c>
      <c r="F429" s="29" t="s">
        <v>65</v>
      </c>
      <c r="G429" s="36">
        <f>G430</f>
        <v>380.2</v>
      </c>
      <c r="H429" s="36">
        <f t="shared" ref="H429:K429" si="212">H430</f>
        <v>380.2</v>
      </c>
      <c r="I429" s="36">
        <f t="shared" si="212"/>
        <v>114</v>
      </c>
      <c r="J429" s="36">
        <f t="shared" si="212"/>
        <v>114</v>
      </c>
      <c r="K429" s="36">
        <f t="shared" si="212"/>
        <v>114</v>
      </c>
      <c r="L429" s="36">
        <f t="shared" si="186"/>
        <v>29.984218832193584</v>
      </c>
      <c r="M429" s="36">
        <f t="shared" si="189"/>
        <v>100</v>
      </c>
    </row>
    <row r="430" spans="1:13" ht="25.5">
      <c r="A430" s="60" t="s">
        <v>66</v>
      </c>
      <c r="B430" s="29" t="s">
        <v>229</v>
      </c>
      <c r="C430" s="29" t="s">
        <v>19</v>
      </c>
      <c r="D430" s="29" t="s">
        <v>110</v>
      </c>
      <c r="E430" s="29" t="s">
        <v>263</v>
      </c>
      <c r="F430" s="29" t="s">
        <v>67</v>
      </c>
      <c r="G430" s="36">
        <v>380.2</v>
      </c>
      <c r="H430" s="36">
        <v>380.2</v>
      </c>
      <c r="I430" s="36">
        <v>114</v>
      </c>
      <c r="J430" s="36">
        <v>114</v>
      </c>
      <c r="K430" s="36">
        <v>114</v>
      </c>
      <c r="L430" s="36">
        <f t="shared" si="186"/>
        <v>29.984218832193584</v>
      </c>
      <c r="M430" s="36">
        <f t="shared" si="189"/>
        <v>100</v>
      </c>
    </row>
    <row r="431" spans="1:13">
      <c r="A431" s="61" t="s">
        <v>0</v>
      </c>
      <c r="B431" s="59" t="s">
        <v>0</v>
      </c>
      <c r="C431" s="59" t="s">
        <v>0</v>
      </c>
      <c r="D431" s="59" t="s">
        <v>0</v>
      </c>
      <c r="E431" s="59" t="s">
        <v>0</v>
      </c>
      <c r="F431" s="59" t="s">
        <v>0</v>
      </c>
      <c r="G431" s="62" t="s">
        <v>0</v>
      </c>
      <c r="H431" s="62" t="s">
        <v>0</v>
      </c>
      <c r="I431" s="62" t="s">
        <v>0</v>
      </c>
      <c r="J431" s="62" t="s">
        <v>0</v>
      </c>
      <c r="K431" s="62" t="s">
        <v>0</v>
      </c>
      <c r="L431" s="62"/>
      <c r="M431" s="62"/>
    </row>
    <row r="432" spans="1:13">
      <c r="A432" s="60" t="s">
        <v>264</v>
      </c>
      <c r="B432" s="29" t="s">
        <v>229</v>
      </c>
      <c r="C432" s="29" t="s">
        <v>32</v>
      </c>
      <c r="D432" s="59" t="s">
        <v>0</v>
      </c>
      <c r="E432" s="59" t="s">
        <v>0</v>
      </c>
      <c r="F432" s="59" t="s">
        <v>0</v>
      </c>
      <c r="G432" s="36">
        <f>G433</f>
        <v>62695.200000000004</v>
      </c>
      <c r="H432" s="36">
        <f t="shared" ref="H432:K432" si="213">H433</f>
        <v>64695.200000000004</v>
      </c>
      <c r="I432" s="36">
        <f t="shared" si="213"/>
        <v>27485.149999999998</v>
      </c>
      <c r="J432" s="36">
        <f t="shared" si="213"/>
        <v>27485.149999999998</v>
      </c>
      <c r="K432" s="36">
        <f t="shared" si="213"/>
        <v>26052.444649999998</v>
      </c>
      <c r="L432" s="36">
        <f t="shared" si="186"/>
        <v>40.269517135738035</v>
      </c>
      <c r="M432" s="36">
        <f t="shared" si="189"/>
        <v>94.787347531303269</v>
      </c>
    </row>
    <row r="433" spans="1:13" ht="25.5">
      <c r="A433" s="60" t="s">
        <v>265</v>
      </c>
      <c r="B433" s="29" t="s">
        <v>229</v>
      </c>
      <c r="C433" s="29" t="s">
        <v>32</v>
      </c>
      <c r="D433" s="29" t="s">
        <v>150</v>
      </c>
      <c r="E433" s="59" t="s">
        <v>0</v>
      </c>
      <c r="F433" s="59" t="s">
        <v>0</v>
      </c>
      <c r="G433" s="36">
        <f>G434+G439</f>
        <v>62695.200000000004</v>
      </c>
      <c r="H433" s="36">
        <f>H434+H439+H461</f>
        <v>64695.200000000004</v>
      </c>
      <c r="I433" s="36">
        <f t="shared" ref="I433:K433" si="214">I434+I439+I461</f>
        <v>27485.149999999998</v>
      </c>
      <c r="J433" s="36">
        <f t="shared" si="214"/>
        <v>27485.149999999998</v>
      </c>
      <c r="K433" s="36">
        <f t="shared" si="214"/>
        <v>26052.444649999998</v>
      </c>
      <c r="L433" s="36">
        <f t="shared" si="186"/>
        <v>40.269517135738035</v>
      </c>
      <c r="M433" s="36">
        <f t="shared" si="189"/>
        <v>94.787347531303269</v>
      </c>
    </row>
    <row r="434" spans="1:13" ht="76.5">
      <c r="A434" s="60" t="s">
        <v>86</v>
      </c>
      <c r="B434" s="29" t="s">
        <v>229</v>
      </c>
      <c r="C434" s="29" t="s">
        <v>32</v>
      </c>
      <c r="D434" s="29" t="s">
        <v>150</v>
      </c>
      <c r="E434" s="29" t="s">
        <v>87</v>
      </c>
      <c r="F434" s="59" t="s">
        <v>0</v>
      </c>
      <c r="G434" s="36">
        <f>G435</f>
        <v>300</v>
      </c>
      <c r="H434" s="36">
        <f t="shared" ref="H434:K436" si="215">H435</f>
        <v>300</v>
      </c>
      <c r="I434" s="36">
        <f t="shared" si="215"/>
        <v>300</v>
      </c>
      <c r="J434" s="36">
        <f t="shared" si="215"/>
        <v>300</v>
      </c>
      <c r="K434" s="36">
        <f t="shared" si="215"/>
        <v>299.92200000000003</v>
      </c>
      <c r="L434" s="36">
        <f t="shared" si="186"/>
        <v>99.974000000000004</v>
      </c>
      <c r="M434" s="36">
        <f t="shared" si="189"/>
        <v>99.974000000000004</v>
      </c>
    </row>
    <row r="435" spans="1:13" ht="25.5">
      <c r="A435" s="60" t="s">
        <v>88</v>
      </c>
      <c r="B435" s="29" t="s">
        <v>229</v>
      </c>
      <c r="C435" s="29" t="s">
        <v>32</v>
      </c>
      <c r="D435" s="29" t="s">
        <v>150</v>
      </c>
      <c r="E435" s="29" t="s">
        <v>89</v>
      </c>
      <c r="F435" s="59" t="s">
        <v>0</v>
      </c>
      <c r="G435" s="36">
        <f>G436</f>
        <v>300</v>
      </c>
      <c r="H435" s="36">
        <f t="shared" si="215"/>
        <v>300</v>
      </c>
      <c r="I435" s="36">
        <f t="shared" si="215"/>
        <v>300</v>
      </c>
      <c r="J435" s="36">
        <f t="shared" si="215"/>
        <v>300</v>
      </c>
      <c r="K435" s="36">
        <f t="shared" si="215"/>
        <v>299.92200000000003</v>
      </c>
      <c r="L435" s="36">
        <f t="shared" si="186"/>
        <v>99.974000000000004</v>
      </c>
      <c r="M435" s="36">
        <f t="shared" si="189"/>
        <v>99.974000000000004</v>
      </c>
    </row>
    <row r="436" spans="1:13" ht="25.5">
      <c r="A436" s="60" t="s">
        <v>266</v>
      </c>
      <c r="B436" s="29" t="s">
        <v>229</v>
      </c>
      <c r="C436" s="29" t="s">
        <v>32</v>
      </c>
      <c r="D436" s="29" t="s">
        <v>150</v>
      </c>
      <c r="E436" s="29" t="s">
        <v>267</v>
      </c>
      <c r="F436" s="59" t="s">
        <v>0</v>
      </c>
      <c r="G436" s="36">
        <f>G437</f>
        <v>300</v>
      </c>
      <c r="H436" s="36">
        <f t="shared" si="215"/>
        <v>300</v>
      </c>
      <c r="I436" s="36">
        <f t="shared" si="215"/>
        <v>300</v>
      </c>
      <c r="J436" s="36">
        <f t="shared" si="215"/>
        <v>300</v>
      </c>
      <c r="K436" s="36">
        <f t="shared" si="215"/>
        <v>299.92200000000003</v>
      </c>
      <c r="L436" s="36">
        <f t="shared" si="186"/>
        <v>99.974000000000004</v>
      </c>
      <c r="M436" s="36">
        <f t="shared" si="189"/>
        <v>99.974000000000004</v>
      </c>
    </row>
    <row r="437" spans="1:13">
      <c r="A437" s="60" t="s">
        <v>68</v>
      </c>
      <c r="B437" s="29" t="s">
        <v>229</v>
      </c>
      <c r="C437" s="29" t="s">
        <v>32</v>
      </c>
      <c r="D437" s="29" t="s">
        <v>150</v>
      </c>
      <c r="E437" s="29" t="s">
        <v>267</v>
      </c>
      <c r="F437" s="29" t="s">
        <v>69</v>
      </c>
      <c r="G437" s="36">
        <f>G438</f>
        <v>300</v>
      </c>
      <c r="H437" s="36">
        <f t="shared" ref="H437:K437" si="216">H438</f>
        <v>300</v>
      </c>
      <c r="I437" s="36">
        <f t="shared" si="216"/>
        <v>300</v>
      </c>
      <c r="J437" s="36">
        <f t="shared" si="216"/>
        <v>300</v>
      </c>
      <c r="K437" s="36">
        <f t="shared" si="216"/>
        <v>299.92200000000003</v>
      </c>
      <c r="L437" s="36">
        <f t="shared" si="186"/>
        <v>99.974000000000004</v>
      </c>
      <c r="M437" s="36">
        <f t="shared" si="189"/>
        <v>99.974000000000004</v>
      </c>
    </row>
    <row r="438" spans="1:13">
      <c r="A438" s="60" t="s">
        <v>70</v>
      </c>
      <c r="B438" s="29" t="s">
        <v>229</v>
      </c>
      <c r="C438" s="29" t="s">
        <v>32</v>
      </c>
      <c r="D438" s="29" t="s">
        <v>150</v>
      </c>
      <c r="E438" s="29" t="s">
        <v>267</v>
      </c>
      <c r="F438" s="29" t="s">
        <v>71</v>
      </c>
      <c r="G438" s="36">
        <v>300</v>
      </c>
      <c r="H438" s="36">
        <v>300</v>
      </c>
      <c r="I438" s="36">
        <v>300</v>
      </c>
      <c r="J438" s="36">
        <v>300</v>
      </c>
      <c r="K438" s="36">
        <v>299.92200000000003</v>
      </c>
      <c r="L438" s="36">
        <f t="shared" si="186"/>
        <v>99.974000000000004</v>
      </c>
      <c r="M438" s="36">
        <f t="shared" si="189"/>
        <v>99.974000000000004</v>
      </c>
    </row>
    <row r="439" spans="1:13" ht="51">
      <c r="A439" s="60" t="s">
        <v>33</v>
      </c>
      <c r="B439" s="29" t="s">
        <v>229</v>
      </c>
      <c r="C439" s="29" t="s">
        <v>32</v>
      </c>
      <c r="D439" s="29" t="s">
        <v>150</v>
      </c>
      <c r="E439" s="29" t="s">
        <v>34</v>
      </c>
      <c r="F439" s="59" t="s">
        <v>0</v>
      </c>
      <c r="G439" s="36">
        <f>G440+G450</f>
        <v>62395.200000000004</v>
      </c>
      <c r="H439" s="36">
        <f t="shared" ref="H439:K439" si="217">H440+H450</f>
        <v>62395.200000000004</v>
      </c>
      <c r="I439" s="36">
        <f t="shared" si="217"/>
        <v>25185.149999999998</v>
      </c>
      <c r="J439" s="36">
        <f t="shared" si="217"/>
        <v>25185.149999999998</v>
      </c>
      <c r="K439" s="36">
        <f t="shared" si="217"/>
        <v>23962.522649999999</v>
      </c>
      <c r="L439" s="36">
        <f t="shared" si="186"/>
        <v>38.404432792907144</v>
      </c>
      <c r="M439" s="36">
        <f t="shared" si="189"/>
        <v>95.145443445840115</v>
      </c>
    </row>
    <row r="440" spans="1:13" ht="38.25">
      <c r="A440" s="60" t="s">
        <v>268</v>
      </c>
      <c r="B440" s="29" t="s">
        <v>229</v>
      </c>
      <c r="C440" s="29" t="s">
        <v>32</v>
      </c>
      <c r="D440" s="29" t="s">
        <v>150</v>
      </c>
      <c r="E440" s="29" t="s">
        <v>269</v>
      </c>
      <c r="F440" s="59" t="s">
        <v>0</v>
      </c>
      <c r="G440" s="36">
        <f>G441+G444+G447</f>
        <v>41260.800000000003</v>
      </c>
      <c r="H440" s="36">
        <f t="shared" ref="H440:K440" si="218">H441+H444+H447</f>
        <v>41260.800000000003</v>
      </c>
      <c r="I440" s="36">
        <f t="shared" si="218"/>
        <v>14630.4</v>
      </c>
      <c r="J440" s="36">
        <f t="shared" si="218"/>
        <v>14630.4</v>
      </c>
      <c r="K440" s="36">
        <f t="shared" si="218"/>
        <v>14630.4</v>
      </c>
      <c r="L440" s="36">
        <f t="shared" si="186"/>
        <v>35.458352722196366</v>
      </c>
      <c r="M440" s="36">
        <f t="shared" si="189"/>
        <v>100</v>
      </c>
    </row>
    <row r="441" spans="1:13" ht="25.5">
      <c r="A441" s="60" t="s">
        <v>76</v>
      </c>
      <c r="B441" s="29" t="s">
        <v>229</v>
      </c>
      <c r="C441" s="29" t="s">
        <v>32</v>
      </c>
      <c r="D441" s="29" t="s">
        <v>150</v>
      </c>
      <c r="E441" s="29" t="s">
        <v>270</v>
      </c>
      <c r="F441" s="59" t="s">
        <v>0</v>
      </c>
      <c r="G441" s="36">
        <f>G442</f>
        <v>28810.799999999999</v>
      </c>
      <c r="H441" s="36">
        <f t="shared" ref="H441:K442" si="219">H442</f>
        <v>28810.799999999999</v>
      </c>
      <c r="I441" s="36">
        <f t="shared" si="219"/>
        <v>14630.4</v>
      </c>
      <c r="J441" s="36">
        <f t="shared" si="219"/>
        <v>14630.4</v>
      </c>
      <c r="K441" s="36">
        <f t="shared" si="219"/>
        <v>14630.4</v>
      </c>
      <c r="L441" s="36">
        <f t="shared" ref="L441:L508" si="220">K441/H441*100</f>
        <v>50.780957141072101</v>
      </c>
      <c r="M441" s="36">
        <f t="shared" ref="M441:M506" si="221">K441/I441*100</f>
        <v>100</v>
      </c>
    </row>
    <row r="442" spans="1:13" ht="25.5">
      <c r="A442" s="60" t="s">
        <v>80</v>
      </c>
      <c r="B442" s="29" t="s">
        <v>229</v>
      </c>
      <c r="C442" s="29" t="s">
        <v>32</v>
      </c>
      <c r="D442" s="29" t="s">
        <v>150</v>
      </c>
      <c r="E442" s="29" t="s">
        <v>270</v>
      </c>
      <c r="F442" s="29" t="s">
        <v>81</v>
      </c>
      <c r="G442" s="36">
        <f>G443</f>
        <v>28810.799999999999</v>
      </c>
      <c r="H442" s="36">
        <f t="shared" si="219"/>
        <v>28810.799999999999</v>
      </c>
      <c r="I442" s="36">
        <f t="shared" si="219"/>
        <v>14630.4</v>
      </c>
      <c r="J442" s="36">
        <f t="shared" si="219"/>
        <v>14630.4</v>
      </c>
      <c r="K442" s="36">
        <f t="shared" si="219"/>
        <v>14630.4</v>
      </c>
      <c r="L442" s="36">
        <f t="shared" si="220"/>
        <v>50.780957141072101</v>
      </c>
      <c r="M442" s="36">
        <f t="shared" si="221"/>
        <v>100</v>
      </c>
    </row>
    <row r="443" spans="1:13">
      <c r="A443" s="60" t="s">
        <v>271</v>
      </c>
      <c r="B443" s="29" t="s">
        <v>229</v>
      </c>
      <c r="C443" s="29" t="s">
        <v>32</v>
      </c>
      <c r="D443" s="29" t="s">
        <v>150</v>
      </c>
      <c r="E443" s="29" t="s">
        <v>270</v>
      </c>
      <c r="F443" s="29" t="s">
        <v>272</v>
      </c>
      <c r="G443" s="36">
        <v>28810.799999999999</v>
      </c>
      <c r="H443" s="36">
        <v>28810.799999999999</v>
      </c>
      <c r="I443" s="36">
        <v>14630.4</v>
      </c>
      <c r="J443" s="36">
        <v>14630.4</v>
      </c>
      <c r="K443" s="36">
        <v>14630.4</v>
      </c>
      <c r="L443" s="36">
        <f t="shared" si="220"/>
        <v>50.780957141072101</v>
      </c>
      <c r="M443" s="36">
        <f t="shared" si="221"/>
        <v>100</v>
      </c>
    </row>
    <row r="444" spans="1:13" ht="25.5">
      <c r="A444" s="60" t="s">
        <v>273</v>
      </c>
      <c r="B444" s="29" t="s">
        <v>229</v>
      </c>
      <c r="C444" s="29" t="s">
        <v>32</v>
      </c>
      <c r="D444" s="29" t="s">
        <v>150</v>
      </c>
      <c r="E444" s="29" t="s">
        <v>274</v>
      </c>
      <c r="F444" s="59" t="s">
        <v>0</v>
      </c>
      <c r="G444" s="36">
        <f>G445</f>
        <v>450</v>
      </c>
      <c r="H444" s="36">
        <f t="shared" ref="H444:K445" si="222">H445</f>
        <v>450</v>
      </c>
      <c r="I444" s="36">
        <f t="shared" si="222"/>
        <v>0</v>
      </c>
      <c r="J444" s="36">
        <f t="shared" si="222"/>
        <v>0</v>
      </c>
      <c r="K444" s="36">
        <f t="shared" si="222"/>
        <v>0</v>
      </c>
      <c r="L444" s="36">
        <f t="shared" si="220"/>
        <v>0</v>
      </c>
      <c r="M444" s="36">
        <v>0</v>
      </c>
    </row>
    <row r="445" spans="1:13" ht="25.5">
      <c r="A445" s="60" t="s">
        <v>80</v>
      </c>
      <c r="B445" s="29" t="s">
        <v>229</v>
      </c>
      <c r="C445" s="29" t="s">
        <v>32</v>
      </c>
      <c r="D445" s="29" t="s">
        <v>150</v>
      </c>
      <c r="E445" s="29" t="s">
        <v>274</v>
      </c>
      <c r="F445" s="29" t="s">
        <v>81</v>
      </c>
      <c r="G445" s="36">
        <f>G446</f>
        <v>450</v>
      </c>
      <c r="H445" s="36">
        <f t="shared" si="222"/>
        <v>450</v>
      </c>
      <c r="I445" s="36">
        <f t="shared" si="222"/>
        <v>0</v>
      </c>
      <c r="J445" s="36">
        <f t="shared" si="222"/>
        <v>0</v>
      </c>
      <c r="K445" s="36">
        <f t="shared" si="222"/>
        <v>0</v>
      </c>
      <c r="L445" s="36">
        <f t="shared" si="220"/>
        <v>0</v>
      </c>
      <c r="M445" s="36">
        <v>0</v>
      </c>
    </row>
    <row r="446" spans="1:13">
      <c r="A446" s="60" t="s">
        <v>271</v>
      </c>
      <c r="B446" s="29" t="s">
        <v>229</v>
      </c>
      <c r="C446" s="29" t="s">
        <v>32</v>
      </c>
      <c r="D446" s="29" t="s">
        <v>150</v>
      </c>
      <c r="E446" s="29" t="s">
        <v>274</v>
      </c>
      <c r="F446" s="29" t="s">
        <v>272</v>
      </c>
      <c r="G446" s="36">
        <v>450</v>
      </c>
      <c r="H446" s="36">
        <v>450</v>
      </c>
      <c r="I446" s="36">
        <v>0</v>
      </c>
      <c r="J446" s="36">
        <v>0</v>
      </c>
      <c r="K446" s="36">
        <v>0</v>
      </c>
      <c r="L446" s="36">
        <f t="shared" si="220"/>
        <v>0</v>
      </c>
      <c r="M446" s="36">
        <v>0</v>
      </c>
    </row>
    <row r="447" spans="1:13" ht="25.5">
      <c r="A447" s="60" t="s">
        <v>266</v>
      </c>
      <c r="B447" s="29" t="s">
        <v>229</v>
      </c>
      <c r="C447" s="29" t="s">
        <v>32</v>
      </c>
      <c r="D447" s="29" t="s">
        <v>150</v>
      </c>
      <c r="E447" s="29" t="s">
        <v>275</v>
      </c>
      <c r="F447" s="59" t="s">
        <v>0</v>
      </c>
      <c r="G447" s="36">
        <f>G448</f>
        <v>12000</v>
      </c>
      <c r="H447" s="36">
        <f t="shared" ref="H447:K448" si="223">H448</f>
        <v>12000</v>
      </c>
      <c r="I447" s="36">
        <f t="shared" si="223"/>
        <v>0</v>
      </c>
      <c r="J447" s="36">
        <f t="shared" si="223"/>
        <v>0</v>
      </c>
      <c r="K447" s="36">
        <f t="shared" si="223"/>
        <v>0</v>
      </c>
      <c r="L447" s="36">
        <f t="shared" si="220"/>
        <v>0</v>
      </c>
      <c r="M447" s="36">
        <v>0</v>
      </c>
    </row>
    <row r="448" spans="1:13" ht="25.5">
      <c r="A448" s="60" t="s">
        <v>64</v>
      </c>
      <c r="B448" s="29" t="s">
        <v>229</v>
      </c>
      <c r="C448" s="29" t="s">
        <v>32</v>
      </c>
      <c r="D448" s="29" t="s">
        <v>150</v>
      </c>
      <c r="E448" s="29" t="s">
        <v>275</v>
      </c>
      <c r="F448" s="29" t="s">
        <v>65</v>
      </c>
      <c r="G448" s="36">
        <f>G449</f>
        <v>12000</v>
      </c>
      <c r="H448" s="36">
        <f t="shared" si="223"/>
        <v>12000</v>
      </c>
      <c r="I448" s="36">
        <f t="shared" si="223"/>
        <v>0</v>
      </c>
      <c r="J448" s="36">
        <f t="shared" si="223"/>
        <v>0</v>
      </c>
      <c r="K448" s="36">
        <f t="shared" si="223"/>
        <v>0</v>
      </c>
      <c r="L448" s="36">
        <f t="shared" si="220"/>
        <v>0</v>
      </c>
      <c r="M448" s="36">
        <v>0</v>
      </c>
    </row>
    <row r="449" spans="1:13" ht="25.5">
      <c r="A449" s="60" t="s">
        <v>66</v>
      </c>
      <c r="B449" s="29" t="s">
        <v>229</v>
      </c>
      <c r="C449" s="29" t="s">
        <v>32</v>
      </c>
      <c r="D449" s="29" t="s">
        <v>150</v>
      </c>
      <c r="E449" s="29" t="s">
        <v>275</v>
      </c>
      <c r="F449" s="29" t="s">
        <v>67</v>
      </c>
      <c r="G449" s="36">
        <v>12000</v>
      </c>
      <c r="H449" s="36">
        <v>12000</v>
      </c>
      <c r="I449" s="36">
        <v>0</v>
      </c>
      <c r="J449" s="36">
        <v>0</v>
      </c>
      <c r="K449" s="36">
        <v>0</v>
      </c>
      <c r="L449" s="36">
        <f t="shared" si="220"/>
        <v>0</v>
      </c>
      <c r="M449" s="36">
        <v>0</v>
      </c>
    </row>
    <row r="450" spans="1:13" ht="25.5">
      <c r="A450" s="60" t="s">
        <v>276</v>
      </c>
      <c r="B450" s="29" t="s">
        <v>229</v>
      </c>
      <c r="C450" s="29" t="s">
        <v>32</v>
      </c>
      <c r="D450" s="29" t="s">
        <v>150</v>
      </c>
      <c r="E450" s="29" t="s">
        <v>277</v>
      </c>
      <c r="F450" s="59" t="s">
        <v>0</v>
      </c>
      <c r="G450" s="36">
        <f>G451++G454</f>
        <v>21134.400000000001</v>
      </c>
      <c r="H450" s="36">
        <f t="shared" ref="H450:K450" si="224">H451++H454</f>
        <v>21134.400000000001</v>
      </c>
      <c r="I450" s="36">
        <f t="shared" si="224"/>
        <v>10554.749999999998</v>
      </c>
      <c r="J450" s="36">
        <f t="shared" si="224"/>
        <v>10554.749999999998</v>
      </c>
      <c r="K450" s="36">
        <f t="shared" si="224"/>
        <v>9332.1226500000012</v>
      </c>
      <c r="L450" s="36">
        <f t="shared" si="220"/>
        <v>44.156080371337723</v>
      </c>
      <c r="M450" s="36">
        <f t="shared" si="221"/>
        <v>88.416330562069234</v>
      </c>
    </row>
    <row r="451" spans="1:13" ht="102">
      <c r="A451" s="60" t="s">
        <v>278</v>
      </c>
      <c r="B451" s="29" t="s">
        <v>229</v>
      </c>
      <c r="C451" s="29" t="s">
        <v>32</v>
      </c>
      <c r="D451" s="29" t="s">
        <v>150</v>
      </c>
      <c r="E451" s="29" t="s">
        <v>279</v>
      </c>
      <c r="F451" s="59" t="s">
        <v>0</v>
      </c>
      <c r="G451" s="36">
        <f>G452</f>
        <v>80.3</v>
      </c>
      <c r="H451" s="36">
        <f t="shared" ref="H451:K452" si="225">H452</f>
        <v>80.3</v>
      </c>
      <c r="I451" s="36">
        <f t="shared" si="225"/>
        <v>0</v>
      </c>
      <c r="J451" s="36">
        <f t="shared" si="225"/>
        <v>0</v>
      </c>
      <c r="K451" s="36">
        <f t="shared" si="225"/>
        <v>0</v>
      </c>
      <c r="L451" s="36">
        <f t="shared" si="220"/>
        <v>0</v>
      </c>
      <c r="M451" s="36">
        <v>0</v>
      </c>
    </row>
    <row r="452" spans="1:13" ht="25.5">
      <c r="A452" s="60" t="s">
        <v>64</v>
      </c>
      <c r="B452" s="29" t="s">
        <v>229</v>
      </c>
      <c r="C452" s="29" t="s">
        <v>32</v>
      </c>
      <c r="D452" s="29" t="s">
        <v>150</v>
      </c>
      <c r="E452" s="29" t="s">
        <v>279</v>
      </c>
      <c r="F452" s="29" t="s">
        <v>65</v>
      </c>
      <c r="G452" s="36">
        <f>G453</f>
        <v>80.3</v>
      </c>
      <c r="H452" s="36">
        <f t="shared" si="225"/>
        <v>80.3</v>
      </c>
      <c r="I452" s="36">
        <f t="shared" si="225"/>
        <v>0</v>
      </c>
      <c r="J452" s="36">
        <f t="shared" si="225"/>
        <v>0</v>
      </c>
      <c r="K452" s="36">
        <f t="shared" si="225"/>
        <v>0</v>
      </c>
      <c r="L452" s="36">
        <f t="shared" si="220"/>
        <v>0</v>
      </c>
      <c r="M452" s="36">
        <v>0</v>
      </c>
    </row>
    <row r="453" spans="1:13" ht="25.5">
      <c r="A453" s="60" t="s">
        <v>66</v>
      </c>
      <c r="B453" s="29" t="s">
        <v>229</v>
      </c>
      <c r="C453" s="29" t="s">
        <v>32</v>
      </c>
      <c r="D453" s="29" t="s">
        <v>150</v>
      </c>
      <c r="E453" s="29" t="s">
        <v>279</v>
      </c>
      <c r="F453" s="29" t="s">
        <v>67</v>
      </c>
      <c r="G453" s="36">
        <v>80.3</v>
      </c>
      <c r="H453" s="36">
        <v>80.3</v>
      </c>
      <c r="I453" s="36">
        <v>0</v>
      </c>
      <c r="J453" s="36">
        <v>0</v>
      </c>
      <c r="K453" s="36">
        <v>0</v>
      </c>
      <c r="L453" s="36">
        <f t="shared" si="220"/>
        <v>0</v>
      </c>
      <c r="M453" s="36">
        <v>0</v>
      </c>
    </row>
    <row r="454" spans="1:13" ht="114.75">
      <c r="A454" s="60" t="s">
        <v>280</v>
      </c>
      <c r="B454" s="29" t="s">
        <v>229</v>
      </c>
      <c r="C454" s="29" t="s">
        <v>32</v>
      </c>
      <c r="D454" s="29" t="s">
        <v>150</v>
      </c>
      <c r="E454" s="29" t="s">
        <v>281</v>
      </c>
      <c r="F454" s="59" t="s">
        <v>0</v>
      </c>
      <c r="G454" s="36">
        <f>G455+G457+G459</f>
        <v>21054.100000000002</v>
      </c>
      <c r="H454" s="36">
        <f t="shared" ref="H454:K454" si="226">H455+H457+H459</f>
        <v>21054.100000000002</v>
      </c>
      <c r="I454" s="36">
        <f t="shared" si="226"/>
        <v>10554.749999999998</v>
      </c>
      <c r="J454" s="36">
        <f t="shared" si="226"/>
        <v>10554.749999999998</v>
      </c>
      <c r="K454" s="36">
        <f t="shared" si="226"/>
        <v>9332.1226500000012</v>
      </c>
      <c r="L454" s="36">
        <f t="shared" si="220"/>
        <v>44.324490954255943</v>
      </c>
      <c r="M454" s="36">
        <f t="shared" si="221"/>
        <v>88.416330562069234</v>
      </c>
    </row>
    <row r="455" spans="1:13" ht="63.75">
      <c r="A455" s="60" t="s">
        <v>60</v>
      </c>
      <c r="B455" s="29" t="s">
        <v>229</v>
      </c>
      <c r="C455" s="29" t="s">
        <v>32</v>
      </c>
      <c r="D455" s="29" t="s">
        <v>150</v>
      </c>
      <c r="E455" s="29" t="s">
        <v>281</v>
      </c>
      <c r="F455" s="29" t="s">
        <v>61</v>
      </c>
      <c r="G455" s="36">
        <f>G456</f>
        <v>17386.3</v>
      </c>
      <c r="H455" s="36">
        <f t="shared" ref="H455:K455" si="227">H456</f>
        <v>17386.3</v>
      </c>
      <c r="I455" s="36">
        <f t="shared" si="227"/>
        <v>8822.6999999999989</v>
      </c>
      <c r="J455" s="36">
        <f t="shared" si="227"/>
        <v>8822.6999999999989</v>
      </c>
      <c r="K455" s="36">
        <f t="shared" si="227"/>
        <v>8025.7809999999999</v>
      </c>
      <c r="L455" s="36">
        <f t="shared" si="220"/>
        <v>46.161523728452863</v>
      </c>
      <c r="M455" s="36">
        <f t="shared" si="221"/>
        <v>90.967402269146646</v>
      </c>
    </row>
    <row r="456" spans="1:13" ht="25.5">
      <c r="A456" s="60" t="s">
        <v>62</v>
      </c>
      <c r="B456" s="29" t="s">
        <v>229</v>
      </c>
      <c r="C456" s="29" t="s">
        <v>32</v>
      </c>
      <c r="D456" s="29" t="s">
        <v>150</v>
      </c>
      <c r="E456" s="29" t="s">
        <v>281</v>
      </c>
      <c r="F456" s="29" t="s">
        <v>63</v>
      </c>
      <c r="G456" s="36">
        <v>17386.3</v>
      </c>
      <c r="H456" s="36">
        <v>17386.3</v>
      </c>
      <c r="I456" s="36">
        <f>6365.4+392.7+2064.6</f>
        <v>8822.6999999999989</v>
      </c>
      <c r="J456" s="36">
        <f>392.7+2064.6+6365.4</f>
        <v>8822.6999999999989</v>
      </c>
      <c r="K456" s="36">
        <f>6060.26502+217.22173+1748.29425</f>
        <v>8025.7809999999999</v>
      </c>
      <c r="L456" s="36">
        <f t="shared" si="220"/>
        <v>46.161523728452863</v>
      </c>
      <c r="M456" s="36">
        <f t="shared" si="221"/>
        <v>90.967402269146646</v>
      </c>
    </row>
    <row r="457" spans="1:13" ht="25.5">
      <c r="A457" s="60" t="s">
        <v>64</v>
      </c>
      <c r="B457" s="29" t="s">
        <v>229</v>
      </c>
      <c r="C457" s="29" t="s">
        <v>32</v>
      </c>
      <c r="D457" s="29" t="s">
        <v>150</v>
      </c>
      <c r="E457" s="29" t="s">
        <v>281</v>
      </c>
      <c r="F457" s="29" t="s">
        <v>65</v>
      </c>
      <c r="G457" s="36">
        <f>G458</f>
        <v>3599.9</v>
      </c>
      <c r="H457" s="36">
        <f t="shared" ref="H457:K457" si="228">H458</f>
        <v>3599.9</v>
      </c>
      <c r="I457" s="36">
        <f t="shared" si="228"/>
        <v>1691.55</v>
      </c>
      <c r="J457" s="36">
        <f t="shared" si="228"/>
        <v>1691.55</v>
      </c>
      <c r="K457" s="36">
        <f t="shared" si="228"/>
        <v>1289.1553100000001</v>
      </c>
      <c r="L457" s="36">
        <f t="shared" si="220"/>
        <v>35.81086446845746</v>
      </c>
      <c r="M457" s="36">
        <f t="shared" si="221"/>
        <v>76.211481185894598</v>
      </c>
    </row>
    <row r="458" spans="1:13" ht="25.5">
      <c r="A458" s="60" t="s">
        <v>66</v>
      </c>
      <c r="B458" s="29" t="s">
        <v>229</v>
      </c>
      <c r="C458" s="29" t="s">
        <v>32</v>
      </c>
      <c r="D458" s="29" t="s">
        <v>150</v>
      </c>
      <c r="E458" s="29" t="s">
        <v>281</v>
      </c>
      <c r="F458" s="29" t="s">
        <v>67</v>
      </c>
      <c r="G458" s="36">
        <v>3599.9</v>
      </c>
      <c r="H458" s="36">
        <v>3599.9</v>
      </c>
      <c r="I458" s="36">
        <v>1691.55</v>
      </c>
      <c r="J458" s="36">
        <v>1691.55</v>
      </c>
      <c r="K458" s="36">
        <v>1289.1553100000001</v>
      </c>
      <c r="L458" s="36">
        <f t="shared" si="220"/>
        <v>35.81086446845746</v>
      </c>
      <c r="M458" s="36">
        <f t="shared" si="221"/>
        <v>76.211481185894598</v>
      </c>
    </row>
    <row r="459" spans="1:13">
      <c r="A459" s="60" t="s">
        <v>72</v>
      </c>
      <c r="B459" s="29" t="s">
        <v>229</v>
      </c>
      <c r="C459" s="29" t="s">
        <v>32</v>
      </c>
      <c r="D459" s="29" t="s">
        <v>150</v>
      </c>
      <c r="E459" s="29" t="s">
        <v>281</v>
      </c>
      <c r="F459" s="29" t="s">
        <v>73</v>
      </c>
      <c r="G459" s="36">
        <f>G460</f>
        <v>67.900000000000006</v>
      </c>
      <c r="H459" s="36">
        <f>H460</f>
        <v>67.900000000000006</v>
      </c>
      <c r="I459" s="36">
        <f t="shared" ref="I459:K459" si="229">I460</f>
        <v>40.5</v>
      </c>
      <c r="J459" s="36">
        <f t="shared" si="229"/>
        <v>40.5</v>
      </c>
      <c r="K459" s="36">
        <f t="shared" si="229"/>
        <v>17.186340000000001</v>
      </c>
      <c r="L459" s="36">
        <f t="shared" si="220"/>
        <v>25.31125184094256</v>
      </c>
      <c r="M459" s="36">
        <f t="shared" si="221"/>
        <v>42.435407407407411</v>
      </c>
    </row>
    <row r="460" spans="1:13">
      <c r="A460" s="60" t="s">
        <v>74</v>
      </c>
      <c r="B460" s="29" t="s">
        <v>229</v>
      </c>
      <c r="C460" s="29" t="s">
        <v>32</v>
      </c>
      <c r="D460" s="29" t="s">
        <v>150</v>
      </c>
      <c r="E460" s="29" t="s">
        <v>281</v>
      </c>
      <c r="F460" s="29" t="s">
        <v>75</v>
      </c>
      <c r="G460" s="36">
        <v>67.900000000000006</v>
      </c>
      <c r="H460" s="36">
        <v>67.900000000000006</v>
      </c>
      <c r="I460" s="36">
        <v>40.5</v>
      </c>
      <c r="J460" s="36">
        <v>40.5</v>
      </c>
      <c r="K460" s="36">
        <v>17.186340000000001</v>
      </c>
      <c r="L460" s="36">
        <f t="shared" si="220"/>
        <v>25.31125184094256</v>
      </c>
      <c r="M460" s="36">
        <f t="shared" si="221"/>
        <v>42.435407407407411</v>
      </c>
    </row>
    <row r="461" spans="1:13">
      <c r="A461" s="63" t="s">
        <v>612</v>
      </c>
      <c r="B461" s="29" t="s">
        <v>229</v>
      </c>
      <c r="C461" s="29" t="s">
        <v>32</v>
      </c>
      <c r="D461" s="29" t="s">
        <v>150</v>
      </c>
      <c r="E461" s="30" t="s">
        <v>613</v>
      </c>
      <c r="F461" s="29"/>
      <c r="G461" s="36"/>
      <c r="H461" s="36">
        <f>H462</f>
        <v>2000</v>
      </c>
      <c r="I461" s="36">
        <f t="shared" ref="I461:K463" si="230">I462</f>
        <v>2000</v>
      </c>
      <c r="J461" s="36">
        <f t="shared" si="230"/>
        <v>2000</v>
      </c>
      <c r="K461" s="36">
        <f t="shared" si="230"/>
        <v>1790</v>
      </c>
      <c r="L461" s="36">
        <f t="shared" ref="L461:L464" si="231">K461/H461*100</f>
        <v>89.5</v>
      </c>
      <c r="M461" s="36">
        <f t="shared" ref="M461:M464" si="232">K461/I461*100</f>
        <v>89.5</v>
      </c>
    </row>
    <row r="462" spans="1:13">
      <c r="A462" s="60" t="s">
        <v>612</v>
      </c>
      <c r="B462" s="29" t="s">
        <v>229</v>
      </c>
      <c r="C462" s="29" t="s">
        <v>32</v>
      </c>
      <c r="D462" s="29" t="s">
        <v>150</v>
      </c>
      <c r="E462" s="30" t="s">
        <v>614</v>
      </c>
      <c r="F462" s="29"/>
      <c r="G462" s="36"/>
      <c r="H462" s="36">
        <f>H463</f>
        <v>2000</v>
      </c>
      <c r="I462" s="36">
        <f t="shared" si="230"/>
        <v>2000</v>
      </c>
      <c r="J462" s="36">
        <f t="shared" si="230"/>
        <v>2000</v>
      </c>
      <c r="K462" s="36">
        <f t="shared" si="230"/>
        <v>1790</v>
      </c>
      <c r="L462" s="36">
        <f t="shared" si="231"/>
        <v>89.5</v>
      </c>
      <c r="M462" s="36">
        <f t="shared" si="232"/>
        <v>89.5</v>
      </c>
    </row>
    <row r="463" spans="1:13">
      <c r="A463" s="60" t="s">
        <v>68</v>
      </c>
      <c r="B463" s="29" t="s">
        <v>229</v>
      </c>
      <c r="C463" s="29" t="s">
        <v>32</v>
      </c>
      <c r="D463" s="29" t="s">
        <v>150</v>
      </c>
      <c r="E463" s="30" t="s">
        <v>614</v>
      </c>
      <c r="F463" s="29">
        <v>300</v>
      </c>
      <c r="G463" s="36"/>
      <c r="H463" s="36">
        <f>H464</f>
        <v>2000</v>
      </c>
      <c r="I463" s="36">
        <f t="shared" si="230"/>
        <v>2000</v>
      </c>
      <c r="J463" s="36">
        <f t="shared" si="230"/>
        <v>2000</v>
      </c>
      <c r="K463" s="36">
        <f t="shared" si="230"/>
        <v>1790</v>
      </c>
      <c r="L463" s="36">
        <f t="shared" si="231"/>
        <v>89.5</v>
      </c>
      <c r="M463" s="36">
        <f t="shared" si="232"/>
        <v>89.5</v>
      </c>
    </row>
    <row r="464" spans="1:13">
      <c r="A464" s="63" t="s">
        <v>70</v>
      </c>
      <c r="B464" s="29" t="s">
        <v>229</v>
      </c>
      <c r="C464" s="29" t="s">
        <v>32</v>
      </c>
      <c r="D464" s="29" t="s">
        <v>150</v>
      </c>
      <c r="E464" s="30" t="s">
        <v>614</v>
      </c>
      <c r="F464" s="29">
        <v>360</v>
      </c>
      <c r="G464" s="36"/>
      <c r="H464" s="36">
        <v>2000</v>
      </c>
      <c r="I464" s="36">
        <v>2000</v>
      </c>
      <c r="J464" s="36">
        <v>2000</v>
      </c>
      <c r="K464" s="36">
        <v>1790</v>
      </c>
      <c r="L464" s="36">
        <f t="shared" si="231"/>
        <v>89.5</v>
      </c>
      <c r="M464" s="36">
        <f t="shared" si="232"/>
        <v>89.5</v>
      </c>
    </row>
    <row r="465" spans="1:13">
      <c r="A465" s="65" t="s">
        <v>0</v>
      </c>
      <c r="B465" s="66" t="s">
        <v>0</v>
      </c>
      <c r="C465" s="59" t="s">
        <v>0</v>
      </c>
      <c r="D465" s="59" t="s">
        <v>0</v>
      </c>
      <c r="E465" s="59" t="s">
        <v>0</v>
      </c>
      <c r="F465" s="59" t="s">
        <v>0</v>
      </c>
      <c r="G465" s="67" t="s">
        <v>0</v>
      </c>
      <c r="H465" s="67" t="s">
        <v>0</v>
      </c>
      <c r="I465" s="67" t="s">
        <v>0</v>
      </c>
      <c r="J465" s="67" t="s">
        <v>0</v>
      </c>
      <c r="K465" s="67" t="s">
        <v>0</v>
      </c>
      <c r="L465" s="67"/>
      <c r="M465" s="67"/>
    </row>
    <row r="466" spans="1:13" ht="25.5">
      <c r="A466" s="57" t="s">
        <v>282</v>
      </c>
      <c r="B466" s="58" t="s">
        <v>283</v>
      </c>
      <c r="C466" s="59" t="s">
        <v>0</v>
      </c>
      <c r="D466" s="59" t="s">
        <v>0</v>
      </c>
      <c r="E466" s="59" t="s">
        <v>0</v>
      </c>
      <c r="F466" s="59" t="s">
        <v>0</v>
      </c>
      <c r="G466" s="31">
        <f>G467+G489</f>
        <v>12155904.5</v>
      </c>
      <c r="H466" s="31">
        <f t="shared" ref="H466:K466" si="233">H467+H489</f>
        <v>12514378.432689998</v>
      </c>
      <c r="I466" s="31">
        <f t="shared" si="233"/>
        <v>6112858.3142799996</v>
      </c>
      <c r="J466" s="31">
        <f t="shared" si="233"/>
        <v>6107718.3142799996</v>
      </c>
      <c r="K466" s="31">
        <f t="shared" si="233"/>
        <v>6066905.6134499991</v>
      </c>
      <c r="L466" s="31">
        <f t="shared" si="220"/>
        <v>48.479480192176851</v>
      </c>
      <c r="M466" s="31">
        <f t="shared" si="221"/>
        <v>99.248261640178185</v>
      </c>
    </row>
    <row r="467" spans="1:13">
      <c r="A467" s="60" t="s">
        <v>109</v>
      </c>
      <c r="B467" s="29" t="s">
        <v>283</v>
      </c>
      <c r="C467" s="29" t="s">
        <v>110</v>
      </c>
      <c r="D467" s="59" t="s">
        <v>0</v>
      </c>
      <c r="E467" s="59" t="s">
        <v>0</v>
      </c>
      <c r="F467" s="59" t="s">
        <v>0</v>
      </c>
      <c r="G467" s="36">
        <f>G468+G478</f>
        <v>82129.2</v>
      </c>
      <c r="H467" s="36">
        <f t="shared" ref="H467:K467" si="234">H468+H478</f>
        <v>82129.2</v>
      </c>
      <c r="I467" s="36">
        <f t="shared" si="234"/>
        <v>40989.299999999996</v>
      </c>
      <c r="J467" s="36">
        <f t="shared" si="234"/>
        <v>40989.299999999996</v>
      </c>
      <c r="K467" s="36">
        <f t="shared" si="234"/>
        <v>40989.299999999996</v>
      </c>
      <c r="L467" s="36">
        <f t="shared" si="220"/>
        <v>49.908315191186567</v>
      </c>
      <c r="M467" s="36">
        <f t="shared" si="221"/>
        <v>100</v>
      </c>
    </row>
    <row r="468" spans="1:13">
      <c r="A468" s="60" t="s">
        <v>127</v>
      </c>
      <c r="B468" s="29" t="s">
        <v>283</v>
      </c>
      <c r="C468" s="29" t="s">
        <v>110</v>
      </c>
      <c r="D468" s="29" t="s">
        <v>19</v>
      </c>
      <c r="E468" s="59" t="s">
        <v>0</v>
      </c>
      <c r="F468" s="59" t="s">
        <v>0</v>
      </c>
      <c r="G468" s="36">
        <f>G469+G474</f>
        <v>77145</v>
      </c>
      <c r="H468" s="36">
        <f t="shared" ref="H468:K468" si="235">H469+H474</f>
        <v>77145</v>
      </c>
      <c r="I468" s="36">
        <f t="shared" si="235"/>
        <v>38455.199999999997</v>
      </c>
      <c r="J468" s="36">
        <f t="shared" si="235"/>
        <v>38455.199999999997</v>
      </c>
      <c r="K468" s="36">
        <f t="shared" si="235"/>
        <v>38455.199999999997</v>
      </c>
      <c r="L468" s="36">
        <f t="shared" si="220"/>
        <v>49.847948668092549</v>
      </c>
      <c r="M468" s="36">
        <f t="shared" si="221"/>
        <v>100</v>
      </c>
    </row>
    <row r="469" spans="1:13" ht="38.25">
      <c r="A469" s="60" t="s">
        <v>136</v>
      </c>
      <c r="B469" s="29" t="s">
        <v>283</v>
      </c>
      <c r="C469" s="29" t="s">
        <v>110</v>
      </c>
      <c r="D469" s="29" t="s">
        <v>19</v>
      </c>
      <c r="E469" s="29" t="s">
        <v>137</v>
      </c>
      <c r="F469" s="59" t="s">
        <v>0</v>
      </c>
      <c r="G469" s="36">
        <f>G470</f>
        <v>77064</v>
      </c>
      <c r="H469" s="36">
        <f t="shared" ref="H469:K472" si="236">H470</f>
        <v>77064</v>
      </c>
      <c r="I469" s="36">
        <f t="shared" si="236"/>
        <v>38374.199999999997</v>
      </c>
      <c r="J469" s="36">
        <f t="shared" si="236"/>
        <v>38374.199999999997</v>
      </c>
      <c r="K469" s="36">
        <f t="shared" si="236"/>
        <v>38374.199999999997</v>
      </c>
      <c r="L469" s="36">
        <f t="shared" si="220"/>
        <v>49.795235129243224</v>
      </c>
      <c r="M469" s="36">
        <f t="shared" si="221"/>
        <v>100</v>
      </c>
    </row>
    <row r="470" spans="1:13" ht="25.5">
      <c r="A470" s="60" t="s">
        <v>284</v>
      </c>
      <c r="B470" s="29" t="s">
        <v>283</v>
      </c>
      <c r="C470" s="29" t="s">
        <v>110</v>
      </c>
      <c r="D470" s="29" t="s">
        <v>19</v>
      </c>
      <c r="E470" s="29" t="s">
        <v>285</v>
      </c>
      <c r="F470" s="59" t="s">
        <v>0</v>
      </c>
      <c r="G470" s="36">
        <f>G471</f>
        <v>77064</v>
      </c>
      <c r="H470" s="36">
        <f t="shared" si="236"/>
        <v>77064</v>
      </c>
      <c r="I470" s="36">
        <f t="shared" si="236"/>
        <v>38374.199999999997</v>
      </c>
      <c r="J470" s="36">
        <f t="shared" si="236"/>
        <v>38374.199999999997</v>
      </c>
      <c r="K470" s="36">
        <f t="shared" si="236"/>
        <v>38374.199999999997</v>
      </c>
      <c r="L470" s="36">
        <f t="shared" si="220"/>
        <v>49.795235129243224</v>
      </c>
      <c r="M470" s="36">
        <f t="shared" si="221"/>
        <v>100</v>
      </c>
    </row>
    <row r="471" spans="1:13" ht="25.5">
      <c r="A471" s="60" t="s">
        <v>76</v>
      </c>
      <c r="B471" s="29" t="s">
        <v>283</v>
      </c>
      <c r="C471" s="29" t="s">
        <v>110</v>
      </c>
      <c r="D471" s="29" t="s">
        <v>19</v>
      </c>
      <c r="E471" s="29" t="s">
        <v>286</v>
      </c>
      <c r="F471" s="59" t="s">
        <v>0</v>
      </c>
      <c r="G471" s="36">
        <f>G472</f>
        <v>77064</v>
      </c>
      <c r="H471" s="36">
        <f t="shared" si="236"/>
        <v>77064</v>
      </c>
      <c r="I471" s="36">
        <f t="shared" si="236"/>
        <v>38374.199999999997</v>
      </c>
      <c r="J471" s="36">
        <f t="shared" si="236"/>
        <v>38374.199999999997</v>
      </c>
      <c r="K471" s="36">
        <f t="shared" si="236"/>
        <v>38374.199999999997</v>
      </c>
      <c r="L471" s="36">
        <f t="shared" si="220"/>
        <v>49.795235129243224</v>
      </c>
      <c r="M471" s="36">
        <f t="shared" si="221"/>
        <v>100</v>
      </c>
    </row>
    <row r="472" spans="1:13" ht="25.5">
      <c r="A472" s="60" t="s">
        <v>80</v>
      </c>
      <c r="B472" s="29" t="s">
        <v>283</v>
      </c>
      <c r="C472" s="29" t="s">
        <v>110</v>
      </c>
      <c r="D472" s="29" t="s">
        <v>19</v>
      </c>
      <c r="E472" s="29" t="s">
        <v>286</v>
      </c>
      <c r="F472" s="29" t="s">
        <v>81</v>
      </c>
      <c r="G472" s="36">
        <f>G473</f>
        <v>77064</v>
      </c>
      <c r="H472" s="36">
        <f t="shared" si="236"/>
        <v>77064</v>
      </c>
      <c r="I472" s="36">
        <f t="shared" si="236"/>
        <v>38374.199999999997</v>
      </c>
      <c r="J472" s="36">
        <f t="shared" si="236"/>
        <v>38374.199999999997</v>
      </c>
      <c r="K472" s="36">
        <f t="shared" si="236"/>
        <v>38374.199999999997</v>
      </c>
      <c r="L472" s="36">
        <f t="shared" si="220"/>
        <v>49.795235129243224</v>
      </c>
      <c r="M472" s="36">
        <f t="shared" si="221"/>
        <v>100</v>
      </c>
    </row>
    <row r="473" spans="1:13">
      <c r="A473" s="60" t="s">
        <v>82</v>
      </c>
      <c r="B473" s="29" t="s">
        <v>283</v>
      </c>
      <c r="C473" s="29" t="s">
        <v>110</v>
      </c>
      <c r="D473" s="29" t="s">
        <v>19</v>
      </c>
      <c r="E473" s="29" t="s">
        <v>286</v>
      </c>
      <c r="F473" s="29" t="s">
        <v>83</v>
      </c>
      <c r="G473" s="36">
        <v>77064</v>
      </c>
      <c r="H473" s="36">
        <v>77064</v>
      </c>
      <c r="I473" s="36">
        <v>38374.199999999997</v>
      </c>
      <c r="J473" s="36">
        <v>38374.199999999997</v>
      </c>
      <c r="K473" s="36">
        <v>38374.199999999997</v>
      </c>
      <c r="L473" s="36">
        <f t="shared" si="220"/>
        <v>49.795235129243224</v>
      </c>
      <c r="M473" s="36">
        <f t="shared" si="221"/>
        <v>100</v>
      </c>
    </row>
    <row r="474" spans="1:13" ht="25.5">
      <c r="A474" s="60" t="s">
        <v>142</v>
      </c>
      <c r="B474" s="29" t="s">
        <v>283</v>
      </c>
      <c r="C474" s="29" t="s">
        <v>110</v>
      </c>
      <c r="D474" s="29" t="s">
        <v>19</v>
      </c>
      <c r="E474" s="29" t="s">
        <v>143</v>
      </c>
      <c r="F474" s="59" t="s">
        <v>0</v>
      </c>
      <c r="G474" s="36">
        <f>G475</f>
        <v>81</v>
      </c>
      <c r="H474" s="36">
        <f t="shared" ref="H474:K476" si="237">H475</f>
        <v>81</v>
      </c>
      <c r="I474" s="36">
        <f t="shared" si="237"/>
        <v>81</v>
      </c>
      <c r="J474" s="36">
        <f t="shared" si="237"/>
        <v>81</v>
      </c>
      <c r="K474" s="36">
        <f t="shared" si="237"/>
        <v>81</v>
      </c>
      <c r="L474" s="36">
        <f t="shared" si="220"/>
        <v>100</v>
      </c>
      <c r="M474" s="36">
        <f t="shared" si="221"/>
        <v>100</v>
      </c>
    </row>
    <row r="475" spans="1:13" ht="25.5">
      <c r="A475" s="60" t="s">
        <v>76</v>
      </c>
      <c r="B475" s="29" t="s">
        <v>283</v>
      </c>
      <c r="C475" s="29" t="s">
        <v>110</v>
      </c>
      <c r="D475" s="29" t="s">
        <v>19</v>
      </c>
      <c r="E475" s="29" t="s">
        <v>287</v>
      </c>
      <c r="F475" s="59" t="s">
        <v>0</v>
      </c>
      <c r="G475" s="36">
        <f>G476</f>
        <v>81</v>
      </c>
      <c r="H475" s="36">
        <f t="shared" si="237"/>
        <v>81</v>
      </c>
      <c r="I475" s="36">
        <f t="shared" si="237"/>
        <v>81</v>
      </c>
      <c r="J475" s="36">
        <f t="shared" si="237"/>
        <v>81</v>
      </c>
      <c r="K475" s="36">
        <f t="shared" si="237"/>
        <v>81</v>
      </c>
      <c r="L475" s="36">
        <f t="shared" si="220"/>
        <v>100</v>
      </c>
      <c r="M475" s="36">
        <f t="shared" si="221"/>
        <v>100</v>
      </c>
    </row>
    <row r="476" spans="1:13" ht="25.5">
      <c r="A476" s="60" t="s">
        <v>80</v>
      </c>
      <c r="B476" s="29" t="s">
        <v>283</v>
      </c>
      <c r="C476" s="29" t="s">
        <v>110</v>
      </c>
      <c r="D476" s="29" t="s">
        <v>19</v>
      </c>
      <c r="E476" s="29" t="s">
        <v>287</v>
      </c>
      <c r="F476" s="29" t="s">
        <v>81</v>
      </c>
      <c r="G476" s="36">
        <f>G477</f>
        <v>81</v>
      </c>
      <c r="H476" s="36">
        <f t="shared" si="237"/>
        <v>81</v>
      </c>
      <c r="I476" s="36">
        <f t="shared" si="237"/>
        <v>81</v>
      </c>
      <c r="J476" s="36">
        <f t="shared" si="237"/>
        <v>81</v>
      </c>
      <c r="K476" s="36">
        <f t="shared" si="237"/>
        <v>81</v>
      </c>
      <c r="L476" s="36">
        <f t="shared" si="220"/>
        <v>100</v>
      </c>
      <c r="M476" s="36">
        <f t="shared" si="221"/>
        <v>100</v>
      </c>
    </row>
    <row r="477" spans="1:13">
      <c r="A477" s="60" t="s">
        <v>82</v>
      </c>
      <c r="B477" s="29" t="s">
        <v>283</v>
      </c>
      <c r="C477" s="29" t="s">
        <v>110</v>
      </c>
      <c r="D477" s="29" t="s">
        <v>19</v>
      </c>
      <c r="E477" s="29" t="s">
        <v>287</v>
      </c>
      <c r="F477" s="29" t="s">
        <v>83</v>
      </c>
      <c r="G477" s="36">
        <v>81</v>
      </c>
      <c r="H477" s="36">
        <v>81</v>
      </c>
      <c r="I477" s="36">
        <v>81</v>
      </c>
      <c r="J477" s="36">
        <v>81</v>
      </c>
      <c r="K477" s="36">
        <v>81</v>
      </c>
      <c r="L477" s="36">
        <f t="shared" si="220"/>
        <v>100</v>
      </c>
      <c r="M477" s="36">
        <f t="shared" si="221"/>
        <v>100</v>
      </c>
    </row>
    <row r="478" spans="1:13" ht="25.5">
      <c r="A478" s="60" t="s">
        <v>288</v>
      </c>
      <c r="B478" s="29" t="s">
        <v>283</v>
      </c>
      <c r="C478" s="29" t="s">
        <v>110</v>
      </c>
      <c r="D478" s="29" t="s">
        <v>93</v>
      </c>
      <c r="E478" s="59" t="s">
        <v>0</v>
      </c>
      <c r="F478" s="59" t="s">
        <v>0</v>
      </c>
      <c r="G478" s="36">
        <f>G479+G484</f>
        <v>4984.2</v>
      </c>
      <c r="H478" s="36">
        <f t="shared" ref="H478:K478" si="238">H479+H484</f>
        <v>4984.2</v>
      </c>
      <c r="I478" s="36">
        <f t="shared" si="238"/>
        <v>2534.1</v>
      </c>
      <c r="J478" s="36">
        <f t="shared" si="238"/>
        <v>2534.1</v>
      </c>
      <c r="K478" s="36">
        <f t="shared" si="238"/>
        <v>2534.1</v>
      </c>
      <c r="L478" s="36">
        <f t="shared" si="220"/>
        <v>50.842662814493799</v>
      </c>
      <c r="M478" s="36">
        <f t="shared" si="221"/>
        <v>100</v>
      </c>
    </row>
    <row r="479" spans="1:13" ht="38.25">
      <c r="A479" s="60" t="s">
        <v>136</v>
      </c>
      <c r="B479" s="29" t="s">
        <v>283</v>
      </c>
      <c r="C479" s="29" t="s">
        <v>110</v>
      </c>
      <c r="D479" s="29" t="s">
        <v>93</v>
      </c>
      <c r="E479" s="29" t="s">
        <v>137</v>
      </c>
      <c r="F479" s="59" t="s">
        <v>0</v>
      </c>
      <c r="G479" s="36">
        <f>G480</f>
        <v>4900.2</v>
      </c>
      <c r="H479" s="36">
        <f t="shared" ref="H479:K482" si="239">H480</f>
        <v>4900.2</v>
      </c>
      <c r="I479" s="36">
        <f t="shared" si="239"/>
        <v>2450.1</v>
      </c>
      <c r="J479" s="36">
        <f t="shared" si="239"/>
        <v>2450.1</v>
      </c>
      <c r="K479" s="36">
        <f t="shared" si="239"/>
        <v>2450.1</v>
      </c>
      <c r="L479" s="36">
        <f t="shared" si="220"/>
        <v>50</v>
      </c>
      <c r="M479" s="36">
        <f t="shared" si="221"/>
        <v>100</v>
      </c>
    </row>
    <row r="480" spans="1:13" ht="25.5">
      <c r="A480" s="60" t="s">
        <v>284</v>
      </c>
      <c r="B480" s="29" t="s">
        <v>283</v>
      </c>
      <c r="C480" s="29" t="s">
        <v>110</v>
      </c>
      <c r="D480" s="29" t="s">
        <v>93</v>
      </c>
      <c r="E480" s="29" t="s">
        <v>285</v>
      </c>
      <c r="F480" s="59" t="s">
        <v>0</v>
      </c>
      <c r="G480" s="36">
        <f>G481</f>
        <v>4900.2</v>
      </c>
      <c r="H480" s="36">
        <f t="shared" si="239"/>
        <v>4900.2</v>
      </c>
      <c r="I480" s="36">
        <f t="shared" si="239"/>
        <v>2450.1</v>
      </c>
      <c r="J480" s="36">
        <f t="shared" si="239"/>
        <v>2450.1</v>
      </c>
      <c r="K480" s="36">
        <f t="shared" si="239"/>
        <v>2450.1</v>
      </c>
      <c r="L480" s="36">
        <f t="shared" si="220"/>
        <v>50</v>
      </c>
      <c r="M480" s="36">
        <f t="shared" si="221"/>
        <v>100</v>
      </c>
    </row>
    <row r="481" spans="1:13" ht="25.5">
      <c r="A481" s="60" t="s">
        <v>76</v>
      </c>
      <c r="B481" s="29" t="s">
        <v>283</v>
      </c>
      <c r="C481" s="29" t="s">
        <v>110</v>
      </c>
      <c r="D481" s="29" t="s">
        <v>93</v>
      </c>
      <c r="E481" s="29" t="s">
        <v>286</v>
      </c>
      <c r="F481" s="59" t="s">
        <v>0</v>
      </c>
      <c r="G481" s="36">
        <f>G482</f>
        <v>4900.2</v>
      </c>
      <c r="H481" s="36">
        <f t="shared" si="239"/>
        <v>4900.2</v>
      </c>
      <c r="I481" s="36">
        <f t="shared" si="239"/>
        <v>2450.1</v>
      </c>
      <c r="J481" s="36">
        <f t="shared" si="239"/>
        <v>2450.1</v>
      </c>
      <c r="K481" s="36">
        <f t="shared" si="239"/>
        <v>2450.1</v>
      </c>
      <c r="L481" s="36">
        <f t="shared" si="220"/>
        <v>50</v>
      </c>
      <c r="M481" s="36">
        <f t="shared" si="221"/>
        <v>100</v>
      </c>
    </row>
    <row r="482" spans="1:13" ht="25.5">
      <c r="A482" s="60" t="s">
        <v>80</v>
      </c>
      <c r="B482" s="29" t="s">
        <v>283</v>
      </c>
      <c r="C482" s="29" t="s">
        <v>110</v>
      </c>
      <c r="D482" s="29" t="s">
        <v>93</v>
      </c>
      <c r="E482" s="29" t="s">
        <v>286</v>
      </c>
      <c r="F482" s="29" t="s">
        <v>81</v>
      </c>
      <c r="G482" s="36">
        <f>G483</f>
        <v>4900.2</v>
      </c>
      <c r="H482" s="36">
        <f t="shared" si="239"/>
        <v>4900.2</v>
      </c>
      <c r="I482" s="36">
        <f t="shared" si="239"/>
        <v>2450.1</v>
      </c>
      <c r="J482" s="36">
        <f t="shared" si="239"/>
        <v>2450.1</v>
      </c>
      <c r="K482" s="36">
        <f t="shared" si="239"/>
        <v>2450.1</v>
      </c>
      <c r="L482" s="36">
        <f t="shared" si="220"/>
        <v>50</v>
      </c>
      <c r="M482" s="36">
        <f t="shared" si="221"/>
        <v>100</v>
      </c>
    </row>
    <row r="483" spans="1:13">
      <c r="A483" s="60" t="s">
        <v>82</v>
      </c>
      <c r="B483" s="29" t="s">
        <v>283</v>
      </c>
      <c r="C483" s="29" t="s">
        <v>110</v>
      </c>
      <c r="D483" s="29" t="s">
        <v>93</v>
      </c>
      <c r="E483" s="29" t="s">
        <v>286</v>
      </c>
      <c r="F483" s="29" t="s">
        <v>83</v>
      </c>
      <c r="G483" s="36">
        <v>4900.2</v>
      </c>
      <c r="H483" s="36">
        <v>4900.2</v>
      </c>
      <c r="I483" s="36">
        <v>2450.1</v>
      </c>
      <c r="J483" s="36">
        <v>2450.1</v>
      </c>
      <c r="K483" s="36">
        <v>2450.1</v>
      </c>
      <c r="L483" s="36">
        <f t="shared" si="220"/>
        <v>50</v>
      </c>
      <c r="M483" s="36">
        <f t="shared" si="221"/>
        <v>100</v>
      </c>
    </row>
    <row r="484" spans="1:13" ht="25.5">
      <c r="A484" s="60" t="s">
        <v>142</v>
      </c>
      <c r="B484" s="29" t="s">
        <v>283</v>
      </c>
      <c r="C484" s="29" t="s">
        <v>110</v>
      </c>
      <c r="D484" s="29" t="s">
        <v>93</v>
      </c>
      <c r="E484" s="29" t="s">
        <v>143</v>
      </c>
      <c r="F484" s="59" t="s">
        <v>0</v>
      </c>
      <c r="G484" s="36">
        <f>G485</f>
        <v>84</v>
      </c>
      <c r="H484" s="36">
        <f t="shared" ref="H484:K486" si="240">H485</f>
        <v>84</v>
      </c>
      <c r="I484" s="36">
        <f t="shared" si="240"/>
        <v>84</v>
      </c>
      <c r="J484" s="36">
        <f t="shared" si="240"/>
        <v>84</v>
      </c>
      <c r="K484" s="36">
        <f t="shared" si="240"/>
        <v>84</v>
      </c>
      <c r="L484" s="36">
        <f t="shared" si="220"/>
        <v>100</v>
      </c>
      <c r="M484" s="36">
        <f t="shared" si="221"/>
        <v>100</v>
      </c>
    </row>
    <row r="485" spans="1:13" ht="25.5">
      <c r="A485" s="60" t="s">
        <v>76</v>
      </c>
      <c r="B485" s="29" t="s">
        <v>283</v>
      </c>
      <c r="C485" s="29" t="s">
        <v>110</v>
      </c>
      <c r="D485" s="29" t="s">
        <v>93</v>
      </c>
      <c r="E485" s="29" t="s">
        <v>287</v>
      </c>
      <c r="F485" s="59" t="s">
        <v>0</v>
      </c>
      <c r="G485" s="36">
        <f>G486</f>
        <v>84</v>
      </c>
      <c r="H485" s="36">
        <f t="shared" si="240"/>
        <v>84</v>
      </c>
      <c r="I485" s="36">
        <f t="shared" si="240"/>
        <v>84</v>
      </c>
      <c r="J485" s="36">
        <f t="shared" si="240"/>
        <v>84</v>
      </c>
      <c r="K485" s="36">
        <f t="shared" si="240"/>
        <v>84</v>
      </c>
      <c r="L485" s="36">
        <f t="shared" si="220"/>
        <v>100</v>
      </c>
      <c r="M485" s="36">
        <f t="shared" si="221"/>
        <v>100</v>
      </c>
    </row>
    <row r="486" spans="1:13" ht="25.5">
      <c r="A486" s="60" t="s">
        <v>80</v>
      </c>
      <c r="B486" s="29" t="s">
        <v>283</v>
      </c>
      <c r="C486" s="29" t="s">
        <v>110</v>
      </c>
      <c r="D486" s="29" t="s">
        <v>93</v>
      </c>
      <c r="E486" s="29" t="s">
        <v>287</v>
      </c>
      <c r="F486" s="29" t="s">
        <v>81</v>
      </c>
      <c r="G486" s="36">
        <f>G487</f>
        <v>84</v>
      </c>
      <c r="H486" s="36">
        <f t="shared" si="240"/>
        <v>84</v>
      </c>
      <c r="I486" s="36">
        <f t="shared" si="240"/>
        <v>84</v>
      </c>
      <c r="J486" s="36">
        <f t="shared" si="240"/>
        <v>84</v>
      </c>
      <c r="K486" s="36">
        <f t="shared" si="240"/>
        <v>84</v>
      </c>
      <c r="L486" s="36">
        <f t="shared" si="220"/>
        <v>100</v>
      </c>
      <c r="M486" s="36">
        <f t="shared" si="221"/>
        <v>100</v>
      </c>
    </row>
    <row r="487" spans="1:13">
      <c r="A487" s="60" t="s">
        <v>82</v>
      </c>
      <c r="B487" s="29" t="s">
        <v>283</v>
      </c>
      <c r="C487" s="29" t="s">
        <v>110</v>
      </c>
      <c r="D487" s="29" t="s">
        <v>93</v>
      </c>
      <c r="E487" s="29" t="s">
        <v>287</v>
      </c>
      <c r="F487" s="29" t="s">
        <v>83</v>
      </c>
      <c r="G487" s="36">
        <v>84</v>
      </c>
      <c r="H487" s="36">
        <v>84</v>
      </c>
      <c r="I487" s="36">
        <v>84</v>
      </c>
      <c r="J487" s="36">
        <v>84</v>
      </c>
      <c r="K487" s="36">
        <v>84</v>
      </c>
      <c r="L487" s="36">
        <f t="shared" si="220"/>
        <v>100</v>
      </c>
      <c r="M487" s="36">
        <f t="shared" si="221"/>
        <v>100</v>
      </c>
    </row>
    <row r="488" spans="1:13">
      <c r="A488" s="61" t="s">
        <v>0</v>
      </c>
      <c r="B488" s="59" t="s">
        <v>0</v>
      </c>
      <c r="C488" s="59" t="s">
        <v>0</v>
      </c>
      <c r="D488" s="59" t="s">
        <v>0</v>
      </c>
      <c r="E488" s="59" t="s">
        <v>0</v>
      </c>
      <c r="F488" s="59" t="s">
        <v>0</v>
      </c>
      <c r="G488" s="62" t="s">
        <v>0</v>
      </c>
      <c r="H488" s="62" t="s">
        <v>0</v>
      </c>
      <c r="I488" s="62" t="s">
        <v>0</v>
      </c>
      <c r="J488" s="62" t="s">
        <v>0</v>
      </c>
      <c r="K488" s="62" t="s">
        <v>0</v>
      </c>
      <c r="L488" s="62"/>
      <c r="M488" s="62"/>
    </row>
    <row r="489" spans="1:13">
      <c r="A489" s="60" t="s">
        <v>134</v>
      </c>
      <c r="B489" s="29" t="s">
        <v>283</v>
      </c>
      <c r="C489" s="29" t="s">
        <v>46</v>
      </c>
      <c r="D489" s="59" t="s">
        <v>0</v>
      </c>
      <c r="E489" s="59" t="s">
        <v>0</v>
      </c>
      <c r="F489" s="59" t="s">
        <v>0</v>
      </c>
      <c r="G489" s="36">
        <f>G490+G524+G558+G567+G574+G580</f>
        <v>12073775.300000001</v>
      </c>
      <c r="H489" s="36">
        <f>H490+H524+H558+H567+H574+H580</f>
        <v>12432249.232689999</v>
      </c>
      <c r="I489" s="36">
        <f>I490+I524+I558+I567+I574+I580</f>
        <v>6071869.0142799998</v>
      </c>
      <c r="J489" s="36">
        <f>J490+J524+J558+J567+J574+J580</f>
        <v>6066729.0142799998</v>
      </c>
      <c r="K489" s="36">
        <f>K490+K524+K558+K567+K574+K580</f>
        <v>6025916.3134499993</v>
      </c>
      <c r="L489" s="36">
        <f t="shared" si="220"/>
        <v>48.47004110571676</v>
      </c>
      <c r="M489" s="36">
        <f t="shared" si="221"/>
        <v>99.243186888222922</v>
      </c>
    </row>
    <row r="490" spans="1:13">
      <c r="A490" s="60" t="s">
        <v>135</v>
      </c>
      <c r="B490" s="29" t="s">
        <v>283</v>
      </c>
      <c r="C490" s="29" t="s">
        <v>46</v>
      </c>
      <c r="D490" s="29" t="s">
        <v>17</v>
      </c>
      <c r="E490" s="59" t="s">
        <v>0</v>
      </c>
      <c r="F490" s="59" t="s">
        <v>0</v>
      </c>
      <c r="G490" s="36">
        <f>G491+G507</f>
        <v>2284159.5</v>
      </c>
      <c r="H490" s="36">
        <f>H491+H507+H515+H519</f>
        <v>2296295.7337699998</v>
      </c>
      <c r="I490" s="36">
        <f t="shared" ref="I490:K490" si="241">I491+I507+I515+I519</f>
        <v>1008863.8907700001</v>
      </c>
      <c r="J490" s="36">
        <f t="shared" si="241"/>
        <v>1008863.8907700001</v>
      </c>
      <c r="K490" s="36">
        <f t="shared" si="241"/>
        <v>1008863.8907700001</v>
      </c>
      <c r="L490" s="36">
        <f t="shared" si="220"/>
        <v>43.934406005870727</v>
      </c>
      <c r="M490" s="36">
        <f t="shared" si="221"/>
        <v>100</v>
      </c>
    </row>
    <row r="491" spans="1:13" ht="38.25">
      <c r="A491" s="60" t="s">
        <v>136</v>
      </c>
      <c r="B491" s="29" t="s">
        <v>283</v>
      </c>
      <c r="C491" s="29" t="s">
        <v>46</v>
      </c>
      <c r="D491" s="29" t="s">
        <v>17</v>
      </c>
      <c r="E491" s="29" t="s">
        <v>137</v>
      </c>
      <c r="F491" s="59" t="s">
        <v>0</v>
      </c>
      <c r="G491" s="36">
        <f>G492+G503</f>
        <v>2283159.5</v>
      </c>
      <c r="H491" s="36">
        <f t="shared" ref="H491:K491" si="242">H492+H503</f>
        <v>2282847</v>
      </c>
      <c r="I491" s="36">
        <f t="shared" si="242"/>
        <v>996415.15700000001</v>
      </c>
      <c r="J491" s="36">
        <f t="shared" si="242"/>
        <v>996415.15700000001</v>
      </c>
      <c r="K491" s="36">
        <f t="shared" si="242"/>
        <v>996415.15700000001</v>
      </c>
      <c r="L491" s="36">
        <f t="shared" si="220"/>
        <v>43.647916702258186</v>
      </c>
      <c r="M491" s="36">
        <f t="shared" si="221"/>
        <v>100</v>
      </c>
    </row>
    <row r="492" spans="1:13" ht="63.75">
      <c r="A492" s="60" t="s">
        <v>289</v>
      </c>
      <c r="B492" s="29" t="s">
        <v>283</v>
      </c>
      <c r="C492" s="29" t="s">
        <v>46</v>
      </c>
      <c r="D492" s="29" t="s">
        <v>17</v>
      </c>
      <c r="E492" s="29" t="s">
        <v>290</v>
      </c>
      <c r="F492" s="59" t="s">
        <v>0</v>
      </c>
      <c r="G492" s="36">
        <f>G493+G496+G500</f>
        <v>1993124.9000000001</v>
      </c>
      <c r="H492" s="36">
        <f t="shared" ref="H492:K492" si="243">H493+H496+H500</f>
        <v>1992812.4000000001</v>
      </c>
      <c r="I492" s="36">
        <f t="shared" si="243"/>
        <v>873974.10699999996</v>
      </c>
      <c r="J492" s="36">
        <f t="shared" si="243"/>
        <v>873974.10699999996</v>
      </c>
      <c r="K492" s="36">
        <f t="shared" si="243"/>
        <v>873974.10699999996</v>
      </c>
      <c r="L492" s="36">
        <f t="shared" si="220"/>
        <v>43.856316179084388</v>
      </c>
      <c r="M492" s="36">
        <f t="shared" si="221"/>
        <v>100</v>
      </c>
    </row>
    <row r="493" spans="1:13" ht="38.25">
      <c r="A493" s="60" t="s">
        <v>291</v>
      </c>
      <c r="B493" s="29" t="s">
        <v>283</v>
      </c>
      <c r="C493" s="29" t="s">
        <v>46</v>
      </c>
      <c r="D493" s="29" t="s">
        <v>17</v>
      </c>
      <c r="E493" s="29" t="s">
        <v>292</v>
      </c>
      <c r="F493" s="59" t="s">
        <v>0</v>
      </c>
      <c r="G493" s="36">
        <f>G494</f>
        <v>7224.7</v>
      </c>
      <c r="H493" s="36">
        <f t="shared" ref="H493:K494" si="244">H494</f>
        <v>7224.7</v>
      </c>
      <c r="I493" s="36">
        <f t="shared" si="244"/>
        <v>0</v>
      </c>
      <c r="J493" s="36">
        <f t="shared" si="244"/>
        <v>0</v>
      </c>
      <c r="K493" s="36">
        <f t="shared" si="244"/>
        <v>0</v>
      </c>
      <c r="L493" s="36">
        <f t="shared" si="220"/>
        <v>0</v>
      </c>
      <c r="M493" s="36">
        <v>0</v>
      </c>
    </row>
    <row r="494" spans="1:13" ht="25.5">
      <c r="A494" s="60" t="s">
        <v>80</v>
      </c>
      <c r="B494" s="29" t="s">
        <v>283</v>
      </c>
      <c r="C494" s="29" t="s">
        <v>46</v>
      </c>
      <c r="D494" s="29" t="s">
        <v>17</v>
      </c>
      <c r="E494" s="29" t="s">
        <v>292</v>
      </c>
      <c r="F494" s="29" t="s">
        <v>81</v>
      </c>
      <c r="G494" s="36">
        <f>G495</f>
        <v>7224.7</v>
      </c>
      <c r="H494" s="36">
        <f t="shared" si="244"/>
        <v>7224.7</v>
      </c>
      <c r="I494" s="36">
        <f t="shared" si="244"/>
        <v>0</v>
      </c>
      <c r="J494" s="36">
        <f t="shared" si="244"/>
        <v>0</v>
      </c>
      <c r="K494" s="36">
        <f t="shared" si="244"/>
        <v>0</v>
      </c>
      <c r="L494" s="36">
        <f t="shared" si="220"/>
        <v>0</v>
      </c>
      <c r="M494" s="36">
        <v>0</v>
      </c>
    </row>
    <row r="495" spans="1:13">
      <c r="A495" s="60" t="s">
        <v>271</v>
      </c>
      <c r="B495" s="29" t="s">
        <v>283</v>
      </c>
      <c r="C495" s="29" t="s">
        <v>46</v>
      </c>
      <c r="D495" s="29" t="s">
        <v>17</v>
      </c>
      <c r="E495" s="29" t="s">
        <v>292</v>
      </c>
      <c r="F495" s="29" t="s">
        <v>272</v>
      </c>
      <c r="G495" s="36">
        <v>7224.7</v>
      </c>
      <c r="H495" s="36">
        <v>7224.7</v>
      </c>
      <c r="I495" s="36">
        <v>0</v>
      </c>
      <c r="J495" s="36">
        <v>0</v>
      </c>
      <c r="K495" s="36">
        <v>0</v>
      </c>
      <c r="L495" s="36">
        <f t="shared" si="220"/>
        <v>0</v>
      </c>
      <c r="M495" s="36">
        <v>0</v>
      </c>
    </row>
    <row r="496" spans="1:13" ht="25.5">
      <c r="A496" s="60" t="s">
        <v>76</v>
      </c>
      <c r="B496" s="29" t="s">
        <v>283</v>
      </c>
      <c r="C496" s="29" t="s">
        <v>46</v>
      </c>
      <c r="D496" s="29" t="s">
        <v>17</v>
      </c>
      <c r="E496" s="29" t="s">
        <v>293</v>
      </c>
      <c r="F496" s="59" t="s">
        <v>0</v>
      </c>
      <c r="G496" s="36">
        <f>G497</f>
        <v>1812991.9000000001</v>
      </c>
      <c r="H496" s="36">
        <f t="shared" ref="H496:K496" si="245">H497</f>
        <v>1812679.4000000001</v>
      </c>
      <c r="I496" s="36">
        <f t="shared" si="245"/>
        <v>791772.00699999998</v>
      </c>
      <c r="J496" s="36">
        <f t="shared" si="245"/>
        <v>791772.00699999998</v>
      </c>
      <c r="K496" s="36">
        <f t="shared" si="245"/>
        <v>791772.00699999998</v>
      </c>
      <c r="L496" s="36">
        <f t="shared" si="220"/>
        <v>43.679649418424454</v>
      </c>
      <c r="M496" s="36">
        <f t="shared" si="221"/>
        <v>100</v>
      </c>
    </row>
    <row r="497" spans="1:13" ht="25.5">
      <c r="A497" s="60" t="s">
        <v>80</v>
      </c>
      <c r="B497" s="29" t="s">
        <v>283</v>
      </c>
      <c r="C497" s="29" t="s">
        <v>46</v>
      </c>
      <c r="D497" s="29" t="s">
        <v>17</v>
      </c>
      <c r="E497" s="29" t="s">
        <v>293</v>
      </c>
      <c r="F497" s="29" t="s">
        <v>81</v>
      </c>
      <c r="G497" s="36">
        <f>G498+G499</f>
        <v>1812991.9000000001</v>
      </c>
      <c r="H497" s="36">
        <f t="shared" ref="H497:K497" si="246">H498+H499</f>
        <v>1812679.4000000001</v>
      </c>
      <c r="I497" s="36">
        <f t="shared" si="246"/>
        <v>791772.00699999998</v>
      </c>
      <c r="J497" s="36">
        <f t="shared" si="246"/>
        <v>791772.00699999998</v>
      </c>
      <c r="K497" s="36">
        <f t="shared" si="246"/>
        <v>791772.00699999998</v>
      </c>
      <c r="L497" s="36">
        <f t="shared" si="220"/>
        <v>43.679649418424454</v>
      </c>
      <c r="M497" s="36">
        <f t="shared" si="221"/>
        <v>100</v>
      </c>
    </row>
    <row r="498" spans="1:13">
      <c r="A498" s="60" t="s">
        <v>271</v>
      </c>
      <c r="B498" s="29" t="s">
        <v>283</v>
      </c>
      <c r="C498" s="29" t="s">
        <v>46</v>
      </c>
      <c r="D498" s="29" t="s">
        <v>17</v>
      </c>
      <c r="E498" s="29" t="s">
        <v>293</v>
      </c>
      <c r="F498" s="29" t="s">
        <v>272</v>
      </c>
      <c r="G498" s="36">
        <v>1780789.8</v>
      </c>
      <c r="H498" s="36">
        <v>1780477.3</v>
      </c>
      <c r="I498" s="36">
        <v>775671.00699999998</v>
      </c>
      <c r="J498" s="36">
        <v>775671.00699999998</v>
      </c>
      <c r="K498" s="36">
        <v>775671.00699999998</v>
      </c>
      <c r="L498" s="36">
        <f t="shared" si="220"/>
        <v>43.56534099030636</v>
      </c>
      <c r="M498" s="36">
        <f t="shared" si="221"/>
        <v>100</v>
      </c>
    </row>
    <row r="499" spans="1:13">
      <c r="A499" s="60" t="s">
        <v>82</v>
      </c>
      <c r="B499" s="29" t="s">
        <v>283</v>
      </c>
      <c r="C499" s="29" t="s">
        <v>46</v>
      </c>
      <c r="D499" s="29" t="s">
        <v>17</v>
      </c>
      <c r="E499" s="29" t="s">
        <v>293</v>
      </c>
      <c r="F499" s="29" t="s">
        <v>83</v>
      </c>
      <c r="G499" s="36">
        <v>32202.1</v>
      </c>
      <c r="H499" s="36">
        <v>32202.1</v>
      </c>
      <c r="I499" s="36">
        <v>16101</v>
      </c>
      <c r="J499" s="36">
        <v>16101</v>
      </c>
      <c r="K499" s="36">
        <v>16101</v>
      </c>
      <c r="L499" s="36">
        <f t="shared" si="220"/>
        <v>49.99984473062316</v>
      </c>
      <c r="M499" s="36">
        <f t="shared" si="221"/>
        <v>100</v>
      </c>
    </row>
    <row r="500" spans="1:13" ht="63.75">
      <c r="A500" s="60" t="s">
        <v>294</v>
      </c>
      <c r="B500" s="29" t="s">
        <v>283</v>
      </c>
      <c r="C500" s="29" t="s">
        <v>46</v>
      </c>
      <c r="D500" s="29" t="s">
        <v>17</v>
      </c>
      <c r="E500" s="29" t="s">
        <v>295</v>
      </c>
      <c r="F500" s="59" t="s">
        <v>0</v>
      </c>
      <c r="G500" s="36">
        <f>G501</f>
        <v>172908.3</v>
      </c>
      <c r="H500" s="36">
        <f t="shared" ref="H500:K501" si="247">H501</f>
        <v>172908.3</v>
      </c>
      <c r="I500" s="36">
        <f t="shared" si="247"/>
        <v>82202.100000000006</v>
      </c>
      <c r="J500" s="36">
        <f t="shared" si="247"/>
        <v>82202.100000000006</v>
      </c>
      <c r="K500" s="36">
        <f t="shared" si="247"/>
        <v>82202.100000000006</v>
      </c>
      <c r="L500" s="36">
        <f t="shared" si="220"/>
        <v>47.540864145908564</v>
      </c>
      <c r="M500" s="36">
        <f t="shared" si="221"/>
        <v>100</v>
      </c>
    </row>
    <row r="501" spans="1:13" ht="25.5">
      <c r="A501" s="60" t="s">
        <v>80</v>
      </c>
      <c r="B501" s="29" t="s">
        <v>283</v>
      </c>
      <c r="C501" s="29" t="s">
        <v>46</v>
      </c>
      <c r="D501" s="29" t="s">
        <v>17</v>
      </c>
      <c r="E501" s="29" t="s">
        <v>295</v>
      </c>
      <c r="F501" s="29" t="s">
        <v>81</v>
      </c>
      <c r="G501" s="36">
        <f>G502</f>
        <v>172908.3</v>
      </c>
      <c r="H501" s="36">
        <f t="shared" si="247"/>
        <v>172908.3</v>
      </c>
      <c r="I501" s="36">
        <f t="shared" si="247"/>
        <v>82202.100000000006</v>
      </c>
      <c r="J501" s="36">
        <f t="shared" si="247"/>
        <v>82202.100000000006</v>
      </c>
      <c r="K501" s="36">
        <f t="shared" si="247"/>
        <v>82202.100000000006</v>
      </c>
      <c r="L501" s="36">
        <f t="shared" si="220"/>
        <v>47.540864145908564</v>
      </c>
      <c r="M501" s="36">
        <f t="shared" si="221"/>
        <v>100</v>
      </c>
    </row>
    <row r="502" spans="1:13">
      <c r="A502" s="60" t="s">
        <v>271</v>
      </c>
      <c r="B502" s="29" t="s">
        <v>283</v>
      </c>
      <c r="C502" s="29" t="s">
        <v>46</v>
      </c>
      <c r="D502" s="29" t="s">
        <v>17</v>
      </c>
      <c r="E502" s="29" t="s">
        <v>295</v>
      </c>
      <c r="F502" s="29" t="s">
        <v>272</v>
      </c>
      <c r="G502" s="36">
        <v>172908.3</v>
      </c>
      <c r="H502" s="36">
        <v>172908.3</v>
      </c>
      <c r="I502" s="36">
        <v>82202.100000000006</v>
      </c>
      <c r="J502" s="36">
        <v>82202.100000000006</v>
      </c>
      <c r="K502" s="36">
        <v>82202.100000000006</v>
      </c>
      <c r="L502" s="36">
        <f t="shared" si="220"/>
        <v>47.540864145908564</v>
      </c>
      <c r="M502" s="36">
        <f t="shared" si="221"/>
        <v>100</v>
      </c>
    </row>
    <row r="503" spans="1:13" ht="25.5">
      <c r="A503" s="60" t="s">
        <v>296</v>
      </c>
      <c r="B503" s="29" t="s">
        <v>283</v>
      </c>
      <c r="C503" s="29" t="s">
        <v>46</v>
      </c>
      <c r="D503" s="29" t="s">
        <v>17</v>
      </c>
      <c r="E503" s="29" t="s">
        <v>297</v>
      </c>
      <c r="F503" s="59" t="s">
        <v>0</v>
      </c>
      <c r="G503" s="36">
        <f>G504</f>
        <v>290034.59999999998</v>
      </c>
      <c r="H503" s="36">
        <f t="shared" ref="H503:K505" si="248">H504</f>
        <v>290034.59999999998</v>
      </c>
      <c r="I503" s="36">
        <f t="shared" si="248"/>
        <v>122441.05</v>
      </c>
      <c r="J503" s="36">
        <f t="shared" si="248"/>
        <v>122441.05</v>
      </c>
      <c r="K503" s="36">
        <f t="shared" si="248"/>
        <v>122441.05</v>
      </c>
      <c r="L503" s="36">
        <f t="shared" si="220"/>
        <v>42.216014916840962</v>
      </c>
      <c r="M503" s="36">
        <f t="shared" si="221"/>
        <v>100</v>
      </c>
    </row>
    <row r="504" spans="1:13" ht="25.5">
      <c r="A504" s="60" t="s">
        <v>76</v>
      </c>
      <c r="B504" s="29" t="s">
        <v>283</v>
      </c>
      <c r="C504" s="29" t="s">
        <v>46</v>
      </c>
      <c r="D504" s="29" t="s">
        <v>17</v>
      </c>
      <c r="E504" s="29" t="s">
        <v>298</v>
      </c>
      <c r="F504" s="59" t="s">
        <v>0</v>
      </c>
      <c r="G504" s="36">
        <f>G505</f>
        <v>290034.59999999998</v>
      </c>
      <c r="H504" s="36">
        <f t="shared" si="248"/>
        <v>290034.59999999998</v>
      </c>
      <c r="I504" s="36">
        <f t="shared" si="248"/>
        <v>122441.05</v>
      </c>
      <c r="J504" s="36">
        <f t="shared" si="248"/>
        <v>122441.05</v>
      </c>
      <c r="K504" s="36">
        <f t="shared" si="248"/>
        <v>122441.05</v>
      </c>
      <c r="L504" s="36">
        <f t="shared" si="220"/>
        <v>42.216014916840962</v>
      </c>
      <c r="M504" s="36">
        <f t="shared" si="221"/>
        <v>100</v>
      </c>
    </row>
    <row r="505" spans="1:13" ht="25.5">
      <c r="A505" s="60" t="s">
        <v>80</v>
      </c>
      <c r="B505" s="29" t="s">
        <v>283</v>
      </c>
      <c r="C505" s="29" t="s">
        <v>46</v>
      </c>
      <c r="D505" s="29" t="s">
        <v>17</v>
      </c>
      <c r="E505" s="29" t="s">
        <v>298</v>
      </c>
      <c r="F505" s="29" t="s">
        <v>81</v>
      </c>
      <c r="G505" s="36">
        <f>G506</f>
        <v>290034.59999999998</v>
      </c>
      <c r="H505" s="36">
        <f t="shared" si="248"/>
        <v>290034.59999999998</v>
      </c>
      <c r="I505" s="36">
        <f t="shared" si="248"/>
        <v>122441.05</v>
      </c>
      <c r="J505" s="36">
        <f t="shared" si="248"/>
        <v>122441.05</v>
      </c>
      <c r="K505" s="36">
        <f t="shared" si="248"/>
        <v>122441.05</v>
      </c>
      <c r="L505" s="36">
        <f t="shared" si="220"/>
        <v>42.216014916840962</v>
      </c>
      <c r="M505" s="36">
        <f t="shared" si="221"/>
        <v>100</v>
      </c>
    </row>
    <row r="506" spans="1:13">
      <c r="A506" s="60" t="s">
        <v>271</v>
      </c>
      <c r="B506" s="29" t="s">
        <v>283</v>
      </c>
      <c r="C506" s="29" t="s">
        <v>46</v>
      </c>
      <c r="D506" s="29" t="s">
        <v>17</v>
      </c>
      <c r="E506" s="29" t="s">
        <v>298</v>
      </c>
      <c r="F506" s="29" t="s">
        <v>272</v>
      </c>
      <c r="G506" s="36">
        <v>290034.59999999998</v>
      </c>
      <c r="H506" s="36">
        <v>290034.59999999998</v>
      </c>
      <c r="I506" s="36">
        <v>122441.05</v>
      </c>
      <c r="J506" s="36">
        <v>122441.05</v>
      </c>
      <c r="K506" s="36">
        <v>122441.05</v>
      </c>
      <c r="L506" s="36">
        <f t="shared" si="220"/>
        <v>42.216014916840962</v>
      </c>
      <c r="M506" s="36">
        <f t="shared" si="221"/>
        <v>100</v>
      </c>
    </row>
    <row r="507" spans="1:13" ht="38.25">
      <c r="A507" s="60" t="s">
        <v>299</v>
      </c>
      <c r="B507" s="29" t="s">
        <v>283</v>
      </c>
      <c r="C507" s="29" t="s">
        <v>46</v>
      </c>
      <c r="D507" s="29" t="s">
        <v>17</v>
      </c>
      <c r="E507" s="29" t="s">
        <v>300</v>
      </c>
      <c r="F507" s="59" t="s">
        <v>0</v>
      </c>
      <c r="G507" s="36">
        <f>G508</f>
        <v>1000</v>
      </c>
      <c r="H507" s="36">
        <f t="shared" ref="H507:K510" si="249">H508</f>
        <v>1000</v>
      </c>
      <c r="I507" s="36">
        <f t="shared" si="249"/>
        <v>0</v>
      </c>
      <c r="J507" s="36">
        <f t="shared" si="249"/>
        <v>0</v>
      </c>
      <c r="K507" s="36">
        <f t="shared" si="249"/>
        <v>0</v>
      </c>
      <c r="L507" s="36">
        <f t="shared" si="220"/>
        <v>0</v>
      </c>
      <c r="M507" s="36">
        <v>0</v>
      </c>
    </row>
    <row r="508" spans="1:13">
      <c r="A508" s="60" t="s">
        <v>301</v>
      </c>
      <c r="B508" s="29" t="s">
        <v>283</v>
      </c>
      <c r="C508" s="29" t="s">
        <v>46</v>
      </c>
      <c r="D508" s="29" t="s">
        <v>17</v>
      </c>
      <c r="E508" s="29" t="s">
        <v>302</v>
      </c>
      <c r="F508" s="59" t="s">
        <v>0</v>
      </c>
      <c r="G508" s="36">
        <f>G509</f>
        <v>1000</v>
      </c>
      <c r="H508" s="36">
        <f>H509+H512</f>
        <v>1000</v>
      </c>
      <c r="I508" s="36">
        <f t="shared" si="249"/>
        <v>0</v>
      </c>
      <c r="J508" s="36">
        <f t="shared" si="249"/>
        <v>0</v>
      </c>
      <c r="K508" s="36">
        <f t="shared" si="249"/>
        <v>0</v>
      </c>
      <c r="L508" s="36">
        <f t="shared" si="220"/>
        <v>0</v>
      </c>
      <c r="M508" s="36">
        <v>0</v>
      </c>
    </row>
    <row r="509" spans="1:13">
      <c r="A509" s="60" t="s">
        <v>303</v>
      </c>
      <c r="B509" s="29" t="s">
        <v>283</v>
      </c>
      <c r="C509" s="29" t="s">
        <v>46</v>
      </c>
      <c r="D509" s="29" t="s">
        <v>17</v>
      </c>
      <c r="E509" s="29" t="s">
        <v>304</v>
      </c>
      <c r="F509" s="59" t="s">
        <v>0</v>
      </c>
      <c r="G509" s="36">
        <f>G510</f>
        <v>1000</v>
      </c>
      <c r="H509" s="36">
        <f t="shared" si="249"/>
        <v>0</v>
      </c>
      <c r="I509" s="36">
        <f t="shared" si="249"/>
        <v>0</v>
      </c>
      <c r="J509" s="36">
        <f t="shared" si="249"/>
        <v>0</v>
      </c>
      <c r="K509" s="36">
        <f t="shared" si="249"/>
        <v>0</v>
      </c>
      <c r="L509" s="36">
        <v>0</v>
      </c>
      <c r="M509" s="36">
        <v>0</v>
      </c>
    </row>
    <row r="510" spans="1:13" ht="25.5">
      <c r="A510" s="60" t="s">
        <v>80</v>
      </c>
      <c r="B510" s="29" t="s">
        <v>283</v>
      </c>
      <c r="C510" s="29" t="s">
        <v>46</v>
      </c>
      <c r="D510" s="29" t="s">
        <v>17</v>
      </c>
      <c r="E510" s="29" t="s">
        <v>304</v>
      </c>
      <c r="F510" s="29" t="s">
        <v>81</v>
      </c>
      <c r="G510" s="36">
        <f>G511</f>
        <v>1000</v>
      </c>
      <c r="H510" s="36">
        <f t="shared" si="249"/>
        <v>0</v>
      </c>
      <c r="I510" s="36">
        <f t="shared" si="249"/>
        <v>0</v>
      </c>
      <c r="J510" s="36">
        <f t="shared" si="249"/>
        <v>0</v>
      </c>
      <c r="K510" s="36">
        <f t="shared" si="249"/>
        <v>0</v>
      </c>
      <c r="L510" s="36">
        <v>0</v>
      </c>
      <c r="M510" s="36">
        <v>0</v>
      </c>
    </row>
    <row r="511" spans="1:13">
      <c r="A511" s="60" t="s">
        <v>271</v>
      </c>
      <c r="B511" s="29" t="s">
        <v>283</v>
      </c>
      <c r="C511" s="29" t="s">
        <v>46</v>
      </c>
      <c r="D511" s="29" t="s">
        <v>17</v>
      </c>
      <c r="E511" s="29" t="s">
        <v>304</v>
      </c>
      <c r="F511" s="29" t="s">
        <v>272</v>
      </c>
      <c r="G511" s="36">
        <v>1000</v>
      </c>
      <c r="H511" s="36">
        <v>0</v>
      </c>
      <c r="I511" s="36">
        <v>0</v>
      </c>
      <c r="J511" s="36">
        <v>0</v>
      </c>
      <c r="K511" s="36">
        <v>0</v>
      </c>
      <c r="L511" s="36">
        <v>0</v>
      </c>
      <c r="M511" s="36">
        <v>0</v>
      </c>
    </row>
    <row r="512" spans="1:13" ht="41.25" customHeight="1">
      <c r="A512" s="60" t="s">
        <v>1126</v>
      </c>
      <c r="B512" s="29" t="s">
        <v>283</v>
      </c>
      <c r="C512" s="29" t="s">
        <v>46</v>
      </c>
      <c r="D512" s="29" t="s">
        <v>17</v>
      </c>
      <c r="E512" s="30" t="s">
        <v>1125</v>
      </c>
      <c r="F512" s="29"/>
      <c r="G512" s="36"/>
      <c r="H512" s="36">
        <f>H513</f>
        <v>1000</v>
      </c>
      <c r="I512" s="36">
        <f t="shared" ref="I512:K513" si="250">I513</f>
        <v>0</v>
      </c>
      <c r="J512" s="36">
        <f t="shared" si="250"/>
        <v>0</v>
      </c>
      <c r="K512" s="36">
        <f t="shared" si="250"/>
        <v>0</v>
      </c>
      <c r="L512" s="36">
        <f t="shared" ref="L512:L514" si="251">K512/H512*100</f>
        <v>0</v>
      </c>
      <c r="M512" s="36">
        <v>0</v>
      </c>
    </row>
    <row r="513" spans="1:13" ht="25.5">
      <c r="A513" s="60" t="s">
        <v>80</v>
      </c>
      <c r="B513" s="29" t="s">
        <v>283</v>
      </c>
      <c r="C513" s="29" t="s">
        <v>46</v>
      </c>
      <c r="D513" s="29" t="s">
        <v>17</v>
      </c>
      <c r="E513" s="30" t="s">
        <v>1125</v>
      </c>
      <c r="F513" s="29" t="s">
        <v>81</v>
      </c>
      <c r="G513" s="36"/>
      <c r="H513" s="36">
        <f>H514</f>
        <v>1000</v>
      </c>
      <c r="I513" s="36">
        <f t="shared" si="250"/>
        <v>0</v>
      </c>
      <c r="J513" s="36">
        <f t="shared" si="250"/>
        <v>0</v>
      </c>
      <c r="K513" s="36">
        <f t="shared" si="250"/>
        <v>0</v>
      </c>
      <c r="L513" s="36">
        <f t="shared" si="251"/>
        <v>0</v>
      </c>
      <c r="M513" s="36">
        <v>0</v>
      </c>
    </row>
    <row r="514" spans="1:13">
      <c r="A514" s="60" t="s">
        <v>271</v>
      </c>
      <c r="B514" s="29" t="s">
        <v>283</v>
      </c>
      <c r="C514" s="29" t="s">
        <v>46</v>
      </c>
      <c r="D514" s="29" t="s">
        <v>17</v>
      </c>
      <c r="E514" s="30" t="s">
        <v>1125</v>
      </c>
      <c r="F514" s="29" t="s">
        <v>272</v>
      </c>
      <c r="G514" s="36"/>
      <c r="H514" s="36">
        <v>1000</v>
      </c>
      <c r="I514" s="36">
        <v>0</v>
      </c>
      <c r="J514" s="36">
        <v>0</v>
      </c>
      <c r="K514" s="36">
        <v>0</v>
      </c>
      <c r="L514" s="36">
        <f t="shared" si="251"/>
        <v>0</v>
      </c>
      <c r="M514" s="36">
        <v>0</v>
      </c>
    </row>
    <row r="515" spans="1:13">
      <c r="A515" s="63" t="s">
        <v>612</v>
      </c>
      <c r="B515" s="29" t="s">
        <v>283</v>
      </c>
      <c r="C515" s="29" t="s">
        <v>46</v>
      </c>
      <c r="D515" s="29" t="s">
        <v>17</v>
      </c>
      <c r="E515" s="30" t="s">
        <v>613</v>
      </c>
      <c r="F515" s="29"/>
      <c r="G515" s="36"/>
      <c r="H515" s="36">
        <f>H516</f>
        <v>11759.10167</v>
      </c>
      <c r="I515" s="36">
        <f t="shared" ref="I515:K517" si="252">I516</f>
        <v>11759.10167</v>
      </c>
      <c r="J515" s="36">
        <f t="shared" si="252"/>
        <v>11759.10167</v>
      </c>
      <c r="K515" s="36">
        <f t="shared" si="252"/>
        <v>11759.10167</v>
      </c>
      <c r="L515" s="36">
        <f t="shared" ref="L515:L523" si="253">K515/H515*100</f>
        <v>100</v>
      </c>
      <c r="M515" s="36">
        <f t="shared" ref="M515:M523" si="254">K515/I515*100</f>
        <v>100</v>
      </c>
    </row>
    <row r="516" spans="1:13">
      <c r="A516" s="60" t="s">
        <v>612</v>
      </c>
      <c r="B516" s="29" t="s">
        <v>283</v>
      </c>
      <c r="C516" s="29" t="s">
        <v>46</v>
      </c>
      <c r="D516" s="29" t="s">
        <v>17</v>
      </c>
      <c r="E516" s="30" t="s">
        <v>614</v>
      </c>
      <c r="F516" s="29"/>
      <c r="G516" s="36"/>
      <c r="H516" s="36">
        <f>H517</f>
        <v>11759.10167</v>
      </c>
      <c r="I516" s="36">
        <f t="shared" si="252"/>
        <v>11759.10167</v>
      </c>
      <c r="J516" s="36">
        <f t="shared" si="252"/>
        <v>11759.10167</v>
      </c>
      <c r="K516" s="36">
        <f t="shared" si="252"/>
        <v>11759.10167</v>
      </c>
      <c r="L516" s="36">
        <f t="shared" si="253"/>
        <v>100</v>
      </c>
      <c r="M516" s="36">
        <f t="shared" si="254"/>
        <v>100</v>
      </c>
    </row>
    <row r="517" spans="1:13" ht="25.5">
      <c r="A517" s="60" t="s">
        <v>80</v>
      </c>
      <c r="B517" s="29" t="s">
        <v>283</v>
      </c>
      <c r="C517" s="29" t="s">
        <v>46</v>
      </c>
      <c r="D517" s="29" t="s">
        <v>17</v>
      </c>
      <c r="E517" s="30" t="s">
        <v>614</v>
      </c>
      <c r="F517" s="29" t="s">
        <v>81</v>
      </c>
      <c r="G517" s="36"/>
      <c r="H517" s="36">
        <f>H518</f>
        <v>11759.10167</v>
      </c>
      <c r="I517" s="36">
        <f t="shared" si="252"/>
        <v>11759.10167</v>
      </c>
      <c r="J517" s="36">
        <f t="shared" si="252"/>
        <v>11759.10167</v>
      </c>
      <c r="K517" s="36">
        <f t="shared" si="252"/>
        <v>11759.10167</v>
      </c>
      <c r="L517" s="36">
        <f t="shared" si="253"/>
        <v>100</v>
      </c>
      <c r="M517" s="36">
        <f t="shared" si="254"/>
        <v>100</v>
      </c>
    </row>
    <row r="518" spans="1:13">
      <c r="A518" s="60" t="s">
        <v>271</v>
      </c>
      <c r="B518" s="29" t="s">
        <v>283</v>
      </c>
      <c r="C518" s="29" t="s">
        <v>46</v>
      </c>
      <c r="D518" s="29" t="s">
        <v>17</v>
      </c>
      <c r="E518" s="30" t="s">
        <v>614</v>
      </c>
      <c r="F518" s="29" t="s">
        <v>272</v>
      </c>
      <c r="G518" s="36"/>
      <c r="H518" s="36">
        <v>11759.10167</v>
      </c>
      <c r="I518" s="36">
        <v>11759.10167</v>
      </c>
      <c r="J518" s="36">
        <v>11759.10167</v>
      </c>
      <c r="K518" s="36">
        <v>11759.10167</v>
      </c>
      <c r="L518" s="36">
        <f t="shared" si="253"/>
        <v>100</v>
      </c>
      <c r="M518" s="36">
        <f t="shared" si="254"/>
        <v>100</v>
      </c>
    </row>
    <row r="519" spans="1:13" ht="38.25">
      <c r="A519" s="70" t="s">
        <v>1130</v>
      </c>
      <c r="B519" s="29" t="s">
        <v>283</v>
      </c>
      <c r="C519" s="29" t="s">
        <v>46</v>
      </c>
      <c r="D519" s="29" t="s">
        <v>17</v>
      </c>
      <c r="E519" s="30" t="s">
        <v>1127</v>
      </c>
      <c r="F519" s="29"/>
      <c r="G519" s="36"/>
      <c r="H519" s="36">
        <f>H520</f>
        <v>689.63210000000004</v>
      </c>
      <c r="I519" s="36">
        <f t="shared" ref="I519:K522" si="255">I520</f>
        <v>689.63210000000004</v>
      </c>
      <c r="J519" s="36">
        <f t="shared" si="255"/>
        <v>689.63210000000004</v>
      </c>
      <c r="K519" s="36">
        <f t="shared" si="255"/>
        <v>689.63210000000004</v>
      </c>
      <c r="L519" s="36">
        <f t="shared" si="253"/>
        <v>100</v>
      </c>
      <c r="M519" s="36">
        <f t="shared" si="254"/>
        <v>100</v>
      </c>
    </row>
    <row r="520" spans="1:13" ht="114.75">
      <c r="A520" s="70" t="s">
        <v>1131</v>
      </c>
      <c r="B520" s="29" t="s">
        <v>283</v>
      </c>
      <c r="C520" s="29" t="s">
        <v>46</v>
      </c>
      <c r="D520" s="29" t="s">
        <v>17</v>
      </c>
      <c r="E520" s="30" t="s">
        <v>1128</v>
      </c>
      <c r="F520" s="29"/>
      <c r="G520" s="36"/>
      <c r="H520" s="36">
        <f>H521</f>
        <v>689.63210000000004</v>
      </c>
      <c r="I520" s="36">
        <f t="shared" si="255"/>
        <v>689.63210000000004</v>
      </c>
      <c r="J520" s="36">
        <f t="shared" si="255"/>
        <v>689.63210000000004</v>
      </c>
      <c r="K520" s="36">
        <f t="shared" si="255"/>
        <v>689.63210000000004</v>
      </c>
      <c r="L520" s="36">
        <f t="shared" si="253"/>
        <v>100</v>
      </c>
      <c r="M520" s="36">
        <f t="shared" si="254"/>
        <v>100</v>
      </c>
    </row>
    <row r="521" spans="1:13" ht="127.5" customHeight="1">
      <c r="A521" s="60" t="s">
        <v>1132</v>
      </c>
      <c r="B521" s="29" t="s">
        <v>283</v>
      </c>
      <c r="C521" s="29" t="s">
        <v>46</v>
      </c>
      <c r="D521" s="29" t="s">
        <v>17</v>
      </c>
      <c r="E521" s="30" t="s">
        <v>1129</v>
      </c>
      <c r="F521" s="29"/>
      <c r="G521" s="36"/>
      <c r="H521" s="36">
        <f>H522</f>
        <v>689.63210000000004</v>
      </c>
      <c r="I521" s="36">
        <f t="shared" si="255"/>
        <v>689.63210000000004</v>
      </c>
      <c r="J521" s="36">
        <f t="shared" si="255"/>
        <v>689.63210000000004</v>
      </c>
      <c r="K521" s="36">
        <f t="shared" si="255"/>
        <v>689.63210000000004</v>
      </c>
      <c r="L521" s="36">
        <f t="shared" ref="L521" si="256">K521/H521*100</f>
        <v>100</v>
      </c>
      <c r="M521" s="36">
        <f t="shared" ref="M521" si="257">K521/I521*100</f>
        <v>100</v>
      </c>
    </row>
    <row r="522" spans="1:13" ht="25.5">
      <c r="A522" s="60" t="s">
        <v>80</v>
      </c>
      <c r="B522" s="29" t="s">
        <v>283</v>
      </c>
      <c r="C522" s="29" t="s">
        <v>46</v>
      </c>
      <c r="D522" s="29" t="s">
        <v>17</v>
      </c>
      <c r="E522" s="30" t="s">
        <v>1129</v>
      </c>
      <c r="F522" s="29" t="s">
        <v>81</v>
      </c>
      <c r="G522" s="36"/>
      <c r="H522" s="36">
        <f>H523</f>
        <v>689.63210000000004</v>
      </c>
      <c r="I522" s="36">
        <f t="shared" si="255"/>
        <v>689.63210000000004</v>
      </c>
      <c r="J522" s="36">
        <f t="shared" si="255"/>
        <v>689.63210000000004</v>
      </c>
      <c r="K522" s="36">
        <f t="shared" si="255"/>
        <v>689.63210000000004</v>
      </c>
      <c r="L522" s="36">
        <f t="shared" si="253"/>
        <v>100</v>
      </c>
      <c r="M522" s="36">
        <f t="shared" si="254"/>
        <v>100</v>
      </c>
    </row>
    <row r="523" spans="1:13">
      <c r="A523" s="60" t="s">
        <v>271</v>
      </c>
      <c r="B523" s="29" t="s">
        <v>283</v>
      </c>
      <c r="C523" s="29" t="s">
        <v>46</v>
      </c>
      <c r="D523" s="29" t="s">
        <v>17</v>
      </c>
      <c r="E523" s="30" t="s">
        <v>1129</v>
      </c>
      <c r="F523" s="29" t="s">
        <v>272</v>
      </c>
      <c r="G523" s="36"/>
      <c r="H523" s="36">
        <v>689.63210000000004</v>
      </c>
      <c r="I523" s="36">
        <v>689.63210000000004</v>
      </c>
      <c r="J523" s="36">
        <v>689.63210000000004</v>
      </c>
      <c r="K523" s="36">
        <v>689.63210000000004</v>
      </c>
      <c r="L523" s="36">
        <f t="shared" si="253"/>
        <v>100</v>
      </c>
      <c r="M523" s="36">
        <f t="shared" si="254"/>
        <v>100</v>
      </c>
    </row>
    <row r="524" spans="1:13">
      <c r="A524" s="60" t="s">
        <v>305</v>
      </c>
      <c r="B524" s="29" t="s">
        <v>283</v>
      </c>
      <c r="C524" s="29" t="s">
        <v>46</v>
      </c>
      <c r="D524" s="29" t="s">
        <v>106</v>
      </c>
      <c r="E524" s="59" t="s">
        <v>0</v>
      </c>
      <c r="F524" s="59" t="s">
        <v>0</v>
      </c>
      <c r="G524" s="36">
        <f>G525</f>
        <v>847076.7</v>
      </c>
      <c r="H524" s="36">
        <f>H525+H548+H552</f>
        <v>1180058.6769999999</v>
      </c>
      <c r="I524" s="36">
        <f>I525+I548</f>
        <v>610948.05081999989</v>
      </c>
      <c r="J524" s="36">
        <f t="shared" ref="J524:K524" si="258">J525+J548</f>
        <v>610948.05081999989</v>
      </c>
      <c r="K524" s="36">
        <f t="shared" si="258"/>
        <v>589711.26301</v>
      </c>
      <c r="L524" s="36">
        <f t="shared" ref="L524:L597" si="259">K524/H524*100</f>
        <v>49.973045790332343</v>
      </c>
      <c r="M524" s="36">
        <f t="shared" ref="M524:M597" si="260">K524/I524*100</f>
        <v>96.523961770318053</v>
      </c>
    </row>
    <row r="525" spans="1:13" ht="38.25">
      <c r="A525" s="60" t="s">
        <v>136</v>
      </c>
      <c r="B525" s="29" t="s">
        <v>283</v>
      </c>
      <c r="C525" s="29" t="s">
        <v>46</v>
      </c>
      <c r="D525" s="29" t="s">
        <v>106</v>
      </c>
      <c r="E525" s="29" t="s">
        <v>137</v>
      </c>
      <c r="F525" s="59" t="s">
        <v>0</v>
      </c>
      <c r="G525" s="36">
        <f>G526+G530+G534</f>
        <v>847076.7</v>
      </c>
      <c r="H525" s="36">
        <f t="shared" ref="H525:K525" si="261">H526+H530+H534</f>
        <v>1179362.7</v>
      </c>
      <c r="I525" s="36">
        <f t="shared" si="261"/>
        <v>610252.07381999993</v>
      </c>
      <c r="J525" s="36">
        <f t="shared" si="261"/>
        <v>610252.07381999993</v>
      </c>
      <c r="K525" s="36">
        <f t="shared" si="261"/>
        <v>589015.28601000004</v>
      </c>
      <c r="L525" s="36">
        <f t="shared" si="259"/>
        <v>49.943523397000774</v>
      </c>
      <c r="M525" s="36">
        <f t="shared" si="260"/>
        <v>96.519997436950305</v>
      </c>
    </row>
    <row r="526" spans="1:13" ht="38.25">
      <c r="A526" s="60" t="s">
        <v>306</v>
      </c>
      <c r="B526" s="29" t="s">
        <v>283</v>
      </c>
      <c r="C526" s="29" t="s">
        <v>46</v>
      </c>
      <c r="D526" s="29" t="s">
        <v>106</v>
      </c>
      <c r="E526" s="29" t="s">
        <v>307</v>
      </c>
      <c r="F526" s="59" t="s">
        <v>0</v>
      </c>
      <c r="G526" s="36">
        <f>G527</f>
        <v>64993.2</v>
      </c>
      <c r="H526" s="36">
        <f t="shared" ref="H526:K528" si="262">H527</f>
        <v>64993.2</v>
      </c>
      <c r="I526" s="36">
        <f t="shared" si="262"/>
        <v>29628.5</v>
      </c>
      <c r="J526" s="36">
        <f t="shared" si="262"/>
        <v>29628.5</v>
      </c>
      <c r="K526" s="36">
        <f t="shared" si="262"/>
        <v>29628.5</v>
      </c>
      <c r="L526" s="36">
        <f t="shared" si="259"/>
        <v>45.587076801880819</v>
      </c>
      <c r="M526" s="36">
        <f t="shared" si="260"/>
        <v>100</v>
      </c>
    </row>
    <row r="527" spans="1:13" ht="25.5">
      <c r="A527" s="60" t="s">
        <v>76</v>
      </c>
      <c r="B527" s="29" t="s">
        <v>283</v>
      </c>
      <c r="C527" s="29" t="s">
        <v>46</v>
      </c>
      <c r="D527" s="29" t="s">
        <v>106</v>
      </c>
      <c r="E527" s="29" t="s">
        <v>308</v>
      </c>
      <c r="F527" s="59" t="s">
        <v>0</v>
      </c>
      <c r="G527" s="36">
        <f>G528</f>
        <v>64993.2</v>
      </c>
      <c r="H527" s="36">
        <f t="shared" si="262"/>
        <v>64993.2</v>
      </c>
      <c r="I527" s="36">
        <f t="shared" si="262"/>
        <v>29628.5</v>
      </c>
      <c r="J527" s="36">
        <f t="shared" si="262"/>
        <v>29628.5</v>
      </c>
      <c r="K527" s="36">
        <f t="shared" si="262"/>
        <v>29628.5</v>
      </c>
      <c r="L527" s="36">
        <f t="shared" si="259"/>
        <v>45.587076801880819</v>
      </c>
      <c r="M527" s="36">
        <f t="shared" si="260"/>
        <v>100</v>
      </c>
    </row>
    <row r="528" spans="1:13" ht="25.5">
      <c r="A528" s="60" t="s">
        <v>80</v>
      </c>
      <c r="B528" s="29" t="s">
        <v>283</v>
      </c>
      <c r="C528" s="29" t="s">
        <v>46</v>
      </c>
      <c r="D528" s="29" t="s">
        <v>106</v>
      </c>
      <c r="E528" s="29" t="s">
        <v>308</v>
      </c>
      <c r="F528" s="29" t="s">
        <v>81</v>
      </c>
      <c r="G528" s="36">
        <f>G529</f>
        <v>64993.2</v>
      </c>
      <c r="H528" s="36">
        <f t="shared" si="262"/>
        <v>64993.2</v>
      </c>
      <c r="I528" s="36">
        <f t="shared" si="262"/>
        <v>29628.5</v>
      </c>
      <c r="J528" s="36">
        <f t="shared" si="262"/>
        <v>29628.5</v>
      </c>
      <c r="K528" s="36">
        <f t="shared" si="262"/>
        <v>29628.5</v>
      </c>
      <c r="L528" s="36">
        <f t="shared" si="259"/>
        <v>45.587076801880819</v>
      </c>
      <c r="M528" s="36">
        <f t="shared" si="260"/>
        <v>100</v>
      </c>
    </row>
    <row r="529" spans="1:13">
      <c r="A529" s="60" t="s">
        <v>271</v>
      </c>
      <c r="B529" s="29" t="s">
        <v>283</v>
      </c>
      <c r="C529" s="29" t="s">
        <v>46</v>
      </c>
      <c r="D529" s="29" t="s">
        <v>106</v>
      </c>
      <c r="E529" s="29" t="s">
        <v>308</v>
      </c>
      <c r="F529" s="29" t="s">
        <v>272</v>
      </c>
      <c r="G529" s="36">
        <v>64993.2</v>
      </c>
      <c r="H529" s="37">
        <v>64993.2</v>
      </c>
      <c r="I529" s="36">
        <v>29628.5</v>
      </c>
      <c r="J529" s="36">
        <v>29628.5</v>
      </c>
      <c r="K529" s="36">
        <v>29628.5</v>
      </c>
      <c r="L529" s="36">
        <f t="shared" si="259"/>
        <v>45.587076801880819</v>
      </c>
      <c r="M529" s="36">
        <f t="shared" si="260"/>
        <v>100</v>
      </c>
    </row>
    <row r="530" spans="1:13" ht="63.75">
      <c r="A530" s="60" t="s">
        <v>289</v>
      </c>
      <c r="B530" s="29" t="s">
        <v>283</v>
      </c>
      <c r="C530" s="29" t="s">
        <v>46</v>
      </c>
      <c r="D530" s="29" t="s">
        <v>106</v>
      </c>
      <c r="E530" s="29" t="s">
        <v>290</v>
      </c>
      <c r="F530" s="59" t="s">
        <v>0</v>
      </c>
      <c r="G530" s="36">
        <f>G531</f>
        <v>108999.8</v>
      </c>
      <c r="H530" s="36">
        <f t="shared" ref="H530:K532" si="263">H531</f>
        <v>108999.8</v>
      </c>
      <c r="I530" s="36">
        <f t="shared" si="263"/>
        <v>53053.599999999999</v>
      </c>
      <c r="J530" s="36">
        <f t="shared" si="263"/>
        <v>53053.599999999999</v>
      </c>
      <c r="K530" s="36">
        <f t="shared" si="263"/>
        <v>53053.599999999999</v>
      </c>
      <c r="L530" s="36">
        <f t="shared" si="259"/>
        <v>48.673116831407029</v>
      </c>
      <c r="M530" s="36">
        <f t="shared" si="260"/>
        <v>100</v>
      </c>
    </row>
    <row r="531" spans="1:13" ht="25.5">
      <c r="A531" s="60" t="s">
        <v>76</v>
      </c>
      <c r="B531" s="29" t="s">
        <v>283</v>
      </c>
      <c r="C531" s="29" t="s">
        <v>46</v>
      </c>
      <c r="D531" s="29" t="s">
        <v>106</v>
      </c>
      <c r="E531" s="29" t="s">
        <v>293</v>
      </c>
      <c r="F531" s="59" t="s">
        <v>0</v>
      </c>
      <c r="G531" s="36">
        <f>G532</f>
        <v>108999.8</v>
      </c>
      <c r="H531" s="36">
        <f t="shared" si="263"/>
        <v>108999.8</v>
      </c>
      <c r="I531" s="36">
        <f t="shared" si="263"/>
        <v>53053.599999999999</v>
      </c>
      <c r="J531" s="36">
        <f t="shared" si="263"/>
        <v>53053.599999999999</v>
      </c>
      <c r="K531" s="36">
        <f t="shared" si="263"/>
        <v>53053.599999999999</v>
      </c>
      <c r="L531" s="36">
        <f t="shared" si="259"/>
        <v>48.673116831407029</v>
      </c>
      <c r="M531" s="36">
        <f t="shared" si="260"/>
        <v>100</v>
      </c>
    </row>
    <row r="532" spans="1:13" ht="25.5">
      <c r="A532" s="60" t="s">
        <v>80</v>
      </c>
      <c r="B532" s="29" t="s">
        <v>283</v>
      </c>
      <c r="C532" s="29" t="s">
        <v>46</v>
      </c>
      <c r="D532" s="29" t="s">
        <v>106</v>
      </c>
      <c r="E532" s="29" t="s">
        <v>293</v>
      </c>
      <c r="F532" s="29" t="s">
        <v>81</v>
      </c>
      <c r="G532" s="36">
        <f>G533</f>
        <v>108999.8</v>
      </c>
      <c r="H532" s="36">
        <f t="shared" si="263"/>
        <v>108999.8</v>
      </c>
      <c r="I532" s="36">
        <f t="shared" si="263"/>
        <v>53053.599999999999</v>
      </c>
      <c r="J532" s="36">
        <f t="shared" si="263"/>
        <v>53053.599999999999</v>
      </c>
      <c r="K532" s="36">
        <f t="shared" si="263"/>
        <v>53053.599999999999</v>
      </c>
      <c r="L532" s="36">
        <f t="shared" si="259"/>
        <v>48.673116831407029</v>
      </c>
      <c r="M532" s="36">
        <f t="shared" si="260"/>
        <v>100</v>
      </c>
    </row>
    <row r="533" spans="1:13">
      <c r="A533" s="60" t="s">
        <v>271</v>
      </c>
      <c r="B533" s="29" t="s">
        <v>283</v>
      </c>
      <c r="C533" s="29" t="s">
        <v>46</v>
      </c>
      <c r="D533" s="29" t="s">
        <v>106</v>
      </c>
      <c r="E533" s="29" t="s">
        <v>293</v>
      </c>
      <c r="F533" s="29" t="s">
        <v>272</v>
      </c>
      <c r="G533" s="36">
        <v>108999.8</v>
      </c>
      <c r="H533" s="36">
        <v>108999.8</v>
      </c>
      <c r="I533" s="36">
        <v>53053.599999999999</v>
      </c>
      <c r="J533" s="36">
        <v>53053.599999999999</v>
      </c>
      <c r="K533" s="36">
        <v>53053.599999999999</v>
      </c>
      <c r="L533" s="36">
        <f t="shared" si="259"/>
        <v>48.673116831407029</v>
      </c>
      <c r="M533" s="36">
        <f t="shared" si="260"/>
        <v>100</v>
      </c>
    </row>
    <row r="534" spans="1:13" ht="38.25">
      <c r="A534" s="60" t="s">
        <v>309</v>
      </c>
      <c r="B534" s="29" t="s">
        <v>283</v>
      </c>
      <c r="C534" s="29" t="s">
        <v>46</v>
      </c>
      <c r="D534" s="29" t="s">
        <v>106</v>
      </c>
      <c r="E534" s="29" t="s">
        <v>310</v>
      </c>
      <c r="F534" s="59" t="s">
        <v>0</v>
      </c>
      <c r="G534" s="36">
        <f>G535+G543</f>
        <v>673083.7</v>
      </c>
      <c r="H534" s="36">
        <f>H535+H543+H540</f>
        <v>1005369.7</v>
      </c>
      <c r="I534" s="36">
        <f t="shared" ref="I534:K534" si="264">I535+I543+I540</f>
        <v>527569.97381999996</v>
      </c>
      <c r="J534" s="36">
        <f t="shared" si="264"/>
        <v>527569.97381999996</v>
      </c>
      <c r="K534" s="36">
        <f t="shared" si="264"/>
        <v>506333.18601</v>
      </c>
      <c r="L534" s="36">
        <f t="shared" si="259"/>
        <v>50.36288501732249</v>
      </c>
      <c r="M534" s="36">
        <f t="shared" si="260"/>
        <v>95.974602637782851</v>
      </c>
    </row>
    <row r="535" spans="1:13" ht="25.5">
      <c r="A535" s="60" t="s">
        <v>311</v>
      </c>
      <c r="B535" s="29" t="s">
        <v>283</v>
      </c>
      <c r="C535" s="29" t="s">
        <v>46</v>
      </c>
      <c r="D535" s="29" t="s">
        <v>106</v>
      </c>
      <c r="E535" s="29" t="s">
        <v>312</v>
      </c>
      <c r="F535" s="59" t="s">
        <v>0</v>
      </c>
      <c r="G535" s="36">
        <f>G536+G538</f>
        <v>145183.1</v>
      </c>
      <c r="H535" s="36">
        <f t="shared" ref="H535:K535" si="265">H536+H538</f>
        <v>145183.1</v>
      </c>
      <c r="I535" s="36">
        <f t="shared" si="265"/>
        <v>111832.07791000001</v>
      </c>
      <c r="J535" s="36">
        <f t="shared" si="265"/>
        <v>111832.07791000001</v>
      </c>
      <c r="K535" s="36">
        <f t="shared" si="265"/>
        <v>111831.67111000001</v>
      </c>
      <c r="L535" s="36">
        <f t="shared" si="259"/>
        <v>77.028022621090201</v>
      </c>
      <c r="M535" s="36">
        <f t="shared" si="260"/>
        <v>99.999636240327817</v>
      </c>
    </row>
    <row r="536" spans="1:13" ht="25.5">
      <c r="A536" s="60" t="s">
        <v>64</v>
      </c>
      <c r="B536" s="29" t="s">
        <v>283</v>
      </c>
      <c r="C536" s="29" t="s">
        <v>46</v>
      </c>
      <c r="D536" s="29" t="s">
        <v>106</v>
      </c>
      <c r="E536" s="29" t="s">
        <v>312</v>
      </c>
      <c r="F536" s="29" t="s">
        <v>65</v>
      </c>
      <c r="G536" s="36">
        <f>G537</f>
        <v>5635.4</v>
      </c>
      <c r="H536" s="36">
        <f t="shared" ref="H536:K536" si="266">H537</f>
        <v>5635.3727500000005</v>
      </c>
      <c r="I536" s="36">
        <f t="shared" si="266"/>
        <v>955</v>
      </c>
      <c r="J536" s="36">
        <f t="shared" si="266"/>
        <v>955</v>
      </c>
      <c r="K536" s="36">
        <f t="shared" si="266"/>
        <v>954.59320000000002</v>
      </c>
      <c r="L536" s="36">
        <f t="shared" si="259"/>
        <v>16.939308939235652</v>
      </c>
      <c r="M536" s="36">
        <f t="shared" si="260"/>
        <v>99.957403141361254</v>
      </c>
    </row>
    <row r="537" spans="1:13" ht="25.5">
      <c r="A537" s="60" t="s">
        <v>66</v>
      </c>
      <c r="B537" s="29" t="s">
        <v>283</v>
      </c>
      <c r="C537" s="29" t="s">
        <v>46</v>
      </c>
      <c r="D537" s="29" t="s">
        <v>106</v>
      </c>
      <c r="E537" s="29" t="s">
        <v>312</v>
      </c>
      <c r="F537" s="29" t="s">
        <v>67</v>
      </c>
      <c r="G537" s="36">
        <v>5635.4</v>
      </c>
      <c r="H537" s="36">
        <v>5635.3727500000005</v>
      </c>
      <c r="I537" s="36">
        <v>955</v>
      </c>
      <c r="J537" s="36">
        <v>955</v>
      </c>
      <c r="K537" s="36">
        <v>954.59320000000002</v>
      </c>
      <c r="L537" s="36">
        <f t="shared" si="259"/>
        <v>16.939308939235652</v>
      </c>
      <c r="M537" s="36">
        <f t="shared" si="260"/>
        <v>99.957403141361254</v>
      </c>
    </row>
    <row r="538" spans="1:13">
      <c r="A538" s="60" t="s">
        <v>68</v>
      </c>
      <c r="B538" s="29" t="s">
        <v>283</v>
      </c>
      <c r="C538" s="29" t="s">
        <v>46</v>
      </c>
      <c r="D538" s="29" t="s">
        <v>106</v>
      </c>
      <c r="E538" s="29" t="s">
        <v>312</v>
      </c>
      <c r="F538" s="29" t="s">
        <v>69</v>
      </c>
      <c r="G538" s="64">
        <f>G539</f>
        <v>139547.70000000001</v>
      </c>
      <c r="H538" s="64">
        <f t="shared" ref="H538:K538" si="267">H539</f>
        <v>139547.72725</v>
      </c>
      <c r="I538" s="64">
        <f t="shared" si="267"/>
        <v>110877.07791000001</v>
      </c>
      <c r="J538" s="64">
        <f t="shared" si="267"/>
        <v>110877.07791000001</v>
      </c>
      <c r="K538" s="64">
        <f t="shared" si="267"/>
        <v>110877.07791000001</v>
      </c>
      <c r="L538" s="36">
        <f t="shared" si="259"/>
        <v>79.454592414366971</v>
      </c>
      <c r="M538" s="36">
        <f t="shared" si="260"/>
        <v>100</v>
      </c>
    </row>
    <row r="539" spans="1:13" ht="25.5">
      <c r="A539" s="60" t="s">
        <v>151</v>
      </c>
      <c r="B539" s="29" t="s">
        <v>283</v>
      </c>
      <c r="C539" s="29" t="s">
        <v>46</v>
      </c>
      <c r="D539" s="29" t="s">
        <v>106</v>
      </c>
      <c r="E539" s="29" t="s">
        <v>312</v>
      </c>
      <c r="F539" s="29" t="s">
        <v>152</v>
      </c>
      <c r="G539" s="36">
        <v>139547.70000000001</v>
      </c>
      <c r="H539" s="36">
        <v>139547.72725</v>
      </c>
      <c r="I539" s="36">
        <v>110877.07791000001</v>
      </c>
      <c r="J539" s="36">
        <v>110877.07791000001</v>
      </c>
      <c r="K539" s="36">
        <v>110877.07791000001</v>
      </c>
      <c r="L539" s="36">
        <f t="shared" si="259"/>
        <v>79.454592414366971</v>
      </c>
      <c r="M539" s="36">
        <f t="shared" si="260"/>
        <v>100</v>
      </c>
    </row>
    <row r="540" spans="1:13" ht="90" customHeight="1">
      <c r="A540" s="60" t="s">
        <v>1134</v>
      </c>
      <c r="B540" s="29" t="s">
        <v>283</v>
      </c>
      <c r="C540" s="29" t="s">
        <v>46</v>
      </c>
      <c r="D540" s="29" t="s">
        <v>106</v>
      </c>
      <c r="E540" s="30" t="s">
        <v>1133</v>
      </c>
      <c r="F540" s="29"/>
      <c r="G540" s="36"/>
      <c r="H540" s="36">
        <f>H541</f>
        <v>332286</v>
      </c>
      <c r="I540" s="36">
        <f t="shared" ref="I540:K541" si="268">I541</f>
        <v>180000</v>
      </c>
      <c r="J540" s="36">
        <f t="shared" si="268"/>
        <v>180000</v>
      </c>
      <c r="K540" s="36">
        <f t="shared" si="268"/>
        <v>158763.61898999999</v>
      </c>
      <c r="L540" s="36">
        <f t="shared" ref="L540:L542" si="269">K540/H540*100</f>
        <v>47.779207968436829</v>
      </c>
      <c r="M540" s="36">
        <f t="shared" ref="M540:M542" si="270">K540/I540*100</f>
        <v>88.202010549999997</v>
      </c>
    </row>
    <row r="541" spans="1:13">
      <c r="A541" s="60" t="s">
        <v>68</v>
      </c>
      <c r="B541" s="29" t="s">
        <v>283</v>
      </c>
      <c r="C541" s="29" t="s">
        <v>46</v>
      </c>
      <c r="D541" s="29" t="s">
        <v>106</v>
      </c>
      <c r="E541" s="30" t="s">
        <v>1133</v>
      </c>
      <c r="F541" s="29">
        <v>300</v>
      </c>
      <c r="G541" s="36"/>
      <c r="H541" s="36">
        <f>H542</f>
        <v>332286</v>
      </c>
      <c r="I541" s="36">
        <f t="shared" si="268"/>
        <v>180000</v>
      </c>
      <c r="J541" s="36">
        <f t="shared" si="268"/>
        <v>180000</v>
      </c>
      <c r="K541" s="36">
        <f t="shared" si="268"/>
        <v>158763.61898999999</v>
      </c>
      <c r="L541" s="36">
        <f t="shared" si="269"/>
        <v>47.779207968436829</v>
      </c>
      <c r="M541" s="36">
        <f t="shared" si="270"/>
        <v>88.202010549999997</v>
      </c>
    </row>
    <row r="542" spans="1:13" ht="25.5">
      <c r="A542" s="60" t="s">
        <v>151</v>
      </c>
      <c r="B542" s="29" t="s">
        <v>283</v>
      </c>
      <c r="C542" s="29" t="s">
        <v>46</v>
      </c>
      <c r="D542" s="29" t="s">
        <v>106</v>
      </c>
      <c r="E542" s="30" t="s">
        <v>1133</v>
      </c>
      <c r="F542" s="29">
        <v>320</v>
      </c>
      <c r="G542" s="36"/>
      <c r="H542" s="36">
        <v>332286</v>
      </c>
      <c r="I542" s="36">
        <v>180000</v>
      </c>
      <c r="J542" s="36">
        <v>180000</v>
      </c>
      <c r="K542" s="36">
        <v>158763.61898999999</v>
      </c>
      <c r="L542" s="36">
        <f t="shared" si="269"/>
        <v>47.779207968436829</v>
      </c>
      <c r="M542" s="36">
        <f t="shared" si="270"/>
        <v>88.202010549999997</v>
      </c>
    </row>
    <row r="543" spans="1:13" ht="25.5">
      <c r="A543" s="60" t="s">
        <v>313</v>
      </c>
      <c r="B543" s="29" t="s">
        <v>283</v>
      </c>
      <c r="C543" s="29" t="s">
        <v>46</v>
      </c>
      <c r="D543" s="29" t="s">
        <v>106</v>
      </c>
      <c r="E543" s="29" t="s">
        <v>314</v>
      </c>
      <c r="F543" s="59" t="s">
        <v>0</v>
      </c>
      <c r="G543" s="36">
        <f>G544+G546</f>
        <v>527900.6</v>
      </c>
      <c r="H543" s="36">
        <f t="shared" ref="H543:K543" si="271">H544+H546</f>
        <v>527900.6</v>
      </c>
      <c r="I543" s="36">
        <f t="shared" si="271"/>
        <v>235737.89591000002</v>
      </c>
      <c r="J543" s="36">
        <f t="shared" si="271"/>
        <v>235737.89591000002</v>
      </c>
      <c r="K543" s="36">
        <f t="shared" si="271"/>
        <v>235737.89591000002</v>
      </c>
      <c r="L543" s="36">
        <f t="shared" si="259"/>
        <v>44.65573555135191</v>
      </c>
      <c r="M543" s="36">
        <f t="shared" si="260"/>
        <v>100</v>
      </c>
    </row>
    <row r="544" spans="1:13" ht="25.5">
      <c r="A544" s="60" t="s">
        <v>64</v>
      </c>
      <c r="B544" s="29" t="s">
        <v>283</v>
      </c>
      <c r="C544" s="29" t="s">
        <v>46</v>
      </c>
      <c r="D544" s="29" t="s">
        <v>106</v>
      </c>
      <c r="E544" s="29" t="s">
        <v>314</v>
      </c>
      <c r="F544" s="29" t="s">
        <v>65</v>
      </c>
      <c r="G544" s="36">
        <f>G545</f>
        <v>10236</v>
      </c>
      <c r="H544" s="36">
        <f t="shared" ref="H544:K544" si="272">H545</f>
        <v>10236</v>
      </c>
      <c r="I544" s="36">
        <f t="shared" si="272"/>
        <v>3978.48459</v>
      </c>
      <c r="J544" s="36">
        <f t="shared" si="272"/>
        <v>3978.48459</v>
      </c>
      <c r="K544" s="36">
        <f t="shared" si="272"/>
        <v>3978.48459</v>
      </c>
      <c r="L544" s="36">
        <f t="shared" si="259"/>
        <v>38.867571219226264</v>
      </c>
      <c r="M544" s="36">
        <f t="shared" si="260"/>
        <v>100</v>
      </c>
    </row>
    <row r="545" spans="1:13" ht="25.5">
      <c r="A545" s="60" t="s">
        <v>66</v>
      </c>
      <c r="B545" s="29" t="s">
        <v>283</v>
      </c>
      <c r="C545" s="29" t="s">
        <v>46</v>
      </c>
      <c r="D545" s="29" t="s">
        <v>106</v>
      </c>
      <c r="E545" s="29" t="s">
        <v>314</v>
      </c>
      <c r="F545" s="29" t="s">
        <v>67</v>
      </c>
      <c r="G545" s="36">
        <v>10236</v>
      </c>
      <c r="H545" s="36">
        <v>10236</v>
      </c>
      <c r="I545" s="36">
        <v>3978.48459</v>
      </c>
      <c r="J545" s="36">
        <v>3978.48459</v>
      </c>
      <c r="K545" s="36">
        <v>3978.48459</v>
      </c>
      <c r="L545" s="36">
        <f t="shared" si="259"/>
        <v>38.867571219226264</v>
      </c>
      <c r="M545" s="36">
        <f t="shared" si="260"/>
        <v>100</v>
      </c>
    </row>
    <row r="546" spans="1:13">
      <c r="A546" s="60" t="s">
        <v>68</v>
      </c>
      <c r="B546" s="29" t="s">
        <v>283</v>
      </c>
      <c r="C546" s="29" t="s">
        <v>46</v>
      </c>
      <c r="D546" s="29" t="s">
        <v>106</v>
      </c>
      <c r="E546" s="29" t="s">
        <v>314</v>
      </c>
      <c r="F546" s="29" t="s">
        <v>69</v>
      </c>
      <c r="G546" s="36">
        <f>G547</f>
        <v>517664.6</v>
      </c>
      <c r="H546" s="36">
        <f t="shared" ref="H546:K546" si="273">H547</f>
        <v>517664.6</v>
      </c>
      <c r="I546" s="36">
        <f t="shared" si="273"/>
        <v>231759.41132000001</v>
      </c>
      <c r="J546" s="36">
        <f t="shared" si="273"/>
        <v>231759.41132000001</v>
      </c>
      <c r="K546" s="36">
        <f t="shared" si="273"/>
        <v>231759.41132000001</v>
      </c>
      <c r="L546" s="36">
        <f t="shared" si="259"/>
        <v>44.770187360696482</v>
      </c>
      <c r="M546" s="36">
        <f t="shared" si="260"/>
        <v>100</v>
      </c>
    </row>
    <row r="547" spans="1:13" ht="25.5">
      <c r="A547" s="60" t="s">
        <v>151</v>
      </c>
      <c r="B547" s="29" t="s">
        <v>283</v>
      </c>
      <c r="C547" s="29" t="s">
        <v>46</v>
      </c>
      <c r="D547" s="29" t="s">
        <v>106</v>
      </c>
      <c r="E547" s="29" t="s">
        <v>314</v>
      </c>
      <c r="F547" s="29" t="s">
        <v>152</v>
      </c>
      <c r="G547" s="36">
        <v>517664.6</v>
      </c>
      <c r="H547" s="36">
        <v>517664.6</v>
      </c>
      <c r="I547" s="36">
        <v>231759.41132000001</v>
      </c>
      <c r="J547" s="36">
        <v>231759.41132000001</v>
      </c>
      <c r="K547" s="36">
        <v>231759.41132000001</v>
      </c>
      <c r="L547" s="36">
        <f t="shared" si="259"/>
        <v>44.770187360696482</v>
      </c>
      <c r="M547" s="36">
        <f t="shared" si="260"/>
        <v>100</v>
      </c>
    </row>
    <row r="548" spans="1:13">
      <c r="A548" s="63" t="s">
        <v>612</v>
      </c>
      <c r="B548" s="29" t="s">
        <v>283</v>
      </c>
      <c r="C548" s="29" t="s">
        <v>46</v>
      </c>
      <c r="D548" s="29" t="s">
        <v>106</v>
      </c>
      <c r="E548" s="30" t="s">
        <v>613</v>
      </c>
      <c r="F548" s="29"/>
      <c r="G548" s="36"/>
      <c r="H548" s="36">
        <f>H549</f>
        <v>665.4</v>
      </c>
      <c r="I548" s="36">
        <f>I549+I552</f>
        <v>695.97699999999998</v>
      </c>
      <c r="J548" s="36">
        <f t="shared" ref="J548:K548" si="274">J549+J552</f>
        <v>695.97699999999998</v>
      </c>
      <c r="K548" s="36">
        <f t="shared" si="274"/>
        <v>695.97699999999998</v>
      </c>
      <c r="L548" s="36">
        <f t="shared" ref="L548:L551" si="275">K548/H548*100</f>
        <v>104.59528103396454</v>
      </c>
      <c r="M548" s="36">
        <f t="shared" ref="M548:M551" si="276">K548/I548*100</f>
        <v>100</v>
      </c>
    </row>
    <row r="549" spans="1:13">
      <c r="A549" s="60" t="s">
        <v>612</v>
      </c>
      <c r="B549" s="29" t="s">
        <v>283</v>
      </c>
      <c r="C549" s="29" t="s">
        <v>46</v>
      </c>
      <c r="D549" s="29" t="s">
        <v>106</v>
      </c>
      <c r="E549" s="30" t="s">
        <v>614</v>
      </c>
      <c r="F549" s="29"/>
      <c r="G549" s="36"/>
      <c r="H549" s="36">
        <f>H550</f>
        <v>665.4</v>
      </c>
      <c r="I549" s="36">
        <f t="shared" ref="I549:K550" si="277">I550</f>
        <v>665.4</v>
      </c>
      <c r="J549" s="36">
        <f t="shared" si="277"/>
        <v>665.4</v>
      </c>
      <c r="K549" s="36">
        <f t="shared" si="277"/>
        <v>665.4</v>
      </c>
      <c r="L549" s="36">
        <f t="shared" si="275"/>
        <v>100</v>
      </c>
      <c r="M549" s="36">
        <f t="shared" si="276"/>
        <v>100</v>
      </c>
    </row>
    <row r="550" spans="1:13" ht="25.5">
      <c r="A550" s="60" t="s">
        <v>80</v>
      </c>
      <c r="B550" s="29" t="s">
        <v>283</v>
      </c>
      <c r="C550" s="29" t="s">
        <v>46</v>
      </c>
      <c r="D550" s="29" t="s">
        <v>106</v>
      </c>
      <c r="E550" s="30" t="s">
        <v>614</v>
      </c>
      <c r="F550" s="29" t="s">
        <v>81</v>
      </c>
      <c r="G550" s="36"/>
      <c r="H550" s="36">
        <f>H551</f>
        <v>665.4</v>
      </c>
      <c r="I550" s="36">
        <f t="shared" si="277"/>
        <v>665.4</v>
      </c>
      <c r="J550" s="36">
        <f t="shared" si="277"/>
        <v>665.4</v>
      </c>
      <c r="K550" s="36">
        <f t="shared" si="277"/>
        <v>665.4</v>
      </c>
      <c r="L550" s="36">
        <f t="shared" si="275"/>
        <v>100</v>
      </c>
      <c r="M550" s="36">
        <f t="shared" si="276"/>
        <v>100</v>
      </c>
    </row>
    <row r="551" spans="1:13">
      <c r="A551" s="60" t="s">
        <v>271</v>
      </c>
      <c r="B551" s="29" t="s">
        <v>283</v>
      </c>
      <c r="C551" s="29" t="s">
        <v>46</v>
      </c>
      <c r="D551" s="29" t="s">
        <v>106</v>
      </c>
      <c r="E551" s="30" t="s">
        <v>614</v>
      </c>
      <c r="F551" s="29" t="s">
        <v>272</v>
      </c>
      <c r="G551" s="36"/>
      <c r="H551" s="36">
        <v>665.4</v>
      </c>
      <c r="I551" s="36">
        <v>665.4</v>
      </c>
      <c r="J551" s="36">
        <v>665.4</v>
      </c>
      <c r="K551" s="36">
        <v>665.4</v>
      </c>
      <c r="L551" s="36">
        <f t="shared" si="275"/>
        <v>100</v>
      </c>
      <c r="M551" s="36">
        <f t="shared" si="276"/>
        <v>100</v>
      </c>
    </row>
    <row r="552" spans="1:13" ht="38.25">
      <c r="A552" s="70" t="s">
        <v>1130</v>
      </c>
      <c r="B552" s="29" t="s">
        <v>283</v>
      </c>
      <c r="C552" s="29" t="s">
        <v>46</v>
      </c>
      <c r="D552" s="29" t="s">
        <v>106</v>
      </c>
      <c r="E552" s="30" t="s">
        <v>1127</v>
      </c>
      <c r="F552" s="29"/>
      <c r="G552" s="36"/>
      <c r="H552" s="36">
        <f>H553</f>
        <v>30.577000000000002</v>
      </c>
      <c r="I552" s="36">
        <f t="shared" ref="I552:K554" si="278">I553</f>
        <v>30.577000000000002</v>
      </c>
      <c r="J552" s="36">
        <f t="shared" si="278"/>
        <v>30.577000000000002</v>
      </c>
      <c r="K552" s="36">
        <f t="shared" si="278"/>
        <v>30.577000000000002</v>
      </c>
      <c r="L552" s="36">
        <f t="shared" ref="L552:L557" si="279">K552/H552*100</f>
        <v>100</v>
      </c>
      <c r="M552" s="36">
        <f t="shared" ref="M552:M557" si="280">K552/I552*100</f>
        <v>100</v>
      </c>
    </row>
    <row r="553" spans="1:13" ht="114.75">
      <c r="A553" s="70" t="s">
        <v>1131</v>
      </c>
      <c r="B553" s="29" t="s">
        <v>283</v>
      </c>
      <c r="C553" s="29" t="s">
        <v>46</v>
      </c>
      <c r="D553" s="29" t="s">
        <v>106</v>
      </c>
      <c r="E553" s="30" t="s">
        <v>1128</v>
      </c>
      <c r="F553" s="29"/>
      <c r="G553" s="36"/>
      <c r="H553" s="36">
        <f>H554</f>
        <v>30.577000000000002</v>
      </c>
      <c r="I553" s="36">
        <f t="shared" si="278"/>
        <v>30.577000000000002</v>
      </c>
      <c r="J553" s="36">
        <f t="shared" si="278"/>
        <v>30.577000000000002</v>
      </c>
      <c r="K553" s="36">
        <f t="shared" si="278"/>
        <v>30.577000000000002</v>
      </c>
      <c r="L553" s="36">
        <f t="shared" si="279"/>
        <v>100</v>
      </c>
      <c r="M553" s="36">
        <f t="shared" si="280"/>
        <v>100</v>
      </c>
    </row>
    <row r="554" spans="1:13" ht="114.75">
      <c r="A554" s="60" t="s">
        <v>1132</v>
      </c>
      <c r="B554" s="29" t="s">
        <v>283</v>
      </c>
      <c r="C554" s="29" t="s">
        <v>46</v>
      </c>
      <c r="D554" s="29" t="s">
        <v>106</v>
      </c>
      <c r="E554" s="30" t="s">
        <v>1129</v>
      </c>
      <c r="F554" s="29"/>
      <c r="G554" s="36"/>
      <c r="H554" s="36">
        <f>H555</f>
        <v>30.577000000000002</v>
      </c>
      <c r="I554" s="36">
        <f t="shared" si="278"/>
        <v>30.577000000000002</v>
      </c>
      <c r="J554" s="36">
        <f t="shared" si="278"/>
        <v>30.577000000000002</v>
      </c>
      <c r="K554" s="36">
        <f t="shared" si="278"/>
        <v>30.577000000000002</v>
      </c>
      <c r="L554" s="36">
        <f t="shared" si="279"/>
        <v>100</v>
      </c>
      <c r="M554" s="36">
        <f t="shared" si="280"/>
        <v>100</v>
      </c>
    </row>
    <row r="555" spans="1:13" ht="25.5">
      <c r="A555" s="60" t="s">
        <v>80</v>
      </c>
      <c r="B555" s="29" t="s">
        <v>283</v>
      </c>
      <c r="C555" s="29" t="s">
        <v>46</v>
      </c>
      <c r="D555" s="29" t="s">
        <v>106</v>
      </c>
      <c r="E555" s="30" t="s">
        <v>1129</v>
      </c>
      <c r="F555" s="29">
        <v>600</v>
      </c>
      <c r="G555" s="36"/>
      <c r="H555" s="36">
        <f>H556+H557</f>
        <v>30.577000000000002</v>
      </c>
      <c r="I555" s="36">
        <f t="shared" ref="I555:K555" si="281">I556+I557</f>
        <v>30.577000000000002</v>
      </c>
      <c r="J555" s="36">
        <f t="shared" si="281"/>
        <v>30.577000000000002</v>
      </c>
      <c r="K555" s="36">
        <f t="shared" si="281"/>
        <v>30.577000000000002</v>
      </c>
      <c r="L555" s="36">
        <f t="shared" si="279"/>
        <v>100</v>
      </c>
      <c r="M555" s="36">
        <f t="shared" si="280"/>
        <v>100</v>
      </c>
    </row>
    <row r="556" spans="1:13">
      <c r="A556" s="60" t="s">
        <v>271</v>
      </c>
      <c r="B556" s="29" t="s">
        <v>283</v>
      </c>
      <c r="C556" s="29" t="s">
        <v>46</v>
      </c>
      <c r="D556" s="29" t="s">
        <v>106</v>
      </c>
      <c r="E556" s="30" t="s">
        <v>1129</v>
      </c>
      <c r="F556" s="29">
        <v>610</v>
      </c>
      <c r="G556" s="36"/>
      <c r="H556" s="36">
        <v>29.9649</v>
      </c>
      <c r="I556" s="36">
        <v>29.9649</v>
      </c>
      <c r="J556" s="36">
        <v>29.9649</v>
      </c>
      <c r="K556" s="36">
        <v>29.9649</v>
      </c>
      <c r="L556" s="36">
        <f t="shared" si="279"/>
        <v>100</v>
      </c>
      <c r="M556" s="36">
        <f t="shared" si="280"/>
        <v>100</v>
      </c>
    </row>
    <row r="557" spans="1:13">
      <c r="A557" s="63" t="s">
        <v>82</v>
      </c>
      <c r="B557" s="29" t="s">
        <v>283</v>
      </c>
      <c r="C557" s="29" t="s">
        <v>46</v>
      </c>
      <c r="D557" s="29" t="s">
        <v>106</v>
      </c>
      <c r="E557" s="30" t="s">
        <v>1129</v>
      </c>
      <c r="F557" s="29">
        <v>620</v>
      </c>
      <c r="G557" s="36"/>
      <c r="H557" s="36">
        <v>0.61209999999999998</v>
      </c>
      <c r="I557" s="36">
        <v>0.61209999999999998</v>
      </c>
      <c r="J557" s="36">
        <v>0.61209999999999998</v>
      </c>
      <c r="K557" s="36">
        <v>0.61209999999999998</v>
      </c>
      <c r="L557" s="36">
        <f t="shared" si="279"/>
        <v>100</v>
      </c>
      <c r="M557" s="36">
        <f t="shared" si="280"/>
        <v>100</v>
      </c>
    </row>
    <row r="558" spans="1:13">
      <c r="A558" s="60" t="s">
        <v>315</v>
      </c>
      <c r="B558" s="29" t="s">
        <v>283</v>
      </c>
      <c r="C558" s="29" t="s">
        <v>46</v>
      </c>
      <c r="D558" s="29" t="s">
        <v>19</v>
      </c>
      <c r="E558" s="59" t="s">
        <v>0</v>
      </c>
      <c r="F558" s="59" t="s">
        <v>0</v>
      </c>
      <c r="G558" s="36">
        <f>G559</f>
        <v>71013.900000000009</v>
      </c>
      <c r="H558" s="36">
        <f t="shared" ref="H558:K559" si="282">H559</f>
        <v>71326.400000000009</v>
      </c>
      <c r="I558" s="36">
        <f t="shared" si="282"/>
        <v>30998.400000000001</v>
      </c>
      <c r="J558" s="36">
        <f t="shared" si="282"/>
        <v>30998.400000000001</v>
      </c>
      <c r="K558" s="36">
        <f t="shared" si="282"/>
        <v>30998.400000000001</v>
      </c>
      <c r="L558" s="36">
        <f t="shared" si="259"/>
        <v>43.45992507682989</v>
      </c>
      <c r="M558" s="36">
        <f t="shared" si="260"/>
        <v>100</v>
      </c>
    </row>
    <row r="559" spans="1:13" ht="38.25">
      <c r="A559" s="60" t="s">
        <v>136</v>
      </c>
      <c r="B559" s="29" t="s">
        <v>283</v>
      </c>
      <c r="C559" s="29" t="s">
        <v>46</v>
      </c>
      <c r="D559" s="29" t="s">
        <v>19</v>
      </c>
      <c r="E559" s="29" t="s">
        <v>137</v>
      </c>
      <c r="F559" s="59" t="s">
        <v>0</v>
      </c>
      <c r="G559" s="36">
        <f>G560</f>
        <v>71013.900000000009</v>
      </c>
      <c r="H559" s="36">
        <f t="shared" si="282"/>
        <v>71326.400000000009</v>
      </c>
      <c r="I559" s="36">
        <f t="shared" si="282"/>
        <v>30998.400000000001</v>
      </c>
      <c r="J559" s="36">
        <f t="shared" si="282"/>
        <v>30998.400000000001</v>
      </c>
      <c r="K559" s="36">
        <f t="shared" si="282"/>
        <v>30998.400000000001</v>
      </c>
      <c r="L559" s="36">
        <f t="shared" si="259"/>
        <v>43.45992507682989</v>
      </c>
      <c r="M559" s="36">
        <f t="shared" si="260"/>
        <v>100</v>
      </c>
    </row>
    <row r="560" spans="1:13" ht="63.75">
      <c r="A560" s="60" t="s">
        <v>289</v>
      </c>
      <c r="B560" s="29" t="s">
        <v>283</v>
      </c>
      <c r="C560" s="29" t="s">
        <v>46</v>
      </c>
      <c r="D560" s="29" t="s">
        <v>19</v>
      </c>
      <c r="E560" s="29" t="s">
        <v>290</v>
      </c>
      <c r="F560" s="59" t="s">
        <v>0</v>
      </c>
      <c r="G560" s="36">
        <f>G561+G564</f>
        <v>71013.900000000009</v>
      </c>
      <c r="H560" s="36">
        <f t="shared" ref="H560:K560" si="283">H561+H564</f>
        <v>71326.400000000009</v>
      </c>
      <c r="I560" s="36">
        <f t="shared" si="283"/>
        <v>30998.400000000001</v>
      </c>
      <c r="J560" s="36">
        <f t="shared" si="283"/>
        <v>30998.400000000001</v>
      </c>
      <c r="K560" s="36">
        <f t="shared" si="283"/>
        <v>30998.400000000001</v>
      </c>
      <c r="L560" s="36">
        <f t="shared" si="259"/>
        <v>43.45992507682989</v>
      </c>
      <c r="M560" s="36">
        <f t="shared" si="260"/>
        <v>100</v>
      </c>
    </row>
    <row r="561" spans="1:13" ht="25.5">
      <c r="A561" s="60" t="s">
        <v>76</v>
      </c>
      <c r="B561" s="29" t="s">
        <v>283</v>
      </c>
      <c r="C561" s="29" t="s">
        <v>46</v>
      </c>
      <c r="D561" s="29" t="s">
        <v>19</v>
      </c>
      <c r="E561" s="29" t="s">
        <v>293</v>
      </c>
      <c r="F561" s="59" t="s">
        <v>0</v>
      </c>
      <c r="G561" s="36">
        <f>G562</f>
        <v>70135.100000000006</v>
      </c>
      <c r="H561" s="36">
        <f t="shared" ref="H561:K562" si="284">H562</f>
        <v>70447.600000000006</v>
      </c>
      <c r="I561" s="36">
        <f t="shared" si="284"/>
        <v>30998.400000000001</v>
      </c>
      <c r="J561" s="36">
        <f t="shared" si="284"/>
        <v>30998.400000000001</v>
      </c>
      <c r="K561" s="36">
        <f t="shared" si="284"/>
        <v>30998.400000000001</v>
      </c>
      <c r="L561" s="36">
        <f t="shared" si="259"/>
        <v>44.002066784390095</v>
      </c>
      <c r="M561" s="36">
        <f t="shared" si="260"/>
        <v>100</v>
      </c>
    </row>
    <row r="562" spans="1:13" ht="25.5">
      <c r="A562" s="60" t="s">
        <v>80</v>
      </c>
      <c r="B562" s="29" t="s">
        <v>283</v>
      </c>
      <c r="C562" s="29" t="s">
        <v>46</v>
      </c>
      <c r="D562" s="29" t="s">
        <v>19</v>
      </c>
      <c r="E562" s="29" t="s">
        <v>293</v>
      </c>
      <c r="F562" s="29" t="s">
        <v>81</v>
      </c>
      <c r="G562" s="36">
        <f>G563</f>
        <v>70135.100000000006</v>
      </c>
      <c r="H562" s="36">
        <f t="shared" si="284"/>
        <v>70447.600000000006</v>
      </c>
      <c r="I562" s="36">
        <f t="shared" si="284"/>
        <v>30998.400000000001</v>
      </c>
      <c r="J562" s="36">
        <f t="shared" si="284"/>
        <v>30998.400000000001</v>
      </c>
      <c r="K562" s="36">
        <f t="shared" si="284"/>
        <v>30998.400000000001</v>
      </c>
      <c r="L562" s="36">
        <f t="shared" si="259"/>
        <v>44.002066784390095</v>
      </c>
      <c r="M562" s="36">
        <f t="shared" si="260"/>
        <v>100</v>
      </c>
    </row>
    <row r="563" spans="1:13">
      <c r="A563" s="60" t="s">
        <v>271</v>
      </c>
      <c r="B563" s="29" t="s">
        <v>283</v>
      </c>
      <c r="C563" s="29" t="s">
        <v>46</v>
      </c>
      <c r="D563" s="29" t="s">
        <v>19</v>
      </c>
      <c r="E563" s="29" t="s">
        <v>293</v>
      </c>
      <c r="F563" s="29" t="s">
        <v>272</v>
      </c>
      <c r="G563" s="36">
        <v>70135.100000000006</v>
      </c>
      <c r="H563" s="36">
        <v>70447.600000000006</v>
      </c>
      <c r="I563" s="36">
        <v>30998.400000000001</v>
      </c>
      <c r="J563" s="36">
        <v>30998.400000000001</v>
      </c>
      <c r="K563" s="36">
        <v>30998.400000000001</v>
      </c>
      <c r="L563" s="36">
        <f t="shared" si="259"/>
        <v>44.002066784390095</v>
      </c>
      <c r="M563" s="36">
        <f t="shared" si="260"/>
        <v>100</v>
      </c>
    </row>
    <row r="564" spans="1:13">
      <c r="A564" s="60" t="s">
        <v>303</v>
      </c>
      <c r="B564" s="29" t="s">
        <v>283</v>
      </c>
      <c r="C564" s="29" t="s">
        <v>46</v>
      </c>
      <c r="D564" s="29" t="s">
        <v>19</v>
      </c>
      <c r="E564" s="29" t="s">
        <v>316</v>
      </c>
      <c r="F564" s="59" t="s">
        <v>0</v>
      </c>
      <c r="G564" s="36">
        <f>G565</f>
        <v>878.8</v>
      </c>
      <c r="H564" s="36">
        <f t="shared" ref="H564:K565" si="285">H565</f>
        <v>878.8</v>
      </c>
      <c r="I564" s="36">
        <f t="shared" si="285"/>
        <v>0</v>
      </c>
      <c r="J564" s="36">
        <f t="shared" si="285"/>
        <v>0</v>
      </c>
      <c r="K564" s="36">
        <f t="shared" si="285"/>
        <v>0</v>
      </c>
      <c r="L564" s="36">
        <f t="shared" si="259"/>
        <v>0</v>
      </c>
      <c r="M564" s="36">
        <v>0</v>
      </c>
    </row>
    <row r="565" spans="1:13">
      <c r="A565" s="60" t="s">
        <v>72</v>
      </c>
      <c r="B565" s="29" t="s">
        <v>283</v>
      </c>
      <c r="C565" s="29" t="s">
        <v>46</v>
      </c>
      <c r="D565" s="29" t="s">
        <v>19</v>
      </c>
      <c r="E565" s="29" t="s">
        <v>316</v>
      </c>
      <c r="F565" s="29" t="s">
        <v>73</v>
      </c>
      <c r="G565" s="36">
        <f>G566</f>
        <v>878.8</v>
      </c>
      <c r="H565" s="36">
        <f t="shared" si="285"/>
        <v>878.8</v>
      </c>
      <c r="I565" s="36">
        <f t="shared" si="285"/>
        <v>0</v>
      </c>
      <c r="J565" s="36">
        <f t="shared" si="285"/>
        <v>0</v>
      </c>
      <c r="K565" s="36">
        <f t="shared" si="285"/>
        <v>0</v>
      </c>
      <c r="L565" s="36">
        <f t="shared" si="259"/>
        <v>0</v>
      </c>
      <c r="M565" s="36">
        <v>0</v>
      </c>
    </row>
    <row r="566" spans="1:13" ht="51">
      <c r="A566" s="60" t="s">
        <v>218</v>
      </c>
      <c r="B566" s="29" t="s">
        <v>283</v>
      </c>
      <c r="C566" s="29" t="s">
        <v>46</v>
      </c>
      <c r="D566" s="29" t="s">
        <v>19</v>
      </c>
      <c r="E566" s="29" t="s">
        <v>316</v>
      </c>
      <c r="F566" s="29" t="s">
        <v>219</v>
      </c>
      <c r="G566" s="36">
        <v>878.8</v>
      </c>
      <c r="H566" s="36">
        <v>878.8</v>
      </c>
      <c r="I566" s="36">
        <v>0</v>
      </c>
      <c r="J566" s="36">
        <v>0</v>
      </c>
      <c r="K566" s="36">
        <v>0</v>
      </c>
      <c r="L566" s="36">
        <f t="shared" si="259"/>
        <v>0</v>
      </c>
      <c r="M566" s="36">
        <v>0</v>
      </c>
    </row>
    <row r="567" spans="1:13">
      <c r="A567" s="60" t="s">
        <v>317</v>
      </c>
      <c r="B567" s="29" t="s">
        <v>283</v>
      </c>
      <c r="C567" s="29" t="s">
        <v>46</v>
      </c>
      <c r="D567" s="29" t="s">
        <v>93</v>
      </c>
      <c r="E567" s="59" t="s">
        <v>0</v>
      </c>
      <c r="F567" s="59" t="s">
        <v>0</v>
      </c>
      <c r="G567" s="36">
        <f>G568</f>
        <v>148228.90000000002</v>
      </c>
      <c r="H567" s="36">
        <f t="shared" ref="H567:K570" si="286">H568</f>
        <v>148228.90000000002</v>
      </c>
      <c r="I567" s="36">
        <f t="shared" si="286"/>
        <v>74860.200000000012</v>
      </c>
      <c r="J567" s="36">
        <f t="shared" si="286"/>
        <v>74860.200000000012</v>
      </c>
      <c r="K567" s="36">
        <f t="shared" si="286"/>
        <v>74860.200000000012</v>
      </c>
      <c r="L567" s="36">
        <f t="shared" si="259"/>
        <v>50.503107018941648</v>
      </c>
      <c r="M567" s="36">
        <f t="shared" si="260"/>
        <v>100</v>
      </c>
    </row>
    <row r="568" spans="1:13" ht="38.25">
      <c r="A568" s="60" t="s">
        <v>136</v>
      </c>
      <c r="B568" s="29" t="s">
        <v>283</v>
      </c>
      <c r="C568" s="29" t="s">
        <v>46</v>
      </c>
      <c r="D568" s="29" t="s">
        <v>93</v>
      </c>
      <c r="E568" s="29" t="s">
        <v>137</v>
      </c>
      <c r="F568" s="59" t="s">
        <v>0</v>
      </c>
      <c r="G568" s="36">
        <f>G569</f>
        <v>148228.90000000002</v>
      </c>
      <c r="H568" s="36">
        <f t="shared" si="286"/>
        <v>148228.90000000002</v>
      </c>
      <c r="I568" s="36">
        <f t="shared" si="286"/>
        <v>74860.200000000012</v>
      </c>
      <c r="J568" s="36">
        <f t="shared" si="286"/>
        <v>74860.200000000012</v>
      </c>
      <c r="K568" s="36">
        <f t="shared" si="286"/>
        <v>74860.200000000012</v>
      </c>
      <c r="L568" s="36">
        <f t="shared" si="259"/>
        <v>50.503107018941648</v>
      </c>
      <c r="M568" s="36">
        <f t="shared" si="260"/>
        <v>100</v>
      </c>
    </row>
    <row r="569" spans="1:13" ht="25.5">
      <c r="A569" s="60" t="s">
        <v>318</v>
      </c>
      <c r="B569" s="29" t="s">
        <v>283</v>
      </c>
      <c r="C569" s="29" t="s">
        <v>46</v>
      </c>
      <c r="D569" s="29" t="s">
        <v>93</v>
      </c>
      <c r="E569" s="29" t="s">
        <v>319</v>
      </c>
      <c r="F569" s="59" t="s">
        <v>0</v>
      </c>
      <c r="G569" s="36">
        <f>G570</f>
        <v>148228.90000000002</v>
      </c>
      <c r="H569" s="36">
        <f t="shared" si="286"/>
        <v>148228.90000000002</v>
      </c>
      <c r="I569" s="36">
        <f t="shared" si="286"/>
        <v>74860.200000000012</v>
      </c>
      <c r="J569" s="36">
        <f t="shared" si="286"/>
        <v>74860.200000000012</v>
      </c>
      <c r="K569" s="36">
        <f t="shared" si="286"/>
        <v>74860.200000000012</v>
      </c>
      <c r="L569" s="36">
        <f t="shared" si="259"/>
        <v>50.503107018941648</v>
      </c>
      <c r="M569" s="36">
        <f t="shared" si="260"/>
        <v>100</v>
      </c>
    </row>
    <row r="570" spans="1:13" ht="25.5">
      <c r="A570" s="60" t="s">
        <v>76</v>
      </c>
      <c r="B570" s="29" t="s">
        <v>283</v>
      </c>
      <c r="C570" s="29" t="s">
        <v>46</v>
      </c>
      <c r="D570" s="29" t="s">
        <v>93</v>
      </c>
      <c r="E570" s="29" t="s">
        <v>320</v>
      </c>
      <c r="F570" s="59" t="s">
        <v>0</v>
      </c>
      <c r="G570" s="36">
        <f>G571</f>
        <v>148228.90000000002</v>
      </c>
      <c r="H570" s="36">
        <f t="shared" si="286"/>
        <v>148228.90000000002</v>
      </c>
      <c r="I570" s="36">
        <f t="shared" si="286"/>
        <v>74860.200000000012</v>
      </c>
      <c r="J570" s="36">
        <f t="shared" si="286"/>
        <v>74860.200000000012</v>
      </c>
      <c r="K570" s="36">
        <f t="shared" si="286"/>
        <v>74860.200000000012</v>
      </c>
      <c r="L570" s="36">
        <f t="shared" si="259"/>
        <v>50.503107018941648</v>
      </c>
      <c r="M570" s="36">
        <f t="shared" si="260"/>
        <v>100</v>
      </c>
    </row>
    <row r="571" spans="1:13" ht="25.5">
      <c r="A571" s="60" t="s">
        <v>80</v>
      </c>
      <c r="B571" s="29" t="s">
        <v>283</v>
      </c>
      <c r="C571" s="29" t="s">
        <v>46</v>
      </c>
      <c r="D571" s="29" t="s">
        <v>93</v>
      </c>
      <c r="E571" s="29" t="s">
        <v>320</v>
      </c>
      <c r="F571" s="29" t="s">
        <v>81</v>
      </c>
      <c r="G571" s="36">
        <f>G572+G573</f>
        <v>148228.90000000002</v>
      </c>
      <c r="H571" s="36">
        <f t="shared" ref="H571:K571" si="287">H572+H573</f>
        <v>148228.90000000002</v>
      </c>
      <c r="I571" s="36">
        <f t="shared" si="287"/>
        <v>74860.200000000012</v>
      </c>
      <c r="J571" s="36">
        <f t="shared" si="287"/>
        <v>74860.200000000012</v>
      </c>
      <c r="K571" s="36">
        <f t="shared" si="287"/>
        <v>74860.200000000012</v>
      </c>
      <c r="L571" s="36">
        <f t="shared" si="259"/>
        <v>50.503107018941648</v>
      </c>
      <c r="M571" s="36">
        <f t="shared" si="260"/>
        <v>100</v>
      </c>
    </row>
    <row r="572" spans="1:13">
      <c r="A572" s="60" t="s">
        <v>271</v>
      </c>
      <c r="B572" s="29" t="s">
        <v>283</v>
      </c>
      <c r="C572" s="29" t="s">
        <v>46</v>
      </c>
      <c r="D572" s="29" t="s">
        <v>93</v>
      </c>
      <c r="E572" s="29" t="s">
        <v>320</v>
      </c>
      <c r="F572" s="29" t="s">
        <v>272</v>
      </c>
      <c r="G572" s="36">
        <v>71306.3</v>
      </c>
      <c r="H572" s="36">
        <v>71306.3</v>
      </c>
      <c r="I572" s="36">
        <v>36398.9</v>
      </c>
      <c r="J572" s="36">
        <v>36398.9</v>
      </c>
      <c r="K572" s="36">
        <v>36398.9</v>
      </c>
      <c r="L572" s="36">
        <f t="shared" si="259"/>
        <v>51.045840269373109</v>
      </c>
      <c r="M572" s="36">
        <f t="shared" si="260"/>
        <v>100</v>
      </c>
    </row>
    <row r="573" spans="1:13">
      <c r="A573" s="60" t="s">
        <v>82</v>
      </c>
      <c r="B573" s="29" t="s">
        <v>283</v>
      </c>
      <c r="C573" s="29" t="s">
        <v>46</v>
      </c>
      <c r="D573" s="29" t="s">
        <v>93</v>
      </c>
      <c r="E573" s="29" t="s">
        <v>320</v>
      </c>
      <c r="F573" s="29" t="s">
        <v>83</v>
      </c>
      <c r="G573" s="36">
        <v>76922.600000000006</v>
      </c>
      <c r="H573" s="36">
        <v>76922.600000000006</v>
      </c>
      <c r="I573" s="36">
        <v>38461.300000000003</v>
      </c>
      <c r="J573" s="36">
        <v>38461.300000000003</v>
      </c>
      <c r="K573" s="36">
        <v>38461.300000000003</v>
      </c>
      <c r="L573" s="36">
        <f t="shared" si="259"/>
        <v>50</v>
      </c>
      <c r="M573" s="36">
        <f t="shared" si="260"/>
        <v>100</v>
      </c>
    </row>
    <row r="574" spans="1:13" ht="25.5">
      <c r="A574" s="60" t="s">
        <v>321</v>
      </c>
      <c r="B574" s="29" t="s">
        <v>283</v>
      </c>
      <c r="C574" s="29" t="s">
        <v>46</v>
      </c>
      <c r="D574" s="29" t="s">
        <v>32</v>
      </c>
      <c r="E574" s="59" t="s">
        <v>0</v>
      </c>
      <c r="F574" s="59" t="s">
        <v>0</v>
      </c>
      <c r="G574" s="36">
        <f>G575</f>
        <v>122130.2</v>
      </c>
      <c r="H574" s="36">
        <f t="shared" ref="H574:K578" si="288">H575</f>
        <v>122130.2</v>
      </c>
      <c r="I574" s="36">
        <f t="shared" si="288"/>
        <v>61065.1</v>
      </c>
      <c r="J574" s="36">
        <f t="shared" si="288"/>
        <v>61065.1</v>
      </c>
      <c r="K574" s="36">
        <f t="shared" si="288"/>
        <v>61065.1</v>
      </c>
      <c r="L574" s="36">
        <f t="shared" si="259"/>
        <v>50</v>
      </c>
      <c r="M574" s="36">
        <f t="shared" si="260"/>
        <v>100</v>
      </c>
    </row>
    <row r="575" spans="1:13" ht="38.25">
      <c r="A575" s="60" t="s">
        <v>136</v>
      </c>
      <c r="B575" s="29" t="s">
        <v>283</v>
      </c>
      <c r="C575" s="29" t="s">
        <v>46</v>
      </c>
      <c r="D575" s="29" t="s">
        <v>32</v>
      </c>
      <c r="E575" s="29" t="s">
        <v>137</v>
      </c>
      <c r="F575" s="59" t="s">
        <v>0</v>
      </c>
      <c r="G575" s="64">
        <f>G576</f>
        <v>122130.2</v>
      </c>
      <c r="H575" s="64">
        <f t="shared" si="288"/>
        <v>122130.2</v>
      </c>
      <c r="I575" s="64">
        <f t="shared" si="288"/>
        <v>61065.1</v>
      </c>
      <c r="J575" s="64">
        <f t="shared" si="288"/>
        <v>61065.1</v>
      </c>
      <c r="K575" s="64">
        <f t="shared" si="288"/>
        <v>61065.1</v>
      </c>
      <c r="L575" s="36">
        <f t="shared" si="259"/>
        <v>50</v>
      </c>
      <c r="M575" s="36">
        <f t="shared" si="260"/>
        <v>100</v>
      </c>
    </row>
    <row r="576" spans="1:13" ht="63.75">
      <c r="A576" s="60" t="s">
        <v>289</v>
      </c>
      <c r="B576" s="29" t="s">
        <v>283</v>
      </c>
      <c r="C576" s="29" t="s">
        <v>46</v>
      </c>
      <c r="D576" s="29" t="s">
        <v>32</v>
      </c>
      <c r="E576" s="29" t="s">
        <v>290</v>
      </c>
      <c r="F576" s="59" t="s">
        <v>0</v>
      </c>
      <c r="G576" s="36">
        <f>G577</f>
        <v>122130.2</v>
      </c>
      <c r="H576" s="36">
        <f t="shared" si="288"/>
        <v>122130.2</v>
      </c>
      <c r="I576" s="36">
        <f t="shared" si="288"/>
        <v>61065.1</v>
      </c>
      <c r="J576" s="36">
        <f t="shared" si="288"/>
        <v>61065.1</v>
      </c>
      <c r="K576" s="36">
        <f t="shared" si="288"/>
        <v>61065.1</v>
      </c>
      <c r="L576" s="36">
        <f t="shared" si="259"/>
        <v>50</v>
      </c>
      <c r="M576" s="36">
        <f t="shared" si="260"/>
        <v>100</v>
      </c>
    </row>
    <row r="577" spans="1:13" ht="25.5">
      <c r="A577" s="60" t="s">
        <v>76</v>
      </c>
      <c r="B577" s="29" t="s">
        <v>283</v>
      </c>
      <c r="C577" s="29" t="s">
        <v>46</v>
      </c>
      <c r="D577" s="29" t="s">
        <v>32</v>
      </c>
      <c r="E577" s="29" t="s">
        <v>293</v>
      </c>
      <c r="F577" s="59" t="s">
        <v>0</v>
      </c>
      <c r="G577" s="36">
        <f>G578</f>
        <v>122130.2</v>
      </c>
      <c r="H577" s="36">
        <f t="shared" si="288"/>
        <v>122130.2</v>
      </c>
      <c r="I577" s="36">
        <f t="shared" si="288"/>
        <v>61065.1</v>
      </c>
      <c r="J577" s="36">
        <f t="shared" si="288"/>
        <v>61065.1</v>
      </c>
      <c r="K577" s="36">
        <f t="shared" si="288"/>
        <v>61065.1</v>
      </c>
      <c r="L577" s="36">
        <f t="shared" si="259"/>
        <v>50</v>
      </c>
      <c r="M577" s="36">
        <f t="shared" si="260"/>
        <v>100</v>
      </c>
    </row>
    <row r="578" spans="1:13" ht="25.5">
      <c r="A578" s="60" t="s">
        <v>80</v>
      </c>
      <c r="B578" s="29" t="s">
        <v>283</v>
      </c>
      <c r="C578" s="29" t="s">
        <v>46</v>
      </c>
      <c r="D578" s="29" t="s">
        <v>32</v>
      </c>
      <c r="E578" s="29" t="s">
        <v>293</v>
      </c>
      <c r="F578" s="29" t="s">
        <v>81</v>
      </c>
      <c r="G578" s="36">
        <f>G579</f>
        <v>122130.2</v>
      </c>
      <c r="H578" s="36">
        <f t="shared" si="288"/>
        <v>122130.2</v>
      </c>
      <c r="I578" s="36">
        <f t="shared" si="288"/>
        <v>61065.1</v>
      </c>
      <c r="J578" s="36">
        <f t="shared" si="288"/>
        <v>61065.1</v>
      </c>
      <c r="K578" s="36">
        <f t="shared" si="288"/>
        <v>61065.1</v>
      </c>
      <c r="L578" s="36">
        <f t="shared" si="259"/>
        <v>50</v>
      </c>
      <c r="M578" s="36">
        <f t="shared" si="260"/>
        <v>100</v>
      </c>
    </row>
    <row r="579" spans="1:13">
      <c r="A579" s="60" t="s">
        <v>271</v>
      </c>
      <c r="B579" s="29" t="s">
        <v>283</v>
      </c>
      <c r="C579" s="29" t="s">
        <v>46</v>
      </c>
      <c r="D579" s="29" t="s">
        <v>32</v>
      </c>
      <c r="E579" s="29" t="s">
        <v>293</v>
      </c>
      <c r="F579" s="29" t="s">
        <v>272</v>
      </c>
      <c r="G579" s="36">
        <v>122130.2</v>
      </c>
      <c r="H579" s="36">
        <v>122130.2</v>
      </c>
      <c r="I579" s="36">
        <v>61065.1</v>
      </c>
      <c r="J579" s="36">
        <v>61065.1</v>
      </c>
      <c r="K579" s="36">
        <v>61065.1</v>
      </c>
      <c r="L579" s="36">
        <f t="shared" si="259"/>
        <v>50</v>
      </c>
      <c r="M579" s="36">
        <f t="shared" si="260"/>
        <v>100</v>
      </c>
    </row>
    <row r="580" spans="1:13">
      <c r="A580" s="60" t="s">
        <v>322</v>
      </c>
      <c r="B580" s="29" t="s">
        <v>283</v>
      </c>
      <c r="C580" s="29" t="s">
        <v>46</v>
      </c>
      <c r="D580" s="29" t="s">
        <v>46</v>
      </c>
      <c r="E580" s="59" t="s">
        <v>0</v>
      </c>
      <c r="F580" s="59" t="s">
        <v>0</v>
      </c>
      <c r="G580" s="36">
        <f>G581+G668+G673</f>
        <v>8601166.0999999996</v>
      </c>
      <c r="H580" s="36">
        <f>H581+H668+H673+H679</f>
        <v>8614209.32192</v>
      </c>
      <c r="I580" s="36">
        <f>I581+I668+I673+I679</f>
        <v>4285133.3726899996</v>
      </c>
      <c r="J580" s="36">
        <f t="shared" ref="J580:K580" si="289">J581+J668+J673+J679</f>
        <v>4279993.3726899996</v>
      </c>
      <c r="K580" s="36">
        <f t="shared" si="289"/>
        <v>4260417.4596699998</v>
      </c>
      <c r="L580" s="36">
        <f t="shared" si="259"/>
        <v>49.458021049346939</v>
      </c>
      <c r="M580" s="36">
        <f t="shared" si="260"/>
        <v>99.423217182048077</v>
      </c>
    </row>
    <row r="581" spans="1:13" ht="38.25">
      <c r="A581" s="60" t="s">
        <v>136</v>
      </c>
      <c r="B581" s="29" t="s">
        <v>283</v>
      </c>
      <c r="C581" s="29" t="s">
        <v>46</v>
      </c>
      <c r="D581" s="29" t="s">
        <v>46</v>
      </c>
      <c r="E581" s="29" t="s">
        <v>137</v>
      </c>
      <c r="F581" s="59" t="s">
        <v>0</v>
      </c>
      <c r="G581" s="36">
        <f>G582+G592+G599+G606+G625+G635</f>
        <v>8593789</v>
      </c>
      <c r="H581" s="36">
        <f t="shared" ref="H581:I581" si="290">H582+H592+H599+H606+H625+H635</f>
        <v>8601534.1379199997</v>
      </c>
      <c r="I581" s="36">
        <f t="shared" si="290"/>
        <v>4277151.4583999999</v>
      </c>
      <c r="J581" s="36">
        <f t="shared" ref="J581:K581" si="291">J582+J592+J599+J606+J625+J635</f>
        <v>4272011.4583999999</v>
      </c>
      <c r="K581" s="36">
        <f t="shared" si="291"/>
        <v>4257733.6293799998</v>
      </c>
      <c r="L581" s="36">
        <f t="shared" si="259"/>
        <v>49.499700415181913</v>
      </c>
      <c r="M581" s="36">
        <f t="shared" si="260"/>
        <v>99.546010254514954</v>
      </c>
    </row>
    <row r="582" spans="1:13" ht="38.25">
      <c r="A582" s="60" t="s">
        <v>306</v>
      </c>
      <c r="B582" s="29" t="s">
        <v>283</v>
      </c>
      <c r="C582" s="29" t="s">
        <v>46</v>
      </c>
      <c r="D582" s="29" t="s">
        <v>46</v>
      </c>
      <c r="E582" s="29" t="s">
        <v>307</v>
      </c>
      <c r="F582" s="59" t="s">
        <v>0</v>
      </c>
      <c r="G582" s="36">
        <f>G583+G586+G589</f>
        <v>84779.1</v>
      </c>
      <c r="H582" s="36">
        <f t="shared" ref="H582:I582" si="292">H583+H586+H589</f>
        <v>84779.1</v>
      </c>
      <c r="I582" s="36">
        <f t="shared" si="292"/>
        <v>12404.119189999999</v>
      </c>
      <c r="J582" s="36">
        <f t="shared" ref="J582:K582" si="293">J583+J586+J589</f>
        <v>12404.119189999999</v>
      </c>
      <c r="K582" s="36">
        <f t="shared" si="293"/>
        <v>11952.96269</v>
      </c>
      <c r="L582" s="36">
        <f t="shared" si="259"/>
        <v>14.098949729355464</v>
      </c>
      <c r="M582" s="36">
        <f t="shared" si="260"/>
        <v>96.362849364074847</v>
      </c>
    </row>
    <row r="583" spans="1:13" ht="51">
      <c r="A583" s="60" t="s">
        <v>323</v>
      </c>
      <c r="B583" s="29" t="s">
        <v>283</v>
      </c>
      <c r="C583" s="29" t="s">
        <v>46</v>
      </c>
      <c r="D583" s="29" t="s">
        <v>46</v>
      </c>
      <c r="E583" s="29" t="s">
        <v>324</v>
      </c>
      <c r="F583" s="59" t="s">
        <v>0</v>
      </c>
      <c r="G583" s="36">
        <f>G584</f>
        <v>81403.5</v>
      </c>
      <c r="H583" s="36">
        <f t="shared" ref="H583:K584" si="294">H584</f>
        <v>81403.5</v>
      </c>
      <c r="I583" s="36">
        <f t="shared" si="294"/>
        <v>10700</v>
      </c>
      <c r="J583" s="36">
        <f t="shared" si="294"/>
        <v>10700</v>
      </c>
      <c r="K583" s="36">
        <f t="shared" si="294"/>
        <v>10700</v>
      </c>
      <c r="L583" s="36">
        <f t="shared" si="259"/>
        <v>13.144397968146333</v>
      </c>
      <c r="M583" s="36">
        <f t="shared" si="260"/>
        <v>100</v>
      </c>
    </row>
    <row r="584" spans="1:13" ht="25.5">
      <c r="A584" s="60" t="s">
        <v>80</v>
      </c>
      <c r="B584" s="29" t="s">
        <v>283</v>
      </c>
      <c r="C584" s="29" t="s">
        <v>46</v>
      </c>
      <c r="D584" s="29" t="s">
        <v>46</v>
      </c>
      <c r="E584" s="29" t="s">
        <v>324</v>
      </c>
      <c r="F584" s="29" t="s">
        <v>81</v>
      </c>
      <c r="G584" s="36">
        <f>G585</f>
        <v>81403.5</v>
      </c>
      <c r="H584" s="36">
        <f t="shared" si="294"/>
        <v>81403.5</v>
      </c>
      <c r="I584" s="36">
        <f t="shared" si="294"/>
        <v>10700</v>
      </c>
      <c r="J584" s="36">
        <f t="shared" si="294"/>
        <v>10700</v>
      </c>
      <c r="K584" s="36">
        <f t="shared" si="294"/>
        <v>10700</v>
      </c>
      <c r="L584" s="36">
        <f t="shared" si="259"/>
        <v>13.144397968146333</v>
      </c>
      <c r="M584" s="36">
        <f t="shared" si="260"/>
        <v>100</v>
      </c>
    </row>
    <row r="585" spans="1:13">
      <c r="A585" s="60" t="s">
        <v>271</v>
      </c>
      <c r="B585" s="29" t="s">
        <v>283</v>
      </c>
      <c r="C585" s="29" t="s">
        <v>46</v>
      </c>
      <c r="D585" s="29" t="s">
        <v>46</v>
      </c>
      <c r="E585" s="29" t="s">
        <v>324</v>
      </c>
      <c r="F585" s="29" t="s">
        <v>272</v>
      </c>
      <c r="G585" s="36">
        <v>81403.5</v>
      </c>
      <c r="H585" s="36">
        <v>81403.5</v>
      </c>
      <c r="I585" s="36">
        <v>10700</v>
      </c>
      <c r="J585" s="36">
        <v>10700</v>
      </c>
      <c r="K585" s="36">
        <v>10700</v>
      </c>
      <c r="L585" s="36">
        <f t="shared" si="259"/>
        <v>13.144397968146333</v>
      </c>
      <c r="M585" s="36">
        <f t="shared" si="260"/>
        <v>100</v>
      </c>
    </row>
    <row r="586" spans="1:13" ht="25.5">
      <c r="A586" s="60" t="s">
        <v>325</v>
      </c>
      <c r="B586" s="29" t="s">
        <v>283</v>
      </c>
      <c r="C586" s="29" t="s">
        <v>46</v>
      </c>
      <c r="D586" s="29" t="s">
        <v>46</v>
      </c>
      <c r="E586" s="29" t="s">
        <v>326</v>
      </c>
      <c r="F586" s="59" t="s">
        <v>0</v>
      </c>
      <c r="G586" s="36">
        <f>G587</f>
        <v>2795.6</v>
      </c>
      <c r="H586" s="36">
        <f t="shared" ref="H586:K587" si="295">H587</f>
        <v>2795.6</v>
      </c>
      <c r="I586" s="36">
        <f t="shared" si="295"/>
        <v>1124.1191899999999</v>
      </c>
      <c r="J586" s="36">
        <f t="shared" si="295"/>
        <v>1124.1191899999999</v>
      </c>
      <c r="K586" s="36">
        <f t="shared" si="295"/>
        <v>706.01769000000002</v>
      </c>
      <c r="L586" s="36">
        <f t="shared" si="259"/>
        <v>25.254603305193879</v>
      </c>
      <c r="M586" s="36">
        <f t="shared" si="260"/>
        <v>62.806301705426812</v>
      </c>
    </row>
    <row r="587" spans="1:13" ht="25.5">
      <c r="A587" s="60" t="s">
        <v>64</v>
      </c>
      <c r="B587" s="29" t="s">
        <v>283</v>
      </c>
      <c r="C587" s="29" t="s">
        <v>46</v>
      </c>
      <c r="D587" s="29" t="s">
        <v>46</v>
      </c>
      <c r="E587" s="29" t="s">
        <v>326</v>
      </c>
      <c r="F587" s="29" t="s">
        <v>65</v>
      </c>
      <c r="G587" s="36">
        <f>G588</f>
        <v>2795.6</v>
      </c>
      <c r="H587" s="36">
        <f t="shared" si="295"/>
        <v>2795.6</v>
      </c>
      <c r="I587" s="36">
        <f t="shared" si="295"/>
        <v>1124.1191899999999</v>
      </c>
      <c r="J587" s="36">
        <f t="shared" si="295"/>
        <v>1124.1191899999999</v>
      </c>
      <c r="K587" s="36">
        <f t="shared" si="295"/>
        <v>706.01769000000002</v>
      </c>
      <c r="L587" s="36">
        <f t="shared" si="259"/>
        <v>25.254603305193879</v>
      </c>
      <c r="M587" s="36">
        <f t="shared" si="260"/>
        <v>62.806301705426812</v>
      </c>
    </row>
    <row r="588" spans="1:13" ht="25.5">
      <c r="A588" s="60" t="s">
        <v>66</v>
      </c>
      <c r="B588" s="29" t="s">
        <v>283</v>
      </c>
      <c r="C588" s="29" t="s">
        <v>46</v>
      </c>
      <c r="D588" s="29" t="s">
        <v>46</v>
      </c>
      <c r="E588" s="29" t="s">
        <v>326</v>
      </c>
      <c r="F588" s="29" t="s">
        <v>67</v>
      </c>
      <c r="G588" s="36">
        <v>2795.6</v>
      </c>
      <c r="H588" s="36">
        <v>2795.6</v>
      </c>
      <c r="I588" s="36">
        <v>1124.1191899999999</v>
      </c>
      <c r="J588" s="36">
        <v>1124.1191899999999</v>
      </c>
      <c r="K588" s="36">
        <v>706.01769000000002</v>
      </c>
      <c r="L588" s="36">
        <f t="shared" si="259"/>
        <v>25.254603305193879</v>
      </c>
      <c r="M588" s="36">
        <f t="shared" si="260"/>
        <v>62.806301705426812</v>
      </c>
    </row>
    <row r="589" spans="1:13">
      <c r="A589" s="60" t="s">
        <v>303</v>
      </c>
      <c r="B589" s="29" t="s">
        <v>283</v>
      </c>
      <c r="C589" s="29" t="s">
        <v>46</v>
      </c>
      <c r="D589" s="29" t="s">
        <v>46</v>
      </c>
      <c r="E589" s="29" t="s">
        <v>327</v>
      </c>
      <c r="F589" s="59" t="s">
        <v>0</v>
      </c>
      <c r="G589" s="36">
        <f>G590</f>
        <v>580</v>
      </c>
      <c r="H589" s="36">
        <f t="shared" ref="H589:K590" si="296">H590</f>
        <v>580</v>
      </c>
      <c r="I589" s="36">
        <f t="shared" si="296"/>
        <v>580</v>
      </c>
      <c r="J589" s="36">
        <f t="shared" si="296"/>
        <v>580</v>
      </c>
      <c r="K589" s="36">
        <f t="shared" si="296"/>
        <v>546.94500000000005</v>
      </c>
      <c r="L589" s="36">
        <f t="shared" si="259"/>
        <v>94.300862068965529</v>
      </c>
      <c r="M589" s="36">
        <f t="shared" si="260"/>
        <v>94.300862068965529</v>
      </c>
    </row>
    <row r="590" spans="1:13" ht="25.5">
      <c r="A590" s="60" t="s">
        <v>64</v>
      </c>
      <c r="B590" s="29" t="s">
        <v>283</v>
      </c>
      <c r="C590" s="29" t="s">
        <v>46</v>
      </c>
      <c r="D590" s="29" t="s">
        <v>46</v>
      </c>
      <c r="E590" s="29" t="s">
        <v>327</v>
      </c>
      <c r="F590" s="29" t="s">
        <v>65</v>
      </c>
      <c r="G590" s="36">
        <f>G591</f>
        <v>580</v>
      </c>
      <c r="H590" s="36">
        <f t="shared" si="296"/>
        <v>580</v>
      </c>
      <c r="I590" s="36">
        <f t="shared" si="296"/>
        <v>580</v>
      </c>
      <c r="J590" s="36">
        <f t="shared" si="296"/>
        <v>580</v>
      </c>
      <c r="K590" s="36">
        <f t="shared" si="296"/>
        <v>546.94500000000005</v>
      </c>
      <c r="L590" s="36">
        <f t="shared" si="259"/>
        <v>94.300862068965529</v>
      </c>
      <c r="M590" s="36">
        <f t="shared" si="260"/>
        <v>94.300862068965529</v>
      </c>
    </row>
    <row r="591" spans="1:13" ht="25.5">
      <c r="A591" s="60" t="s">
        <v>66</v>
      </c>
      <c r="B591" s="29" t="s">
        <v>283</v>
      </c>
      <c r="C591" s="29" t="s">
        <v>46</v>
      </c>
      <c r="D591" s="29" t="s">
        <v>46</v>
      </c>
      <c r="E591" s="29" t="s">
        <v>327</v>
      </c>
      <c r="F591" s="29" t="s">
        <v>67</v>
      </c>
      <c r="G591" s="36">
        <v>580</v>
      </c>
      <c r="H591" s="36">
        <v>580</v>
      </c>
      <c r="I591" s="36">
        <v>580</v>
      </c>
      <c r="J591" s="36">
        <v>580</v>
      </c>
      <c r="K591" s="36">
        <v>546.94500000000005</v>
      </c>
      <c r="L591" s="36">
        <f t="shared" si="259"/>
        <v>94.300862068965529</v>
      </c>
      <c r="M591" s="36">
        <f t="shared" si="260"/>
        <v>94.300862068965529</v>
      </c>
    </row>
    <row r="592" spans="1:13" ht="63.75">
      <c r="A592" s="60" t="s">
        <v>289</v>
      </c>
      <c r="B592" s="29" t="s">
        <v>283</v>
      </c>
      <c r="C592" s="29" t="s">
        <v>46</v>
      </c>
      <c r="D592" s="29" t="s">
        <v>46</v>
      </c>
      <c r="E592" s="29" t="s">
        <v>290</v>
      </c>
      <c r="F592" s="59" t="s">
        <v>0</v>
      </c>
      <c r="G592" s="36">
        <f>G593+G596</f>
        <v>1800</v>
      </c>
      <c r="H592" s="36">
        <f t="shared" ref="H592:K592" si="297">H593+H596</f>
        <v>1800</v>
      </c>
      <c r="I592" s="36">
        <f t="shared" si="297"/>
        <v>478.48385999999999</v>
      </c>
      <c r="J592" s="36">
        <f t="shared" si="297"/>
        <v>478.48385999999999</v>
      </c>
      <c r="K592" s="36">
        <f t="shared" si="297"/>
        <v>478.48385999999999</v>
      </c>
      <c r="L592" s="36">
        <f t="shared" si="259"/>
        <v>26.582436666666666</v>
      </c>
      <c r="M592" s="36">
        <f t="shared" si="260"/>
        <v>100</v>
      </c>
    </row>
    <row r="593" spans="1:13" ht="25.5">
      <c r="A593" s="60" t="s">
        <v>76</v>
      </c>
      <c r="B593" s="29" t="s">
        <v>283</v>
      </c>
      <c r="C593" s="29" t="s">
        <v>46</v>
      </c>
      <c r="D593" s="29" t="s">
        <v>46</v>
      </c>
      <c r="E593" s="29" t="s">
        <v>293</v>
      </c>
      <c r="F593" s="59" t="s">
        <v>0</v>
      </c>
      <c r="G593" s="36">
        <f>G594</f>
        <v>1321.5</v>
      </c>
      <c r="H593" s="36">
        <f t="shared" ref="H593:K594" si="298">H594</f>
        <v>1321.51614</v>
      </c>
      <c r="I593" s="36">
        <f t="shared" si="298"/>
        <v>0</v>
      </c>
      <c r="J593" s="36">
        <f t="shared" si="298"/>
        <v>0</v>
      </c>
      <c r="K593" s="36">
        <f t="shared" si="298"/>
        <v>0</v>
      </c>
      <c r="L593" s="36">
        <f t="shared" si="259"/>
        <v>0</v>
      </c>
      <c r="M593" s="36">
        <v>0</v>
      </c>
    </row>
    <row r="594" spans="1:13" ht="25.5">
      <c r="A594" s="60" t="s">
        <v>80</v>
      </c>
      <c r="B594" s="29" t="s">
        <v>283</v>
      </c>
      <c r="C594" s="29" t="s">
        <v>46</v>
      </c>
      <c r="D594" s="29" t="s">
        <v>46</v>
      </c>
      <c r="E594" s="29" t="s">
        <v>293</v>
      </c>
      <c r="F594" s="29" t="s">
        <v>81</v>
      </c>
      <c r="G594" s="36">
        <f>G595</f>
        <v>1321.5</v>
      </c>
      <c r="H594" s="36">
        <f t="shared" si="298"/>
        <v>1321.51614</v>
      </c>
      <c r="I594" s="36">
        <f t="shared" si="298"/>
        <v>0</v>
      </c>
      <c r="J594" s="36">
        <f t="shared" si="298"/>
        <v>0</v>
      </c>
      <c r="K594" s="36">
        <f t="shared" si="298"/>
        <v>0</v>
      </c>
      <c r="L594" s="36">
        <f t="shared" si="259"/>
        <v>0</v>
      </c>
      <c r="M594" s="36">
        <v>0</v>
      </c>
    </row>
    <row r="595" spans="1:13">
      <c r="A595" s="60" t="s">
        <v>271</v>
      </c>
      <c r="B595" s="29" t="s">
        <v>283</v>
      </c>
      <c r="C595" s="29" t="s">
        <v>46</v>
      </c>
      <c r="D595" s="29" t="s">
        <v>46</v>
      </c>
      <c r="E595" s="29" t="s">
        <v>293</v>
      </c>
      <c r="F595" s="29" t="s">
        <v>272</v>
      </c>
      <c r="G595" s="36">
        <v>1321.5</v>
      </c>
      <c r="H595" s="36">
        <v>1321.51614</v>
      </c>
      <c r="I595" s="36">
        <v>0</v>
      </c>
      <c r="J595" s="36">
        <v>0</v>
      </c>
      <c r="K595" s="36">
        <v>0</v>
      </c>
      <c r="L595" s="36">
        <f t="shared" si="259"/>
        <v>0</v>
      </c>
      <c r="M595" s="36">
        <v>0</v>
      </c>
    </row>
    <row r="596" spans="1:13">
      <c r="A596" s="60" t="s">
        <v>303</v>
      </c>
      <c r="B596" s="29" t="s">
        <v>283</v>
      </c>
      <c r="C596" s="29" t="s">
        <v>46</v>
      </c>
      <c r="D596" s="29" t="s">
        <v>46</v>
      </c>
      <c r="E596" s="29" t="s">
        <v>316</v>
      </c>
      <c r="F596" s="59" t="s">
        <v>0</v>
      </c>
      <c r="G596" s="36">
        <f>G597</f>
        <v>478.5</v>
      </c>
      <c r="H596" s="36">
        <f t="shared" ref="H596:K597" si="299">H597</f>
        <v>478.48385999999999</v>
      </c>
      <c r="I596" s="36">
        <f t="shared" si="299"/>
        <v>478.48385999999999</v>
      </c>
      <c r="J596" s="36">
        <f t="shared" si="299"/>
        <v>478.48385999999999</v>
      </c>
      <c r="K596" s="36">
        <f t="shared" si="299"/>
        <v>478.48385999999999</v>
      </c>
      <c r="L596" s="36">
        <f t="shared" si="259"/>
        <v>100</v>
      </c>
      <c r="M596" s="36">
        <f t="shared" si="260"/>
        <v>100</v>
      </c>
    </row>
    <row r="597" spans="1:13" ht="25.5">
      <c r="A597" s="60" t="s">
        <v>64</v>
      </c>
      <c r="B597" s="29" t="s">
        <v>283</v>
      </c>
      <c r="C597" s="29" t="s">
        <v>46</v>
      </c>
      <c r="D597" s="29" t="s">
        <v>46</v>
      </c>
      <c r="E597" s="29" t="s">
        <v>316</v>
      </c>
      <c r="F597" s="29" t="s">
        <v>65</v>
      </c>
      <c r="G597" s="36">
        <f>G598</f>
        <v>478.5</v>
      </c>
      <c r="H597" s="36">
        <f t="shared" si="299"/>
        <v>478.48385999999999</v>
      </c>
      <c r="I597" s="36">
        <f t="shared" si="299"/>
        <v>478.48385999999999</v>
      </c>
      <c r="J597" s="36">
        <f t="shared" si="299"/>
        <v>478.48385999999999</v>
      </c>
      <c r="K597" s="36">
        <f t="shared" si="299"/>
        <v>478.48385999999999</v>
      </c>
      <c r="L597" s="36">
        <f t="shared" si="259"/>
        <v>100</v>
      </c>
      <c r="M597" s="36">
        <f t="shared" si="260"/>
        <v>100</v>
      </c>
    </row>
    <row r="598" spans="1:13" ht="25.5">
      <c r="A598" s="60" t="s">
        <v>66</v>
      </c>
      <c r="B598" s="29" t="s">
        <v>283</v>
      </c>
      <c r="C598" s="29" t="s">
        <v>46</v>
      </c>
      <c r="D598" s="29" t="s">
        <v>46</v>
      </c>
      <c r="E598" s="29" t="s">
        <v>316</v>
      </c>
      <c r="F598" s="29" t="s">
        <v>67</v>
      </c>
      <c r="G598" s="36">
        <v>478.5</v>
      </c>
      <c r="H598" s="36">
        <v>478.48385999999999</v>
      </c>
      <c r="I598" s="36">
        <v>478.48385999999999</v>
      </c>
      <c r="J598" s="36">
        <v>478.48385999999999</v>
      </c>
      <c r="K598" s="36">
        <v>478.48385999999999</v>
      </c>
      <c r="L598" s="36">
        <f t="shared" ref="L598:L669" si="300">K598/H598*100</f>
        <v>100</v>
      </c>
      <c r="M598" s="36">
        <f t="shared" ref="M598:M669" si="301">K598/I598*100</f>
        <v>100</v>
      </c>
    </row>
    <row r="599" spans="1:13">
      <c r="A599" s="60" t="s">
        <v>328</v>
      </c>
      <c r="B599" s="29" t="s">
        <v>283</v>
      </c>
      <c r="C599" s="29" t="s">
        <v>46</v>
      </c>
      <c r="D599" s="29" t="s">
        <v>46</v>
      </c>
      <c r="E599" s="29" t="s">
        <v>329</v>
      </c>
      <c r="F599" s="59" t="s">
        <v>0</v>
      </c>
      <c r="G599" s="36">
        <f>G600+G603</f>
        <v>307214.5</v>
      </c>
      <c r="H599" s="36">
        <f t="shared" ref="H599:K599" si="302">H600+H603</f>
        <v>307214.5</v>
      </c>
      <c r="I599" s="36">
        <f t="shared" si="302"/>
        <v>160383.79999999999</v>
      </c>
      <c r="J599" s="36">
        <f t="shared" si="302"/>
        <v>155243.79999999999</v>
      </c>
      <c r="K599" s="36">
        <f t="shared" si="302"/>
        <v>155242.86249999999</v>
      </c>
      <c r="L599" s="36">
        <f t="shared" si="300"/>
        <v>50.532400814414679</v>
      </c>
      <c r="M599" s="36">
        <f t="shared" si="301"/>
        <v>96.794603008533272</v>
      </c>
    </row>
    <row r="600" spans="1:13" ht="25.5">
      <c r="A600" s="60" t="s">
        <v>76</v>
      </c>
      <c r="B600" s="29" t="s">
        <v>283</v>
      </c>
      <c r="C600" s="29" t="s">
        <v>46</v>
      </c>
      <c r="D600" s="29" t="s">
        <v>46</v>
      </c>
      <c r="E600" s="29" t="s">
        <v>330</v>
      </c>
      <c r="F600" s="59" t="s">
        <v>0</v>
      </c>
      <c r="G600" s="36">
        <f>G601</f>
        <v>234214.5</v>
      </c>
      <c r="H600" s="36">
        <f t="shared" ref="H600:K601" si="303">H601</f>
        <v>234214.5</v>
      </c>
      <c r="I600" s="36">
        <f t="shared" si="303"/>
        <v>113883.8</v>
      </c>
      <c r="J600" s="36">
        <f t="shared" si="303"/>
        <v>113883.8</v>
      </c>
      <c r="K600" s="36">
        <f t="shared" si="303"/>
        <v>113883.8</v>
      </c>
      <c r="L600" s="36">
        <f t="shared" si="300"/>
        <v>48.623718856005929</v>
      </c>
      <c r="M600" s="36">
        <f t="shared" si="301"/>
        <v>100</v>
      </c>
    </row>
    <row r="601" spans="1:13" ht="25.5">
      <c r="A601" s="60" t="s">
        <v>80</v>
      </c>
      <c r="B601" s="29" t="s">
        <v>283</v>
      </c>
      <c r="C601" s="29" t="s">
        <v>46</v>
      </c>
      <c r="D601" s="29" t="s">
        <v>46</v>
      </c>
      <c r="E601" s="29" t="s">
        <v>330</v>
      </c>
      <c r="F601" s="29" t="s">
        <v>81</v>
      </c>
      <c r="G601" s="36">
        <f>G602</f>
        <v>234214.5</v>
      </c>
      <c r="H601" s="36">
        <f t="shared" si="303"/>
        <v>234214.5</v>
      </c>
      <c r="I601" s="36">
        <f t="shared" si="303"/>
        <v>113883.8</v>
      </c>
      <c r="J601" s="36">
        <f t="shared" si="303"/>
        <v>113883.8</v>
      </c>
      <c r="K601" s="36">
        <f t="shared" si="303"/>
        <v>113883.8</v>
      </c>
      <c r="L601" s="36">
        <f t="shared" si="300"/>
        <v>48.623718856005929</v>
      </c>
      <c r="M601" s="36">
        <f t="shared" si="301"/>
        <v>100</v>
      </c>
    </row>
    <row r="602" spans="1:13">
      <c r="A602" s="60" t="s">
        <v>271</v>
      </c>
      <c r="B602" s="29" t="s">
        <v>283</v>
      </c>
      <c r="C602" s="29" t="s">
        <v>46</v>
      </c>
      <c r="D602" s="29" t="s">
        <v>46</v>
      </c>
      <c r="E602" s="29" t="s">
        <v>330</v>
      </c>
      <c r="F602" s="29" t="s">
        <v>272</v>
      </c>
      <c r="G602" s="36">
        <v>234214.5</v>
      </c>
      <c r="H602" s="36">
        <v>234214.5</v>
      </c>
      <c r="I602" s="36">
        <f>112018.8+1865</f>
        <v>113883.8</v>
      </c>
      <c r="J602" s="36">
        <v>113883.8</v>
      </c>
      <c r="K602" s="36">
        <v>113883.8</v>
      </c>
      <c r="L602" s="36">
        <f t="shared" si="300"/>
        <v>48.623718856005929</v>
      </c>
      <c r="M602" s="36">
        <f t="shared" si="301"/>
        <v>100</v>
      </c>
    </row>
    <row r="603" spans="1:13" ht="38.25">
      <c r="A603" s="60" t="s">
        <v>331</v>
      </c>
      <c r="B603" s="29" t="s">
        <v>283</v>
      </c>
      <c r="C603" s="29" t="s">
        <v>46</v>
      </c>
      <c r="D603" s="29" t="s">
        <v>46</v>
      </c>
      <c r="E603" s="29" t="s">
        <v>332</v>
      </c>
      <c r="F603" s="59" t="s">
        <v>0</v>
      </c>
      <c r="G603" s="36">
        <f>G604</f>
        <v>73000</v>
      </c>
      <c r="H603" s="36">
        <f t="shared" ref="H603:K604" si="304">H604</f>
        <v>73000</v>
      </c>
      <c r="I603" s="36">
        <f t="shared" si="304"/>
        <v>46500</v>
      </c>
      <c r="J603" s="36">
        <f t="shared" si="304"/>
        <v>41360</v>
      </c>
      <c r="K603" s="36">
        <f t="shared" si="304"/>
        <v>41359.0625</v>
      </c>
      <c r="L603" s="36">
        <f t="shared" si="300"/>
        <v>56.65625</v>
      </c>
      <c r="M603" s="36">
        <f t="shared" si="301"/>
        <v>88.944220430107521</v>
      </c>
    </row>
    <row r="604" spans="1:13">
      <c r="A604" s="60" t="s">
        <v>68</v>
      </c>
      <c r="B604" s="29" t="s">
        <v>283</v>
      </c>
      <c r="C604" s="29" t="s">
        <v>46</v>
      </c>
      <c r="D604" s="29" t="s">
        <v>46</v>
      </c>
      <c r="E604" s="29" t="s">
        <v>332</v>
      </c>
      <c r="F604" s="29" t="s">
        <v>69</v>
      </c>
      <c r="G604" s="36">
        <f>G605</f>
        <v>73000</v>
      </c>
      <c r="H604" s="36">
        <f t="shared" si="304"/>
        <v>73000</v>
      </c>
      <c r="I604" s="36">
        <f t="shared" si="304"/>
        <v>46500</v>
      </c>
      <c r="J604" s="36">
        <f t="shared" si="304"/>
        <v>41360</v>
      </c>
      <c r="K604" s="36">
        <f t="shared" si="304"/>
        <v>41359.0625</v>
      </c>
      <c r="L604" s="36">
        <f t="shared" si="300"/>
        <v>56.65625</v>
      </c>
      <c r="M604" s="36">
        <f t="shared" si="301"/>
        <v>88.944220430107521</v>
      </c>
    </row>
    <row r="605" spans="1:13" ht="25.5">
      <c r="A605" s="60" t="s">
        <v>151</v>
      </c>
      <c r="B605" s="29" t="s">
        <v>283</v>
      </c>
      <c r="C605" s="29" t="s">
        <v>46</v>
      </c>
      <c r="D605" s="29" t="s">
        <v>46</v>
      </c>
      <c r="E605" s="29" t="s">
        <v>332</v>
      </c>
      <c r="F605" s="29" t="s">
        <v>152</v>
      </c>
      <c r="G605" s="36">
        <v>73000</v>
      </c>
      <c r="H605" s="36">
        <v>73000</v>
      </c>
      <c r="I605" s="36">
        <v>46500</v>
      </c>
      <c r="J605" s="36">
        <v>41360</v>
      </c>
      <c r="K605" s="36">
        <v>41359.0625</v>
      </c>
      <c r="L605" s="36">
        <f t="shared" si="300"/>
        <v>56.65625</v>
      </c>
      <c r="M605" s="36">
        <f t="shared" si="301"/>
        <v>88.944220430107521</v>
      </c>
    </row>
    <row r="606" spans="1:13" ht="25.5">
      <c r="A606" s="60" t="s">
        <v>284</v>
      </c>
      <c r="B606" s="29" t="s">
        <v>283</v>
      </c>
      <c r="C606" s="29" t="s">
        <v>46</v>
      </c>
      <c r="D606" s="29" t="s">
        <v>46</v>
      </c>
      <c r="E606" s="29" t="s">
        <v>285</v>
      </c>
      <c r="F606" s="59" t="s">
        <v>0</v>
      </c>
      <c r="G606" s="36">
        <f>G610+G619</f>
        <v>75463.299999999988</v>
      </c>
      <c r="H606" s="36">
        <f>H610+H619+H607</f>
        <v>79063.299999999988</v>
      </c>
      <c r="I606" s="36">
        <f>I610+I619+I607</f>
        <v>38659.739280000002</v>
      </c>
      <c r="J606" s="36">
        <f t="shared" ref="J606:K606" si="305">J610+J619+J607</f>
        <v>38659.739280000002</v>
      </c>
      <c r="K606" s="36">
        <f t="shared" si="305"/>
        <v>36476.015950000001</v>
      </c>
      <c r="L606" s="36">
        <f t="shared" si="300"/>
        <v>46.135205525193115</v>
      </c>
      <c r="M606" s="36">
        <f t="shared" si="301"/>
        <v>94.351427685054986</v>
      </c>
    </row>
    <row r="607" spans="1:13" ht="26.25" customHeight="1">
      <c r="A607" s="60" t="s">
        <v>1135</v>
      </c>
      <c r="B607" s="29" t="s">
        <v>283</v>
      </c>
      <c r="C607" s="29" t="s">
        <v>46</v>
      </c>
      <c r="D607" s="29" t="s">
        <v>46</v>
      </c>
      <c r="E607" s="29" t="s">
        <v>1136</v>
      </c>
      <c r="F607" s="59"/>
      <c r="G607" s="36"/>
      <c r="H607" s="36">
        <f>H608</f>
        <v>3600</v>
      </c>
      <c r="I607" s="36">
        <f t="shared" ref="I607:K608" si="306">I608</f>
        <v>3600</v>
      </c>
      <c r="J607" s="36">
        <f t="shared" ref="J607" si="307">J608</f>
        <v>3600</v>
      </c>
      <c r="K607" s="36">
        <f t="shared" ref="K607" si="308">K608</f>
        <v>3600</v>
      </c>
      <c r="L607" s="36">
        <f t="shared" ref="L607:L609" si="309">K607/H607*100</f>
        <v>100</v>
      </c>
      <c r="M607" s="36">
        <f t="shared" ref="M607:M609" si="310">K607/I607*100</f>
        <v>100</v>
      </c>
    </row>
    <row r="608" spans="1:13">
      <c r="A608" s="60" t="s">
        <v>68</v>
      </c>
      <c r="B608" s="29" t="s">
        <v>283</v>
      </c>
      <c r="C608" s="29" t="s">
        <v>46</v>
      </c>
      <c r="D608" s="29" t="s">
        <v>46</v>
      </c>
      <c r="E608" s="71" t="s">
        <v>1136</v>
      </c>
      <c r="F608" s="59">
        <v>300</v>
      </c>
      <c r="G608" s="36"/>
      <c r="H608" s="36">
        <f>H609</f>
        <v>3600</v>
      </c>
      <c r="I608" s="36">
        <f t="shared" si="306"/>
        <v>3600</v>
      </c>
      <c r="J608" s="36">
        <f t="shared" si="306"/>
        <v>3600</v>
      </c>
      <c r="K608" s="36">
        <f t="shared" si="306"/>
        <v>3600</v>
      </c>
      <c r="L608" s="36">
        <f t="shared" si="309"/>
        <v>100</v>
      </c>
      <c r="M608" s="36">
        <f t="shared" si="310"/>
        <v>100</v>
      </c>
    </row>
    <row r="609" spans="1:13">
      <c r="A609" s="60" t="s">
        <v>70</v>
      </c>
      <c r="B609" s="29" t="s">
        <v>283</v>
      </c>
      <c r="C609" s="29" t="s">
        <v>46</v>
      </c>
      <c r="D609" s="29" t="s">
        <v>46</v>
      </c>
      <c r="E609" s="71" t="s">
        <v>1136</v>
      </c>
      <c r="F609" s="59">
        <v>360</v>
      </c>
      <c r="G609" s="36"/>
      <c r="H609" s="36">
        <v>3600</v>
      </c>
      <c r="I609" s="36">
        <v>3600</v>
      </c>
      <c r="J609" s="36">
        <v>3600</v>
      </c>
      <c r="K609" s="36">
        <v>3600</v>
      </c>
      <c r="L609" s="36">
        <f t="shared" si="309"/>
        <v>100</v>
      </c>
      <c r="M609" s="36">
        <f t="shared" si="310"/>
        <v>100</v>
      </c>
    </row>
    <row r="610" spans="1:13" ht="25.5">
      <c r="A610" s="60" t="s">
        <v>76</v>
      </c>
      <c r="B610" s="29" t="s">
        <v>283</v>
      </c>
      <c r="C610" s="29" t="s">
        <v>46</v>
      </c>
      <c r="D610" s="29" t="s">
        <v>46</v>
      </c>
      <c r="E610" s="29" t="s">
        <v>286</v>
      </c>
      <c r="F610" s="59" t="s">
        <v>0</v>
      </c>
      <c r="G610" s="36">
        <f>G611+G613+G616</f>
        <v>45663.299999999996</v>
      </c>
      <c r="H610" s="36">
        <f t="shared" ref="H610:J610" si="311">H611+H613+H616</f>
        <v>45663.299999999996</v>
      </c>
      <c r="I610" s="36">
        <f t="shared" si="311"/>
        <v>26052.639280000003</v>
      </c>
      <c r="J610" s="36">
        <f t="shared" si="311"/>
        <v>26052.639280000003</v>
      </c>
      <c r="K610" s="36">
        <f>K611+K613+K616</f>
        <v>26025.015949999997</v>
      </c>
      <c r="L610" s="36">
        <f t="shared" si="300"/>
        <v>56.993287716831674</v>
      </c>
      <c r="M610" s="36">
        <f t="shared" si="301"/>
        <v>99.893971087907346</v>
      </c>
    </row>
    <row r="611" spans="1:13" ht="63.75">
      <c r="A611" s="60" t="s">
        <v>60</v>
      </c>
      <c r="B611" s="29" t="s">
        <v>283</v>
      </c>
      <c r="C611" s="29" t="s">
        <v>46</v>
      </c>
      <c r="D611" s="29" t="s">
        <v>46</v>
      </c>
      <c r="E611" s="29" t="s">
        <v>286</v>
      </c>
      <c r="F611" s="29" t="s">
        <v>61</v>
      </c>
      <c r="G611" s="36">
        <f>G612</f>
        <v>586.1</v>
      </c>
      <c r="H611" s="36">
        <f t="shared" ref="H611:K611" si="312">H612</f>
        <v>586.1</v>
      </c>
      <c r="I611" s="36">
        <f t="shared" si="312"/>
        <v>104.35</v>
      </c>
      <c r="J611" s="36">
        <f t="shared" si="312"/>
        <v>104.35</v>
      </c>
      <c r="K611" s="36">
        <f t="shared" si="312"/>
        <v>76.776669999999996</v>
      </c>
      <c r="L611" s="36">
        <f t="shared" si="300"/>
        <v>13.099585394983789</v>
      </c>
      <c r="M611" s="36">
        <f t="shared" si="301"/>
        <v>73.576109247724006</v>
      </c>
    </row>
    <row r="612" spans="1:13">
      <c r="A612" s="60" t="s">
        <v>78</v>
      </c>
      <c r="B612" s="29" t="s">
        <v>283</v>
      </c>
      <c r="C612" s="29" t="s">
        <v>46</v>
      </c>
      <c r="D612" s="29" t="s">
        <v>46</v>
      </c>
      <c r="E612" s="29" t="s">
        <v>286</v>
      </c>
      <c r="F612" s="29" t="s">
        <v>79</v>
      </c>
      <c r="G612" s="36">
        <v>586.1</v>
      </c>
      <c r="H612" s="36">
        <v>586.1</v>
      </c>
      <c r="I612" s="36">
        <v>104.35</v>
      </c>
      <c r="J612" s="36">
        <v>104.35</v>
      </c>
      <c r="K612" s="36">
        <f>76.77667</f>
        <v>76.776669999999996</v>
      </c>
      <c r="L612" s="36">
        <f t="shared" si="300"/>
        <v>13.099585394983789</v>
      </c>
      <c r="M612" s="36">
        <f t="shared" si="301"/>
        <v>73.576109247724006</v>
      </c>
    </row>
    <row r="613" spans="1:13">
      <c r="A613" s="60" t="s">
        <v>68</v>
      </c>
      <c r="B613" s="29" t="s">
        <v>283</v>
      </c>
      <c r="C613" s="29" t="s">
        <v>46</v>
      </c>
      <c r="D613" s="29" t="s">
        <v>46</v>
      </c>
      <c r="E613" s="29" t="s">
        <v>286</v>
      </c>
      <c r="F613" s="29" t="s">
        <v>69</v>
      </c>
      <c r="G613" s="36">
        <f>G614+G615</f>
        <v>159.1</v>
      </c>
      <c r="H613" s="36">
        <f t="shared" ref="H613:K613" si="313">H614+H615</f>
        <v>159.1</v>
      </c>
      <c r="I613" s="36">
        <f t="shared" si="313"/>
        <v>99.550000000000011</v>
      </c>
      <c r="J613" s="36">
        <f t="shared" si="313"/>
        <v>99.550000000000011</v>
      </c>
      <c r="K613" s="36">
        <f t="shared" si="313"/>
        <v>99.550000000000011</v>
      </c>
      <c r="L613" s="36">
        <f t="shared" si="300"/>
        <v>62.570710245128858</v>
      </c>
      <c r="M613" s="36">
        <f t="shared" si="301"/>
        <v>100</v>
      </c>
    </row>
    <row r="614" spans="1:13" ht="25.5">
      <c r="A614" s="60" t="s">
        <v>151</v>
      </c>
      <c r="B614" s="29" t="s">
        <v>283</v>
      </c>
      <c r="C614" s="29" t="s">
        <v>46</v>
      </c>
      <c r="D614" s="29" t="s">
        <v>46</v>
      </c>
      <c r="E614" s="29" t="s">
        <v>286</v>
      </c>
      <c r="F614" s="29" t="s">
        <v>152</v>
      </c>
      <c r="G614" s="36">
        <v>106.3</v>
      </c>
      <c r="H614" s="36">
        <v>106.3</v>
      </c>
      <c r="I614" s="36">
        <v>73.150000000000006</v>
      </c>
      <c r="J614" s="36">
        <v>73.150000000000006</v>
      </c>
      <c r="K614" s="36">
        <v>73.150000000000006</v>
      </c>
      <c r="L614" s="36">
        <f t="shared" si="300"/>
        <v>68.814675446848554</v>
      </c>
      <c r="M614" s="36">
        <f t="shared" si="301"/>
        <v>100</v>
      </c>
    </row>
    <row r="615" spans="1:13">
      <c r="A615" s="60" t="s">
        <v>70</v>
      </c>
      <c r="B615" s="29" t="s">
        <v>283</v>
      </c>
      <c r="C615" s="29" t="s">
        <v>46</v>
      </c>
      <c r="D615" s="29" t="s">
        <v>46</v>
      </c>
      <c r="E615" s="29" t="s">
        <v>286</v>
      </c>
      <c r="F615" s="29" t="s">
        <v>71</v>
      </c>
      <c r="G615" s="36">
        <v>52.8</v>
      </c>
      <c r="H615" s="36">
        <v>52.8</v>
      </c>
      <c r="I615" s="36">
        <v>26.4</v>
      </c>
      <c r="J615" s="36">
        <v>26.4</v>
      </c>
      <c r="K615" s="36">
        <v>26.4</v>
      </c>
      <c r="L615" s="36">
        <f t="shared" si="300"/>
        <v>50</v>
      </c>
      <c r="M615" s="36">
        <f t="shared" si="301"/>
        <v>100</v>
      </c>
    </row>
    <row r="616" spans="1:13" ht="25.5">
      <c r="A616" s="60" t="s">
        <v>80</v>
      </c>
      <c r="B616" s="29" t="s">
        <v>283</v>
      </c>
      <c r="C616" s="29" t="s">
        <v>46</v>
      </c>
      <c r="D616" s="29" t="s">
        <v>46</v>
      </c>
      <c r="E616" s="29" t="s">
        <v>286</v>
      </c>
      <c r="F616" s="29" t="s">
        <v>81</v>
      </c>
      <c r="G616" s="36">
        <f>G617+G618</f>
        <v>44918.1</v>
      </c>
      <c r="H616" s="36">
        <f t="shared" ref="H616:K616" si="314">H617+H618</f>
        <v>44918.1</v>
      </c>
      <c r="I616" s="36">
        <f t="shared" si="314"/>
        <v>25848.739280000002</v>
      </c>
      <c r="J616" s="36">
        <f t="shared" si="314"/>
        <v>25848.739280000002</v>
      </c>
      <c r="K616" s="36">
        <f t="shared" si="314"/>
        <v>25848.689279999999</v>
      </c>
      <c r="L616" s="36">
        <f t="shared" si="300"/>
        <v>57.546265937339292</v>
      </c>
      <c r="M616" s="36">
        <f t="shared" si="301"/>
        <v>99.999806566968459</v>
      </c>
    </row>
    <row r="617" spans="1:13">
      <c r="A617" s="60" t="s">
        <v>271</v>
      </c>
      <c r="B617" s="29" t="s">
        <v>283</v>
      </c>
      <c r="C617" s="29" t="s">
        <v>46</v>
      </c>
      <c r="D617" s="29" t="s">
        <v>46</v>
      </c>
      <c r="E617" s="29" t="s">
        <v>286</v>
      </c>
      <c r="F617" s="29" t="s">
        <v>272</v>
      </c>
      <c r="G617" s="36">
        <v>44000.7</v>
      </c>
      <c r="H617" s="36">
        <v>43986.7</v>
      </c>
      <c r="I617" s="36">
        <v>25463.489280000002</v>
      </c>
      <c r="J617" s="36">
        <v>25463.489280000002</v>
      </c>
      <c r="K617" s="36">
        <v>25463.439279999999</v>
      </c>
      <c r="L617" s="36">
        <f t="shared" si="300"/>
        <v>57.88895116023707</v>
      </c>
      <c r="M617" s="36">
        <f t="shared" si="301"/>
        <v>99.999803640422357</v>
      </c>
    </row>
    <row r="618" spans="1:13">
      <c r="A618" s="60" t="s">
        <v>82</v>
      </c>
      <c r="B618" s="29" t="s">
        <v>283</v>
      </c>
      <c r="C618" s="29" t="s">
        <v>46</v>
      </c>
      <c r="D618" s="29" t="s">
        <v>46</v>
      </c>
      <c r="E618" s="29" t="s">
        <v>286</v>
      </c>
      <c r="F618" s="29" t="s">
        <v>83</v>
      </c>
      <c r="G618" s="36">
        <v>917.4</v>
      </c>
      <c r="H618" s="36">
        <v>931.4</v>
      </c>
      <c r="I618" s="36">
        <v>385.25</v>
      </c>
      <c r="J618" s="36">
        <v>385.25</v>
      </c>
      <c r="K618" s="36">
        <v>385.25</v>
      </c>
      <c r="L618" s="36">
        <f t="shared" si="300"/>
        <v>41.362465106291609</v>
      </c>
      <c r="M618" s="36">
        <f t="shared" si="301"/>
        <v>100</v>
      </c>
    </row>
    <row r="619" spans="1:13">
      <c r="A619" s="60" t="s">
        <v>303</v>
      </c>
      <c r="B619" s="29" t="s">
        <v>283</v>
      </c>
      <c r="C619" s="29" t="s">
        <v>46</v>
      </c>
      <c r="D619" s="29" t="s">
        <v>46</v>
      </c>
      <c r="E619" s="29" t="s">
        <v>333</v>
      </c>
      <c r="F619" s="59" t="s">
        <v>0</v>
      </c>
      <c r="G619" s="36">
        <f>G620+G622</f>
        <v>29800</v>
      </c>
      <c r="H619" s="36">
        <f t="shared" ref="H619:K619" si="315">H620+H622</f>
        <v>29800</v>
      </c>
      <c r="I619" s="36">
        <f t="shared" si="315"/>
        <v>9007.1</v>
      </c>
      <c r="J619" s="36">
        <f t="shared" si="315"/>
        <v>9007.1</v>
      </c>
      <c r="K619" s="36">
        <f t="shared" si="315"/>
        <v>6851</v>
      </c>
      <c r="L619" s="36">
        <f t="shared" si="300"/>
        <v>22.98993288590604</v>
      </c>
      <c r="M619" s="36">
        <f t="shared" si="301"/>
        <v>76.062217583906019</v>
      </c>
    </row>
    <row r="620" spans="1:13" ht="25.5">
      <c r="A620" s="60" t="s">
        <v>64</v>
      </c>
      <c r="B620" s="29" t="s">
        <v>283</v>
      </c>
      <c r="C620" s="29" t="s">
        <v>46</v>
      </c>
      <c r="D620" s="29" t="s">
        <v>46</v>
      </c>
      <c r="E620" s="29" t="s">
        <v>333</v>
      </c>
      <c r="F620" s="29" t="s">
        <v>65</v>
      </c>
      <c r="G620" s="36">
        <f>G621</f>
        <v>3400</v>
      </c>
      <c r="H620" s="36">
        <f t="shared" ref="H620:K620" si="316">H621</f>
        <v>3400</v>
      </c>
      <c r="I620" s="36">
        <f t="shared" si="316"/>
        <v>2156.1</v>
      </c>
      <c r="J620" s="36">
        <f t="shared" si="316"/>
        <v>2156.1</v>
      </c>
      <c r="K620" s="36">
        <f t="shared" si="316"/>
        <v>51</v>
      </c>
      <c r="L620" s="36">
        <f t="shared" si="300"/>
        <v>1.5</v>
      </c>
      <c r="M620" s="36">
        <f t="shared" si="301"/>
        <v>2.3653819396131905</v>
      </c>
    </row>
    <row r="621" spans="1:13" ht="25.5">
      <c r="A621" s="60" t="s">
        <v>66</v>
      </c>
      <c r="B621" s="29" t="s">
        <v>283</v>
      </c>
      <c r="C621" s="29" t="s">
        <v>46</v>
      </c>
      <c r="D621" s="29" t="s">
        <v>46</v>
      </c>
      <c r="E621" s="29" t="s">
        <v>333</v>
      </c>
      <c r="F621" s="29" t="s">
        <v>67</v>
      </c>
      <c r="G621" s="36">
        <v>3400</v>
      </c>
      <c r="H621" s="36">
        <v>3400</v>
      </c>
      <c r="I621" s="36">
        <v>2156.1</v>
      </c>
      <c r="J621" s="36">
        <v>2156.1</v>
      </c>
      <c r="K621" s="36">
        <v>51</v>
      </c>
      <c r="L621" s="36">
        <f t="shared" si="300"/>
        <v>1.5</v>
      </c>
      <c r="M621" s="36">
        <f t="shared" si="301"/>
        <v>2.3653819396131905</v>
      </c>
    </row>
    <row r="622" spans="1:13">
      <c r="A622" s="60" t="s">
        <v>68</v>
      </c>
      <c r="B622" s="29" t="s">
        <v>283</v>
      </c>
      <c r="C622" s="29" t="s">
        <v>46</v>
      </c>
      <c r="D622" s="29" t="s">
        <v>46</v>
      </c>
      <c r="E622" s="29" t="s">
        <v>333</v>
      </c>
      <c r="F622" s="29" t="s">
        <v>69</v>
      </c>
      <c r="G622" s="36">
        <f>G623+G624</f>
        <v>26400</v>
      </c>
      <c r="H622" s="36">
        <f t="shared" ref="H622:K622" si="317">H623+H624</f>
        <v>26400</v>
      </c>
      <c r="I622" s="36">
        <f t="shared" si="317"/>
        <v>6851</v>
      </c>
      <c r="J622" s="36">
        <f t="shared" si="317"/>
        <v>6851</v>
      </c>
      <c r="K622" s="36">
        <f t="shared" si="317"/>
        <v>6800</v>
      </c>
      <c r="L622" s="36">
        <f t="shared" si="300"/>
        <v>25.757575757575758</v>
      </c>
      <c r="M622" s="36">
        <f t="shared" si="301"/>
        <v>99.255583126550874</v>
      </c>
    </row>
    <row r="623" spans="1:13" ht="25.5">
      <c r="A623" s="60" t="s">
        <v>151</v>
      </c>
      <c r="B623" s="29" t="s">
        <v>283</v>
      </c>
      <c r="C623" s="29" t="s">
        <v>46</v>
      </c>
      <c r="D623" s="29" t="s">
        <v>46</v>
      </c>
      <c r="E623" s="29" t="s">
        <v>333</v>
      </c>
      <c r="F623" s="29" t="s">
        <v>152</v>
      </c>
      <c r="G623" s="36">
        <v>5000</v>
      </c>
      <c r="H623" s="36">
        <v>5000</v>
      </c>
      <c r="I623" s="36">
        <v>2450</v>
      </c>
      <c r="J623" s="36">
        <v>2450</v>
      </c>
      <c r="K623" s="36">
        <v>2450</v>
      </c>
      <c r="L623" s="36">
        <f t="shared" si="300"/>
        <v>49</v>
      </c>
      <c r="M623" s="36">
        <f t="shared" si="301"/>
        <v>100</v>
      </c>
    </row>
    <row r="624" spans="1:13">
      <c r="A624" s="60" t="s">
        <v>70</v>
      </c>
      <c r="B624" s="29" t="s">
        <v>283</v>
      </c>
      <c r="C624" s="29" t="s">
        <v>46</v>
      </c>
      <c r="D624" s="29" t="s">
        <v>46</v>
      </c>
      <c r="E624" s="29" t="s">
        <v>333</v>
      </c>
      <c r="F624" s="29" t="s">
        <v>71</v>
      </c>
      <c r="G624" s="36">
        <v>21400</v>
      </c>
      <c r="H624" s="36">
        <v>21400</v>
      </c>
      <c r="I624" s="36">
        <v>4401</v>
      </c>
      <c r="J624" s="36">
        <v>4401</v>
      </c>
      <c r="K624" s="36">
        <v>4350</v>
      </c>
      <c r="L624" s="36">
        <f t="shared" si="300"/>
        <v>20.327102803738317</v>
      </c>
      <c r="M624" s="36">
        <f t="shared" si="301"/>
        <v>98.841172460804358</v>
      </c>
    </row>
    <row r="625" spans="1:13" ht="38.25">
      <c r="A625" s="60" t="s">
        <v>309</v>
      </c>
      <c r="B625" s="29" t="s">
        <v>283</v>
      </c>
      <c r="C625" s="29" t="s">
        <v>46</v>
      </c>
      <c r="D625" s="29" t="s">
        <v>46</v>
      </c>
      <c r="E625" s="29" t="s">
        <v>310</v>
      </c>
      <c r="F625" s="59" t="s">
        <v>0</v>
      </c>
      <c r="G625" s="36">
        <f>G626+G629+G632</f>
        <v>42680.2</v>
      </c>
      <c r="H625" s="36">
        <f t="shared" ref="H625:K625" si="318">H626+H629+H632</f>
        <v>42680.2</v>
      </c>
      <c r="I625" s="36">
        <f t="shared" si="318"/>
        <v>31155.176510000001</v>
      </c>
      <c r="J625" s="36">
        <f t="shared" si="318"/>
        <v>31155.176510000001</v>
      </c>
      <c r="K625" s="36">
        <f t="shared" si="318"/>
        <v>29509.159</v>
      </c>
      <c r="L625" s="36">
        <f t="shared" si="300"/>
        <v>69.140161011429186</v>
      </c>
      <c r="M625" s="36">
        <f t="shared" si="301"/>
        <v>94.716712616050586</v>
      </c>
    </row>
    <row r="626" spans="1:13" ht="102">
      <c r="A626" s="60" t="s">
        <v>334</v>
      </c>
      <c r="B626" s="29" t="s">
        <v>283</v>
      </c>
      <c r="C626" s="29" t="s">
        <v>46</v>
      </c>
      <c r="D626" s="29" t="s">
        <v>46</v>
      </c>
      <c r="E626" s="29" t="s">
        <v>335</v>
      </c>
      <c r="F626" s="59" t="s">
        <v>0</v>
      </c>
      <c r="G626" s="36">
        <f>G627</f>
        <v>5697.4</v>
      </c>
      <c r="H626" s="36">
        <f t="shared" ref="H626:K627" si="319">H627</f>
        <v>5697.4</v>
      </c>
      <c r="I626" s="36">
        <f t="shared" si="319"/>
        <v>3297.97651</v>
      </c>
      <c r="J626" s="36">
        <f t="shared" si="319"/>
        <v>3297.97651</v>
      </c>
      <c r="K626" s="36">
        <f t="shared" si="319"/>
        <v>3297.97651</v>
      </c>
      <c r="L626" s="36">
        <f t="shared" si="300"/>
        <v>57.885640994137674</v>
      </c>
      <c r="M626" s="36">
        <f t="shared" si="301"/>
        <v>100</v>
      </c>
    </row>
    <row r="627" spans="1:13" ht="25.5">
      <c r="A627" s="60" t="s">
        <v>64</v>
      </c>
      <c r="B627" s="29" t="s">
        <v>283</v>
      </c>
      <c r="C627" s="29" t="s">
        <v>46</v>
      </c>
      <c r="D627" s="29" t="s">
        <v>46</v>
      </c>
      <c r="E627" s="29" t="s">
        <v>335</v>
      </c>
      <c r="F627" s="29" t="s">
        <v>65</v>
      </c>
      <c r="G627" s="36">
        <f>G628</f>
        <v>5697.4</v>
      </c>
      <c r="H627" s="36">
        <f t="shared" si="319"/>
        <v>5697.4</v>
      </c>
      <c r="I627" s="36">
        <f t="shared" si="319"/>
        <v>3297.97651</v>
      </c>
      <c r="J627" s="36">
        <f t="shared" si="319"/>
        <v>3297.97651</v>
      </c>
      <c r="K627" s="36">
        <f t="shared" si="319"/>
        <v>3297.97651</v>
      </c>
      <c r="L627" s="36">
        <f t="shared" si="300"/>
        <v>57.885640994137674</v>
      </c>
      <c r="M627" s="36">
        <f t="shared" si="301"/>
        <v>100</v>
      </c>
    </row>
    <row r="628" spans="1:13" ht="25.5">
      <c r="A628" s="60" t="s">
        <v>66</v>
      </c>
      <c r="B628" s="29" t="s">
        <v>283</v>
      </c>
      <c r="C628" s="29" t="s">
        <v>46</v>
      </c>
      <c r="D628" s="29" t="s">
        <v>46</v>
      </c>
      <c r="E628" s="29" t="s">
        <v>335</v>
      </c>
      <c r="F628" s="29" t="s">
        <v>67</v>
      </c>
      <c r="G628" s="36">
        <v>5697.4</v>
      </c>
      <c r="H628" s="36">
        <v>5697.4</v>
      </c>
      <c r="I628" s="36">
        <v>3297.97651</v>
      </c>
      <c r="J628" s="36">
        <v>3297.97651</v>
      </c>
      <c r="K628" s="36">
        <v>3297.97651</v>
      </c>
      <c r="L628" s="36">
        <f t="shared" si="300"/>
        <v>57.885640994137674</v>
      </c>
      <c r="M628" s="36">
        <f t="shared" si="301"/>
        <v>100</v>
      </c>
    </row>
    <row r="629" spans="1:13" ht="114.75">
      <c r="A629" s="60" t="s">
        <v>336</v>
      </c>
      <c r="B629" s="29" t="s">
        <v>283</v>
      </c>
      <c r="C629" s="29" t="s">
        <v>46</v>
      </c>
      <c r="D629" s="29" t="s">
        <v>46</v>
      </c>
      <c r="E629" s="29" t="s">
        <v>337</v>
      </c>
      <c r="F629" s="59" t="s">
        <v>0</v>
      </c>
      <c r="G629" s="36">
        <f>G630</f>
        <v>7982.8</v>
      </c>
      <c r="H629" s="36">
        <f t="shared" ref="H629:K630" si="320">H630</f>
        <v>7982.8</v>
      </c>
      <c r="I629" s="36">
        <f t="shared" si="320"/>
        <v>0</v>
      </c>
      <c r="J629" s="36">
        <f t="shared" si="320"/>
        <v>0</v>
      </c>
      <c r="K629" s="36">
        <f t="shared" si="320"/>
        <v>0</v>
      </c>
      <c r="L629" s="36">
        <f t="shared" si="300"/>
        <v>0</v>
      </c>
      <c r="M629" s="36">
        <v>0</v>
      </c>
    </row>
    <row r="630" spans="1:13" ht="25.5">
      <c r="A630" s="60" t="s">
        <v>80</v>
      </c>
      <c r="B630" s="29" t="s">
        <v>283</v>
      </c>
      <c r="C630" s="29" t="s">
        <v>46</v>
      </c>
      <c r="D630" s="29" t="s">
        <v>46</v>
      </c>
      <c r="E630" s="29" t="s">
        <v>337</v>
      </c>
      <c r="F630" s="29" t="s">
        <v>81</v>
      </c>
      <c r="G630" s="36">
        <f>G631</f>
        <v>7982.8</v>
      </c>
      <c r="H630" s="36">
        <f t="shared" si="320"/>
        <v>7982.8</v>
      </c>
      <c r="I630" s="36">
        <f t="shared" si="320"/>
        <v>0</v>
      </c>
      <c r="J630" s="36">
        <f t="shared" si="320"/>
        <v>0</v>
      </c>
      <c r="K630" s="36">
        <f t="shared" si="320"/>
        <v>0</v>
      </c>
      <c r="L630" s="36">
        <f t="shared" si="300"/>
        <v>0</v>
      </c>
      <c r="M630" s="36">
        <v>0</v>
      </c>
    </row>
    <row r="631" spans="1:13">
      <c r="A631" s="60" t="s">
        <v>271</v>
      </c>
      <c r="B631" s="29" t="s">
        <v>283</v>
      </c>
      <c r="C631" s="29" t="s">
        <v>46</v>
      </c>
      <c r="D631" s="29" t="s">
        <v>46</v>
      </c>
      <c r="E631" s="29" t="s">
        <v>337</v>
      </c>
      <c r="F631" s="29" t="s">
        <v>272</v>
      </c>
      <c r="G631" s="36">
        <v>7982.8</v>
      </c>
      <c r="H631" s="36">
        <v>7982.8</v>
      </c>
      <c r="I631" s="36">
        <v>0</v>
      </c>
      <c r="J631" s="36">
        <v>0</v>
      </c>
      <c r="K631" s="36">
        <v>0</v>
      </c>
      <c r="L631" s="36">
        <f t="shared" si="300"/>
        <v>0</v>
      </c>
      <c r="M631" s="36">
        <v>0</v>
      </c>
    </row>
    <row r="632" spans="1:13">
      <c r="A632" s="60" t="s">
        <v>303</v>
      </c>
      <c r="B632" s="29" t="s">
        <v>283</v>
      </c>
      <c r="C632" s="29" t="s">
        <v>46</v>
      </c>
      <c r="D632" s="29" t="s">
        <v>46</v>
      </c>
      <c r="E632" s="29" t="s">
        <v>338</v>
      </c>
      <c r="F632" s="59" t="s">
        <v>0</v>
      </c>
      <c r="G632" s="36">
        <f>G633</f>
        <v>29000</v>
      </c>
      <c r="H632" s="36">
        <f t="shared" ref="H632:K633" si="321">H633</f>
        <v>29000</v>
      </c>
      <c r="I632" s="36">
        <f t="shared" si="321"/>
        <v>27857.200000000001</v>
      </c>
      <c r="J632" s="36">
        <f t="shared" si="321"/>
        <v>27857.200000000001</v>
      </c>
      <c r="K632" s="36">
        <f t="shared" si="321"/>
        <v>26211.182489999999</v>
      </c>
      <c r="L632" s="36">
        <f t="shared" si="300"/>
        <v>90.383387896551724</v>
      </c>
      <c r="M632" s="36">
        <f t="shared" si="301"/>
        <v>94.091231315422945</v>
      </c>
    </row>
    <row r="633" spans="1:13" ht="25.5">
      <c r="A633" s="60" t="s">
        <v>64</v>
      </c>
      <c r="B633" s="29" t="s">
        <v>283</v>
      </c>
      <c r="C633" s="29" t="s">
        <v>46</v>
      </c>
      <c r="D633" s="29" t="s">
        <v>46</v>
      </c>
      <c r="E633" s="29" t="s">
        <v>338</v>
      </c>
      <c r="F633" s="29" t="s">
        <v>65</v>
      </c>
      <c r="G633" s="36">
        <f>G634</f>
        <v>29000</v>
      </c>
      <c r="H633" s="36">
        <f t="shared" si="321"/>
        <v>29000</v>
      </c>
      <c r="I633" s="36">
        <f t="shared" si="321"/>
        <v>27857.200000000001</v>
      </c>
      <c r="J633" s="36">
        <f t="shared" si="321"/>
        <v>27857.200000000001</v>
      </c>
      <c r="K633" s="36">
        <f t="shared" si="321"/>
        <v>26211.182489999999</v>
      </c>
      <c r="L633" s="36">
        <f t="shared" si="300"/>
        <v>90.383387896551724</v>
      </c>
      <c r="M633" s="36">
        <f t="shared" si="301"/>
        <v>94.091231315422945</v>
      </c>
    </row>
    <row r="634" spans="1:13" ht="25.5">
      <c r="A634" s="60" t="s">
        <v>66</v>
      </c>
      <c r="B634" s="29" t="s">
        <v>283</v>
      </c>
      <c r="C634" s="29" t="s">
        <v>46</v>
      </c>
      <c r="D634" s="29" t="s">
        <v>46</v>
      </c>
      <c r="E634" s="29" t="s">
        <v>338</v>
      </c>
      <c r="F634" s="29" t="s">
        <v>67</v>
      </c>
      <c r="G634" s="36">
        <v>29000</v>
      </c>
      <c r="H634" s="36">
        <v>29000</v>
      </c>
      <c r="I634" s="36">
        <v>27857.200000000001</v>
      </c>
      <c r="J634" s="36">
        <v>27857.200000000001</v>
      </c>
      <c r="K634" s="36">
        <v>26211.182489999999</v>
      </c>
      <c r="L634" s="36">
        <f t="shared" si="300"/>
        <v>90.383387896551724</v>
      </c>
      <c r="M634" s="36">
        <f t="shared" si="301"/>
        <v>94.091231315422945</v>
      </c>
    </row>
    <row r="635" spans="1:13" ht="38.25">
      <c r="A635" s="60" t="s">
        <v>138</v>
      </c>
      <c r="B635" s="29" t="s">
        <v>283</v>
      </c>
      <c r="C635" s="29" t="s">
        <v>46</v>
      </c>
      <c r="D635" s="29" t="s">
        <v>46</v>
      </c>
      <c r="E635" s="29" t="s">
        <v>139</v>
      </c>
      <c r="F635" s="59" t="s">
        <v>0</v>
      </c>
      <c r="G635" s="36">
        <f>G636+G641+G651+G660</f>
        <v>8081851.9000000004</v>
      </c>
      <c r="H635" s="36">
        <f>H636+H641+H651+H660+H663</f>
        <v>8085997.03792</v>
      </c>
      <c r="I635" s="36">
        <f t="shared" ref="I635:K635" si="322">I636+I641+I651+I660+I663</f>
        <v>4034070.13956</v>
      </c>
      <c r="J635" s="36">
        <f t="shared" si="322"/>
        <v>4034070.13956</v>
      </c>
      <c r="K635" s="36">
        <f t="shared" si="322"/>
        <v>4024074.1453800001</v>
      </c>
      <c r="L635" s="36">
        <f t="shared" si="300"/>
        <v>49.76596116111282</v>
      </c>
      <c r="M635" s="36">
        <f t="shared" si="301"/>
        <v>99.752210699512275</v>
      </c>
    </row>
    <row r="636" spans="1:13" ht="89.25">
      <c r="A636" s="60" t="s">
        <v>339</v>
      </c>
      <c r="B636" s="29" t="s">
        <v>283</v>
      </c>
      <c r="C636" s="29" t="s">
        <v>46</v>
      </c>
      <c r="D636" s="29" t="s">
        <v>46</v>
      </c>
      <c r="E636" s="29" t="s">
        <v>340</v>
      </c>
      <c r="F636" s="59" t="s">
        <v>0</v>
      </c>
      <c r="G636" s="36">
        <f>G637+G639</f>
        <v>4389.1000000000004</v>
      </c>
      <c r="H636" s="36">
        <f t="shared" ref="H636:K636" si="323">H637+H639</f>
        <v>4389.1000000000004</v>
      </c>
      <c r="I636" s="36">
        <f t="shared" si="323"/>
        <v>2320.3000000000002</v>
      </c>
      <c r="J636" s="36">
        <f t="shared" si="323"/>
        <v>2320.3000000000002</v>
      </c>
      <c r="K636" s="36">
        <f t="shared" si="323"/>
        <v>1971.3084100000001</v>
      </c>
      <c r="L636" s="36">
        <f t="shared" si="300"/>
        <v>44.913727415643294</v>
      </c>
      <c r="M636" s="36">
        <f t="shared" si="301"/>
        <v>84.959203982243665</v>
      </c>
    </row>
    <row r="637" spans="1:13" ht="63.75">
      <c r="A637" s="60" t="s">
        <v>60</v>
      </c>
      <c r="B637" s="29" t="s">
        <v>283</v>
      </c>
      <c r="C637" s="29" t="s">
        <v>46</v>
      </c>
      <c r="D637" s="29" t="s">
        <v>46</v>
      </c>
      <c r="E637" s="29" t="s">
        <v>340</v>
      </c>
      <c r="F637" s="29" t="s">
        <v>61</v>
      </c>
      <c r="G637" s="36">
        <f>G638</f>
        <v>3942.5</v>
      </c>
      <c r="H637" s="36">
        <f t="shared" ref="H637:K637" si="324">H638</f>
        <v>3942.5</v>
      </c>
      <c r="I637" s="36">
        <f t="shared" si="324"/>
        <v>2249.3000000000002</v>
      </c>
      <c r="J637" s="36">
        <f t="shared" si="324"/>
        <v>2249.3000000000002</v>
      </c>
      <c r="K637" s="36">
        <f t="shared" si="324"/>
        <v>1971.3084100000001</v>
      </c>
      <c r="L637" s="36">
        <f t="shared" si="300"/>
        <v>50.001481547241596</v>
      </c>
      <c r="M637" s="36">
        <f t="shared" si="301"/>
        <v>87.640973191659626</v>
      </c>
    </row>
    <row r="638" spans="1:13" ht="25.5">
      <c r="A638" s="60" t="s">
        <v>62</v>
      </c>
      <c r="B638" s="29" t="s">
        <v>283</v>
      </c>
      <c r="C638" s="29" t="s">
        <v>46</v>
      </c>
      <c r="D638" s="29" t="s">
        <v>46</v>
      </c>
      <c r="E638" s="29" t="s">
        <v>340</v>
      </c>
      <c r="F638" s="29" t="s">
        <v>63</v>
      </c>
      <c r="G638" s="36">
        <v>3942.5</v>
      </c>
      <c r="H638" s="36">
        <v>3942.5</v>
      </c>
      <c r="I638" s="36">
        <f>1593+161+495.3</f>
        <v>2249.3000000000002</v>
      </c>
      <c r="J638" s="36">
        <f>1593+161+495.3</f>
        <v>2249.3000000000002</v>
      </c>
      <c r="K638" s="36">
        <f>1435.41872+158.80914+377.08055</f>
        <v>1971.3084100000001</v>
      </c>
      <c r="L638" s="36">
        <f t="shared" si="300"/>
        <v>50.001481547241596</v>
      </c>
      <c r="M638" s="36">
        <f t="shared" si="301"/>
        <v>87.640973191659626</v>
      </c>
    </row>
    <row r="639" spans="1:13" ht="25.5">
      <c r="A639" s="60" t="s">
        <v>64</v>
      </c>
      <c r="B639" s="29" t="s">
        <v>283</v>
      </c>
      <c r="C639" s="29" t="s">
        <v>46</v>
      </c>
      <c r="D639" s="29" t="s">
        <v>46</v>
      </c>
      <c r="E639" s="29" t="s">
        <v>340</v>
      </c>
      <c r="F639" s="29" t="s">
        <v>65</v>
      </c>
      <c r="G639" s="36">
        <f>G640</f>
        <v>446.6</v>
      </c>
      <c r="H639" s="36">
        <f t="shared" ref="H639:K639" si="325">H640</f>
        <v>446.6</v>
      </c>
      <c r="I639" s="36">
        <f t="shared" si="325"/>
        <v>71</v>
      </c>
      <c r="J639" s="36">
        <f t="shared" si="325"/>
        <v>71</v>
      </c>
      <c r="K639" s="36">
        <f t="shared" si="325"/>
        <v>0</v>
      </c>
      <c r="L639" s="36">
        <f t="shared" si="300"/>
        <v>0</v>
      </c>
      <c r="M639" s="36">
        <f t="shared" si="301"/>
        <v>0</v>
      </c>
    </row>
    <row r="640" spans="1:13" ht="25.5">
      <c r="A640" s="60" t="s">
        <v>66</v>
      </c>
      <c r="B640" s="29" t="s">
        <v>283</v>
      </c>
      <c r="C640" s="29" t="s">
        <v>46</v>
      </c>
      <c r="D640" s="29" t="s">
        <v>46</v>
      </c>
      <c r="E640" s="29" t="s">
        <v>340</v>
      </c>
      <c r="F640" s="29" t="s">
        <v>67</v>
      </c>
      <c r="G640" s="36">
        <v>446.6</v>
      </c>
      <c r="H640" s="36">
        <v>446.6</v>
      </c>
      <c r="I640" s="36">
        <v>71</v>
      </c>
      <c r="J640" s="36">
        <v>71</v>
      </c>
      <c r="K640" s="36">
        <v>0</v>
      </c>
      <c r="L640" s="36">
        <f t="shared" si="300"/>
        <v>0</v>
      </c>
      <c r="M640" s="36">
        <f t="shared" si="301"/>
        <v>0</v>
      </c>
    </row>
    <row r="641" spans="1:13" ht="25.5">
      <c r="A641" s="60" t="s">
        <v>58</v>
      </c>
      <c r="B641" s="29" t="s">
        <v>283</v>
      </c>
      <c r="C641" s="29" t="s">
        <v>46</v>
      </c>
      <c r="D641" s="29" t="s">
        <v>46</v>
      </c>
      <c r="E641" s="29" t="s">
        <v>341</v>
      </c>
      <c r="F641" s="59" t="s">
        <v>0</v>
      </c>
      <c r="G641" s="36">
        <f>G642+G644+G646+G648</f>
        <v>89709.900000000009</v>
      </c>
      <c r="H641" s="36">
        <f t="shared" ref="H641:K641" si="326">H642+H644+H646+H648</f>
        <v>89709.900000000009</v>
      </c>
      <c r="I641" s="36">
        <f t="shared" si="326"/>
        <v>44489.552000000003</v>
      </c>
      <c r="J641" s="36">
        <f t="shared" si="326"/>
        <v>44489.552000000003</v>
      </c>
      <c r="K641" s="36">
        <f t="shared" si="326"/>
        <v>37029.013449999999</v>
      </c>
      <c r="L641" s="36">
        <f t="shared" si="300"/>
        <v>41.276395860434576</v>
      </c>
      <c r="M641" s="36">
        <f t="shared" si="301"/>
        <v>83.230807651198631</v>
      </c>
    </row>
    <row r="642" spans="1:13" ht="63.75">
      <c r="A642" s="60" t="s">
        <v>60</v>
      </c>
      <c r="B642" s="29" t="s">
        <v>283</v>
      </c>
      <c r="C642" s="29" t="s">
        <v>46</v>
      </c>
      <c r="D642" s="29" t="s">
        <v>46</v>
      </c>
      <c r="E642" s="29" t="s">
        <v>341</v>
      </c>
      <c r="F642" s="29" t="s">
        <v>61</v>
      </c>
      <c r="G642" s="36">
        <f>G643</f>
        <v>86009.8</v>
      </c>
      <c r="H642" s="36">
        <f t="shared" ref="H642:K642" si="327">H643</f>
        <v>86009.8</v>
      </c>
      <c r="I642" s="36">
        <f t="shared" si="327"/>
        <v>42581.8</v>
      </c>
      <c r="J642" s="36">
        <f t="shared" si="327"/>
        <v>42581.8</v>
      </c>
      <c r="K642" s="36">
        <f t="shared" si="327"/>
        <v>35392.419349999996</v>
      </c>
      <c r="L642" s="36">
        <f t="shared" si="300"/>
        <v>41.149286883587678</v>
      </c>
      <c r="M642" s="36">
        <f t="shared" si="301"/>
        <v>83.116306379720896</v>
      </c>
    </row>
    <row r="643" spans="1:13" ht="25.5">
      <c r="A643" s="60" t="s">
        <v>62</v>
      </c>
      <c r="B643" s="29" t="s">
        <v>283</v>
      </c>
      <c r="C643" s="29" t="s">
        <v>46</v>
      </c>
      <c r="D643" s="29" t="s">
        <v>46</v>
      </c>
      <c r="E643" s="29" t="s">
        <v>341</v>
      </c>
      <c r="F643" s="29" t="s">
        <v>63</v>
      </c>
      <c r="G643" s="36">
        <v>86009.8</v>
      </c>
      <c r="H643" s="36">
        <v>86009.8</v>
      </c>
      <c r="I643" s="36">
        <f>31653.8+1748+9180</f>
        <v>42581.8</v>
      </c>
      <c r="J643" s="36">
        <f>31653.8+1748+9180</f>
        <v>42581.8</v>
      </c>
      <c r="K643" s="36">
        <f>25978.09424+1526.98058+7887.34453</f>
        <v>35392.419349999996</v>
      </c>
      <c r="L643" s="36">
        <f t="shared" si="300"/>
        <v>41.149286883587678</v>
      </c>
      <c r="M643" s="36">
        <f t="shared" si="301"/>
        <v>83.116306379720896</v>
      </c>
    </row>
    <row r="644" spans="1:13" ht="25.5">
      <c r="A644" s="60" t="s">
        <v>64</v>
      </c>
      <c r="B644" s="29" t="s">
        <v>283</v>
      </c>
      <c r="C644" s="29" t="s">
        <v>46</v>
      </c>
      <c r="D644" s="29" t="s">
        <v>46</v>
      </c>
      <c r="E644" s="29" t="s">
        <v>341</v>
      </c>
      <c r="F644" s="29" t="s">
        <v>65</v>
      </c>
      <c r="G644" s="36">
        <f>G645</f>
        <v>3522.1</v>
      </c>
      <c r="H644" s="36">
        <f t="shared" ref="H644:K644" si="328">H645</f>
        <v>3522.1</v>
      </c>
      <c r="I644" s="36">
        <f t="shared" si="328"/>
        <v>1826.252</v>
      </c>
      <c r="J644" s="36">
        <f t="shared" si="328"/>
        <v>1826.252</v>
      </c>
      <c r="K644" s="36">
        <f t="shared" si="328"/>
        <v>1573.2040999999999</v>
      </c>
      <c r="L644" s="36">
        <f t="shared" si="300"/>
        <v>44.666650577780295</v>
      </c>
      <c r="M644" s="36">
        <f t="shared" si="301"/>
        <v>86.143867330466989</v>
      </c>
    </row>
    <row r="645" spans="1:13" ht="25.5">
      <c r="A645" s="60" t="s">
        <v>66</v>
      </c>
      <c r="B645" s="29" t="s">
        <v>283</v>
      </c>
      <c r="C645" s="29" t="s">
        <v>46</v>
      </c>
      <c r="D645" s="29" t="s">
        <v>46</v>
      </c>
      <c r="E645" s="29" t="s">
        <v>341</v>
      </c>
      <c r="F645" s="29" t="s">
        <v>67</v>
      </c>
      <c r="G645" s="36">
        <v>3522.1</v>
      </c>
      <c r="H645" s="36">
        <v>3522.1</v>
      </c>
      <c r="I645" s="36">
        <v>1826.252</v>
      </c>
      <c r="J645" s="36">
        <v>1826.252</v>
      </c>
      <c r="K645" s="36">
        <v>1573.2040999999999</v>
      </c>
      <c r="L645" s="36">
        <f t="shared" si="300"/>
        <v>44.666650577780295</v>
      </c>
      <c r="M645" s="36">
        <f t="shared" si="301"/>
        <v>86.143867330466989</v>
      </c>
    </row>
    <row r="646" spans="1:13">
      <c r="A646" s="60" t="s">
        <v>68</v>
      </c>
      <c r="B646" s="29" t="s">
        <v>283</v>
      </c>
      <c r="C646" s="29" t="s">
        <v>46</v>
      </c>
      <c r="D646" s="29" t="s">
        <v>46</v>
      </c>
      <c r="E646" s="29" t="s">
        <v>341</v>
      </c>
      <c r="F646" s="29" t="s">
        <v>69</v>
      </c>
      <c r="G646" s="36">
        <f>G647</f>
        <v>60</v>
      </c>
      <c r="H646" s="36">
        <f t="shared" ref="H646:K646" si="329">H647</f>
        <v>60</v>
      </c>
      <c r="I646" s="36">
        <f t="shared" si="329"/>
        <v>60</v>
      </c>
      <c r="J646" s="36">
        <f t="shared" si="329"/>
        <v>60</v>
      </c>
      <c r="K646" s="36">
        <f t="shared" si="329"/>
        <v>60</v>
      </c>
      <c r="L646" s="36">
        <f t="shared" si="300"/>
        <v>100</v>
      </c>
      <c r="M646" s="36">
        <f t="shared" si="301"/>
        <v>100</v>
      </c>
    </row>
    <row r="647" spans="1:13">
      <c r="A647" s="60" t="s">
        <v>70</v>
      </c>
      <c r="B647" s="29" t="s">
        <v>283</v>
      </c>
      <c r="C647" s="29" t="s">
        <v>46</v>
      </c>
      <c r="D647" s="29" t="s">
        <v>46</v>
      </c>
      <c r="E647" s="29" t="s">
        <v>341</v>
      </c>
      <c r="F647" s="29" t="s">
        <v>71</v>
      </c>
      <c r="G647" s="36">
        <v>60</v>
      </c>
      <c r="H647" s="36">
        <v>60</v>
      </c>
      <c r="I647" s="36">
        <v>60</v>
      </c>
      <c r="J647" s="36">
        <v>60</v>
      </c>
      <c r="K647" s="36">
        <v>60</v>
      </c>
      <c r="L647" s="36">
        <f t="shared" si="300"/>
        <v>100</v>
      </c>
      <c r="M647" s="36">
        <f t="shared" si="301"/>
        <v>100</v>
      </c>
    </row>
    <row r="648" spans="1:13">
      <c r="A648" s="60" t="s">
        <v>72</v>
      </c>
      <c r="B648" s="29" t="s">
        <v>283</v>
      </c>
      <c r="C648" s="29" t="s">
        <v>46</v>
      </c>
      <c r="D648" s="29" t="s">
        <v>46</v>
      </c>
      <c r="E648" s="29" t="s">
        <v>341</v>
      </c>
      <c r="F648" s="29" t="s">
        <v>73</v>
      </c>
      <c r="G648" s="36">
        <f>G649+G650</f>
        <v>118</v>
      </c>
      <c r="H648" s="36">
        <f t="shared" ref="H648:K648" si="330">H649+H650</f>
        <v>118</v>
      </c>
      <c r="I648" s="36">
        <f t="shared" si="330"/>
        <v>21.5</v>
      </c>
      <c r="J648" s="36">
        <f t="shared" si="330"/>
        <v>21.5</v>
      </c>
      <c r="K648" s="36">
        <f t="shared" si="330"/>
        <v>3.39</v>
      </c>
      <c r="L648" s="36">
        <f t="shared" si="300"/>
        <v>2.8728813559322037</v>
      </c>
      <c r="M648" s="36">
        <f t="shared" si="301"/>
        <v>15.767441860465118</v>
      </c>
    </row>
    <row r="649" spans="1:13">
      <c r="A649" s="60" t="s">
        <v>84</v>
      </c>
      <c r="B649" s="29" t="s">
        <v>283</v>
      </c>
      <c r="C649" s="29" t="s">
        <v>46</v>
      </c>
      <c r="D649" s="29" t="s">
        <v>46</v>
      </c>
      <c r="E649" s="29" t="s">
        <v>341</v>
      </c>
      <c r="F649" s="29" t="s">
        <v>85</v>
      </c>
      <c r="G649" s="36">
        <v>90</v>
      </c>
      <c r="H649" s="36">
        <v>90</v>
      </c>
      <c r="I649" s="36">
        <v>7.5</v>
      </c>
      <c r="J649" s="36">
        <v>7.5</v>
      </c>
      <c r="K649" s="36">
        <v>0</v>
      </c>
      <c r="L649" s="36">
        <f t="shared" si="300"/>
        <v>0</v>
      </c>
      <c r="M649" s="36">
        <f t="shared" si="301"/>
        <v>0</v>
      </c>
    </row>
    <row r="650" spans="1:13">
      <c r="A650" s="60" t="s">
        <v>74</v>
      </c>
      <c r="B650" s="29" t="s">
        <v>283</v>
      </c>
      <c r="C650" s="29" t="s">
        <v>46</v>
      </c>
      <c r="D650" s="29" t="s">
        <v>46</v>
      </c>
      <c r="E650" s="29" t="s">
        <v>341</v>
      </c>
      <c r="F650" s="29" t="s">
        <v>75</v>
      </c>
      <c r="G650" s="36">
        <v>28</v>
      </c>
      <c r="H650" s="36">
        <v>28</v>
      </c>
      <c r="I650" s="36">
        <v>14</v>
      </c>
      <c r="J650" s="36">
        <v>14</v>
      </c>
      <c r="K650" s="36">
        <v>3.39</v>
      </c>
      <c r="L650" s="36">
        <f t="shared" si="300"/>
        <v>12.107142857142858</v>
      </c>
      <c r="M650" s="36">
        <f t="shared" si="301"/>
        <v>24.214285714285715</v>
      </c>
    </row>
    <row r="651" spans="1:13" ht="25.5">
      <c r="A651" s="60" t="s">
        <v>76</v>
      </c>
      <c r="B651" s="29" t="s">
        <v>283</v>
      </c>
      <c r="C651" s="29" t="s">
        <v>46</v>
      </c>
      <c r="D651" s="29" t="s">
        <v>46</v>
      </c>
      <c r="E651" s="29" t="s">
        <v>140</v>
      </c>
      <c r="F651" s="59" t="s">
        <v>0</v>
      </c>
      <c r="G651" s="36">
        <f>G652+G654+G656+G658</f>
        <v>202537.5</v>
      </c>
      <c r="H651" s="36">
        <f t="shared" ref="H651:K651" si="331">H652+H654+H656+H658</f>
        <v>202537.5</v>
      </c>
      <c r="I651" s="36">
        <f t="shared" si="331"/>
        <v>92702.6</v>
      </c>
      <c r="J651" s="36">
        <f t="shared" si="331"/>
        <v>92702.6</v>
      </c>
      <c r="K651" s="36">
        <f t="shared" si="331"/>
        <v>90793.469539999991</v>
      </c>
      <c r="L651" s="36">
        <f t="shared" si="300"/>
        <v>44.827979776584584</v>
      </c>
      <c r="M651" s="36">
        <f t="shared" si="301"/>
        <v>97.940585851960975</v>
      </c>
    </row>
    <row r="652" spans="1:13" ht="63.75">
      <c r="A652" s="60" t="s">
        <v>60</v>
      </c>
      <c r="B652" s="29" t="s">
        <v>283</v>
      </c>
      <c r="C652" s="29" t="s">
        <v>46</v>
      </c>
      <c r="D652" s="29" t="s">
        <v>46</v>
      </c>
      <c r="E652" s="29" t="s">
        <v>140</v>
      </c>
      <c r="F652" s="29" t="s">
        <v>61</v>
      </c>
      <c r="G652" s="36">
        <f>G653</f>
        <v>19101.5</v>
      </c>
      <c r="H652" s="36">
        <f t="shared" ref="H652:K652" si="332">H653</f>
        <v>19101.5</v>
      </c>
      <c r="I652" s="36">
        <f t="shared" si="332"/>
        <v>9495.6</v>
      </c>
      <c r="J652" s="36">
        <f t="shared" si="332"/>
        <v>9495.6</v>
      </c>
      <c r="K652" s="36">
        <f t="shared" si="332"/>
        <v>8573.5493099999985</v>
      </c>
      <c r="L652" s="36">
        <f t="shared" si="300"/>
        <v>44.884167787870055</v>
      </c>
      <c r="M652" s="36">
        <f t="shared" si="301"/>
        <v>90.289705863768461</v>
      </c>
    </row>
    <row r="653" spans="1:13">
      <c r="A653" s="60" t="s">
        <v>78</v>
      </c>
      <c r="B653" s="29" t="s">
        <v>283</v>
      </c>
      <c r="C653" s="29" t="s">
        <v>46</v>
      </c>
      <c r="D653" s="29" t="s">
        <v>46</v>
      </c>
      <c r="E653" s="29" t="s">
        <v>140</v>
      </c>
      <c r="F653" s="29" t="s">
        <v>79</v>
      </c>
      <c r="G653" s="36">
        <v>19101.5</v>
      </c>
      <c r="H653" s="36">
        <v>19101.5</v>
      </c>
      <c r="I653" s="36">
        <f>7298.2+23.6+2173.8</f>
        <v>9495.6</v>
      </c>
      <c r="J653" s="36">
        <f>7298.2+23.6+2173.8</f>
        <v>9495.6</v>
      </c>
      <c r="K653" s="36">
        <f>6698.10672+20.4522+1854.99039</f>
        <v>8573.5493099999985</v>
      </c>
      <c r="L653" s="36">
        <f t="shared" si="300"/>
        <v>44.884167787870055</v>
      </c>
      <c r="M653" s="36">
        <f t="shared" si="301"/>
        <v>90.289705863768461</v>
      </c>
    </row>
    <row r="654" spans="1:13" ht="25.5">
      <c r="A654" s="60" t="s">
        <v>64</v>
      </c>
      <c r="B654" s="29" t="s">
        <v>283</v>
      </c>
      <c r="C654" s="29" t="s">
        <v>46</v>
      </c>
      <c r="D654" s="29" t="s">
        <v>46</v>
      </c>
      <c r="E654" s="29" t="s">
        <v>140</v>
      </c>
      <c r="F654" s="29" t="s">
        <v>65</v>
      </c>
      <c r="G654" s="36">
        <f>G655</f>
        <v>36501.199999999997</v>
      </c>
      <c r="H654" s="36">
        <f t="shared" ref="H654:K654" si="333">H655</f>
        <v>36501.199999999997</v>
      </c>
      <c r="I654" s="36">
        <f t="shared" si="333"/>
        <v>18305.599999999999</v>
      </c>
      <c r="J654" s="36">
        <f t="shared" si="333"/>
        <v>18305.599999999999</v>
      </c>
      <c r="K654" s="36">
        <f t="shared" si="333"/>
        <v>17345.137279999999</v>
      </c>
      <c r="L654" s="36">
        <f t="shared" si="300"/>
        <v>47.519361774407422</v>
      </c>
      <c r="M654" s="36">
        <f t="shared" si="301"/>
        <v>94.753175421728869</v>
      </c>
    </row>
    <row r="655" spans="1:13" ht="25.5">
      <c r="A655" s="60" t="s">
        <v>66</v>
      </c>
      <c r="B655" s="29" t="s">
        <v>283</v>
      </c>
      <c r="C655" s="29" t="s">
        <v>46</v>
      </c>
      <c r="D655" s="29" t="s">
        <v>46</v>
      </c>
      <c r="E655" s="29" t="s">
        <v>140</v>
      </c>
      <c r="F655" s="29" t="s">
        <v>67</v>
      </c>
      <c r="G655" s="36">
        <v>36501.199999999997</v>
      </c>
      <c r="H655" s="36">
        <v>36501.199999999997</v>
      </c>
      <c r="I655" s="36">
        <v>18305.599999999999</v>
      </c>
      <c r="J655" s="36">
        <v>18305.599999999999</v>
      </c>
      <c r="K655" s="36">
        <v>17345.137279999999</v>
      </c>
      <c r="L655" s="36">
        <f t="shared" si="300"/>
        <v>47.519361774407422</v>
      </c>
      <c r="M655" s="36">
        <f t="shared" si="301"/>
        <v>94.753175421728869</v>
      </c>
    </row>
    <row r="656" spans="1:13" ht="25.5">
      <c r="A656" s="60" t="s">
        <v>80</v>
      </c>
      <c r="B656" s="29" t="s">
        <v>283</v>
      </c>
      <c r="C656" s="29" t="s">
        <v>46</v>
      </c>
      <c r="D656" s="29" t="s">
        <v>46</v>
      </c>
      <c r="E656" s="29" t="s">
        <v>140</v>
      </c>
      <c r="F656" s="29" t="s">
        <v>81</v>
      </c>
      <c r="G656" s="36">
        <f>G657</f>
        <v>144982.1</v>
      </c>
      <c r="H656" s="36">
        <f t="shared" ref="H656:K656" si="334">H657</f>
        <v>144982.1</v>
      </c>
      <c r="I656" s="36">
        <f t="shared" si="334"/>
        <v>64034.9</v>
      </c>
      <c r="J656" s="36">
        <f t="shared" si="334"/>
        <v>64034.9</v>
      </c>
      <c r="K656" s="36">
        <f t="shared" si="334"/>
        <v>64034.9</v>
      </c>
      <c r="L656" s="36">
        <f t="shared" si="300"/>
        <v>44.167452395847484</v>
      </c>
      <c r="M656" s="36">
        <f t="shared" si="301"/>
        <v>100</v>
      </c>
    </row>
    <row r="657" spans="1:13">
      <c r="A657" s="60" t="s">
        <v>271</v>
      </c>
      <c r="B657" s="29" t="s">
        <v>283</v>
      </c>
      <c r="C657" s="29" t="s">
        <v>46</v>
      </c>
      <c r="D657" s="29" t="s">
        <v>46</v>
      </c>
      <c r="E657" s="29" t="s">
        <v>140</v>
      </c>
      <c r="F657" s="29" t="s">
        <v>272</v>
      </c>
      <c r="G657" s="36">
        <v>144982.1</v>
      </c>
      <c r="H657" s="36">
        <v>144982.1</v>
      </c>
      <c r="I657" s="36">
        <v>64034.9</v>
      </c>
      <c r="J657" s="36">
        <v>64034.9</v>
      </c>
      <c r="K657" s="36">
        <v>64034.9</v>
      </c>
      <c r="L657" s="36">
        <f t="shared" si="300"/>
        <v>44.167452395847484</v>
      </c>
      <c r="M657" s="36">
        <f t="shared" si="301"/>
        <v>100</v>
      </c>
    </row>
    <row r="658" spans="1:13">
      <c r="A658" s="60" t="s">
        <v>72</v>
      </c>
      <c r="B658" s="29" t="s">
        <v>283</v>
      </c>
      <c r="C658" s="29" t="s">
        <v>46</v>
      </c>
      <c r="D658" s="29" t="s">
        <v>46</v>
      </c>
      <c r="E658" s="29" t="s">
        <v>140</v>
      </c>
      <c r="F658" s="29" t="s">
        <v>73</v>
      </c>
      <c r="G658" s="36">
        <f>G659</f>
        <v>1952.7</v>
      </c>
      <c r="H658" s="36">
        <f t="shared" ref="H658:K658" si="335">H659</f>
        <v>1952.7</v>
      </c>
      <c r="I658" s="36">
        <f t="shared" si="335"/>
        <v>866.5</v>
      </c>
      <c r="J658" s="36">
        <f t="shared" si="335"/>
        <v>866.5</v>
      </c>
      <c r="K658" s="36">
        <f t="shared" si="335"/>
        <v>839.88294999999994</v>
      </c>
      <c r="L658" s="36">
        <f t="shared" si="300"/>
        <v>43.011366313309772</v>
      </c>
      <c r="M658" s="36">
        <f t="shared" si="301"/>
        <v>96.928211194460474</v>
      </c>
    </row>
    <row r="659" spans="1:13">
      <c r="A659" s="60" t="s">
        <v>74</v>
      </c>
      <c r="B659" s="29" t="s">
        <v>283</v>
      </c>
      <c r="C659" s="29" t="s">
        <v>46</v>
      </c>
      <c r="D659" s="29" t="s">
        <v>46</v>
      </c>
      <c r="E659" s="29" t="s">
        <v>140</v>
      </c>
      <c r="F659" s="29" t="s">
        <v>75</v>
      </c>
      <c r="G659" s="36">
        <v>1952.7</v>
      </c>
      <c r="H659" s="36">
        <v>1952.7</v>
      </c>
      <c r="I659" s="36">
        <f>849.4+17.1</f>
        <v>866.5</v>
      </c>
      <c r="J659" s="36">
        <f>849.4+17.1</f>
        <v>866.5</v>
      </c>
      <c r="K659" s="36">
        <f>830.06405+9.8189</f>
        <v>839.88294999999994</v>
      </c>
      <c r="L659" s="36">
        <f t="shared" si="300"/>
        <v>43.011366313309772</v>
      </c>
      <c r="M659" s="36">
        <f t="shared" si="301"/>
        <v>96.928211194460474</v>
      </c>
    </row>
    <row r="660" spans="1:13" ht="25.5">
      <c r="A660" s="60" t="s">
        <v>342</v>
      </c>
      <c r="B660" s="29" t="s">
        <v>283</v>
      </c>
      <c r="C660" s="29" t="s">
        <v>46</v>
      </c>
      <c r="D660" s="29" t="s">
        <v>46</v>
      </c>
      <c r="E660" s="29" t="s">
        <v>343</v>
      </c>
      <c r="F660" s="59" t="s">
        <v>0</v>
      </c>
      <c r="G660" s="36">
        <f>G661</f>
        <v>7785215.4000000004</v>
      </c>
      <c r="H660" s="36">
        <f t="shared" ref="H660:K661" si="336">H661</f>
        <v>7785215.4000000004</v>
      </c>
      <c r="I660" s="36">
        <f t="shared" si="336"/>
        <v>3892607.7</v>
      </c>
      <c r="J660" s="36">
        <f t="shared" si="336"/>
        <v>3892607.7</v>
      </c>
      <c r="K660" s="36">
        <f t="shared" si="336"/>
        <v>3892607.7</v>
      </c>
      <c r="L660" s="36">
        <f t="shared" si="300"/>
        <v>50</v>
      </c>
      <c r="M660" s="36">
        <f t="shared" si="301"/>
        <v>100</v>
      </c>
    </row>
    <row r="661" spans="1:13">
      <c r="A661" s="60" t="s">
        <v>68</v>
      </c>
      <c r="B661" s="29" t="s">
        <v>283</v>
      </c>
      <c r="C661" s="29" t="s">
        <v>46</v>
      </c>
      <c r="D661" s="29" t="s">
        <v>46</v>
      </c>
      <c r="E661" s="29" t="s">
        <v>343</v>
      </c>
      <c r="F661" s="29" t="s">
        <v>69</v>
      </c>
      <c r="G661" s="36">
        <f>G662</f>
        <v>7785215.4000000004</v>
      </c>
      <c r="H661" s="36">
        <f t="shared" si="336"/>
        <v>7785215.4000000004</v>
      </c>
      <c r="I661" s="36">
        <f t="shared" si="336"/>
        <v>3892607.7</v>
      </c>
      <c r="J661" s="36">
        <f t="shared" si="336"/>
        <v>3892607.7</v>
      </c>
      <c r="K661" s="36">
        <f t="shared" si="336"/>
        <v>3892607.7</v>
      </c>
      <c r="L661" s="36">
        <f t="shared" si="300"/>
        <v>50</v>
      </c>
      <c r="M661" s="36">
        <f t="shared" si="301"/>
        <v>100</v>
      </c>
    </row>
    <row r="662" spans="1:13" ht="25.5">
      <c r="A662" s="60" t="s">
        <v>151</v>
      </c>
      <c r="B662" s="29" t="s">
        <v>283</v>
      </c>
      <c r="C662" s="29" t="s">
        <v>46</v>
      </c>
      <c r="D662" s="29" t="s">
        <v>46</v>
      </c>
      <c r="E662" s="29" t="s">
        <v>343</v>
      </c>
      <c r="F662" s="29" t="s">
        <v>152</v>
      </c>
      <c r="G662" s="36">
        <v>7785215.4000000004</v>
      </c>
      <c r="H662" s="36">
        <v>7785215.4000000004</v>
      </c>
      <c r="I662" s="36">
        <v>3892607.7</v>
      </c>
      <c r="J662" s="36">
        <v>3892607.7</v>
      </c>
      <c r="K662" s="36">
        <v>3892607.7</v>
      </c>
      <c r="L662" s="36">
        <f t="shared" si="300"/>
        <v>50</v>
      </c>
      <c r="M662" s="36">
        <f t="shared" si="301"/>
        <v>100</v>
      </c>
    </row>
    <row r="663" spans="1:13" ht="43.5" customHeight="1">
      <c r="A663" s="60" t="s">
        <v>1138</v>
      </c>
      <c r="B663" s="29" t="s">
        <v>283</v>
      </c>
      <c r="C663" s="29" t="s">
        <v>46</v>
      </c>
      <c r="D663" s="29" t="s">
        <v>46</v>
      </c>
      <c r="E663" s="30" t="s">
        <v>1137</v>
      </c>
      <c r="F663" s="29"/>
      <c r="G663" s="36"/>
      <c r="H663" s="36">
        <f>H664+H666</f>
        <v>4145.1379200000001</v>
      </c>
      <c r="I663" s="36">
        <f t="shared" ref="I663:K663" si="337">I664+I666</f>
        <v>1949.98756</v>
      </c>
      <c r="J663" s="36">
        <f t="shared" si="337"/>
        <v>1949.98756</v>
      </c>
      <c r="K663" s="36">
        <f t="shared" si="337"/>
        <v>1672.65398</v>
      </c>
      <c r="L663" s="36">
        <f t="shared" ref="L663:L667" si="338">K663/H663*100</f>
        <v>40.352191224556407</v>
      </c>
      <c r="M663" s="36">
        <f t="shared" ref="M663:M667" si="339">K663/I663*100</f>
        <v>85.77767439706129</v>
      </c>
    </row>
    <row r="664" spans="1:13" ht="63.75">
      <c r="A664" s="60" t="s">
        <v>60</v>
      </c>
      <c r="B664" s="29" t="s">
        <v>283</v>
      </c>
      <c r="C664" s="29" t="s">
        <v>46</v>
      </c>
      <c r="D664" s="29" t="s">
        <v>46</v>
      </c>
      <c r="E664" s="30" t="s">
        <v>1137</v>
      </c>
      <c r="F664" s="29">
        <v>100</v>
      </c>
      <c r="G664" s="36"/>
      <c r="H664" s="36">
        <f>H665</f>
        <v>1610.61708</v>
      </c>
      <c r="I664" s="36">
        <f t="shared" ref="I664:K664" si="340">I665</f>
        <v>1073.7447199999999</v>
      </c>
      <c r="J664" s="36">
        <f t="shared" si="340"/>
        <v>1073.7447199999999</v>
      </c>
      <c r="K664" s="36">
        <f t="shared" si="340"/>
        <v>995.18697999999995</v>
      </c>
      <c r="L664" s="36">
        <f t="shared" si="338"/>
        <v>61.789173376951886</v>
      </c>
      <c r="M664" s="36">
        <f t="shared" si="339"/>
        <v>92.683760065427848</v>
      </c>
    </row>
    <row r="665" spans="1:13">
      <c r="A665" s="60" t="s">
        <v>78</v>
      </c>
      <c r="B665" s="29" t="s">
        <v>283</v>
      </c>
      <c r="C665" s="29" t="s">
        <v>46</v>
      </c>
      <c r="D665" s="29" t="s">
        <v>46</v>
      </c>
      <c r="E665" s="30" t="s">
        <v>1137</v>
      </c>
      <c r="F665" s="29">
        <v>110</v>
      </c>
      <c r="G665" s="36"/>
      <c r="H665" s="36">
        <f>1073.74472+536.87236</f>
        <v>1610.61708</v>
      </c>
      <c r="I665" s="36">
        <f>824.68872+249.056</f>
        <v>1073.7447199999999</v>
      </c>
      <c r="J665" s="36">
        <f>824.68872+249.056</f>
        <v>1073.7447199999999</v>
      </c>
      <c r="K665" s="36">
        <f>760.48698+234.7</f>
        <v>995.18697999999995</v>
      </c>
      <c r="L665" s="36">
        <f t="shared" si="338"/>
        <v>61.789173376951886</v>
      </c>
      <c r="M665" s="36">
        <f t="shared" si="339"/>
        <v>92.683760065427848</v>
      </c>
    </row>
    <row r="666" spans="1:13" ht="25.5">
      <c r="A666" s="60" t="s">
        <v>64</v>
      </c>
      <c r="B666" s="29" t="s">
        <v>283</v>
      </c>
      <c r="C666" s="29" t="s">
        <v>46</v>
      </c>
      <c r="D666" s="29" t="s">
        <v>46</v>
      </c>
      <c r="E666" s="30" t="s">
        <v>1137</v>
      </c>
      <c r="F666" s="29">
        <v>200</v>
      </c>
      <c r="G666" s="36"/>
      <c r="H666" s="36">
        <f>H667</f>
        <v>2534.5208400000001</v>
      </c>
      <c r="I666" s="36">
        <f t="shared" ref="I666:K666" si="341">I667</f>
        <v>876.24284</v>
      </c>
      <c r="J666" s="36">
        <f t="shared" si="341"/>
        <v>876.24284</v>
      </c>
      <c r="K666" s="36">
        <f t="shared" si="341"/>
        <v>677.46699999999998</v>
      </c>
      <c r="L666" s="36">
        <f t="shared" si="338"/>
        <v>26.729588855935386</v>
      </c>
      <c r="M666" s="36">
        <f t="shared" si="339"/>
        <v>77.314982682198007</v>
      </c>
    </row>
    <row r="667" spans="1:13" ht="25.5">
      <c r="A667" s="60" t="s">
        <v>66</v>
      </c>
      <c r="B667" s="29" t="s">
        <v>283</v>
      </c>
      <c r="C667" s="29" t="s">
        <v>46</v>
      </c>
      <c r="D667" s="29" t="s">
        <v>46</v>
      </c>
      <c r="E667" s="30" t="s">
        <v>1137</v>
      </c>
      <c r="F667" s="29">
        <v>240</v>
      </c>
      <c r="G667" s="36"/>
      <c r="H667" s="36">
        <f>1776.0376+758.48324</f>
        <v>2534.5208400000001</v>
      </c>
      <c r="I667" s="36">
        <v>876.24284</v>
      </c>
      <c r="J667" s="36">
        <v>876.24284</v>
      </c>
      <c r="K667" s="36">
        <f>677.467</f>
        <v>677.46699999999998</v>
      </c>
      <c r="L667" s="36">
        <f t="shared" si="338"/>
        <v>26.729588855935386</v>
      </c>
      <c r="M667" s="36">
        <f t="shared" si="339"/>
        <v>77.314982682198007</v>
      </c>
    </row>
    <row r="668" spans="1:13" ht="63.75">
      <c r="A668" s="60" t="s">
        <v>156</v>
      </c>
      <c r="B668" s="29" t="s">
        <v>283</v>
      </c>
      <c r="C668" s="29" t="s">
        <v>46</v>
      </c>
      <c r="D668" s="29" t="s">
        <v>46</v>
      </c>
      <c r="E668" s="29" t="s">
        <v>157</v>
      </c>
      <c r="F668" s="59" t="s">
        <v>0</v>
      </c>
      <c r="G668" s="36">
        <f>G669</f>
        <v>4667.1000000000004</v>
      </c>
      <c r="H668" s="36">
        <f t="shared" ref="H668:K671" si="342">H669</f>
        <v>4667.1000000000004</v>
      </c>
      <c r="I668" s="36">
        <f t="shared" si="342"/>
        <v>2283.8302899999999</v>
      </c>
      <c r="J668" s="36">
        <f t="shared" si="342"/>
        <v>2283.8302899999999</v>
      </c>
      <c r="K668" s="36">
        <f t="shared" si="342"/>
        <v>2283.8302899999999</v>
      </c>
      <c r="L668" s="36">
        <f t="shared" si="300"/>
        <v>48.934676565747459</v>
      </c>
      <c r="M668" s="36">
        <f t="shared" si="301"/>
        <v>100</v>
      </c>
    </row>
    <row r="669" spans="1:13">
      <c r="A669" s="60" t="s">
        <v>158</v>
      </c>
      <c r="B669" s="29" t="s">
        <v>283</v>
      </c>
      <c r="C669" s="29" t="s">
        <v>46</v>
      </c>
      <c r="D669" s="29" t="s">
        <v>46</v>
      </c>
      <c r="E669" s="29" t="s">
        <v>159</v>
      </c>
      <c r="F669" s="59" t="s">
        <v>0</v>
      </c>
      <c r="G669" s="36">
        <f>G670</f>
        <v>4667.1000000000004</v>
      </c>
      <c r="H669" s="36">
        <f t="shared" si="342"/>
        <v>4667.1000000000004</v>
      </c>
      <c r="I669" s="36">
        <f t="shared" si="342"/>
        <v>2283.8302899999999</v>
      </c>
      <c r="J669" s="36">
        <f t="shared" si="342"/>
        <v>2283.8302899999999</v>
      </c>
      <c r="K669" s="36">
        <f t="shared" si="342"/>
        <v>2283.8302899999999</v>
      </c>
      <c r="L669" s="36">
        <f t="shared" si="300"/>
        <v>48.934676565747459</v>
      </c>
      <c r="M669" s="36">
        <f t="shared" si="301"/>
        <v>100</v>
      </c>
    </row>
    <row r="670" spans="1:13">
      <c r="A670" s="60" t="s">
        <v>303</v>
      </c>
      <c r="B670" s="29" t="s">
        <v>283</v>
      </c>
      <c r="C670" s="29" t="s">
        <v>46</v>
      </c>
      <c r="D670" s="29" t="s">
        <v>46</v>
      </c>
      <c r="E670" s="29" t="s">
        <v>344</v>
      </c>
      <c r="F670" s="59" t="s">
        <v>0</v>
      </c>
      <c r="G670" s="36">
        <f>G671</f>
        <v>4667.1000000000004</v>
      </c>
      <c r="H670" s="36">
        <f t="shared" si="342"/>
        <v>4667.1000000000004</v>
      </c>
      <c r="I670" s="36">
        <f t="shared" si="342"/>
        <v>2283.8302899999999</v>
      </c>
      <c r="J670" s="36">
        <f t="shared" si="342"/>
        <v>2283.8302899999999</v>
      </c>
      <c r="K670" s="36">
        <f t="shared" si="342"/>
        <v>2283.8302899999999</v>
      </c>
      <c r="L670" s="36">
        <f t="shared" ref="L670:L748" si="343">K670/H670*100</f>
        <v>48.934676565747459</v>
      </c>
      <c r="M670" s="36">
        <f t="shared" ref="M670:M748" si="344">K670/I670*100</f>
        <v>100</v>
      </c>
    </row>
    <row r="671" spans="1:13" ht="25.5">
      <c r="A671" s="60" t="s">
        <v>80</v>
      </c>
      <c r="B671" s="29" t="s">
        <v>283</v>
      </c>
      <c r="C671" s="29" t="s">
        <v>46</v>
      </c>
      <c r="D671" s="29" t="s">
        <v>46</v>
      </c>
      <c r="E671" s="29" t="s">
        <v>344</v>
      </c>
      <c r="F671" s="29" t="s">
        <v>81</v>
      </c>
      <c r="G671" s="36">
        <f>G672</f>
        <v>4667.1000000000004</v>
      </c>
      <c r="H671" s="36">
        <f t="shared" si="342"/>
        <v>4667.1000000000004</v>
      </c>
      <c r="I671" s="36">
        <f t="shared" si="342"/>
        <v>2283.8302899999999</v>
      </c>
      <c r="J671" s="36">
        <f t="shared" si="342"/>
        <v>2283.8302899999999</v>
      </c>
      <c r="K671" s="36">
        <f t="shared" si="342"/>
        <v>2283.8302899999999</v>
      </c>
      <c r="L671" s="36">
        <f t="shared" si="343"/>
        <v>48.934676565747459</v>
      </c>
      <c r="M671" s="36">
        <f t="shared" si="344"/>
        <v>100</v>
      </c>
    </row>
    <row r="672" spans="1:13">
      <c r="A672" s="60" t="s">
        <v>271</v>
      </c>
      <c r="B672" s="29" t="s">
        <v>283</v>
      </c>
      <c r="C672" s="29" t="s">
        <v>46</v>
      </c>
      <c r="D672" s="29" t="s">
        <v>46</v>
      </c>
      <c r="E672" s="29" t="s">
        <v>344</v>
      </c>
      <c r="F672" s="29" t="s">
        <v>272</v>
      </c>
      <c r="G672" s="36">
        <v>4667.1000000000004</v>
      </c>
      <c r="H672" s="36">
        <v>4667.1000000000004</v>
      </c>
      <c r="I672" s="36">
        <v>2283.8302899999999</v>
      </c>
      <c r="J672" s="36">
        <v>2283.8302899999999</v>
      </c>
      <c r="K672" s="36">
        <v>2283.8302899999999</v>
      </c>
      <c r="L672" s="36">
        <f t="shared" si="343"/>
        <v>48.934676565747459</v>
      </c>
      <c r="M672" s="36">
        <f t="shared" si="344"/>
        <v>100</v>
      </c>
    </row>
    <row r="673" spans="1:13" ht="25.5">
      <c r="A673" s="60" t="s">
        <v>142</v>
      </c>
      <c r="B673" s="29" t="s">
        <v>283</v>
      </c>
      <c r="C673" s="29" t="s">
        <v>46</v>
      </c>
      <c r="D673" s="29" t="s">
        <v>46</v>
      </c>
      <c r="E673" s="29" t="s">
        <v>143</v>
      </c>
      <c r="F673" s="59" t="s">
        <v>0</v>
      </c>
      <c r="G673" s="36">
        <f>G674</f>
        <v>2710</v>
      </c>
      <c r="H673" s="36">
        <f t="shared" ref="H673:K673" si="345">H674</f>
        <v>2710</v>
      </c>
      <c r="I673" s="36">
        <f t="shared" si="345"/>
        <v>400</v>
      </c>
      <c r="J673" s="36">
        <f t="shared" si="345"/>
        <v>400</v>
      </c>
      <c r="K673" s="36">
        <f t="shared" si="345"/>
        <v>400</v>
      </c>
      <c r="L673" s="36">
        <f t="shared" si="343"/>
        <v>14.760147601476014</v>
      </c>
      <c r="M673" s="36">
        <f t="shared" si="344"/>
        <v>100</v>
      </c>
    </row>
    <row r="674" spans="1:13">
      <c r="A674" s="60" t="s">
        <v>303</v>
      </c>
      <c r="B674" s="29" t="s">
        <v>283</v>
      </c>
      <c r="C674" s="29" t="s">
        <v>46</v>
      </c>
      <c r="D674" s="29" t="s">
        <v>46</v>
      </c>
      <c r="E674" s="29" t="s">
        <v>345</v>
      </c>
      <c r="F674" s="59" t="s">
        <v>0</v>
      </c>
      <c r="G674" s="36">
        <f>G675+G677</f>
        <v>2710</v>
      </c>
      <c r="H674" s="36">
        <f t="shared" ref="H674:K674" si="346">H675+H677</f>
        <v>2710</v>
      </c>
      <c r="I674" s="36">
        <f t="shared" si="346"/>
        <v>400</v>
      </c>
      <c r="J674" s="36">
        <f t="shared" si="346"/>
        <v>400</v>
      </c>
      <c r="K674" s="36">
        <f t="shared" si="346"/>
        <v>400</v>
      </c>
      <c r="L674" s="36">
        <f t="shared" si="343"/>
        <v>14.760147601476014</v>
      </c>
      <c r="M674" s="36">
        <f t="shared" si="344"/>
        <v>100</v>
      </c>
    </row>
    <row r="675" spans="1:13">
      <c r="A675" s="60" t="s">
        <v>68</v>
      </c>
      <c r="B675" s="29" t="s">
        <v>283</v>
      </c>
      <c r="C675" s="29" t="s">
        <v>46</v>
      </c>
      <c r="D675" s="29" t="s">
        <v>46</v>
      </c>
      <c r="E675" s="29" t="s">
        <v>345</v>
      </c>
      <c r="F675" s="29" t="s">
        <v>69</v>
      </c>
      <c r="G675" s="36">
        <f>G676</f>
        <v>1750</v>
      </c>
      <c r="H675" s="36">
        <f t="shared" ref="H675:K675" si="347">H676</f>
        <v>1750</v>
      </c>
      <c r="I675" s="36">
        <f t="shared" si="347"/>
        <v>0</v>
      </c>
      <c r="J675" s="36">
        <f t="shared" si="347"/>
        <v>0</v>
      </c>
      <c r="K675" s="36">
        <f t="shared" si="347"/>
        <v>0</v>
      </c>
      <c r="L675" s="36">
        <f t="shared" si="343"/>
        <v>0</v>
      </c>
      <c r="M675" s="36">
        <v>0</v>
      </c>
    </row>
    <row r="676" spans="1:13">
      <c r="A676" s="60" t="s">
        <v>70</v>
      </c>
      <c r="B676" s="29" t="s">
        <v>283</v>
      </c>
      <c r="C676" s="29" t="s">
        <v>46</v>
      </c>
      <c r="D676" s="29" t="s">
        <v>46</v>
      </c>
      <c r="E676" s="29" t="s">
        <v>345</v>
      </c>
      <c r="F676" s="29" t="s">
        <v>71</v>
      </c>
      <c r="G676" s="36">
        <v>1750</v>
      </c>
      <c r="H676" s="36">
        <v>1750</v>
      </c>
      <c r="I676" s="36">
        <v>0</v>
      </c>
      <c r="J676" s="36">
        <v>0</v>
      </c>
      <c r="K676" s="36">
        <v>0</v>
      </c>
      <c r="L676" s="36">
        <f t="shared" si="343"/>
        <v>0</v>
      </c>
      <c r="M676" s="36">
        <v>0</v>
      </c>
    </row>
    <row r="677" spans="1:13" ht="25.5">
      <c r="A677" s="60" t="s">
        <v>80</v>
      </c>
      <c r="B677" s="29" t="s">
        <v>283</v>
      </c>
      <c r="C677" s="29" t="s">
        <v>46</v>
      </c>
      <c r="D677" s="29" t="s">
        <v>46</v>
      </c>
      <c r="E677" s="29" t="s">
        <v>345</v>
      </c>
      <c r="F677" s="29" t="s">
        <v>81</v>
      </c>
      <c r="G677" s="36">
        <f>G678</f>
        <v>960</v>
      </c>
      <c r="H677" s="36">
        <f t="shared" ref="H677:K677" si="348">H678</f>
        <v>960</v>
      </c>
      <c r="I677" s="36">
        <f t="shared" si="348"/>
        <v>400</v>
      </c>
      <c r="J677" s="36">
        <f t="shared" si="348"/>
        <v>400</v>
      </c>
      <c r="K677" s="36">
        <f t="shared" si="348"/>
        <v>400</v>
      </c>
      <c r="L677" s="36">
        <f t="shared" si="343"/>
        <v>41.666666666666671</v>
      </c>
      <c r="M677" s="36">
        <f t="shared" si="344"/>
        <v>100</v>
      </c>
    </row>
    <row r="678" spans="1:13" ht="17.25" customHeight="1">
      <c r="A678" s="60" t="s">
        <v>271</v>
      </c>
      <c r="B678" s="29" t="s">
        <v>283</v>
      </c>
      <c r="C678" s="29" t="s">
        <v>46</v>
      </c>
      <c r="D678" s="29" t="s">
        <v>46</v>
      </c>
      <c r="E678" s="29" t="s">
        <v>345</v>
      </c>
      <c r="F678" s="29" t="s">
        <v>272</v>
      </c>
      <c r="G678" s="36">
        <v>960</v>
      </c>
      <c r="H678" s="36">
        <v>960</v>
      </c>
      <c r="I678" s="36">
        <v>400</v>
      </c>
      <c r="J678" s="36">
        <v>400</v>
      </c>
      <c r="K678" s="36">
        <v>400</v>
      </c>
      <c r="L678" s="36">
        <f t="shared" ref="L678:L682" si="349">K678/H678*100</f>
        <v>41.666666666666671</v>
      </c>
      <c r="M678" s="36">
        <f t="shared" ref="M678:M682" si="350">K678/I678*100</f>
        <v>100</v>
      </c>
    </row>
    <row r="679" spans="1:13" ht="17.25" customHeight="1">
      <c r="A679" s="63" t="s">
        <v>612</v>
      </c>
      <c r="B679" s="29" t="s">
        <v>283</v>
      </c>
      <c r="C679" s="29" t="s">
        <v>46</v>
      </c>
      <c r="D679" s="29" t="s">
        <v>46</v>
      </c>
      <c r="E679" s="30" t="s">
        <v>613</v>
      </c>
      <c r="F679" s="29"/>
      <c r="G679" s="36"/>
      <c r="H679" s="36">
        <f>H680</f>
        <v>5298.0839999999998</v>
      </c>
      <c r="I679" s="36">
        <f t="shared" ref="I679:K681" si="351">I680</f>
        <v>5298.0839999999998</v>
      </c>
      <c r="J679" s="36">
        <f t="shared" si="351"/>
        <v>5298.0839999999998</v>
      </c>
      <c r="K679" s="36">
        <f t="shared" si="351"/>
        <v>0</v>
      </c>
      <c r="L679" s="36">
        <f t="shared" si="349"/>
        <v>0</v>
      </c>
      <c r="M679" s="36">
        <f t="shared" si="350"/>
        <v>0</v>
      </c>
    </row>
    <row r="680" spans="1:13" ht="17.25" customHeight="1">
      <c r="A680" s="60" t="s">
        <v>612</v>
      </c>
      <c r="B680" s="29" t="s">
        <v>283</v>
      </c>
      <c r="C680" s="29" t="s">
        <v>46</v>
      </c>
      <c r="D680" s="29" t="s">
        <v>46</v>
      </c>
      <c r="E680" s="30" t="s">
        <v>614</v>
      </c>
      <c r="F680" s="29"/>
      <c r="G680" s="36"/>
      <c r="H680" s="36">
        <f>H681</f>
        <v>5298.0839999999998</v>
      </c>
      <c r="I680" s="36">
        <f t="shared" si="351"/>
        <v>5298.0839999999998</v>
      </c>
      <c r="J680" s="36">
        <f t="shared" si="351"/>
        <v>5298.0839999999998</v>
      </c>
      <c r="K680" s="36">
        <f t="shared" si="351"/>
        <v>0</v>
      </c>
      <c r="L680" s="36">
        <f t="shared" si="349"/>
        <v>0</v>
      </c>
      <c r="M680" s="36">
        <f t="shared" si="350"/>
        <v>0</v>
      </c>
    </row>
    <row r="681" spans="1:13" ht="25.5">
      <c r="A681" s="60" t="s">
        <v>64</v>
      </c>
      <c r="B681" s="29" t="s">
        <v>283</v>
      </c>
      <c r="C681" s="29" t="s">
        <v>46</v>
      </c>
      <c r="D681" s="29" t="s">
        <v>46</v>
      </c>
      <c r="E681" s="30" t="s">
        <v>614</v>
      </c>
      <c r="F681" s="29">
        <v>200</v>
      </c>
      <c r="G681" s="36"/>
      <c r="H681" s="36">
        <f>H682</f>
        <v>5298.0839999999998</v>
      </c>
      <c r="I681" s="36">
        <f t="shared" si="351"/>
        <v>5298.0839999999998</v>
      </c>
      <c r="J681" s="36">
        <f t="shared" si="351"/>
        <v>5298.0839999999998</v>
      </c>
      <c r="K681" s="36">
        <f t="shared" si="351"/>
        <v>0</v>
      </c>
      <c r="L681" s="36">
        <f t="shared" si="349"/>
        <v>0</v>
      </c>
      <c r="M681" s="36">
        <f t="shared" si="350"/>
        <v>0</v>
      </c>
    </row>
    <row r="682" spans="1:13" ht="25.5">
      <c r="A682" s="60" t="s">
        <v>66</v>
      </c>
      <c r="B682" s="29" t="s">
        <v>283</v>
      </c>
      <c r="C682" s="29" t="s">
        <v>46</v>
      </c>
      <c r="D682" s="29" t="s">
        <v>46</v>
      </c>
      <c r="E682" s="30" t="s">
        <v>614</v>
      </c>
      <c r="F682" s="29">
        <v>240</v>
      </c>
      <c r="G682" s="67" t="s">
        <v>0</v>
      </c>
      <c r="H682" s="36">
        <v>5298.0839999999998</v>
      </c>
      <c r="I682" s="36">
        <v>5298.0839999999998</v>
      </c>
      <c r="J682" s="36">
        <v>5298.0839999999998</v>
      </c>
      <c r="K682" s="36">
        <v>0</v>
      </c>
      <c r="L682" s="36">
        <f t="shared" si="349"/>
        <v>0</v>
      </c>
      <c r="M682" s="36">
        <f t="shared" si="350"/>
        <v>0</v>
      </c>
    </row>
    <row r="683" spans="1:13">
      <c r="A683" s="65"/>
      <c r="B683" s="29"/>
      <c r="C683" s="29"/>
      <c r="D683" s="29"/>
      <c r="E683" s="59"/>
      <c r="F683" s="59"/>
      <c r="G683" s="67"/>
      <c r="H683" s="67"/>
      <c r="I683" s="67"/>
      <c r="J683" s="67"/>
      <c r="K683" s="67"/>
      <c r="L683" s="67"/>
      <c r="M683" s="67"/>
    </row>
    <row r="684" spans="1:13" ht="25.5">
      <c r="A684" s="57" t="s">
        <v>346</v>
      </c>
      <c r="B684" s="58" t="s">
        <v>347</v>
      </c>
      <c r="C684" s="59" t="s">
        <v>0</v>
      </c>
      <c r="D684" s="59" t="s">
        <v>0</v>
      </c>
      <c r="E684" s="59" t="s">
        <v>0</v>
      </c>
      <c r="F684" s="59" t="s">
        <v>0</v>
      </c>
      <c r="G684" s="31">
        <f>G692+G705+G727+G685</f>
        <v>763493.5</v>
      </c>
      <c r="H684" s="31">
        <f t="shared" ref="H684:K684" si="352">H692+H705+H727+H685</f>
        <v>829485.37913000013</v>
      </c>
      <c r="I684" s="31">
        <f t="shared" si="352"/>
        <v>443874.33351000003</v>
      </c>
      <c r="J684" s="31">
        <f t="shared" si="352"/>
        <v>443874.33351000003</v>
      </c>
      <c r="K684" s="31">
        <f t="shared" si="352"/>
        <v>442314.33961000002</v>
      </c>
      <c r="L684" s="31">
        <f t="shared" si="343"/>
        <v>53.323946477985942</v>
      </c>
      <c r="M684" s="31">
        <f t="shared" si="344"/>
        <v>99.648550550858815</v>
      </c>
    </row>
    <row r="685" spans="1:13">
      <c r="A685" s="63" t="s">
        <v>16</v>
      </c>
      <c r="B685" s="30" t="s">
        <v>347</v>
      </c>
      <c r="C685" s="72" t="s">
        <v>17</v>
      </c>
      <c r="D685" s="59"/>
      <c r="E685" s="59"/>
      <c r="F685" s="59"/>
      <c r="G685" s="37">
        <f>G686</f>
        <v>0</v>
      </c>
      <c r="H685" s="37">
        <f t="shared" ref="H685:K689" si="353">H686</f>
        <v>34013.9</v>
      </c>
      <c r="I685" s="37">
        <f t="shared" si="353"/>
        <v>16558.900000000001</v>
      </c>
      <c r="J685" s="37">
        <f t="shared" si="353"/>
        <v>16558.900000000001</v>
      </c>
      <c r="K685" s="37">
        <f t="shared" si="353"/>
        <v>16558.900000000001</v>
      </c>
      <c r="L685" s="36">
        <f t="shared" ref="L685:L690" si="354">K685/H685*100</f>
        <v>48.682744407433432</v>
      </c>
      <c r="M685" s="36">
        <f t="shared" ref="M685:M690" si="355">K685/I685*100</f>
        <v>100</v>
      </c>
    </row>
    <row r="686" spans="1:13">
      <c r="A686" s="63" t="s">
        <v>386</v>
      </c>
      <c r="B686" s="30" t="s">
        <v>347</v>
      </c>
      <c r="C686" s="29" t="s">
        <v>17</v>
      </c>
      <c r="D686" s="29">
        <v>13</v>
      </c>
      <c r="E686" s="59"/>
      <c r="F686" s="59"/>
      <c r="G686" s="37">
        <f>G687</f>
        <v>0</v>
      </c>
      <c r="H686" s="37">
        <f t="shared" si="353"/>
        <v>34013.9</v>
      </c>
      <c r="I686" s="37">
        <f t="shared" si="353"/>
        <v>16558.900000000001</v>
      </c>
      <c r="J686" s="37">
        <f t="shared" si="353"/>
        <v>16558.900000000001</v>
      </c>
      <c r="K686" s="37">
        <f t="shared" si="353"/>
        <v>16558.900000000001</v>
      </c>
      <c r="L686" s="36">
        <f t="shared" si="354"/>
        <v>48.682744407433432</v>
      </c>
      <c r="M686" s="36">
        <f t="shared" si="355"/>
        <v>100</v>
      </c>
    </row>
    <row r="687" spans="1:13" ht="25.5">
      <c r="A687" s="60" t="s">
        <v>47</v>
      </c>
      <c r="B687" s="30" t="s">
        <v>347</v>
      </c>
      <c r="C687" s="29" t="s">
        <v>17</v>
      </c>
      <c r="D687" s="29">
        <v>13</v>
      </c>
      <c r="E687" s="29" t="s">
        <v>48</v>
      </c>
      <c r="F687" s="59"/>
      <c r="G687" s="31"/>
      <c r="H687" s="37">
        <f>H688</f>
        <v>34013.9</v>
      </c>
      <c r="I687" s="37">
        <f t="shared" si="353"/>
        <v>16558.900000000001</v>
      </c>
      <c r="J687" s="37">
        <f t="shared" si="353"/>
        <v>16558.900000000001</v>
      </c>
      <c r="K687" s="37">
        <f t="shared" si="353"/>
        <v>16558.900000000001</v>
      </c>
      <c r="L687" s="36">
        <f t="shared" si="354"/>
        <v>48.682744407433432</v>
      </c>
      <c r="M687" s="36">
        <f t="shared" si="355"/>
        <v>100</v>
      </c>
    </row>
    <row r="688" spans="1:13" ht="25.5">
      <c r="A688" s="60" t="s">
        <v>76</v>
      </c>
      <c r="B688" s="30" t="s">
        <v>347</v>
      </c>
      <c r="C688" s="29" t="s">
        <v>17</v>
      </c>
      <c r="D688" s="29">
        <v>13</v>
      </c>
      <c r="E688" s="29" t="s">
        <v>121</v>
      </c>
      <c r="F688" s="59"/>
      <c r="G688" s="31"/>
      <c r="H688" s="37">
        <f>H689</f>
        <v>34013.9</v>
      </c>
      <c r="I688" s="37">
        <f t="shared" si="353"/>
        <v>16558.900000000001</v>
      </c>
      <c r="J688" s="37">
        <f t="shared" si="353"/>
        <v>16558.900000000001</v>
      </c>
      <c r="K688" s="37">
        <f t="shared" si="353"/>
        <v>16558.900000000001</v>
      </c>
      <c r="L688" s="36">
        <f t="shared" si="354"/>
        <v>48.682744407433432</v>
      </c>
      <c r="M688" s="36">
        <f t="shared" si="355"/>
        <v>100</v>
      </c>
    </row>
    <row r="689" spans="1:13" ht="25.5">
      <c r="A689" s="60" t="s">
        <v>80</v>
      </c>
      <c r="B689" s="30" t="s">
        <v>347</v>
      </c>
      <c r="C689" s="29" t="s">
        <v>17</v>
      </c>
      <c r="D689" s="29">
        <v>13</v>
      </c>
      <c r="E689" s="29" t="s">
        <v>121</v>
      </c>
      <c r="F689" s="29">
        <v>600</v>
      </c>
      <c r="G689" s="31"/>
      <c r="H689" s="37">
        <f>H690</f>
        <v>34013.9</v>
      </c>
      <c r="I689" s="37">
        <f t="shared" si="353"/>
        <v>16558.900000000001</v>
      </c>
      <c r="J689" s="37">
        <f t="shared" si="353"/>
        <v>16558.900000000001</v>
      </c>
      <c r="K689" s="37">
        <f t="shared" si="353"/>
        <v>16558.900000000001</v>
      </c>
      <c r="L689" s="36">
        <f t="shared" si="354"/>
        <v>48.682744407433432</v>
      </c>
      <c r="M689" s="36">
        <f t="shared" si="355"/>
        <v>100</v>
      </c>
    </row>
    <row r="690" spans="1:13">
      <c r="A690" s="60" t="s">
        <v>271</v>
      </c>
      <c r="B690" s="30" t="s">
        <v>347</v>
      </c>
      <c r="C690" s="72" t="s">
        <v>17</v>
      </c>
      <c r="D690" s="59">
        <v>13</v>
      </c>
      <c r="E690" s="73" t="s">
        <v>121</v>
      </c>
      <c r="F690" s="29">
        <v>610</v>
      </c>
      <c r="G690" s="31"/>
      <c r="H690" s="37">
        <v>34013.9</v>
      </c>
      <c r="I690" s="37">
        <v>16558.900000000001</v>
      </c>
      <c r="J690" s="37">
        <v>16558.900000000001</v>
      </c>
      <c r="K690" s="37">
        <v>16558.900000000001</v>
      </c>
      <c r="L690" s="36">
        <f t="shared" si="354"/>
        <v>48.682744407433432</v>
      </c>
      <c r="M690" s="36">
        <f t="shared" si="355"/>
        <v>100</v>
      </c>
    </row>
    <row r="691" spans="1:13">
      <c r="A691" s="60"/>
      <c r="B691" s="30"/>
      <c r="C691" s="72"/>
      <c r="D691" s="59"/>
      <c r="E691" s="73"/>
      <c r="F691" s="29"/>
      <c r="G691" s="31"/>
      <c r="H691" s="37"/>
      <c r="I691" s="31"/>
      <c r="J691" s="31"/>
      <c r="K691" s="31"/>
      <c r="L691" s="36"/>
      <c r="M691" s="36"/>
    </row>
    <row r="692" spans="1:13">
      <c r="A692" s="60" t="s">
        <v>30</v>
      </c>
      <c r="B692" s="29" t="s">
        <v>347</v>
      </c>
      <c r="C692" s="29" t="s">
        <v>19</v>
      </c>
      <c r="D692" s="59" t="s">
        <v>0</v>
      </c>
      <c r="E692" s="59" t="s">
        <v>0</v>
      </c>
      <c r="F692" s="59" t="s">
        <v>0</v>
      </c>
      <c r="G692" s="36">
        <f>G693</f>
        <v>9547.9</v>
      </c>
      <c r="H692" s="36">
        <f t="shared" ref="H692:K693" si="356">H693</f>
        <v>9547.9</v>
      </c>
      <c r="I692" s="36">
        <f t="shared" si="356"/>
        <v>3551.7</v>
      </c>
      <c r="J692" s="36">
        <f t="shared" si="356"/>
        <v>3551.7</v>
      </c>
      <c r="K692" s="36">
        <f t="shared" si="356"/>
        <v>3551.7</v>
      </c>
      <c r="L692" s="36">
        <f t="shared" si="343"/>
        <v>37.19875574733711</v>
      </c>
      <c r="M692" s="36">
        <f t="shared" si="344"/>
        <v>100</v>
      </c>
    </row>
    <row r="693" spans="1:13">
      <c r="A693" s="60" t="s">
        <v>50</v>
      </c>
      <c r="B693" s="29" t="s">
        <v>347</v>
      </c>
      <c r="C693" s="29" t="s">
        <v>19</v>
      </c>
      <c r="D693" s="29" t="s">
        <v>51</v>
      </c>
      <c r="E693" s="59" t="s">
        <v>0</v>
      </c>
      <c r="F693" s="59" t="s">
        <v>0</v>
      </c>
      <c r="G693" s="36">
        <f>G694</f>
        <v>9547.9</v>
      </c>
      <c r="H693" s="36">
        <f t="shared" si="356"/>
        <v>9547.9</v>
      </c>
      <c r="I693" s="36">
        <f t="shared" si="356"/>
        <v>3551.7</v>
      </c>
      <c r="J693" s="36">
        <f t="shared" si="356"/>
        <v>3551.7</v>
      </c>
      <c r="K693" s="36">
        <f t="shared" si="356"/>
        <v>3551.7</v>
      </c>
      <c r="L693" s="36">
        <f t="shared" si="343"/>
        <v>37.19875574733711</v>
      </c>
      <c r="M693" s="36">
        <f t="shared" si="344"/>
        <v>100</v>
      </c>
    </row>
    <row r="694" spans="1:13" ht="25.5">
      <c r="A694" s="60" t="s">
        <v>47</v>
      </c>
      <c r="B694" s="29" t="s">
        <v>347</v>
      </c>
      <c r="C694" s="29" t="s">
        <v>19</v>
      </c>
      <c r="D694" s="29" t="s">
        <v>51</v>
      </c>
      <c r="E694" s="29" t="s">
        <v>48</v>
      </c>
      <c r="F694" s="59" t="s">
        <v>0</v>
      </c>
      <c r="G694" s="36">
        <f>G695+G698+G701</f>
        <v>9547.9</v>
      </c>
      <c r="H694" s="36">
        <f t="shared" ref="H694:K694" si="357">H695+H698+H701</f>
        <v>9547.9</v>
      </c>
      <c r="I694" s="36">
        <f t="shared" si="357"/>
        <v>3551.7</v>
      </c>
      <c r="J694" s="36">
        <f t="shared" si="357"/>
        <v>3551.7</v>
      </c>
      <c r="K694" s="36">
        <f t="shared" si="357"/>
        <v>3551.7</v>
      </c>
      <c r="L694" s="36">
        <f t="shared" si="343"/>
        <v>37.19875574733711</v>
      </c>
      <c r="M694" s="36">
        <f t="shared" si="344"/>
        <v>100</v>
      </c>
    </row>
    <row r="695" spans="1:13" ht="25.5">
      <c r="A695" s="60" t="s">
        <v>76</v>
      </c>
      <c r="B695" s="29" t="s">
        <v>347</v>
      </c>
      <c r="C695" s="29" t="s">
        <v>19</v>
      </c>
      <c r="D695" s="29" t="s">
        <v>51</v>
      </c>
      <c r="E695" s="29" t="s">
        <v>121</v>
      </c>
      <c r="F695" s="59" t="s">
        <v>0</v>
      </c>
      <c r="G695" s="36">
        <f>G696</f>
        <v>6047.9</v>
      </c>
      <c r="H695" s="36">
        <f t="shared" ref="H695:K696" si="358">H696</f>
        <v>6047.9</v>
      </c>
      <c r="I695" s="36">
        <f t="shared" si="358"/>
        <v>3551.7</v>
      </c>
      <c r="J695" s="36">
        <f t="shared" si="358"/>
        <v>3551.7</v>
      </c>
      <c r="K695" s="36">
        <f t="shared" si="358"/>
        <v>3551.7</v>
      </c>
      <c r="L695" s="36">
        <f t="shared" si="343"/>
        <v>58.726169414176823</v>
      </c>
      <c r="M695" s="36">
        <f t="shared" si="344"/>
        <v>100</v>
      </c>
    </row>
    <row r="696" spans="1:13" ht="25.5">
      <c r="A696" s="60" t="s">
        <v>80</v>
      </c>
      <c r="B696" s="29" t="s">
        <v>347</v>
      </c>
      <c r="C696" s="29" t="s">
        <v>19</v>
      </c>
      <c r="D696" s="29" t="s">
        <v>51</v>
      </c>
      <c r="E696" s="29" t="s">
        <v>121</v>
      </c>
      <c r="F696" s="29" t="s">
        <v>81</v>
      </c>
      <c r="G696" s="36">
        <f>G697</f>
        <v>6047.9</v>
      </c>
      <c r="H696" s="36">
        <f t="shared" si="358"/>
        <v>6047.9</v>
      </c>
      <c r="I696" s="36">
        <f t="shared" si="358"/>
        <v>3551.7</v>
      </c>
      <c r="J696" s="36">
        <f t="shared" si="358"/>
        <v>3551.7</v>
      </c>
      <c r="K696" s="36">
        <f t="shared" si="358"/>
        <v>3551.7</v>
      </c>
      <c r="L696" s="36">
        <f t="shared" si="343"/>
        <v>58.726169414176823</v>
      </c>
      <c r="M696" s="36">
        <f t="shared" si="344"/>
        <v>100</v>
      </c>
    </row>
    <row r="697" spans="1:13">
      <c r="A697" s="60" t="s">
        <v>271</v>
      </c>
      <c r="B697" s="29" t="s">
        <v>347</v>
      </c>
      <c r="C697" s="29" t="s">
        <v>19</v>
      </c>
      <c r="D697" s="29" t="s">
        <v>51</v>
      </c>
      <c r="E697" s="29" t="s">
        <v>121</v>
      </c>
      <c r="F697" s="29" t="s">
        <v>272</v>
      </c>
      <c r="G697" s="36">
        <v>6047.9</v>
      </c>
      <c r="H697" s="36">
        <v>6047.9</v>
      </c>
      <c r="I697" s="36">
        <v>3551.7</v>
      </c>
      <c r="J697" s="36">
        <v>3551.7</v>
      </c>
      <c r="K697" s="36">
        <v>3551.7</v>
      </c>
      <c r="L697" s="36">
        <f t="shared" si="343"/>
        <v>58.726169414176823</v>
      </c>
      <c r="M697" s="36">
        <f t="shared" si="344"/>
        <v>100</v>
      </c>
    </row>
    <row r="698" spans="1:13" ht="25.5">
      <c r="A698" s="60" t="s">
        <v>348</v>
      </c>
      <c r="B698" s="29" t="s">
        <v>347</v>
      </c>
      <c r="C698" s="29" t="s">
        <v>19</v>
      </c>
      <c r="D698" s="29" t="s">
        <v>51</v>
      </c>
      <c r="E698" s="29" t="s">
        <v>349</v>
      </c>
      <c r="F698" s="59" t="s">
        <v>0</v>
      </c>
      <c r="G698" s="36">
        <f>G699</f>
        <v>3000</v>
      </c>
      <c r="H698" s="36">
        <f t="shared" ref="H698:K699" si="359">H699</f>
        <v>3000</v>
      </c>
      <c r="I698" s="36">
        <f t="shared" si="359"/>
        <v>0</v>
      </c>
      <c r="J698" s="36">
        <f t="shared" si="359"/>
        <v>0</v>
      </c>
      <c r="K698" s="36">
        <f t="shared" si="359"/>
        <v>0</v>
      </c>
      <c r="L698" s="36">
        <f t="shared" si="343"/>
        <v>0</v>
      </c>
      <c r="M698" s="36">
        <v>0</v>
      </c>
    </row>
    <row r="699" spans="1:13">
      <c r="A699" s="60" t="s">
        <v>26</v>
      </c>
      <c r="B699" s="29" t="s">
        <v>347</v>
      </c>
      <c r="C699" s="29" t="s">
        <v>19</v>
      </c>
      <c r="D699" s="29" t="s">
        <v>51</v>
      </c>
      <c r="E699" s="29" t="s">
        <v>349</v>
      </c>
      <c r="F699" s="29" t="s">
        <v>27</v>
      </c>
      <c r="G699" s="36">
        <f>G700</f>
        <v>3000</v>
      </c>
      <c r="H699" s="36">
        <f t="shared" si="359"/>
        <v>3000</v>
      </c>
      <c r="I699" s="36">
        <f t="shared" si="359"/>
        <v>0</v>
      </c>
      <c r="J699" s="36">
        <f t="shared" si="359"/>
        <v>0</v>
      </c>
      <c r="K699" s="36">
        <f t="shared" si="359"/>
        <v>0</v>
      </c>
      <c r="L699" s="36">
        <f t="shared" si="343"/>
        <v>0</v>
      </c>
      <c r="M699" s="36">
        <v>0</v>
      </c>
    </row>
    <row r="700" spans="1:13">
      <c r="A700" s="60" t="s">
        <v>56</v>
      </c>
      <c r="B700" s="29" t="s">
        <v>347</v>
      </c>
      <c r="C700" s="29" t="s">
        <v>19</v>
      </c>
      <c r="D700" s="29" t="s">
        <v>51</v>
      </c>
      <c r="E700" s="29" t="s">
        <v>349</v>
      </c>
      <c r="F700" s="29" t="s">
        <v>57</v>
      </c>
      <c r="G700" s="36">
        <v>3000</v>
      </c>
      <c r="H700" s="36">
        <v>3000</v>
      </c>
      <c r="I700" s="36">
        <v>0</v>
      </c>
      <c r="J700" s="36">
        <v>0</v>
      </c>
      <c r="K700" s="36">
        <v>0</v>
      </c>
      <c r="L700" s="36">
        <f t="shared" si="343"/>
        <v>0</v>
      </c>
      <c r="M700" s="36">
        <v>0</v>
      </c>
    </row>
    <row r="701" spans="1:13" ht="25.5">
      <c r="A701" s="60" t="s">
        <v>350</v>
      </c>
      <c r="B701" s="29" t="s">
        <v>347</v>
      </c>
      <c r="C701" s="29" t="s">
        <v>19</v>
      </c>
      <c r="D701" s="29" t="s">
        <v>51</v>
      </c>
      <c r="E701" s="29" t="s">
        <v>351</v>
      </c>
      <c r="F701" s="59" t="s">
        <v>0</v>
      </c>
      <c r="G701" s="36">
        <f>G702</f>
        <v>500</v>
      </c>
      <c r="H701" s="36">
        <f t="shared" ref="H701:K702" si="360">H702</f>
        <v>500</v>
      </c>
      <c r="I701" s="36">
        <f t="shared" si="360"/>
        <v>0</v>
      </c>
      <c r="J701" s="36">
        <f t="shared" si="360"/>
        <v>0</v>
      </c>
      <c r="K701" s="36">
        <f t="shared" si="360"/>
        <v>0</v>
      </c>
      <c r="L701" s="36">
        <f t="shared" si="343"/>
        <v>0</v>
      </c>
      <c r="M701" s="36">
        <v>0</v>
      </c>
    </row>
    <row r="702" spans="1:13">
      <c r="A702" s="60" t="s">
        <v>26</v>
      </c>
      <c r="B702" s="29" t="s">
        <v>347</v>
      </c>
      <c r="C702" s="29" t="s">
        <v>19</v>
      </c>
      <c r="D702" s="29" t="s">
        <v>51</v>
      </c>
      <c r="E702" s="29" t="s">
        <v>351</v>
      </c>
      <c r="F702" s="29" t="s">
        <v>27</v>
      </c>
      <c r="G702" s="36">
        <f>G703</f>
        <v>500</v>
      </c>
      <c r="H702" s="36">
        <f t="shared" si="360"/>
        <v>500</v>
      </c>
      <c r="I702" s="36">
        <f t="shared" si="360"/>
        <v>0</v>
      </c>
      <c r="J702" s="36">
        <f t="shared" si="360"/>
        <v>0</v>
      </c>
      <c r="K702" s="36">
        <f t="shared" si="360"/>
        <v>0</v>
      </c>
      <c r="L702" s="36">
        <f t="shared" si="343"/>
        <v>0</v>
      </c>
      <c r="M702" s="36">
        <v>0</v>
      </c>
    </row>
    <row r="703" spans="1:13">
      <c r="A703" s="60" t="s">
        <v>352</v>
      </c>
      <c r="B703" s="29" t="s">
        <v>347</v>
      </c>
      <c r="C703" s="29" t="s">
        <v>19</v>
      </c>
      <c r="D703" s="29" t="s">
        <v>51</v>
      </c>
      <c r="E703" s="29" t="s">
        <v>351</v>
      </c>
      <c r="F703" s="29" t="s">
        <v>353</v>
      </c>
      <c r="G703" s="36">
        <v>500</v>
      </c>
      <c r="H703" s="36">
        <v>500</v>
      </c>
      <c r="I703" s="36">
        <v>0</v>
      </c>
      <c r="J703" s="36">
        <v>0</v>
      </c>
      <c r="K703" s="36">
        <v>0</v>
      </c>
      <c r="L703" s="36">
        <f t="shared" si="343"/>
        <v>0</v>
      </c>
      <c r="M703" s="36">
        <v>0</v>
      </c>
    </row>
    <row r="704" spans="1:13">
      <c r="A704" s="61" t="s">
        <v>0</v>
      </c>
      <c r="B704" s="59" t="s">
        <v>0</v>
      </c>
      <c r="C704" s="59" t="s">
        <v>0</v>
      </c>
      <c r="D704" s="59" t="s">
        <v>0</v>
      </c>
      <c r="E704" s="59" t="s">
        <v>0</v>
      </c>
      <c r="F704" s="59" t="s">
        <v>0</v>
      </c>
      <c r="G704" s="62" t="s">
        <v>0</v>
      </c>
      <c r="H704" s="62" t="s">
        <v>0</v>
      </c>
      <c r="I704" s="62" t="s">
        <v>0</v>
      </c>
      <c r="J704" s="62" t="s">
        <v>0</v>
      </c>
      <c r="K704" s="62" t="s">
        <v>0</v>
      </c>
      <c r="L704" s="62"/>
      <c r="M704" s="62"/>
    </row>
    <row r="705" spans="1:13">
      <c r="A705" s="60" t="s">
        <v>109</v>
      </c>
      <c r="B705" s="29" t="s">
        <v>347</v>
      </c>
      <c r="C705" s="29" t="s">
        <v>110</v>
      </c>
      <c r="D705" s="59" t="s">
        <v>0</v>
      </c>
      <c r="E705" s="59" t="s">
        <v>0</v>
      </c>
      <c r="F705" s="59" t="s">
        <v>0</v>
      </c>
      <c r="G705" s="36">
        <f>G706+G721</f>
        <v>134664.4</v>
      </c>
      <c r="H705" s="36">
        <f t="shared" ref="H705:K705" si="361">H706+H721</f>
        <v>135309.39212999999</v>
      </c>
      <c r="I705" s="36">
        <f t="shared" si="361"/>
        <v>82448.233130000008</v>
      </c>
      <c r="J705" s="36">
        <f t="shared" si="361"/>
        <v>82448.233130000008</v>
      </c>
      <c r="K705" s="36">
        <f t="shared" si="361"/>
        <v>82045.677920000002</v>
      </c>
      <c r="L705" s="36">
        <f t="shared" si="343"/>
        <v>60.635611932373259</v>
      </c>
      <c r="M705" s="36">
        <f t="shared" si="344"/>
        <v>99.511747923857527</v>
      </c>
    </row>
    <row r="706" spans="1:13">
      <c r="A706" s="60" t="s">
        <v>119</v>
      </c>
      <c r="B706" s="29" t="s">
        <v>347</v>
      </c>
      <c r="C706" s="29" t="s">
        <v>110</v>
      </c>
      <c r="D706" s="29" t="s">
        <v>106</v>
      </c>
      <c r="E706" s="59" t="s">
        <v>0</v>
      </c>
      <c r="F706" s="59" t="s">
        <v>0</v>
      </c>
      <c r="G706" s="36">
        <f>G707</f>
        <v>29214.400000000001</v>
      </c>
      <c r="H706" s="36">
        <f>H707+H717</f>
        <v>30009.39213</v>
      </c>
      <c r="I706" s="36">
        <f t="shared" ref="I706:K706" si="362">I707+I717</f>
        <v>18088.733130000001</v>
      </c>
      <c r="J706" s="36">
        <f t="shared" si="362"/>
        <v>18088.733130000001</v>
      </c>
      <c r="K706" s="36">
        <f t="shared" si="362"/>
        <v>17686.177920000002</v>
      </c>
      <c r="L706" s="36">
        <f t="shared" si="343"/>
        <v>58.935475411777361</v>
      </c>
      <c r="M706" s="36">
        <f t="shared" si="344"/>
        <v>97.774552772121098</v>
      </c>
    </row>
    <row r="707" spans="1:13" ht="25.5">
      <c r="A707" s="60" t="s">
        <v>47</v>
      </c>
      <c r="B707" s="29" t="s">
        <v>347</v>
      </c>
      <c r="C707" s="29" t="s">
        <v>110</v>
      </c>
      <c r="D707" s="29" t="s">
        <v>106</v>
      </c>
      <c r="E707" s="29" t="s">
        <v>48</v>
      </c>
      <c r="F707" s="59" t="s">
        <v>0</v>
      </c>
      <c r="G707" s="36">
        <f>G708+G711+G714</f>
        <v>29214.400000000001</v>
      </c>
      <c r="H707" s="36">
        <f t="shared" ref="H707:K707" si="363">H708+H711+H714</f>
        <v>29764.39213</v>
      </c>
      <c r="I707" s="36">
        <f t="shared" si="363"/>
        <v>17843.733130000001</v>
      </c>
      <c r="J707" s="36">
        <f t="shared" si="363"/>
        <v>17843.733130000001</v>
      </c>
      <c r="K707" s="36">
        <f t="shared" si="363"/>
        <v>17441.177920000002</v>
      </c>
      <c r="L707" s="36">
        <f t="shared" si="343"/>
        <v>58.597460495155765</v>
      </c>
      <c r="M707" s="36">
        <f t="shared" si="344"/>
        <v>97.743996690226226</v>
      </c>
    </row>
    <row r="708" spans="1:13" ht="25.5">
      <c r="A708" s="60" t="s">
        <v>354</v>
      </c>
      <c r="B708" s="29" t="s">
        <v>347</v>
      </c>
      <c r="C708" s="29" t="s">
        <v>110</v>
      </c>
      <c r="D708" s="29" t="s">
        <v>106</v>
      </c>
      <c r="E708" s="29" t="s">
        <v>355</v>
      </c>
      <c r="F708" s="59" t="s">
        <v>0</v>
      </c>
      <c r="G708" s="36">
        <f>G709</f>
        <v>780.4</v>
      </c>
      <c r="H708" s="36">
        <f t="shared" ref="H708:K709" si="364">H709</f>
        <v>780.39212999999995</v>
      </c>
      <c r="I708" s="36">
        <f t="shared" si="364"/>
        <v>780.39212999999995</v>
      </c>
      <c r="J708" s="36">
        <f t="shared" si="364"/>
        <v>780.39212999999995</v>
      </c>
      <c r="K708" s="36">
        <f t="shared" si="364"/>
        <v>377.83692000000002</v>
      </c>
      <c r="L708" s="36">
        <f t="shared" si="343"/>
        <v>48.4162904103095</v>
      </c>
      <c r="M708" s="36">
        <f t="shared" si="344"/>
        <v>48.4162904103095</v>
      </c>
    </row>
    <row r="709" spans="1:13">
      <c r="A709" s="60" t="s">
        <v>26</v>
      </c>
      <c r="B709" s="29" t="s">
        <v>347</v>
      </c>
      <c r="C709" s="29" t="s">
        <v>110</v>
      </c>
      <c r="D709" s="29" t="s">
        <v>106</v>
      </c>
      <c r="E709" s="29" t="s">
        <v>355</v>
      </c>
      <c r="F709" s="29" t="s">
        <v>27</v>
      </c>
      <c r="G709" s="36">
        <f>G710</f>
        <v>780.4</v>
      </c>
      <c r="H709" s="36">
        <f t="shared" si="364"/>
        <v>780.39212999999995</v>
      </c>
      <c r="I709" s="36">
        <f t="shared" si="364"/>
        <v>780.39212999999995</v>
      </c>
      <c r="J709" s="36">
        <f t="shared" si="364"/>
        <v>780.39212999999995</v>
      </c>
      <c r="K709" s="36">
        <f t="shared" si="364"/>
        <v>377.83692000000002</v>
      </c>
      <c r="L709" s="36">
        <f t="shared" si="343"/>
        <v>48.4162904103095</v>
      </c>
      <c r="M709" s="36">
        <f t="shared" si="344"/>
        <v>48.4162904103095</v>
      </c>
    </row>
    <row r="710" spans="1:13">
      <c r="A710" s="60" t="s">
        <v>56</v>
      </c>
      <c r="B710" s="29" t="s">
        <v>347</v>
      </c>
      <c r="C710" s="29" t="s">
        <v>110</v>
      </c>
      <c r="D710" s="29" t="s">
        <v>106</v>
      </c>
      <c r="E710" s="29" t="s">
        <v>355</v>
      </c>
      <c r="F710" s="29" t="s">
        <v>57</v>
      </c>
      <c r="G710" s="36">
        <v>780.4</v>
      </c>
      <c r="H710" s="36">
        <v>780.39212999999995</v>
      </c>
      <c r="I710" s="36">
        <v>780.39212999999995</v>
      </c>
      <c r="J710" s="36">
        <v>780.39212999999995</v>
      </c>
      <c r="K710" s="36">
        <v>377.83692000000002</v>
      </c>
      <c r="L710" s="36">
        <f t="shared" si="343"/>
        <v>48.4162904103095</v>
      </c>
      <c r="M710" s="36">
        <f t="shared" si="344"/>
        <v>48.4162904103095</v>
      </c>
    </row>
    <row r="711" spans="1:13" ht="25.5">
      <c r="A711" s="60" t="s">
        <v>76</v>
      </c>
      <c r="B711" s="29" t="s">
        <v>347</v>
      </c>
      <c r="C711" s="29" t="s">
        <v>110</v>
      </c>
      <c r="D711" s="29" t="s">
        <v>106</v>
      </c>
      <c r="E711" s="29" t="s">
        <v>121</v>
      </c>
      <c r="F711" s="59" t="s">
        <v>0</v>
      </c>
      <c r="G711" s="36">
        <f>G712</f>
        <v>28141.7</v>
      </c>
      <c r="H711" s="36">
        <f t="shared" ref="H711:K712" si="365">H712</f>
        <v>28691.7</v>
      </c>
      <c r="I711" s="36">
        <f t="shared" si="365"/>
        <v>16771.041000000001</v>
      </c>
      <c r="J711" s="36">
        <f t="shared" si="365"/>
        <v>16771.041000000001</v>
      </c>
      <c r="K711" s="36">
        <f t="shared" si="365"/>
        <v>16771.041000000001</v>
      </c>
      <c r="L711" s="36">
        <f t="shared" si="343"/>
        <v>58.452587333619135</v>
      </c>
      <c r="M711" s="36">
        <f t="shared" si="344"/>
        <v>100</v>
      </c>
    </row>
    <row r="712" spans="1:13" ht="25.5">
      <c r="A712" s="60" t="s">
        <v>80</v>
      </c>
      <c r="B712" s="29" t="s">
        <v>347</v>
      </c>
      <c r="C712" s="29" t="s">
        <v>110</v>
      </c>
      <c r="D712" s="29" t="s">
        <v>106</v>
      </c>
      <c r="E712" s="29" t="s">
        <v>121</v>
      </c>
      <c r="F712" s="29" t="s">
        <v>81</v>
      </c>
      <c r="G712" s="36">
        <f>G713</f>
        <v>28141.7</v>
      </c>
      <c r="H712" s="36">
        <f t="shared" si="365"/>
        <v>28691.7</v>
      </c>
      <c r="I712" s="36">
        <f t="shared" si="365"/>
        <v>16771.041000000001</v>
      </c>
      <c r="J712" s="36">
        <f t="shared" si="365"/>
        <v>16771.041000000001</v>
      </c>
      <c r="K712" s="36">
        <f t="shared" si="365"/>
        <v>16771.041000000001</v>
      </c>
      <c r="L712" s="36">
        <f t="shared" si="343"/>
        <v>58.452587333619135</v>
      </c>
      <c r="M712" s="36">
        <f t="shared" si="344"/>
        <v>100</v>
      </c>
    </row>
    <row r="713" spans="1:13">
      <c r="A713" s="60" t="s">
        <v>271</v>
      </c>
      <c r="B713" s="29" t="s">
        <v>347</v>
      </c>
      <c r="C713" s="29" t="s">
        <v>110</v>
      </c>
      <c r="D713" s="29" t="s">
        <v>106</v>
      </c>
      <c r="E713" s="29" t="s">
        <v>121</v>
      </c>
      <c r="F713" s="29" t="s">
        <v>272</v>
      </c>
      <c r="G713" s="36">
        <v>28141.7</v>
      </c>
      <c r="H713" s="36">
        <v>28691.7</v>
      </c>
      <c r="I713" s="36">
        <v>16771.041000000001</v>
      </c>
      <c r="J713" s="36">
        <v>16771.041000000001</v>
      </c>
      <c r="K713" s="36">
        <v>16771.041000000001</v>
      </c>
      <c r="L713" s="36">
        <f t="shared" si="343"/>
        <v>58.452587333619135</v>
      </c>
      <c r="M713" s="36">
        <f t="shared" si="344"/>
        <v>100</v>
      </c>
    </row>
    <row r="714" spans="1:13" ht="38.25">
      <c r="A714" s="60" t="s">
        <v>132</v>
      </c>
      <c r="B714" s="29" t="s">
        <v>347</v>
      </c>
      <c r="C714" s="29" t="s">
        <v>110</v>
      </c>
      <c r="D714" s="29" t="s">
        <v>106</v>
      </c>
      <c r="E714" s="29" t="s">
        <v>133</v>
      </c>
      <c r="F714" s="59" t="s">
        <v>0</v>
      </c>
      <c r="G714" s="36">
        <f>G715</f>
        <v>292.3</v>
      </c>
      <c r="H714" s="36">
        <f t="shared" ref="H714:K715" si="366">H715</f>
        <v>292.3</v>
      </c>
      <c r="I714" s="36">
        <f t="shared" si="366"/>
        <v>292.3</v>
      </c>
      <c r="J714" s="36">
        <f t="shared" si="366"/>
        <v>292.3</v>
      </c>
      <c r="K714" s="36">
        <f t="shared" si="366"/>
        <v>292.3</v>
      </c>
      <c r="L714" s="36">
        <f t="shared" si="343"/>
        <v>100</v>
      </c>
      <c r="M714" s="36">
        <f t="shared" si="344"/>
        <v>100</v>
      </c>
    </row>
    <row r="715" spans="1:13" ht="25.5">
      <c r="A715" s="60" t="s">
        <v>80</v>
      </c>
      <c r="B715" s="29" t="s">
        <v>347</v>
      </c>
      <c r="C715" s="29" t="s">
        <v>110</v>
      </c>
      <c r="D715" s="29" t="s">
        <v>106</v>
      </c>
      <c r="E715" s="29" t="s">
        <v>133</v>
      </c>
      <c r="F715" s="29" t="s">
        <v>81</v>
      </c>
      <c r="G715" s="36">
        <f>G716</f>
        <v>292.3</v>
      </c>
      <c r="H715" s="36">
        <f t="shared" si="366"/>
        <v>292.3</v>
      </c>
      <c r="I715" s="36">
        <f t="shared" si="366"/>
        <v>292.3</v>
      </c>
      <c r="J715" s="36">
        <f t="shared" si="366"/>
        <v>292.3</v>
      </c>
      <c r="K715" s="36">
        <f t="shared" si="366"/>
        <v>292.3</v>
      </c>
      <c r="L715" s="36">
        <f t="shared" si="343"/>
        <v>100</v>
      </c>
      <c r="M715" s="36">
        <f t="shared" si="344"/>
        <v>100</v>
      </c>
    </row>
    <row r="716" spans="1:13">
      <c r="A716" s="60" t="s">
        <v>271</v>
      </c>
      <c r="B716" s="29" t="s">
        <v>347</v>
      </c>
      <c r="C716" s="29" t="s">
        <v>110</v>
      </c>
      <c r="D716" s="29" t="s">
        <v>106</v>
      </c>
      <c r="E716" s="29" t="s">
        <v>133</v>
      </c>
      <c r="F716" s="29" t="s">
        <v>272</v>
      </c>
      <c r="G716" s="36">
        <v>292.3</v>
      </c>
      <c r="H716" s="36">
        <v>292.3</v>
      </c>
      <c r="I716" s="36">
        <v>292.3</v>
      </c>
      <c r="J716" s="36">
        <v>292.3</v>
      </c>
      <c r="K716" s="36">
        <v>292.3</v>
      </c>
      <c r="L716" s="36">
        <f t="shared" si="343"/>
        <v>100</v>
      </c>
      <c r="M716" s="36">
        <f t="shared" si="344"/>
        <v>100</v>
      </c>
    </row>
    <row r="717" spans="1:13">
      <c r="A717" s="63" t="s">
        <v>612</v>
      </c>
      <c r="B717" s="29" t="s">
        <v>347</v>
      </c>
      <c r="C717" s="29" t="s">
        <v>110</v>
      </c>
      <c r="D717" s="29" t="s">
        <v>106</v>
      </c>
      <c r="E717" s="30" t="s">
        <v>613</v>
      </c>
      <c r="F717" s="29"/>
      <c r="G717" s="36"/>
      <c r="H717" s="36">
        <f>H718</f>
        <v>245</v>
      </c>
      <c r="I717" s="36">
        <f t="shared" ref="I717:K719" si="367">I718</f>
        <v>245</v>
      </c>
      <c r="J717" s="36">
        <f t="shared" si="367"/>
        <v>245</v>
      </c>
      <c r="K717" s="36">
        <f t="shared" si="367"/>
        <v>245</v>
      </c>
      <c r="L717" s="36">
        <f t="shared" ref="L717:L720" si="368">K717/H717*100</f>
        <v>100</v>
      </c>
      <c r="M717" s="36">
        <f t="shared" ref="M717:M720" si="369">K717/I717*100</f>
        <v>100</v>
      </c>
    </row>
    <row r="718" spans="1:13">
      <c r="A718" s="63" t="s">
        <v>612</v>
      </c>
      <c r="B718" s="29" t="s">
        <v>347</v>
      </c>
      <c r="C718" s="29" t="s">
        <v>110</v>
      </c>
      <c r="D718" s="29" t="s">
        <v>106</v>
      </c>
      <c r="E718" s="30" t="s">
        <v>614</v>
      </c>
      <c r="F718" s="29"/>
      <c r="G718" s="36"/>
      <c r="H718" s="36">
        <f>H719</f>
        <v>245</v>
      </c>
      <c r="I718" s="36">
        <f t="shared" si="367"/>
        <v>245</v>
      </c>
      <c r="J718" s="36">
        <f t="shared" si="367"/>
        <v>245</v>
      </c>
      <c r="K718" s="36">
        <f t="shared" si="367"/>
        <v>245</v>
      </c>
      <c r="L718" s="36">
        <f t="shared" si="368"/>
        <v>100</v>
      </c>
      <c r="M718" s="36">
        <f t="shared" si="369"/>
        <v>100</v>
      </c>
    </row>
    <row r="719" spans="1:13">
      <c r="A719" s="60" t="s">
        <v>26</v>
      </c>
      <c r="B719" s="29" t="s">
        <v>347</v>
      </c>
      <c r="C719" s="29" t="s">
        <v>110</v>
      </c>
      <c r="D719" s="29" t="s">
        <v>106</v>
      </c>
      <c r="E719" s="30" t="s">
        <v>614</v>
      </c>
      <c r="F719" s="29">
        <v>500</v>
      </c>
      <c r="G719" s="36"/>
      <c r="H719" s="36">
        <f>H720</f>
        <v>245</v>
      </c>
      <c r="I719" s="36">
        <f t="shared" si="367"/>
        <v>245</v>
      </c>
      <c r="J719" s="36">
        <f t="shared" si="367"/>
        <v>245</v>
      </c>
      <c r="K719" s="36">
        <f t="shared" si="367"/>
        <v>245</v>
      </c>
      <c r="L719" s="36">
        <f t="shared" si="368"/>
        <v>100</v>
      </c>
      <c r="M719" s="36">
        <f t="shared" si="369"/>
        <v>100</v>
      </c>
    </row>
    <row r="720" spans="1:13">
      <c r="A720" s="60" t="s">
        <v>352</v>
      </c>
      <c r="B720" s="29" t="s">
        <v>347</v>
      </c>
      <c r="C720" s="29" t="s">
        <v>110</v>
      </c>
      <c r="D720" s="29" t="s">
        <v>106</v>
      </c>
      <c r="E720" s="30" t="s">
        <v>614</v>
      </c>
      <c r="F720" s="29">
        <v>540</v>
      </c>
      <c r="G720" s="36"/>
      <c r="H720" s="36">
        <v>245</v>
      </c>
      <c r="I720" s="36">
        <v>245</v>
      </c>
      <c r="J720" s="36">
        <v>245</v>
      </c>
      <c r="K720" s="36">
        <v>245</v>
      </c>
      <c r="L720" s="36">
        <f t="shared" si="368"/>
        <v>100</v>
      </c>
      <c r="M720" s="36">
        <f t="shared" si="369"/>
        <v>100</v>
      </c>
    </row>
    <row r="721" spans="1:13">
      <c r="A721" s="60" t="s">
        <v>127</v>
      </c>
      <c r="B721" s="29" t="s">
        <v>347</v>
      </c>
      <c r="C721" s="29" t="s">
        <v>110</v>
      </c>
      <c r="D721" s="29" t="s">
        <v>19</v>
      </c>
      <c r="E721" s="59" t="s">
        <v>0</v>
      </c>
      <c r="F721" s="59" t="s">
        <v>0</v>
      </c>
      <c r="G721" s="36">
        <f>G722</f>
        <v>105450</v>
      </c>
      <c r="H721" s="36">
        <f t="shared" ref="H721:K724" si="370">H722</f>
        <v>105300</v>
      </c>
      <c r="I721" s="36">
        <f t="shared" si="370"/>
        <v>64359.5</v>
      </c>
      <c r="J721" s="36">
        <f t="shared" si="370"/>
        <v>64359.5</v>
      </c>
      <c r="K721" s="36">
        <f t="shared" si="370"/>
        <v>64359.5</v>
      </c>
      <c r="L721" s="36">
        <f t="shared" si="343"/>
        <v>61.120132953466289</v>
      </c>
      <c r="M721" s="36">
        <f t="shared" si="344"/>
        <v>100</v>
      </c>
    </row>
    <row r="722" spans="1:13" ht="25.5">
      <c r="A722" s="60" t="s">
        <v>47</v>
      </c>
      <c r="B722" s="29" t="s">
        <v>347</v>
      </c>
      <c r="C722" s="29" t="s">
        <v>110</v>
      </c>
      <c r="D722" s="29" t="s">
        <v>19</v>
      </c>
      <c r="E722" s="29" t="s">
        <v>48</v>
      </c>
      <c r="F722" s="59" t="s">
        <v>0</v>
      </c>
      <c r="G722" s="36">
        <f>G723</f>
        <v>105450</v>
      </c>
      <c r="H722" s="36">
        <f t="shared" si="370"/>
        <v>105300</v>
      </c>
      <c r="I722" s="36">
        <f t="shared" si="370"/>
        <v>64359.5</v>
      </c>
      <c r="J722" s="36">
        <f t="shared" si="370"/>
        <v>64359.5</v>
      </c>
      <c r="K722" s="36">
        <f t="shared" si="370"/>
        <v>64359.5</v>
      </c>
      <c r="L722" s="36">
        <f t="shared" si="343"/>
        <v>61.120132953466289</v>
      </c>
      <c r="M722" s="36">
        <f t="shared" si="344"/>
        <v>100</v>
      </c>
    </row>
    <row r="723" spans="1:13" ht="25.5">
      <c r="A723" s="60" t="s">
        <v>76</v>
      </c>
      <c r="B723" s="29" t="s">
        <v>347</v>
      </c>
      <c r="C723" s="29" t="s">
        <v>110</v>
      </c>
      <c r="D723" s="29" t="s">
        <v>19</v>
      </c>
      <c r="E723" s="29" t="s">
        <v>121</v>
      </c>
      <c r="F723" s="59" t="s">
        <v>0</v>
      </c>
      <c r="G723" s="36">
        <f>G724</f>
        <v>105450</v>
      </c>
      <c r="H723" s="36">
        <f t="shared" si="370"/>
        <v>105300</v>
      </c>
      <c r="I723" s="36">
        <f t="shared" si="370"/>
        <v>64359.5</v>
      </c>
      <c r="J723" s="36">
        <f t="shared" si="370"/>
        <v>64359.5</v>
      </c>
      <c r="K723" s="36">
        <f t="shared" si="370"/>
        <v>64359.5</v>
      </c>
      <c r="L723" s="36">
        <f t="shared" si="343"/>
        <v>61.120132953466289</v>
      </c>
      <c r="M723" s="36">
        <f t="shared" si="344"/>
        <v>100</v>
      </c>
    </row>
    <row r="724" spans="1:13" ht="25.5">
      <c r="A724" s="60" t="s">
        <v>80</v>
      </c>
      <c r="B724" s="29" t="s">
        <v>347</v>
      </c>
      <c r="C724" s="29" t="s">
        <v>110</v>
      </c>
      <c r="D724" s="29" t="s">
        <v>19</v>
      </c>
      <c r="E724" s="29" t="s">
        <v>121</v>
      </c>
      <c r="F724" s="29" t="s">
        <v>81</v>
      </c>
      <c r="G724" s="36">
        <f>G725</f>
        <v>105450</v>
      </c>
      <c r="H724" s="36">
        <f t="shared" si="370"/>
        <v>105300</v>
      </c>
      <c r="I724" s="36">
        <f t="shared" si="370"/>
        <v>64359.5</v>
      </c>
      <c r="J724" s="36">
        <f t="shared" si="370"/>
        <v>64359.5</v>
      </c>
      <c r="K724" s="36">
        <f t="shared" si="370"/>
        <v>64359.5</v>
      </c>
      <c r="L724" s="36">
        <f t="shared" si="343"/>
        <v>61.120132953466289</v>
      </c>
      <c r="M724" s="36">
        <f t="shared" si="344"/>
        <v>100</v>
      </c>
    </row>
    <row r="725" spans="1:13">
      <c r="A725" s="60" t="s">
        <v>271</v>
      </c>
      <c r="B725" s="29" t="s">
        <v>347</v>
      </c>
      <c r="C725" s="29" t="s">
        <v>110</v>
      </c>
      <c r="D725" s="29" t="s">
        <v>19</v>
      </c>
      <c r="E725" s="29" t="s">
        <v>121</v>
      </c>
      <c r="F725" s="29" t="s">
        <v>272</v>
      </c>
      <c r="G725" s="36">
        <v>105450</v>
      </c>
      <c r="H725" s="36">
        <v>105300</v>
      </c>
      <c r="I725" s="36">
        <v>64359.5</v>
      </c>
      <c r="J725" s="36">
        <v>64359.5</v>
      </c>
      <c r="K725" s="36">
        <v>64359.5</v>
      </c>
      <c r="L725" s="36">
        <f t="shared" si="343"/>
        <v>61.120132953466289</v>
      </c>
      <c r="M725" s="36">
        <f t="shared" si="344"/>
        <v>100</v>
      </c>
    </row>
    <row r="726" spans="1:13">
      <c r="A726" s="61" t="s">
        <v>0</v>
      </c>
      <c r="B726" s="59" t="s">
        <v>0</v>
      </c>
      <c r="C726" s="59" t="s">
        <v>0</v>
      </c>
      <c r="D726" s="59" t="s">
        <v>0</v>
      </c>
      <c r="E726" s="59" t="s">
        <v>0</v>
      </c>
      <c r="F726" s="59" t="s">
        <v>0</v>
      </c>
      <c r="G726" s="62" t="s">
        <v>0</v>
      </c>
      <c r="H726" s="62" t="s">
        <v>0</v>
      </c>
      <c r="I726" s="62" t="s">
        <v>0</v>
      </c>
      <c r="J726" s="62" t="s">
        <v>0</v>
      </c>
      <c r="K726" s="62" t="s">
        <v>0</v>
      </c>
      <c r="L726" s="62"/>
      <c r="M726" s="62"/>
    </row>
    <row r="727" spans="1:13">
      <c r="A727" s="60" t="s">
        <v>129</v>
      </c>
      <c r="B727" s="29" t="s">
        <v>347</v>
      </c>
      <c r="C727" s="29" t="s">
        <v>130</v>
      </c>
      <c r="D727" s="59" t="s">
        <v>0</v>
      </c>
      <c r="E727" s="59" t="s">
        <v>0</v>
      </c>
      <c r="F727" s="59" t="s">
        <v>0</v>
      </c>
      <c r="G727" s="36">
        <f>G728+G778</f>
        <v>619281.20000000007</v>
      </c>
      <c r="H727" s="36">
        <f t="shared" ref="H727:K727" si="371">H728+H778</f>
        <v>650614.18700000015</v>
      </c>
      <c r="I727" s="36">
        <f t="shared" si="371"/>
        <v>341315.50037999998</v>
      </c>
      <c r="J727" s="36">
        <f t="shared" si="371"/>
        <v>341315.50037999998</v>
      </c>
      <c r="K727" s="36">
        <f t="shared" si="371"/>
        <v>340158.06169</v>
      </c>
      <c r="L727" s="36">
        <f t="shared" si="343"/>
        <v>52.282607494078505</v>
      </c>
      <c r="M727" s="36">
        <f t="shared" si="344"/>
        <v>99.660888916937154</v>
      </c>
    </row>
    <row r="728" spans="1:13">
      <c r="A728" s="60" t="s">
        <v>131</v>
      </c>
      <c r="B728" s="29" t="s">
        <v>347</v>
      </c>
      <c r="C728" s="29" t="s">
        <v>130</v>
      </c>
      <c r="D728" s="29" t="s">
        <v>17</v>
      </c>
      <c r="E728" s="59" t="s">
        <v>0</v>
      </c>
      <c r="F728" s="59" t="s">
        <v>0</v>
      </c>
      <c r="G728" s="36">
        <f>G729+G737+G768</f>
        <v>579898.80000000005</v>
      </c>
      <c r="H728" s="36">
        <f>H729+H737+H768+H772</f>
        <v>602985.18700000015</v>
      </c>
      <c r="I728" s="36">
        <f t="shared" ref="I728:K728" si="372">I729+I737+I768+I772</f>
        <v>319000.40539999999</v>
      </c>
      <c r="J728" s="36">
        <f t="shared" si="372"/>
        <v>319000.40539999999</v>
      </c>
      <c r="K728" s="36">
        <f t="shared" si="372"/>
        <v>318043.98540000001</v>
      </c>
      <c r="L728" s="36">
        <f t="shared" si="343"/>
        <v>52.744908541177807</v>
      </c>
      <c r="M728" s="36">
        <f t="shared" si="344"/>
        <v>99.700182199204193</v>
      </c>
    </row>
    <row r="729" spans="1:13" ht="38.25">
      <c r="A729" s="60" t="s">
        <v>299</v>
      </c>
      <c r="B729" s="29" t="s">
        <v>347</v>
      </c>
      <c r="C729" s="29" t="s">
        <v>130</v>
      </c>
      <c r="D729" s="29" t="s">
        <v>17</v>
      </c>
      <c r="E729" s="29" t="s">
        <v>300</v>
      </c>
      <c r="F729" s="59" t="s">
        <v>0</v>
      </c>
      <c r="G729" s="36">
        <f>G730</f>
        <v>1145.4000000000001</v>
      </c>
      <c r="H729" s="36">
        <f t="shared" ref="H729:K729" si="373">H730</f>
        <v>1145.4000000000001</v>
      </c>
      <c r="I729" s="36">
        <f t="shared" si="373"/>
        <v>0</v>
      </c>
      <c r="J729" s="36">
        <f t="shared" si="373"/>
        <v>0</v>
      </c>
      <c r="K729" s="36">
        <f t="shared" si="373"/>
        <v>0</v>
      </c>
      <c r="L729" s="36">
        <f t="shared" si="343"/>
        <v>0</v>
      </c>
      <c r="M729" s="36">
        <v>0</v>
      </c>
    </row>
    <row r="730" spans="1:13">
      <c r="A730" s="60" t="s">
        <v>301</v>
      </c>
      <c r="B730" s="29" t="s">
        <v>347</v>
      </c>
      <c r="C730" s="29" t="s">
        <v>130</v>
      </c>
      <c r="D730" s="29" t="s">
        <v>17</v>
      </c>
      <c r="E730" s="29" t="s">
        <v>302</v>
      </c>
      <c r="F730" s="59" t="s">
        <v>0</v>
      </c>
      <c r="G730" s="36">
        <f>G731+G734</f>
        <v>1145.4000000000001</v>
      </c>
      <c r="H730" s="36">
        <f t="shared" ref="H730:K730" si="374">H731+H734</f>
        <v>1145.4000000000001</v>
      </c>
      <c r="I730" s="36">
        <f t="shared" si="374"/>
        <v>0</v>
      </c>
      <c r="J730" s="36">
        <f t="shared" si="374"/>
        <v>0</v>
      </c>
      <c r="K730" s="36">
        <f t="shared" si="374"/>
        <v>0</v>
      </c>
      <c r="L730" s="36">
        <f t="shared" si="343"/>
        <v>0</v>
      </c>
      <c r="M730" s="36">
        <v>0</v>
      </c>
    </row>
    <row r="731" spans="1:13" ht="25.5">
      <c r="A731" s="60" t="s">
        <v>76</v>
      </c>
      <c r="B731" s="29" t="s">
        <v>347</v>
      </c>
      <c r="C731" s="29" t="s">
        <v>130</v>
      </c>
      <c r="D731" s="29" t="s">
        <v>17</v>
      </c>
      <c r="E731" s="29" t="s">
        <v>356</v>
      </c>
      <c r="F731" s="59" t="s">
        <v>0</v>
      </c>
      <c r="G731" s="36">
        <f>G732</f>
        <v>300</v>
      </c>
      <c r="H731" s="36">
        <f t="shared" ref="H731:K732" si="375">H732</f>
        <v>300</v>
      </c>
      <c r="I731" s="36">
        <f t="shared" si="375"/>
        <v>0</v>
      </c>
      <c r="J731" s="36">
        <f t="shared" si="375"/>
        <v>0</v>
      </c>
      <c r="K731" s="36">
        <f t="shared" si="375"/>
        <v>0</v>
      </c>
      <c r="L731" s="36">
        <f t="shared" si="343"/>
        <v>0</v>
      </c>
      <c r="M731" s="36">
        <v>0</v>
      </c>
    </row>
    <row r="732" spans="1:13" ht="25.5">
      <c r="A732" s="60" t="s">
        <v>80</v>
      </c>
      <c r="B732" s="29" t="s">
        <v>347</v>
      </c>
      <c r="C732" s="29" t="s">
        <v>130</v>
      </c>
      <c r="D732" s="29" t="s">
        <v>17</v>
      </c>
      <c r="E732" s="29" t="s">
        <v>356</v>
      </c>
      <c r="F732" s="29" t="s">
        <v>81</v>
      </c>
      <c r="G732" s="36">
        <f>G733</f>
        <v>300</v>
      </c>
      <c r="H732" s="36">
        <f t="shared" si="375"/>
        <v>300</v>
      </c>
      <c r="I732" s="36">
        <f t="shared" si="375"/>
        <v>0</v>
      </c>
      <c r="J732" s="36">
        <f t="shared" si="375"/>
        <v>0</v>
      </c>
      <c r="K732" s="36">
        <f t="shared" si="375"/>
        <v>0</v>
      </c>
      <c r="L732" s="36">
        <f t="shared" si="343"/>
        <v>0</v>
      </c>
      <c r="M732" s="36">
        <v>0</v>
      </c>
    </row>
    <row r="733" spans="1:13">
      <c r="A733" s="60" t="s">
        <v>271</v>
      </c>
      <c r="B733" s="29" t="s">
        <v>347</v>
      </c>
      <c r="C733" s="29" t="s">
        <v>130</v>
      </c>
      <c r="D733" s="29" t="s">
        <v>17</v>
      </c>
      <c r="E733" s="29" t="s">
        <v>356</v>
      </c>
      <c r="F733" s="29" t="s">
        <v>272</v>
      </c>
      <c r="G733" s="36">
        <v>300</v>
      </c>
      <c r="H733" s="36">
        <v>300</v>
      </c>
      <c r="I733" s="36">
        <v>0</v>
      </c>
      <c r="J733" s="36">
        <v>0</v>
      </c>
      <c r="K733" s="36">
        <v>0</v>
      </c>
      <c r="L733" s="36">
        <f t="shared" si="343"/>
        <v>0</v>
      </c>
      <c r="M733" s="36">
        <v>0</v>
      </c>
    </row>
    <row r="734" spans="1:13" ht="38.25">
      <c r="A734" s="60" t="s">
        <v>357</v>
      </c>
      <c r="B734" s="29" t="s">
        <v>347</v>
      </c>
      <c r="C734" s="29" t="s">
        <v>130</v>
      </c>
      <c r="D734" s="29" t="s">
        <v>17</v>
      </c>
      <c r="E734" s="29" t="s">
        <v>358</v>
      </c>
      <c r="F734" s="59" t="s">
        <v>0</v>
      </c>
      <c r="G734" s="36">
        <f>G735</f>
        <v>845.4</v>
      </c>
      <c r="H734" s="36">
        <f t="shared" ref="H734:K735" si="376">H735</f>
        <v>845.4</v>
      </c>
      <c r="I734" s="36">
        <f t="shared" si="376"/>
        <v>0</v>
      </c>
      <c r="J734" s="36">
        <f t="shared" si="376"/>
        <v>0</v>
      </c>
      <c r="K734" s="36">
        <f t="shared" si="376"/>
        <v>0</v>
      </c>
      <c r="L734" s="36">
        <f t="shared" si="343"/>
        <v>0</v>
      </c>
      <c r="M734" s="36">
        <v>0</v>
      </c>
    </row>
    <row r="735" spans="1:13">
      <c r="A735" s="60" t="s">
        <v>26</v>
      </c>
      <c r="B735" s="29" t="s">
        <v>347</v>
      </c>
      <c r="C735" s="29" t="s">
        <v>130</v>
      </c>
      <c r="D735" s="29" t="s">
        <v>17</v>
      </c>
      <c r="E735" s="29" t="s">
        <v>358</v>
      </c>
      <c r="F735" s="29" t="s">
        <v>27</v>
      </c>
      <c r="G735" s="36">
        <f>G736</f>
        <v>845.4</v>
      </c>
      <c r="H735" s="36">
        <f t="shared" si="376"/>
        <v>845.4</v>
      </c>
      <c r="I735" s="36">
        <f t="shared" si="376"/>
        <v>0</v>
      </c>
      <c r="J735" s="36">
        <f t="shared" si="376"/>
        <v>0</v>
      </c>
      <c r="K735" s="36">
        <f t="shared" si="376"/>
        <v>0</v>
      </c>
      <c r="L735" s="36">
        <f t="shared" si="343"/>
        <v>0</v>
      </c>
      <c r="M735" s="36">
        <v>0</v>
      </c>
    </row>
    <row r="736" spans="1:13">
      <c r="A736" s="60" t="s">
        <v>56</v>
      </c>
      <c r="B736" s="29" t="s">
        <v>347</v>
      </c>
      <c r="C736" s="29" t="s">
        <v>130</v>
      </c>
      <c r="D736" s="29" t="s">
        <v>17</v>
      </c>
      <c r="E736" s="29" t="s">
        <v>358</v>
      </c>
      <c r="F736" s="29" t="s">
        <v>57</v>
      </c>
      <c r="G736" s="36">
        <v>845.4</v>
      </c>
      <c r="H736" s="36">
        <v>845.4</v>
      </c>
      <c r="I736" s="36">
        <v>0</v>
      </c>
      <c r="J736" s="36">
        <v>0</v>
      </c>
      <c r="K736" s="36">
        <v>0</v>
      </c>
      <c r="L736" s="36">
        <f t="shared" si="343"/>
        <v>0</v>
      </c>
      <c r="M736" s="36">
        <v>0</v>
      </c>
    </row>
    <row r="737" spans="1:13" ht="25.5">
      <c r="A737" s="60" t="s">
        <v>47</v>
      </c>
      <c r="B737" s="29" t="s">
        <v>347</v>
      </c>
      <c r="C737" s="29" t="s">
        <v>130</v>
      </c>
      <c r="D737" s="29" t="s">
        <v>17</v>
      </c>
      <c r="E737" s="29" t="s">
        <v>48</v>
      </c>
      <c r="F737" s="59" t="s">
        <v>0</v>
      </c>
      <c r="G737" s="36">
        <f>G738+G741+G744+G747+G750+G754+G757+G765</f>
        <v>578653.4</v>
      </c>
      <c r="H737" s="36">
        <f t="shared" ref="H737:K737" si="377">H738+H741+H744+H747+H750+H754+H757+H765</f>
        <v>575233.10000000009</v>
      </c>
      <c r="I737" s="36">
        <f t="shared" si="377"/>
        <v>292493.71840000001</v>
      </c>
      <c r="J737" s="36">
        <f t="shared" si="377"/>
        <v>292493.71840000001</v>
      </c>
      <c r="K737" s="36">
        <f t="shared" si="377"/>
        <v>291537.29840000003</v>
      </c>
      <c r="L737" s="36">
        <f t="shared" si="343"/>
        <v>50.68159297509132</v>
      </c>
      <c r="M737" s="36">
        <f t="shared" si="344"/>
        <v>99.673011781165144</v>
      </c>
    </row>
    <row r="738" spans="1:13" ht="38.25">
      <c r="A738" s="60" t="s">
        <v>359</v>
      </c>
      <c r="B738" s="29" t="s">
        <v>347</v>
      </c>
      <c r="C738" s="29" t="s">
        <v>130</v>
      </c>
      <c r="D738" s="29" t="s">
        <v>17</v>
      </c>
      <c r="E738" s="29" t="s">
        <v>360</v>
      </c>
      <c r="F738" s="59" t="s">
        <v>0</v>
      </c>
      <c r="G738" s="36">
        <f>G739</f>
        <v>390</v>
      </c>
      <c r="H738" s="36">
        <f t="shared" ref="H738:K739" si="378">H739</f>
        <v>342</v>
      </c>
      <c r="I738" s="36">
        <f t="shared" si="378"/>
        <v>0</v>
      </c>
      <c r="J738" s="36">
        <f t="shared" si="378"/>
        <v>0</v>
      </c>
      <c r="K738" s="36">
        <f t="shared" si="378"/>
        <v>0</v>
      </c>
      <c r="L738" s="36">
        <f t="shared" si="343"/>
        <v>0</v>
      </c>
      <c r="M738" s="36">
        <v>0</v>
      </c>
    </row>
    <row r="739" spans="1:13">
      <c r="A739" s="60" t="s">
        <v>26</v>
      </c>
      <c r="B739" s="29" t="s">
        <v>347</v>
      </c>
      <c r="C739" s="29" t="s">
        <v>130</v>
      </c>
      <c r="D739" s="29" t="s">
        <v>17</v>
      </c>
      <c r="E739" s="29" t="s">
        <v>360</v>
      </c>
      <c r="F739" s="29" t="s">
        <v>27</v>
      </c>
      <c r="G739" s="36">
        <f>G740</f>
        <v>390</v>
      </c>
      <c r="H739" s="36">
        <f t="shared" si="378"/>
        <v>342</v>
      </c>
      <c r="I739" s="36">
        <f t="shared" si="378"/>
        <v>0</v>
      </c>
      <c r="J739" s="36">
        <f t="shared" si="378"/>
        <v>0</v>
      </c>
      <c r="K739" s="36">
        <f t="shared" si="378"/>
        <v>0</v>
      </c>
      <c r="L739" s="36">
        <f t="shared" si="343"/>
        <v>0</v>
      </c>
      <c r="M739" s="36">
        <v>0</v>
      </c>
    </row>
    <row r="740" spans="1:13">
      <c r="A740" s="60" t="s">
        <v>352</v>
      </c>
      <c r="B740" s="29" t="s">
        <v>347</v>
      </c>
      <c r="C740" s="29" t="s">
        <v>130</v>
      </c>
      <c r="D740" s="29" t="s">
        <v>17</v>
      </c>
      <c r="E740" s="29" t="s">
        <v>360</v>
      </c>
      <c r="F740" s="29" t="s">
        <v>353</v>
      </c>
      <c r="G740" s="36">
        <v>390</v>
      </c>
      <c r="H740" s="36">
        <v>342</v>
      </c>
      <c r="I740" s="36">
        <v>0</v>
      </c>
      <c r="J740" s="36">
        <v>0</v>
      </c>
      <c r="K740" s="36">
        <v>0</v>
      </c>
      <c r="L740" s="36">
        <f t="shared" si="343"/>
        <v>0</v>
      </c>
      <c r="M740" s="36">
        <v>0</v>
      </c>
    </row>
    <row r="741" spans="1:13" ht="51">
      <c r="A741" s="60" t="s">
        <v>361</v>
      </c>
      <c r="B741" s="29" t="s">
        <v>347</v>
      </c>
      <c r="C741" s="29" t="s">
        <v>130</v>
      </c>
      <c r="D741" s="29" t="s">
        <v>17</v>
      </c>
      <c r="E741" s="29" t="s">
        <v>362</v>
      </c>
      <c r="F741" s="59" t="s">
        <v>0</v>
      </c>
      <c r="G741" s="36">
        <f>G742</f>
        <v>655</v>
      </c>
      <c r="H741" s="36">
        <f t="shared" ref="H741:K742" si="379">H742</f>
        <v>574</v>
      </c>
      <c r="I741" s="36">
        <f t="shared" si="379"/>
        <v>574</v>
      </c>
      <c r="J741" s="36">
        <f t="shared" si="379"/>
        <v>574</v>
      </c>
      <c r="K741" s="36">
        <f t="shared" si="379"/>
        <v>0</v>
      </c>
      <c r="L741" s="36">
        <f t="shared" si="343"/>
        <v>0</v>
      </c>
      <c r="M741" s="36">
        <f t="shared" si="344"/>
        <v>0</v>
      </c>
    </row>
    <row r="742" spans="1:13">
      <c r="A742" s="60" t="s">
        <v>26</v>
      </c>
      <c r="B742" s="29" t="s">
        <v>347</v>
      </c>
      <c r="C742" s="29" t="s">
        <v>130</v>
      </c>
      <c r="D742" s="29" t="s">
        <v>17</v>
      </c>
      <c r="E742" s="29" t="s">
        <v>362</v>
      </c>
      <c r="F742" s="29" t="s">
        <v>27</v>
      </c>
      <c r="G742" s="36">
        <f>G743</f>
        <v>655</v>
      </c>
      <c r="H742" s="36">
        <f t="shared" si="379"/>
        <v>574</v>
      </c>
      <c r="I742" s="36">
        <f t="shared" si="379"/>
        <v>574</v>
      </c>
      <c r="J742" s="36">
        <f t="shared" si="379"/>
        <v>574</v>
      </c>
      <c r="K742" s="36">
        <f t="shared" si="379"/>
        <v>0</v>
      </c>
      <c r="L742" s="36">
        <f t="shared" si="343"/>
        <v>0</v>
      </c>
      <c r="M742" s="36">
        <f t="shared" si="344"/>
        <v>0</v>
      </c>
    </row>
    <row r="743" spans="1:13">
      <c r="A743" s="60" t="s">
        <v>352</v>
      </c>
      <c r="B743" s="29" t="s">
        <v>347</v>
      </c>
      <c r="C743" s="29" t="s">
        <v>130</v>
      </c>
      <c r="D743" s="29" t="s">
        <v>17</v>
      </c>
      <c r="E743" s="29" t="s">
        <v>362</v>
      </c>
      <c r="F743" s="29" t="s">
        <v>353</v>
      </c>
      <c r="G743" s="36">
        <v>655</v>
      </c>
      <c r="H743" s="36">
        <v>574</v>
      </c>
      <c r="I743" s="36">
        <v>574</v>
      </c>
      <c r="J743" s="36">
        <v>574</v>
      </c>
      <c r="K743" s="36"/>
      <c r="L743" s="36">
        <f t="shared" si="343"/>
        <v>0</v>
      </c>
      <c r="M743" s="36">
        <f t="shared" si="344"/>
        <v>0</v>
      </c>
    </row>
    <row r="744" spans="1:13" ht="25.5">
      <c r="A744" s="60" t="s">
        <v>363</v>
      </c>
      <c r="B744" s="29" t="s">
        <v>347</v>
      </c>
      <c r="C744" s="29" t="s">
        <v>130</v>
      </c>
      <c r="D744" s="29" t="s">
        <v>17</v>
      </c>
      <c r="E744" s="29" t="s">
        <v>364</v>
      </c>
      <c r="F744" s="59" t="s">
        <v>0</v>
      </c>
      <c r="G744" s="36">
        <f>G745</f>
        <v>600</v>
      </c>
      <c r="H744" s="36">
        <f t="shared" ref="H744:K745" si="380">H745</f>
        <v>600</v>
      </c>
      <c r="I744" s="36">
        <f t="shared" si="380"/>
        <v>600</v>
      </c>
      <c r="J744" s="36">
        <f t="shared" si="380"/>
        <v>600</v>
      </c>
      <c r="K744" s="36">
        <f t="shared" si="380"/>
        <v>267.58</v>
      </c>
      <c r="L744" s="36">
        <f t="shared" si="343"/>
        <v>44.596666666666664</v>
      </c>
      <c r="M744" s="36">
        <f t="shared" si="344"/>
        <v>44.596666666666664</v>
      </c>
    </row>
    <row r="745" spans="1:13">
      <c r="A745" s="60" t="s">
        <v>26</v>
      </c>
      <c r="B745" s="29" t="s">
        <v>347</v>
      </c>
      <c r="C745" s="29" t="s">
        <v>130</v>
      </c>
      <c r="D745" s="29" t="s">
        <v>17</v>
      </c>
      <c r="E745" s="29" t="s">
        <v>364</v>
      </c>
      <c r="F745" s="29" t="s">
        <v>27</v>
      </c>
      <c r="G745" s="36">
        <f>G746</f>
        <v>600</v>
      </c>
      <c r="H745" s="36">
        <f t="shared" si="380"/>
        <v>600</v>
      </c>
      <c r="I745" s="36">
        <f t="shared" si="380"/>
        <v>600</v>
      </c>
      <c r="J745" s="36">
        <f t="shared" si="380"/>
        <v>600</v>
      </c>
      <c r="K745" s="36">
        <f t="shared" si="380"/>
        <v>267.58</v>
      </c>
      <c r="L745" s="36">
        <f t="shared" si="343"/>
        <v>44.596666666666664</v>
      </c>
      <c r="M745" s="36">
        <f t="shared" si="344"/>
        <v>44.596666666666664</v>
      </c>
    </row>
    <row r="746" spans="1:13">
      <c r="A746" s="60" t="s">
        <v>352</v>
      </c>
      <c r="B746" s="29" t="s">
        <v>347</v>
      </c>
      <c r="C746" s="29" t="s">
        <v>130</v>
      </c>
      <c r="D746" s="29" t="s">
        <v>17</v>
      </c>
      <c r="E746" s="29" t="s">
        <v>364</v>
      </c>
      <c r="F746" s="29" t="s">
        <v>353</v>
      </c>
      <c r="G746" s="36">
        <v>600</v>
      </c>
      <c r="H746" s="36">
        <v>600</v>
      </c>
      <c r="I746" s="36">
        <v>600</v>
      </c>
      <c r="J746" s="36">
        <v>600</v>
      </c>
      <c r="K746" s="36">
        <v>267.58</v>
      </c>
      <c r="L746" s="36">
        <f t="shared" si="343"/>
        <v>44.596666666666664</v>
      </c>
      <c r="M746" s="36">
        <f t="shared" si="344"/>
        <v>44.596666666666664</v>
      </c>
    </row>
    <row r="747" spans="1:13" ht="38.25">
      <c r="A747" s="60" t="s">
        <v>365</v>
      </c>
      <c r="B747" s="29" t="s">
        <v>347</v>
      </c>
      <c r="C747" s="29" t="s">
        <v>130</v>
      </c>
      <c r="D747" s="29" t="s">
        <v>17</v>
      </c>
      <c r="E747" s="29" t="s">
        <v>366</v>
      </c>
      <c r="F747" s="59" t="s">
        <v>0</v>
      </c>
      <c r="G747" s="36">
        <f>G748</f>
        <v>450</v>
      </c>
      <c r="H747" s="36">
        <f t="shared" ref="H747:K748" si="381">H748</f>
        <v>450</v>
      </c>
      <c r="I747" s="36">
        <f t="shared" si="381"/>
        <v>450</v>
      </c>
      <c r="J747" s="36">
        <f t="shared" si="381"/>
        <v>450</v>
      </c>
      <c r="K747" s="36">
        <f t="shared" si="381"/>
        <v>400</v>
      </c>
      <c r="L747" s="36">
        <f t="shared" si="343"/>
        <v>88.888888888888886</v>
      </c>
      <c r="M747" s="36">
        <f t="shared" si="344"/>
        <v>88.888888888888886</v>
      </c>
    </row>
    <row r="748" spans="1:13">
      <c r="A748" s="60" t="s">
        <v>26</v>
      </c>
      <c r="B748" s="29" t="s">
        <v>347</v>
      </c>
      <c r="C748" s="29" t="s">
        <v>130</v>
      </c>
      <c r="D748" s="29" t="s">
        <v>17</v>
      </c>
      <c r="E748" s="29" t="s">
        <v>366</v>
      </c>
      <c r="F748" s="29" t="s">
        <v>27</v>
      </c>
      <c r="G748" s="36">
        <f>G749</f>
        <v>450</v>
      </c>
      <c r="H748" s="36">
        <f t="shared" si="381"/>
        <v>450</v>
      </c>
      <c r="I748" s="36">
        <f t="shared" si="381"/>
        <v>450</v>
      </c>
      <c r="J748" s="36">
        <f t="shared" si="381"/>
        <v>450</v>
      </c>
      <c r="K748" s="36">
        <f t="shared" si="381"/>
        <v>400</v>
      </c>
      <c r="L748" s="36">
        <f t="shared" si="343"/>
        <v>88.888888888888886</v>
      </c>
      <c r="M748" s="36">
        <f t="shared" si="344"/>
        <v>88.888888888888886</v>
      </c>
    </row>
    <row r="749" spans="1:13">
      <c r="A749" s="60" t="s">
        <v>352</v>
      </c>
      <c r="B749" s="29" t="s">
        <v>347</v>
      </c>
      <c r="C749" s="29" t="s">
        <v>130</v>
      </c>
      <c r="D749" s="29" t="s">
        <v>17</v>
      </c>
      <c r="E749" s="29" t="s">
        <v>366</v>
      </c>
      <c r="F749" s="29" t="s">
        <v>353</v>
      </c>
      <c r="G749" s="36">
        <v>450</v>
      </c>
      <c r="H749" s="36">
        <v>450</v>
      </c>
      <c r="I749" s="36">
        <v>450</v>
      </c>
      <c r="J749" s="36">
        <v>450</v>
      </c>
      <c r="K749" s="36">
        <v>400</v>
      </c>
      <c r="L749" s="36">
        <f t="shared" ref="L749:L886" si="382">K749/H749*100</f>
        <v>88.888888888888886</v>
      </c>
      <c r="M749" s="36">
        <f t="shared" ref="M749:M886" si="383">K749/I749*100</f>
        <v>88.888888888888886</v>
      </c>
    </row>
    <row r="750" spans="1:13" ht="25.5">
      <c r="A750" s="60" t="s">
        <v>76</v>
      </c>
      <c r="B750" s="29" t="s">
        <v>347</v>
      </c>
      <c r="C750" s="29" t="s">
        <v>130</v>
      </c>
      <c r="D750" s="29" t="s">
        <v>17</v>
      </c>
      <c r="E750" s="29" t="s">
        <v>121</v>
      </c>
      <c r="F750" s="59" t="s">
        <v>0</v>
      </c>
      <c r="G750" s="36">
        <f>G751</f>
        <v>559150.9</v>
      </c>
      <c r="H750" s="36">
        <f t="shared" ref="H750:K750" si="384">H751</f>
        <v>558750.90000000014</v>
      </c>
      <c r="I750" s="36">
        <f t="shared" si="384"/>
        <v>287447.42000000004</v>
      </c>
      <c r="J750" s="36">
        <f t="shared" si="384"/>
        <v>287447.42000000004</v>
      </c>
      <c r="K750" s="36">
        <f t="shared" si="384"/>
        <v>287447.42000000004</v>
      </c>
      <c r="L750" s="36">
        <f t="shared" si="382"/>
        <v>51.444645547774506</v>
      </c>
      <c r="M750" s="36">
        <f t="shared" si="383"/>
        <v>100</v>
      </c>
    </row>
    <row r="751" spans="1:13" ht="25.5">
      <c r="A751" s="60" t="s">
        <v>80</v>
      </c>
      <c r="B751" s="29" t="s">
        <v>347</v>
      </c>
      <c r="C751" s="29" t="s">
        <v>130</v>
      </c>
      <c r="D751" s="29" t="s">
        <v>17</v>
      </c>
      <c r="E751" s="29" t="s">
        <v>121</v>
      </c>
      <c r="F751" s="29" t="s">
        <v>81</v>
      </c>
      <c r="G751" s="36">
        <f>G752+G753</f>
        <v>559150.9</v>
      </c>
      <c r="H751" s="36">
        <f t="shared" ref="H751:K751" si="385">H752+H753</f>
        <v>558750.90000000014</v>
      </c>
      <c r="I751" s="36">
        <f t="shared" si="385"/>
        <v>287447.42000000004</v>
      </c>
      <c r="J751" s="36">
        <f t="shared" si="385"/>
        <v>287447.42000000004</v>
      </c>
      <c r="K751" s="36">
        <f t="shared" si="385"/>
        <v>287447.42000000004</v>
      </c>
      <c r="L751" s="36">
        <f t="shared" si="382"/>
        <v>51.444645547774506</v>
      </c>
      <c r="M751" s="36">
        <f t="shared" si="383"/>
        <v>100</v>
      </c>
    </row>
    <row r="752" spans="1:13">
      <c r="A752" s="60" t="s">
        <v>271</v>
      </c>
      <c r="B752" s="29" t="s">
        <v>347</v>
      </c>
      <c r="C752" s="29" t="s">
        <v>130</v>
      </c>
      <c r="D752" s="29" t="s">
        <v>17</v>
      </c>
      <c r="E752" s="29" t="s">
        <v>121</v>
      </c>
      <c r="F752" s="29" t="s">
        <v>272</v>
      </c>
      <c r="G752" s="36">
        <v>534851.1</v>
      </c>
      <c r="H752" s="36">
        <f>528457.3+5993.8</f>
        <v>534451.10000000009</v>
      </c>
      <c r="I752" s="36">
        <f>272147.27+2973.45</f>
        <v>275120.72000000003</v>
      </c>
      <c r="J752" s="36">
        <f>272147.27+2973.45</f>
        <v>275120.72000000003</v>
      </c>
      <c r="K752" s="36">
        <f>272147.27+2973.45</f>
        <v>275120.72000000003</v>
      </c>
      <c r="L752" s="36">
        <f t="shared" si="382"/>
        <v>51.477248339464545</v>
      </c>
      <c r="M752" s="36">
        <f t="shared" si="383"/>
        <v>100</v>
      </c>
    </row>
    <row r="753" spans="1:13">
      <c r="A753" s="60" t="s">
        <v>82</v>
      </c>
      <c r="B753" s="29" t="s">
        <v>347</v>
      </c>
      <c r="C753" s="29" t="s">
        <v>130</v>
      </c>
      <c r="D753" s="29" t="s">
        <v>17</v>
      </c>
      <c r="E753" s="29" t="s">
        <v>121</v>
      </c>
      <c r="F753" s="29" t="s">
        <v>83</v>
      </c>
      <c r="G753" s="36">
        <v>24299.8</v>
      </c>
      <c r="H753" s="36">
        <f>23787.2+512.6</f>
        <v>24299.8</v>
      </c>
      <c r="I753" s="36">
        <f>11959+367.7</f>
        <v>12326.7</v>
      </c>
      <c r="J753" s="36">
        <f>11959+367.7</f>
        <v>12326.7</v>
      </c>
      <c r="K753" s="36">
        <f>11959+367.7</f>
        <v>12326.7</v>
      </c>
      <c r="L753" s="36">
        <f t="shared" si="382"/>
        <v>50.727578004757248</v>
      </c>
      <c r="M753" s="36">
        <f t="shared" si="383"/>
        <v>100</v>
      </c>
    </row>
    <row r="754" spans="1:13" ht="76.5">
      <c r="A754" s="60" t="s">
        <v>367</v>
      </c>
      <c r="B754" s="29" t="s">
        <v>347</v>
      </c>
      <c r="C754" s="29" t="s">
        <v>130</v>
      </c>
      <c r="D754" s="29" t="s">
        <v>17</v>
      </c>
      <c r="E754" s="29" t="s">
        <v>368</v>
      </c>
      <c r="F754" s="59" t="s">
        <v>0</v>
      </c>
      <c r="G754" s="36">
        <f>G755</f>
        <v>2891.3</v>
      </c>
      <c r="H754" s="36">
        <f t="shared" ref="H754:K755" si="386">H755</f>
        <v>0</v>
      </c>
      <c r="I754" s="36">
        <f t="shared" si="386"/>
        <v>0</v>
      </c>
      <c r="J754" s="36">
        <f t="shared" si="386"/>
        <v>0</v>
      </c>
      <c r="K754" s="36">
        <f t="shared" si="386"/>
        <v>0</v>
      </c>
      <c r="L754" s="36">
        <v>0</v>
      </c>
      <c r="M754" s="36">
        <v>0</v>
      </c>
    </row>
    <row r="755" spans="1:13">
      <c r="A755" s="60" t="s">
        <v>72</v>
      </c>
      <c r="B755" s="29" t="s">
        <v>347</v>
      </c>
      <c r="C755" s="29" t="s">
        <v>130</v>
      </c>
      <c r="D755" s="29" t="s">
        <v>17</v>
      </c>
      <c r="E755" s="29" t="s">
        <v>368</v>
      </c>
      <c r="F755" s="29" t="s">
        <v>73</v>
      </c>
      <c r="G755" s="36">
        <f>G756</f>
        <v>2891.3</v>
      </c>
      <c r="H755" s="36">
        <f t="shared" si="386"/>
        <v>0</v>
      </c>
      <c r="I755" s="36">
        <f t="shared" si="386"/>
        <v>0</v>
      </c>
      <c r="J755" s="36">
        <f t="shared" si="386"/>
        <v>0</v>
      </c>
      <c r="K755" s="36">
        <f t="shared" si="386"/>
        <v>0</v>
      </c>
      <c r="L755" s="36">
        <v>0</v>
      </c>
      <c r="M755" s="36">
        <v>0</v>
      </c>
    </row>
    <row r="756" spans="1:13">
      <c r="A756" s="60" t="s">
        <v>369</v>
      </c>
      <c r="B756" s="29" t="s">
        <v>347</v>
      </c>
      <c r="C756" s="29" t="s">
        <v>130</v>
      </c>
      <c r="D756" s="29" t="s">
        <v>17</v>
      </c>
      <c r="E756" s="29" t="s">
        <v>368</v>
      </c>
      <c r="F756" s="29" t="s">
        <v>370</v>
      </c>
      <c r="G756" s="36">
        <v>2891.3</v>
      </c>
      <c r="H756" s="36">
        <v>0</v>
      </c>
      <c r="I756" s="36">
        <v>0</v>
      </c>
      <c r="J756" s="36">
        <v>0</v>
      </c>
      <c r="K756" s="36">
        <v>0</v>
      </c>
      <c r="L756" s="36">
        <v>0</v>
      </c>
      <c r="M756" s="36">
        <v>0</v>
      </c>
    </row>
    <row r="757" spans="1:13">
      <c r="A757" s="60" t="s">
        <v>371</v>
      </c>
      <c r="B757" s="29" t="s">
        <v>347</v>
      </c>
      <c r="C757" s="29" t="s">
        <v>130</v>
      </c>
      <c r="D757" s="29" t="s">
        <v>17</v>
      </c>
      <c r="E757" s="29" t="s">
        <v>372</v>
      </c>
      <c r="F757" s="59" t="s">
        <v>0</v>
      </c>
      <c r="G757" s="36">
        <f>G758+G760+G763</f>
        <v>11016.2</v>
      </c>
      <c r="H757" s="36">
        <f t="shared" ref="H757:K757" si="387">H758+H760+H763</f>
        <v>11016.2</v>
      </c>
      <c r="I757" s="36">
        <f t="shared" si="387"/>
        <v>506.69839999999999</v>
      </c>
      <c r="J757" s="36">
        <f t="shared" si="387"/>
        <v>506.69839999999999</v>
      </c>
      <c r="K757" s="36">
        <f t="shared" si="387"/>
        <v>506.69839999999999</v>
      </c>
      <c r="L757" s="36">
        <f t="shared" si="382"/>
        <v>4.5995751711116357</v>
      </c>
      <c r="M757" s="36">
        <f t="shared" si="383"/>
        <v>100</v>
      </c>
    </row>
    <row r="758" spans="1:13" ht="25.5">
      <c r="A758" s="60" t="s">
        <v>64</v>
      </c>
      <c r="B758" s="29" t="s">
        <v>347</v>
      </c>
      <c r="C758" s="29" t="s">
        <v>130</v>
      </c>
      <c r="D758" s="29" t="s">
        <v>17</v>
      </c>
      <c r="E758" s="29" t="s">
        <v>372</v>
      </c>
      <c r="F758" s="29" t="s">
        <v>65</v>
      </c>
      <c r="G758" s="36">
        <f>G759</f>
        <v>4558.2</v>
      </c>
      <c r="H758" s="36">
        <f t="shared" ref="H758:K758" si="388">H759</f>
        <v>4558.2</v>
      </c>
      <c r="I758" s="36">
        <f t="shared" si="388"/>
        <v>191.85599999999999</v>
      </c>
      <c r="J758" s="36">
        <f t="shared" si="388"/>
        <v>191.85599999999999</v>
      </c>
      <c r="K758" s="36">
        <f t="shared" si="388"/>
        <v>191.85599999999999</v>
      </c>
      <c r="L758" s="36">
        <f t="shared" si="382"/>
        <v>4.2090298802158745</v>
      </c>
      <c r="M758" s="36">
        <f t="shared" si="383"/>
        <v>100</v>
      </c>
    </row>
    <row r="759" spans="1:13" ht="25.5">
      <c r="A759" s="60" t="s">
        <v>66</v>
      </c>
      <c r="B759" s="29" t="s">
        <v>347</v>
      </c>
      <c r="C759" s="29" t="s">
        <v>130</v>
      </c>
      <c r="D759" s="29" t="s">
        <v>17</v>
      </c>
      <c r="E759" s="29" t="s">
        <v>372</v>
      </c>
      <c r="F759" s="29" t="s">
        <v>67</v>
      </c>
      <c r="G759" s="36">
        <v>4558.2</v>
      </c>
      <c r="H759" s="36">
        <v>4558.2</v>
      </c>
      <c r="I759" s="36">
        <v>191.85599999999999</v>
      </c>
      <c r="J759" s="36">
        <v>191.85599999999999</v>
      </c>
      <c r="K759" s="36">
        <v>191.85599999999999</v>
      </c>
      <c r="L759" s="36">
        <f t="shared" si="382"/>
        <v>4.2090298802158745</v>
      </c>
      <c r="M759" s="36">
        <f t="shared" si="383"/>
        <v>100</v>
      </c>
    </row>
    <row r="760" spans="1:13">
      <c r="A760" s="60" t="s">
        <v>68</v>
      </c>
      <c r="B760" s="29" t="s">
        <v>347</v>
      </c>
      <c r="C760" s="29" t="s">
        <v>130</v>
      </c>
      <c r="D760" s="29" t="s">
        <v>17</v>
      </c>
      <c r="E760" s="29" t="s">
        <v>372</v>
      </c>
      <c r="F760" s="29" t="s">
        <v>69</v>
      </c>
      <c r="G760" s="36">
        <f>G761+G762</f>
        <v>725.5</v>
      </c>
      <c r="H760" s="36">
        <f t="shared" ref="H760:K760" si="389">H761+H762</f>
        <v>725.5</v>
      </c>
      <c r="I760" s="36">
        <f t="shared" si="389"/>
        <v>314.8424</v>
      </c>
      <c r="J760" s="36">
        <f t="shared" si="389"/>
        <v>314.8424</v>
      </c>
      <c r="K760" s="36">
        <f t="shared" si="389"/>
        <v>314.8424</v>
      </c>
      <c r="L760" s="36">
        <f t="shared" si="382"/>
        <v>43.396609235010338</v>
      </c>
      <c r="M760" s="36">
        <f t="shared" si="383"/>
        <v>100</v>
      </c>
    </row>
    <row r="761" spans="1:13">
      <c r="A761" s="60" t="s">
        <v>373</v>
      </c>
      <c r="B761" s="29" t="s">
        <v>347</v>
      </c>
      <c r="C761" s="29" t="s">
        <v>130</v>
      </c>
      <c r="D761" s="29" t="s">
        <v>17</v>
      </c>
      <c r="E761" s="29" t="s">
        <v>372</v>
      </c>
      <c r="F761" s="29" t="s">
        <v>374</v>
      </c>
      <c r="G761" s="36">
        <v>225</v>
      </c>
      <c r="H761" s="36">
        <v>225</v>
      </c>
      <c r="I761" s="36">
        <v>125</v>
      </c>
      <c r="J761" s="36">
        <v>125</v>
      </c>
      <c r="K761" s="36">
        <v>125</v>
      </c>
      <c r="L761" s="36">
        <f t="shared" si="382"/>
        <v>55.555555555555557</v>
      </c>
      <c r="M761" s="36">
        <f t="shared" si="383"/>
        <v>100</v>
      </c>
    </row>
    <row r="762" spans="1:13">
      <c r="A762" s="60" t="s">
        <v>70</v>
      </c>
      <c r="B762" s="29" t="s">
        <v>347</v>
      </c>
      <c r="C762" s="29" t="s">
        <v>130</v>
      </c>
      <c r="D762" s="29" t="s">
        <v>17</v>
      </c>
      <c r="E762" s="29" t="s">
        <v>372</v>
      </c>
      <c r="F762" s="29" t="s">
        <v>71</v>
      </c>
      <c r="G762" s="36">
        <v>500.5</v>
      </c>
      <c r="H762" s="36">
        <v>500.5</v>
      </c>
      <c r="I762" s="36">
        <v>189.8424</v>
      </c>
      <c r="J762" s="36">
        <v>189.8424</v>
      </c>
      <c r="K762" s="36">
        <v>189.8424</v>
      </c>
      <c r="L762" s="36">
        <f t="shared" si="382"/>
        <v>37.930549450549449</v>
      </c>
      <c r="M762" s="36">
        <f t="shared" si="383"/>
        <v>100</v>
      </c>
    </row>
    <row r="763" spans="1:13" ht="25.5">
      <c r="A763" s="60" t="s">
        <v>80</v>
      </c>
      <c r="B763" s="29" t="s">
        <v>347</v>
      </c>
      <c r="C763" s="29" t="s">
        <v>130</v>
      </c>
      <c r="D763" s="29" t="s">
        <v>17</v>
      </c>
      <c r="E763" s="29" t="s">
        <v>372</v>
      </c>
      <c r="F763" s="29" t="s">
        <v>81</v>
      </c>
      <c r="G763" s="36">
        <f>G764</f>
        <v>5732.5</v>
      </c>
      <c r="H763" s="36">
        <f t="shared" ref="H763:K763" si="390">H764</f>
        <v>5732.5</v>
      </c>
      <c r="I763" s="36">
        <f t="shared" si="390"/>
        <v>0</v>
      </c>
      <c r="J763" s="36">
        <f t="shared" si="390"/>
        <v>0</v>
      </c>
      <c r="K763" s="36">
        <f t="shared" si="390"/>
        <v>0</v>
      </c>
      <c r="L763" s="36">
        <f t="shared" si="382"/>
        <v>0</v>
      </c>
      <c r="M763" s="36">
        <v>0</v>
      </c>
    </row>
    <row r="764" spans="1:13" ht="38.25">
      <c r="A764" s="60" t="s">
        <v>195</v>
      </c>
      <c r="B764" s="29" t="s">
        <v>347</v>
      </c>
      <c r="C764" s="29" t="s">
        <v>130</v>
      </c>
      <c r="D764" s="29" t="s">
        <v>17</v>
      </c>
      <c r="E764" s="29" t="s">
        <v>372</v>
      </c>
      <c r="F764" s="29" t="s">
        <v>196</v>
      </c>
      <c r="G764" s="36">
        <v>5732.5</v>
      </c>
      <c r="H764" s="36">
        <v>5732.5</v>
      </c>
      <c r="I764" s="36">
        <v>0</v>
      </c>
      <c r="J764" s="36">
        <v>0</v>
      </c>
      <c r="K764" s="36">
        <v>0</v>
      </c>
      <c r="L764" s="36">
        <f t="shared" si="382"/>
        <v>0</v>
      </c>
      <c r="M764" s="36">
        <v>0</v>
      </c>
    </row>
    <row r="765" spans="1:13" ht="25.5">
      <c r="A765" s="60" t="s">
        <v>375</v>
      </c>
      <c r="B765" s="29" t="s">
        <v>347</v>
      </c>
      <c r="C765" s="29" t="s">
        <v>130</v>
      </c>
      <c r="D765" s="29" t="s">
        <v>17</v>
      </c>
      <c r="E765" s="29" t="s">
        <v>376</v>
      </c>
      <c r="F765" s="59" t="s">
        <v>0</v>
      </c>
      <c r="G765" s="36">
        <f>G766</f>
        <v>3500</v>
      </c>
      <c r="H765" s="36">
        <f t="shared" ref="H765:K766" si="391">H766</f>
        <v>3500</v>
      </c>
      <c r="I765" s="36">
        <f t="shared" si="391"/>
        <v>2915.6</v>
      </c>
      <c r="J765" s="36">
        <f t="shared" si="391"/>
        <v>2915.6</v>
      </c>
      <c r="K765" s="36">
        <f t="shared" si="391"/>
        <v>2915.6</v>
      </c>
      <c r="L765" s="36">
        <f t="shared" si="382"/>
        <v>83.30285714285715</v>
      </c>
      <c r="M765" s="36">
        <f t="shared" si="383"/>
        <v>100</v>
      </c>
    </row>
    <row r="766" spans="1:13">
      <c r="A766" s="60" t="s">
        <v>26</v>
      </c>
      <c r="B766" s="29" t="s">
        <v>347</v>
      </c>
      <c r="C766" s="29" t="s">
        <v>130</v>
      </c>
      <c r="D766" s="29" t="s">
        <v>17</v>
      </c>
      <c r="E766" s="29" t="s">
        <v>376</v>
      </c>
      <c r="F766" s="29" t="s">
        <v>27</v>
      </c>
      <c r="G766" s="36">
        <f>G767</f>
        <v>3500</v>
      </c>
      <c r="H766" s="36">
        <f t="shared" si="391"/>
        <v>3500</v>
      </c>
      <c r="I766" s="36">
        <f t="shared" si="391"/>
        <v>2915.6</v>
      </c>
      <c r="J766" s="36">
        <f t="shared" si="391"/>
        <v>2915.6</v>
      </c>
      <c r="K766" s="36">
        <f t="shared" si="391"/>
        <v>2915.6</v>
      </c>
      <c r="L766" s="36">
        <f t="shared" si="382"/>
        <v>83.30285714285715</v>
      </c>
      <c r="M766" s="36">
        <f t="shared" si="383"/>
        <v>100</v>
      </c>
    </row>
    <row r="767" spans="1:13">
      <c r="A767" s="60" t="s">
        <v>56</v>
      </c>
      <c r="B767" s="29" t="s">
        <v>347</v>
      </c>
      <c r="C767" s="29" t="s">
        <v>130</v>
      </c>
      <c r="D767" s="29" t="s">
        <v>17</v>
      </c>
      <c r="E767" s="29" t="s">
        <v>376</v>
      </c>
      <c r="F767" s="29" t="s">
        <v>57</v>
      </c>
      <c r="G767" s="36">
        <v>3500</v>
      </c>
      <c r="H767" s="36">
        <v>3500</v>
      </c>
      <c r="I767" s="36">
        <v>2915.6</v>
      </c>
      <c r="J767" s="36">
        <v>2915.6</v>
      </c>
      <c r="K767" s="36">
        <v>2915.6</v>
      </c>
      <c r="L767" s="36">
        <f t="shared" si="382"/>
        <v>83.30285714285715</v>
      </c>
      <c r="M767" s="36">
        <f t="shared" si="383"/>
        <v>100</v>
      </c>
    </row>
    <row r="768" spans="1:13" ht="51">
      <c r="A768" s="60" t="s">
        <v>377</v>
      </c>
      <c r="B768" s="29" t="s">
        <v>347</v>
      </c>
      <c r="C768" s="29" t="s">
        <v>130</v>
      </c>
      <c r="D768" s="29" t="s">
        <v>17</v>
      </c>
      <c r="E768" s="29" t="s">
        <v>378</v>
      </c>
      <c r="F768" s="59" t="s">
        <v>0</v>
      </c>
      <c r="G768" s="36">
        <f>G769</f>
        <v>100</v>
      </c>
      <c r="H768" s="36">
        <f t="shared" ref="H768:K770" si="392">H769</f>
        <v>100</v>
      </c>
      <c r="I768" s="36">
        <f t="shared" si="392"/>
        <v>0</v>
      </c>
      <c r="J768" s="36">
        <f t="shared" si="392"/>
        <v>0</v>
      </c>
      <c r="K768" s="36">
        <f t="shared" si="392"/>
        <v>0</v>
      </c>
      <c r="L768" s="36">
        <f t="shared" si="382"/>
        <v>0</v>
      </c>
      <c r="M768" s="36">
        <v>0</v>
      </c>
    </row>
    <row r="769" spans="1:13" ht="25.5">
      <c r="A769" s="60" t="s">
        <v>76</v>
      </c>
      <c r="B769" s="29" t="s">
        <v>347</v>
      </c>
      <c r="C769" s="29" t="s">
        <v>130</v>
      </c>
      <c r="D769" s="29" t="s">
        <v>17</v>
      </c>
      <c r="E769" s="29" t="s">
        <v>379</v>
      </c>
      <c r="F769" s="59" t="s">
        <v>0</v>
      </c>
      <c r="G769" s="36">
        <f>G770</f>
        <v>100</v>
      </c>
      <c r="H769" s="36">
        <f t="shared" si="392"/>
        <v>100</v>
      </c>
      <c r="I769" s="36">
        <f t="shared" si="392"/>
        <v>0</v>
      </c>
      <c r="J769" s="36">
        <f t="shared" si="392"/>
        <v>0</v>
      </c>
      <c r="K769" s="36">
        <f t="shared" si="392"/>
        <v>0</v>
      </c>
      <c r="L769" s="36">
        <f t="shared" si="382"/>
        <v>0</v>
      </c>
      <c r="M769" s="36">
        <v>0</v>
      </c>
    </row>
    <row r="770" spans="1:13" ht="25.5">
      <c r="A770" s="60" t="s">
        <v>80</v>
      </c>
      <c r="B770" s="29" t="s">
        <v>347</v>
      </c>
      <c r="C770" s="29" t="s">
        <v>130</v>
      </c>
      <c r="D770" s="29" t="s">
        <v>17</v>
      </c>
      <c r="E770" s="29" t="s">
        <v>379</v>
      </c>
      <c r="F770" s="29" t="s">
        <v>81</v>
      </c>
      <c r="G770" s="36">
        <f>G771</f>
        <v>100</v>
      </c>
      <c r="H770" s="36">
        <f t="shared" si="392"/>
        <v>100</v>
      </c>
      <c r="I770" s="36">
        <f t="shared" si="392"/>
        <v>0</v>
      </c>
      <c r="J770" s="36">
        <f t="shared" si="392"/>
        <v>0</v>
      </c>
      <c r="K770" s="36">
        <f t="shared" si="392"/>
        <v>0</v>
      </c>
      <c r="L770" s="36">
        <f t="shared" si="382"/>
        <v>0</v>
      </c>
      <c r="M770" s="36">
        <v>0</v>
      </c>
    </row>
    <row r="771" spans="1:13">
      <c r="A771" s="60" t="s">
        <v>271</v>
      </c>
      <c r="B771" s="29" t="s">
        <v>347</v>
      </c>
      <c r="C771" s="29" t="s">
        <v>130</v>
      </c>
      <c r="D771" s="29" t="s">
        <v>17</v>
      </c>
      <c r="E771" s="29" t="s">
        <v>379</v>
      </c>
      <c r="F771" s="29" t="s">
        <v>272</v>
      </c>
      <c r="G771" s="36">
        <v>100</v>
      </c>
      <c r="H771" s="36">
        <v>100</v>
      </c>
      <c r="I771" s="36">
        <v>0</v>
      </c>
      <c r="J771" s="36">
        <v>0</v>
      </c>
      <c r="K771" s="36">
        <v>0</v>
      </c>
      <c r="L771" s="36">
        <f t="shared" si="382"/>
        <v>0</v>
      </c>
      <c r="M771" s="36">
        <v>0</v>
      </c>
    </row>
    <row r="772" spans="1:13">
      <c r="A772" s="63" t="s">
        <v>612</v>
      </c>
      <c r="B772" s="29" t="s">
        <v>347</v>
      </c>
      <c r="C772" s="29" t="s">
        <v>130</v>
      </c>
      <c r="D772" s="29" t="s">
        <v>17</v>
      </c>
      <c r="E772" s="30" t="s">
        <v>613</v>
      </c>
      <c r="F772" s="29"/>
      <c r="G772" s="36"/>
      <c r="H772" s="36">
        <f>H773</f>
        <v>26506.687000000002</v>
      </c>
      <c r="I772" s="36">
        <f t="shared" ref="I772:K772" si="393">I773</f>
        <v>26506.687000000002</v>
      </c>
      <c r="J772" s="36">
        <f t="shared" si="393"/>
        <v>26506.687000000002</v>
      </c>
      <c r="K772" s="36">
        <f t="shared" si="393"/>
        <v>26506.687000000002</v>
      </c>
      <c r="L772" s="36">
        <f t="shared" ref="L772:L777" si="394">K772/H772*100</f>
        <v>100</v>
      </c>
      <c r="M772" s="36">
        <f t="shared" ref="M772:M777" si="395">K772/I772*100</f>
        <v>100</v>
      </c>
    </row>
    <row r="773" spans="1:13">
      <c r="A773" s="60" t="s">
        <v>612</v>
      </c>
      <c r="B773" s="29" t="s">
        <v>347</v>
      </c>
      <c r="C773" s="29" t="s">
        <v>130</v>
      </c>
      <c r="D773" s="29" t="s">
        <v>17</v>
      </c>
      <c r="E773" s="30" t="s">
        <v>614</v>
      </c>
      <c r="F773" s="29"/>
      <c r="G773" s="36"/>
      <c r="H773" s="36">
        <f>H774+H776</f>
        <v>26506.687000000002</v>
      </c>
      <c r="I773" s="36">
        <f t="shared" ref="I773:K773" si="396">I774+I776</f>
        <v>26506.687000000002</v>
      </c>
      <c r="J773" s="36">
        <f t="shared" si="396"/>
        <v>26506.687000000002</v>
      </c>
      <c r="K773" s="36">
        <f t="shared" si="396"/>
        <v>26506.687000000002</v>
      </c>
      <c r="L773" s="36">
        <f t="shared" si="394"/>
        <v>100</v>
      </c>
      <c r="M773" s="36">
        <f t="shared" si="395"/>
        <v>100</v>
      </c>
    </row>
    <row r="774" spans="1:13">
      <c r="A774" s="60" t="s">
        <v>26</v>
      </c>
      <c r="B774" s="29" t="s">
        <v>347</v>
      </c>
      <c r="C774" s="29" t="s">
        <v>130</v>
      </c>
      <c r="D774" s="29" t="s">
        <v>17</v>
      </c>
      <c r="E774" s="30" t="s">
        <v>614</v>
      </c>
      <c r="F774" s="29">
        <v>500</v>
      </c>
      <c r="G774" s="36"/>
      <c r="H774" s="36">
        <f>H775</f>
        <v>804.78700000000003</v>
      </c>
      <c r="I774" s="36">
        <f t="shared" ref="I774:K774" si="397">I775</f>
        <v>804.78700000000003</v>
      </c>
      <c r="J774" s="36">
        <f t="shared" si="397"/>
        <v>804.78700000000003</v>
      </c>
      <c r="K774" s="36">
        <f t="shared" si="397"/>
        <v>804.78700000000003</v>
      </c>
      <c r="L774" s="36">
        <f t="shared" si="394"/>
        <v>100</v>
      </c>
      <c r="M774" s="36">
        <f t="shared" si="395"/>
        <v>100</v>
      </c>
    </row>
    <row r="775" spans="1:13">
      <c r="A775" s="63" t="s">
        <v>352</v>
      </c>
      <c r="B775" s="29" t="s">
        <v>347</v>
      </c>
      <c r="C775" s="29" t="s">
        <v>130</v>
      </c>
      <c r="D775" s="29" t="s">
        <v>17</v>
      </c>
      <c r="E775" s="30" t="s">
        <v>614</v>
      </c>
      <c r="F775" s="29">
        <v>540</v>
      </c>
      <c r="G775" s="36"/>
      <c r="H775" s="36">
        <v>804.78700000000003</v>
      </c>
      <c r="I775" s="36">
        <v>804.78700000000003</v>
      </c>
      <c r="J775" s="36">
        <v>804.78700000000003</v>
      </c>
      <c r="K775" s="36">
        <v>804.78700000000003</v>
      </c>
      <c r="L775" s="36">
        <f t="shared" si="394"/>
        <v>100</v>
      </c>
      <c r="M775" s="36">
        <f t="shared" si="395"/>
        <v>100</v>
      </c>
    </row>
    <row r="776" spans="1:13" ht="25.5">
      <c r="A776" s="60" t="s">
        <v>80</v>
      </c>
      <c r="B776" s="29" t="s">
        <v>347</v>
      </c>
      <c r="C776" s="29" t="s">
        <v>130</v>
      </c>
      <c r="D776" s="29" t="s">
        <v>17</v>
      </c>
      <c r="E776" s="30" t="s">
        <v>614</v>
      </c>
      <c r="F776" s="29">
        <v>600</v>
      </c>
      <c r="G776" s="36"/>
      <c r="H776" s="36">
        <f>H777</f>
        <v>25701.9</v>
      </c>
      <c r="I776" s="36">
        <f t="shared" ref="I776:K776" si="398">I777</f>
        <v>25701.9</v>
      </c>
      <c r="J776" s="36">
        <f t="shared" si="398"/>
        <v>25701.9</v>
      </c>
      <c r="K776" s="36">
        <f t="shared" si="398"/>
        <v>25701.9</v>
      </c>
      <c r="L776" s="36">
        <f t="shared" si="394"/>
        <v>100</v>
      </c>
      <c r="M776" s="36">
        <f t="shared" si="395"/>
        <v>100</v>
      </c>
    </row>
    <row r="777" spans="1:13">
      <c r="A777" s="60" t="s">
        <v>271</v>
      </c>
      <c r="B777" s="29" t="s">
        <v>347</v>
      </c>
      <c r="C777" s="29" t="s">
        <v>130</v>
      </c>
      <c r="D777" s="29" t="s">
        <v>17</v>
      </c>
      <c r="E777" s="30" t="s">
        <v>614</v>
      </c>
      <c r="F777" s="29">
        <v>610</v>
      </c>
      <c r="G777" s="36"/>
      <c r="H777" s="36">
        <v>25701.9</v>
      </c>
      <c r="I777" s="36">
        <v>25701.9</v>
      </c>
      <c r="J777" s="36">
        <v>25701.9</v>
      </c>
      <c r="K777" s="36">
        <v>25701.9</v>
      </c>
      <c r="L777" s="36">
        <f t="shared" si="394"/>
        <v>100</v>
      </c>
      <c r="M777" s="36">
        <f t="shared" si="395"/>
        <v>100</v>
      </c>
    </row>
    <row r="778" spans="1:13">
      <c r="A778" s="60" t="s">
        <v>380</v>
      </c>
      <c r="B778" s="29" t="s">
        <v>347</v>
      </c>
      <c r="C778" s="29" t="s">
        <v>130</v>
      </c>
      <c r="D778" s="29" t="s">
        <v>19</v>
      </c>
      <c r="E778" s="59" t="s">
        <v>0</v>
      </c>
      <c r="F778" s="59" t="s">
        <v>0</v>
      </c>
      <c r="G778" s="36">
        <f>G779</f>
        <v>39382.399999999994</v>
      </c>
      <c r="H778" s="36">
        <f t="shared" ref="H778:K778" si="399">H779</f>
        <v>47629</v>
      </c>
      <c r="I778" s="36">
        <f t="shared" si="399"/>
        <v>22315.094979999998</v>
      </c>
      <c r="J778" s="36">
        <f t="shared" si="399"/>
        <v>22315.094979999998</v>
      </c>
      <c r="K778" s="36">
        <f t="shared" si="399"/>
        <v>22114.076289999997</v>
      </c>
      <c r="L778" s="36">
        <f t="shared" si="382"/>
        <v>46.429856369018871</v>
      </c>
      <c r="M778" s="36">
        <f t="shared" si="383"/>
        <v>99.099180665911732</v>
      </c>
    </row>
    <row r="779" spans="1:13" ht="25.5">
      <c r="A779" s="60" t="s">
        <v>47</v>
      </c>
      <c r="B779" s="29" t="s">
        <v>347</v>
      </c>
      <c r="C779" s="29" t="s">
        <v>130</v>
      </c>
      <c r="D779" s="29" t="s">
        <v>19</v>
      </c>
      <c r="E779" s="29" t="s">
        <v>48</v>
      </c>
      <c r="F779" s="59" t="s">
        <v>0</v>
      </c>
      <c r="G779" s="36">
        <f>G780+G787</f>
        <v>39382.399999999994</v>
      </c>
      <c r="H779" s="36">
        <f t="shared" ref="H779:K779" si="400">H780+H787</f>
        <v>47629</v>
      </c>
      <c r="I779" s="36">
        <f t="shared" si="400"/>
        <v>22315.094979999998</v>
      </c>
      <c r="J779" s="36">
        <f t="shared" si="400"/>
        <v>22315.094979999998</v>
      </c>
      <c r="K779" s="36">
        <f t="shared" si="400"/>
        <v>22114.076289999997</v>
      </c>
      <c r="L779" s="36">
        <f t="shared" si="382"/>
        <v>46.429856369018871</v>
      </c>
      <c r="M779" s="36">
        <f t="shared" si="383"/>
        <v>99.099180665911732</v>
      </c>
    </row>
    <row r="780" spans="1:13" ht="102">
      <c r="A780" s="60" t="s">
        <v>381</v>
      </c>
      <c r="B780" s="29" t="s">
        <v>347</v>
      </c>
      <c r="C780" s="29" t="s">
        <v>130</v>
      </c>
      <c r="D780" s="29" t="s">
        <v>19</v>
      </c>
      <c r="E780" s="29" t="s">
        <v>382</v>
      </c>
      <c r="F780" s="59" t="s">
        <v>0</v>
      </c>
      <c r="G780" s="36">
        <f>G781+G783+G785</f>
        <v>10240.5</v>
      </c>
      <c r="H780" s="36">
        <f t="shared" ref="H780:K780" si="401">H781+H783+H785</f>
        <v>10240.5</v>
      </c>
      <c r="I780" s="36">
        <f t="shared" si="401"/>
        <v>4876.1949800000002</v>
      </c>
      <c r="J780" s="36">
        <f t="shared" si="401"/>
        <v>4876.1949800000002</v>
      </c>
      <c r="K780" s="36">
        <f t="shared" si="401"/>
        <v>4757.85095</v>
      </c>
      <c r="L780" s="36">
        <f t="shared" si="382"/>
        <v>46.46111957423954</v>
      </c>
      <c r="M780" s="36">
        <f t="shared" si="383"/>
        <v>97.573025063899308</v>
      </c>
    </row>
    <row r="781" spans="1:13" ht="63.75">
      <c r="A781" s="60" t="s">
        <v>60</v>
      </c>
      <c r="B781" s="29" t="s">
        <v>347</v>
      </c>
      <c r="C781" s="29" t="s">
        <v>130</v>
      </c>
      <c r="D781" s="29" t="s">
        <v>19</v>
      </c>
      <c r="E781" s="29" t="s">
        <v>382</v>
      </c>
      <c r="F781" s="29" t="s">
        <v>61</v>
      </c>
      <c r="G781" s="36">
        <f>G782</f>
        <v>8958.4</v>
      </c>
      <c r="H781" s="36">
        <f t="shared" ref="H781:K781" si="402">H782</f>
        <v>8958.4</v>
      </c>
      <c r="I781" s="36">
        <f t="shared" si="402"/>
        <v>4175.2246599999999</v>
      </c>
      <c r="J781" s="36">
        <f t="shared" si="402"/>
        <v>4175.2246599999999</v>
      </c>
      <c r="K781" s="36">
        <f t="shared" si="402"/>
        <v>4081.7557400000001</v>
      </c>
      <c r="L781" s="36">
        <f t="shared" si="382"/>
        <v>45.563445927844256</v>
      </c>
      <c r="M781" s="36">
        <f t="shared" si="383"/>
        <v>97.761343936879314</v>
      </c>
    </row>
    <row r="782" spans="1:13" ht="25.5">
      <c r="A782" s="60" t="s">
        <v>62</v>
      </c>
      <c r="B782" s="29" t="s">
        <v>347</v>
      </c>
      <c r="C782" s="29" t="s">
        <v>130</v>
      </c>
      <c r="D782" s="29" t="s">
        <v>19</v>
      </c>
      <c r="E782" s="29" t="s">
        <v>382</v>
      </c>
      <c r="F782" s="29" t="s">
        <v>63</v>
      </c>
      <c r="G782" s="36">
        <v>8958.4</v>
      </c>
      <c r="H782" s="36">
        <v>8958.4</v>
      </c>
      <c r="I782" s="36">
        <f>3061.95183+190.995+922.27783</f>
        <v>4175.2246599999999</v>
      </c>
      <c r="J782" s="36">
        <f>3061.95183+190.995+922.27783</f>
        <v>4175.2246599999999</v>
      </c>
      <c r="K782" s="36">
        <f>3028.6741+150.4103+902.67134</f>
        <v>4081.7557400000001</v>
      </c>
      <c r="L782" s="36">
        <f t="shared" si="382"/>
        <v>45.563445927844256</v>
      </c>
      <c r="M782" s="36">
        <f t="shared" si="383"/>
        <v>97.761343936879314</v>
      </c>
    </row>
    <row r="783" spans="1:13" ht="25.5">
      <c r="A783" s="60" t="s">
        <v>64</v>
      </c>
      <c r="B783" s="29" t="s">
        <v>347</v>
      </c>
      <c r="C783" s="29" t="s">
        <v>130</v>
      </c>
      <c r="D783" s="29" t="s">
        <v>19</v>
      </c>
      <c r="E783" s="29" t="s">
        <v>382</v>
      </c>
      <c r="F783" s="29" t="s">
        <v>65</v>
      </c>
      <c r="G783" s="36">
        <f>G784</f>
        <v>1280.9000000000001</v>
      </c>
      <c r="H783" s="36">
        <f t="shared" ref="H783:K783" si="403">H784</f>
        <v>1280.9000000000001</v>
      </c>
      <c r="I783" s="36">
        <f t="shared" si="403"/>
        <v>700.22032000000002</v>
      </c>
      <c r="J783" s="36">
        <f t="shared" si="403"/>
        <v>700.22032000000002</v>
      </c>
      <c r="K783" s="36">
        <f t="shared" si="403"/>
        <v>675.65821000000005</v>
      </c>
      <c r="L783" s="36">
        <f t="shared" si="382"/>
        <v>52.748708720430947</v>
      </c>
      <c r="M783" s="36">
        <f t="shared" si="383"/>
        <v>96.49223118803522</v>
      </c>
    </row>
    <row r="784" spans="1:13" ht="25.5">
      <c r="A784" s="60" t="s">
        <v>66</v>
      </c>
      <c r="B784" s="29" t="s">
        <v>347</v>
      </c>
      <c r="C784" s="29" t="s">
        <v>130</v>
      </c>
      <c r="D784" s="29" t="s">
        <v>19</v>
      </c>
      <c r="E784" s="29" t="s">
        <v>382</v>
      </c>
      <c r="F784" s="29" t="s">
        <v>67</v>
      </c>
      <c r="G784" s="36">
        <v>1280.9000000000001</v>
      </c>
      <c r="H784" s="36">
        <v>1280.9000000000001</v>
      </c>
      <c r="I784" s="36">
        <v>700.22032000000002</v>
      </c>
      <c r="J784" s="36">
        <v>700.22032000000002</v>
      </c>
      <c r="K784" s="36">
        <v>675.65821000000005</v>
      </c>
      <c r="L784" s="36">
        <f t="shared" si="382"/>
        <v>52.748708720430947</v>
      </c>
      <c r="M784" s="36">
        <f t="shared" si="383"/>
        <v>96.49223118803522</v>
      </c>
    </row>
    <row r="785" spans="1:13">
      <c r="A785" s="60" t="s">
        <v>72</v>
      </c>
      <c r="B785" s="29" t="s">
        <v>347</v>
      </c>
      <c r="C785" s="29" t="s">
        <v>130</v>
      </c>
      <c r="D785" s="29" t="s">
        <v>19</v>
      </c>
      <c r="E785" s="29" t="s">
        <v>382</v>
      </c>
      <c r="F785" s="29" t="s">
        <v>73</v>
      </c>
      <c r="G785" s="36">
        <f>G786</f>
        <v>1.2</v>
      </c>
      <c r="H785" s="36">
        <f t="shared" ref="H785:K785" si="404">H786</f>
        <v>1.2</v>
      </c>
      <c r="I785" s="36">
        <f t="shared" si="404"/>
        <v>0.75</v>
      </c>
      <c r="J785" s="36">
        <f t="shared" si="404"/>
        <v>0.75</v>
      </c>
      <c r="K785" s="36">
        <f t="shared" si="404"/>
        <v>0.437</v>
      </c>
      <c r="L785" s="36">
        <f t="shared" si="382"/>
        <v>36.416666666666671</v>
      </c>
      <c r="M785" s="36">
        <f t="shared" si="383"/>
        <v>58.266666666666666</v>
      </c>
    </row>
    <row r="786" spans="1:13">
      <c r="A786" s="60" t="s">
        <v>74</v>
      </c>
      <c r="B786" s="29" t="s">
        <v>347</v>
      </c>
      <c r="C786" s="29" t="s">
        <v>130</v>
      </c>
      <c r="D786" s="29" t="s">
        <v>19</v>
      </c>
      <c r="E786" s="29" t="s">
        <v>382</v>
      </c>
      <c r="F786" s="29" t="s">
        <v>75</v>
      </c>
      <c r="G786" s="36">
        <v>1.2</v>
      </c>
      <c r="H786" s="36">
        <v>1.2</v>
      </c>
      <c r="I786" s="36">
        <v>0.75</v>
      </c>
      <c r="J786" s="36">
        <v>0.75</v>
      </c>
      <c r="K786" s="36">
        <v>0.437</v>
      </c>
      <c r="L786" s="36">
        <f t="shared" si="382"/>
        <v>36.416666666666671</v>
      </c>
      <c r="M786" s="36">
        <f t="shared" si="383"/>
        <v>58.266666666666666</v>
      </c>
    </row>
    <row r="787" spans="1:13" ht="25.5">
      <c r="A787" s="60" t="s">
        <v>58</v>
      </c>
      <c r="B787" s="29" t="s">
        <v>347</v>
      </c>
      <c r="C787" s="29" t="s">
        <v>130</v>
      </c>
      <c r="D787" s="29" t="s">
        <v>19</v>
      </c>
      <c r="E787" s="29" t="s">
        <v>383</v>
      </c>
      <c r="F787" s="59" t="s">
        <v>0</v>
      </c>
      <c r="G787" s="36">
        <f>G788+G790+G794</f>
        <v>29141.899999999998</v>
      </c>
      <c r="H787" s="36">
        <f>H788+H790+H794+H792</f>
        <v>37388.5</v>
      </c>
      <c r="I787" s="36">
        <f>I788+I790+I794+I792</f>
        <v>17438.899999999998</v>
      </c>
      <c r="J787" s="36">
        <f t="shared" ref="J787:K787" si="405">J788+J790+J794+J792</f>
        <v>17438.899999999998</v>
      </c>
      <c r="K787" s="36">
        <f t="shared" si="405"/>
        <v>17356.225339999997</v>
      </c>
      <c r="L787" s="36">
        <f t="shared" si="382"/>
        <v>46.421293552830406</v>
      </c>
      <c r="M787" s="36">
        <f t="shared" si="383"/>
        <v>99.52591814850706</v>
      </c>
    </row>
    <row r="788" spans="1:13" ht="63.75">
      <c r="A788" s="60" t="s">
        <v>60</v>
      </c>
      <c r="B788" s="29" t="s">
        <v>347</v>
      </c>
      <c r="C788" s="29" t="s">
        <v>130</v>
      </c>
      <c r="D788" s="29" t="s">
        <v>19</v>
      </c>
      <c r="E788" s="29" t="s">
        <v>383</v>
      </c>
      <c r="F788" s="29" t="s">
        <v>61</v>
      </c>
      <c r="G788" s="36">
        <f>G789</f>
        <v>28126</v>
      </c>
      <c r="H788" s="36">
        <f t="shared" ref="H788:K788" si="406">H789</f>
        <v>35845.454149999998</v>
      </c>
      <c r="I788" s="36">
        <f t="shared" si="406"/>
        <v>16765.094689999998</v>
      </c>
      <c r="J788" s="36">
        <f t="shared" si="406"/>
        <v>16765.094689999998</v>
      </c>
      <c r="K788" s="36">
        <f t="shared" si="406"/>
        <v>16743.162819999998</v>
      </c>
      <c r="L788" s="36">
        <f t="shared" si="382"/>
        <v>46.709305871634484</v>
      </c>
      <c r="M788" s="36">
        <f t="shared" si="383"/>
        <v>99.869181353248891</v>
      </c>
    </row>
    <row r="789" spans="1:13" ht="25.5">
      <c r="A789" s="60" t="s">
        <v>62</v>
      </c>
      <c r="B789" s="29" t="s">
        <v>347</v>
      </c>
      <c r="C789" s="29" t="s">
        <v>130</v>
      </c>
      <c r="D789" s="29" t="s">
        <v>19</v>
      </c>
      <c r="E789" s="29" t="s">
        <v>383</v>
      </c>
      <c r="F789" s="29" t="s">
        <v>63</v>
      </c>
      <c r="G789" s="36">
        <v>28126</v>
      </c>
      <c r="H789" s="36">
        <v>35845.454149999998</v>
      </c>
      <c r="I789" s="36">
        <f>12181.5+783.59469+3800</f>
        <v>16765.094689999998</v>
      </c>
      <c r="J789" s="36">
        <f>12181.5+783.59469+3800</f>
        <v>16765.094689999998</v>
      </c>
      <c r="K789" s="36">
        <f>12165.59189+777.57093+3800</f>
        <v>16743.162819999998</v>
      </c>
      <c r="L789" s="36">
        <f t="shared" si="382"/>
        <v>46.709305871634484</v>
      </c>
      <c r="M789" s="36">
        <f t="shared" si="383"/>
        <v>99.869181353248891</v>
      </c>
    </row>
    <row r="790" spans="1:13" ht="25.5">
      <c r="A790" s="60" t="s">
        <v>64</v>
      </c>
      <c r="B790" s="29" t="s">
        <v>347</v>
      </c>
      <c r="C790" s="29" t="s">
        <v>130</v>
      </c>
      <c r="D790" s="29" t="s">
        <v>19</v>
      </c>
      <c r="E790" s="29" t="s">
        <v>383</v>
      </c>
      <c r="F790" s="29" t="s">
        <v>65</v>
      </c>
      <c r="G790" s="36">
        <f>G791</f>
        <v>1015.1</v>
      </c>
      <c r="H790" s="36">
        <f t="shared" ref="H790:K790" si="407">H791</f>
        <v>1289.4000000000001</v>
      </c>
      <c r="I790" s="36">
        <f t="shared" si="407"/>
        <v>519.4</v>
      </c>
      <c r="J790" s="36">
        <f t="shared" si="407"/>
        <v>519.4</v>
      </c>
      <c r="K790" s="36">
        <f t="shared" si="407"/>
        <v>458.65721000000002</v>
      </c>
      <c r="L790" s="36">
        <f t="shared" si="382"/>
        <v>35.571367302621368</v>
      </c>
      <c r="M790" s="36">
        <f t="shared" si="383"/>
        <v>88.305200231035812</v>
      </c>
    </row>
    <row r="791" spans="1:13" ht="25.5">
      <c r="A791" s="60" t="s">
        <v>66</v>
      </c>
      <c r="B791" s="29" t="s">
        <v>347</v>
      </c>
      <c r="C791" s="29" t="s">
        <v>130</v>
      </c>
      <c r="D791" s="29" t="s">
        <v>19</v>
      </c>
      <c r="E791" s="29" t="s">
        <v>383</v>
      </c>
      <c r="F791" s="29" t="s">
        <v>67</v>
      </c>
      <c r="G791" s="36">
        <v>1015.1</v>
      </c>
      <c r="H791" s="36">
        <v>1289.4000000000001</v>
      </c>
      <c r="I791" s="36">
        <v>519.4</v>
      </c>
      <c r="J791" s="36">
        <v>519.4</v>
      </c>
      <c r="K791" s="36">
        <v>458.65721000000002</v>
      </c>
      <c r="L791" s="36">
        <f t="shared" si="382"/>
        <v>35.571367302621368</v>
      </c>
      <c r="M791" s="36">
        <f t="shared" si="383"/>
        <v>88.305200231035812</v>
      </c>
    </row>
    <row r="792" spans="1:13">
      <c r="A792" s="60" t="s">
        <v>68</v>
      </c>
      <c r="B792" s="29" t="s">
        <v>347</v>
      </c>
      <c r="C792" s="29" t="s">
        <v>130</v>
      </c>
      <c r="D792" s="29" t="s">
        <v>19</v>
      </c>
      <c r="E792" s="29" t="s">
        <v>383</v>
      </c>
      <c r="F792" s="29">
        <v>300</v>
      </c>
      <c r="G792" s="36"/>
      <c r="H792" s="36">
        <f>H793</f>
        <v>252.84585000000001</v>
      </c>
      <c r="I792" s="36">
        <f>I793</f>
        <v>154.40530999999999</v>
      </c>
      <c r="J792" s="36">
        <f>J793</f>
        <v>154.40530999999999</v>
      </c>
      <c r="K792" s="36">
        <f>K793</f>
        <v>154.40530999999999</v>
      </c>
      <c r="L792" s="36">
        <f t="shared" ref="L792:L793" si="408">K792/H792*100</f>
        <v>61.066974205825396</v>
      </c>
      <c r="M792" s="36">
        <f t="shared" ref="M792:M793" si="409">K792/I792*100</f>
        <v>100</v>
      </c>
    </row>
    <row r="793" spans="1:13" ht="25.5">
      <c r="A793" s="60" t="s">
        <v>151</v>
      </c>
      <c r="B793" s="29" t="s">
        <v>347</v>
      </c>
      <c r="C793" s="29" t="s">
        <v>130</v>
      </c>
      <c r="D793" s="29" t="s">
        <v>19</v>
      </c>
      <c r="E793" s="29" t="s">
        <v>383</v>
      </c>
      <c r="F793" s="29">
        <v>320</v>
      </c>
      <c r="G793" s="36"/>
      <c r="H793" s="36">
        <v>252.84585000000001</v>
      </c>
      <c r="I793" s="36">
        <v>154.40530999999999</v>
      </c>
      <c r="J793" s="36">
        <v>154.40530999999999</v>
      </c>
      <c r="K793" s="36">
        <v>154.40530999999999</v>
      </c>
      <c r="L793" s="36">
        <f t="shared" si="408"/>
        <v>61.066974205825396</v>
      </c>
      <c r="M793" s="36">
        <f t="shared" si="409"/>
        <v>100</v>
      </c>
    </row>
    <row r="794" spans="1:13">
      <c r="A794" s="60" t="s">
        <v>72</v>
      </c>
      <c r="B794" s="29" t="s">
        <v>347</v>
      </c>
      <c r="C794" s="29" t="s">
        <v>130</v>
      </c>
      <c r="D794" s="29" t="s">
        <v>19</v>
      </c>
      <c r="E794" s="29" t="s">
        <v>383</v>
      </c>
      <c r="F794" s="29" t="s">
        <v>73</v>
      </c>
      <c r="G794" s="36">
        <f>G795</f>
        <v>0.8</v>
      </c>
      <c r="H794" s="36">
        <f t="shared" ref="H794:K794" si="410">H795</f>
        <v>0.8</v>
      </c>
      <c r="I794" s="36">
        <f t="shared" si="410"/>
        <v>0</v>
      </c>
      <c r="J794" s="36">
        <f t="shared" si="410"/>
        <v>0</v>
      </c>
      <c r="K794" s="36">
        <f t="shared" si="410"/>
        <v>0</v>
      </c>
      <c r="L794" s="36">
        <f t="shared" si="382"/>
        <v>0</v>
      </c>
      <c r="M794" s="36">
        <v>0</v>
      </c>
    </row>
    <row r="795" spans="1:13">
      <c r="A795" s="60" t="s">
        <v>74</v>
      </c>
      <c r="B795" s="29" t="s">
        <v>347</v>
      </c>
      <c r="C795" s="29" t="s">
        <v>130</v>
      </c>
      <c r="D795" s="29" t="s">
        <v>19</v>
      </c>
      <c r="E795" s="29" t="s">
        <v>383</v>
      </c>
      <c r="F795" s="29" t="s">
        <v>75</v>
      </c>
      <c r="G795" s="36">
        <v>0.8</v>
      </c>
      <c r="H795" s="36">
        <v>0.8</v>
      </c>
      <c r="I795" s="36">
        <v>0</v>
      </c>
      <c r="J795" s="36">
        <v>0</v>
      </c>
      <c r="K795" s="36">
        <v>0</v>
      </c>
      <c r="L795" s="36">
        <f t="shared" si="382"/>
        <v>0</v>
      </c>
      <c r="M795" s="36">
        <v>0</v>
      </c>
    </row>
    <row r="796" spans="1:13">
      <c r="A796" s="60"/>
      <c r="B796" s="29"/>
      <c r="C796" s="29"/>
      <c r="D796" s="29"/>
      <c r="E796" s="29"/>
      <c r="F796" s="29"/>
      <c r="G796" s="36"/>
      <c r="H796" s="36"/>
      <c r="I796" s="36"/>
      <c r="J796" s="36"/>
      <c r="K796" s="36"/>
      <c r="L796" s="36"/>
      <c r="M796" s="36"/>
    </row>
    <row r="797" spans="1:13" ht="25.5">
      <c r="A797" s="74" t="s">
        <v>1139</v>
      </c>
      <c r="B797" s="75" t="s">
        <v>1140</v>
      </c>
      <c r="C797" s="29"/>
      <c r="D797" s="29"/>
      <c r="E797" s="29"/>
      <c r="F797" s="29"/>
      <c r="G797" s="36"/>
      <c r="H797" s="76">
        <f>H798+H823</f>
        <v>477909.39114999998</v>
      </c>
      <c r="I797" s="76">
        <f t="shared" ref="I797:K797" si="411">I798+I823</f>
        <v>232660.55614999996</v>
      </c>
      <c r="J797" s="76">
        <f t="shared" si="411"/>
        <v>220845.88114999997</v>
      </c>
      <c r="K797" s="76">
        <f t="shared" si="411"/>
        <v>217487.04116999998</v>
      </c>
      <c r="L797" s="76">
        <f t="shared" ref="L797:L836" si="412">K797/H797*100</f>
        <v>45.508007416773694</v>
      </c>
      <c r="M797" s="76">
        <f t="shared" ref="M797:M836" si="413">K797/I797*100</f>
        <v>93.478260676804453</v>
      </c>
    </row>
    <row r="798" spans="1:13">
      <c r="A798" s="60" t="s">
        <v>16</v>
      </c>
      <c r="B798" s="68" t="s">
        <v>1140</v>
      </c>
      <c r="C798" s="29" t="s">
        <v>17</v>
      </c>
      <c r="D798" s="29"/>
      <c r="E798" s="29"/>
      <c r="F798" s="29"/>
      <c r="G798" s="36"/>
      <c r="H798" s="36">
        <f>H799</f>
        <v>460880.1</v>
      </c>
      <c r="I798" s="36">
        <f t="shared" ref="I798:K798" si="414">I799</f>
        <v>220138.93999999997</v>
      </c>
      <c r="J798" s="36">
        <f t="shared" si="414"/>
        <v>214012.38999999998</v>
      </c>
      <c r="K798" s="36">
        <f t="shared" si="414"/>
        <v>214012.38999999998</v>
      </c>
      <c r="L798" s="36">
        <f t="shared" si="412"/>
        <v>46.435589212899409</v>
      </c>
      <c r="M798" s="36">
        <f t="shared" si="413"/>
        <v>97.216962160352011</v>
      </c>
    </row>
    <row r="799" spans="1:13">
      <c r="A799" s="60" t="s">
        <v>386</v>
      </c>
      <c r="B799" s="68" t="s">
        <v>1140</v>
      </c>
      <c r="C799" s="29" t="s">
        <v>17</v>
      </c>
      <c r="D799" s="29" t="s">
        <v>387</v>
      </c>
      <c r="E799" s="29"/>
      <c r="F799" s="29"/>
      <c r="G799" s="36"/>
      <c r="H799" s="36">
        <f>H800+H805</f>
        <v>460880.1</v>
      </c>
      <c r="I799" s="36">
        <f t="shared" ref="I799:K799" si="415">I800+I805</f>
        <v>220138.93999999997</v>
      </c>
      <c r="J799" s="36">
        <f t="shared" si="415"/>
        <v>214012.38999999998</v>
      </c>
      <c r="K799" s="36">
        <f t="shared" si="415"/>
        <v>214012.38999999998</v>
      </c>
      <c r="L799" s="36">
        <f t="shared" si="412"/>
        <v>46.435589212899409</v>
      </c>
      <c r="M799" s="36">
        <f t="shared" si="413"/>
        <v>97.216962160352011</v>
      </c>
    </row>
    <row r="800" spans="1:13" ht="69.75" customHeight="1">
      <c r="A800" s="60" t="s">
        <v>166</v>
      </c>
      <c r="B800" s="68" t="s">
        <v>1140</v>
      </c>
      <c r="C800" s="29" t="s">
        <v>17</v>
      </c>
      <c r="D800" s="29" t="s">
        <v>387</v>
      </c>
      <c r="E800" s="30" t="s">
        <v>167</v>
      </c>
      <c r="F800" s="29"/>
      <c r="G800" s="36"/>
      <c r="H800" s="36">
        <f>H801</f>
        <v>28634</v>
      </c>
      <c r="I800" s="36">
        <f t="shared" ref="I800:K803" si="416">I801</f>
        <v>10868.4</v>
      </c>
      <c r="J800" s="36">
        <f t="shared" si="416"/>
        <v>7936.4</v>
      </c>
      <c r="K800" s="36">
        <f t="shared" si="416"/>
        <v>7936.4</v>
      </c>
      <c r="L800" s="36">
        <f t="shared" si="412"/>
        <v>27.716700426066915</v>
      </c>
      <c r="M800" s="36">
        <f t="shared" si="413"/>
        <v>73.022708034301274</v>
      </c>
    </row>
    <row r="801" spans="1:13" ht="46.5" customHeight="1">
      <c r="A801" s="60" t="s">
        <v>910</v>
      </c>
      <c r="B801" s="68" t="s">
        <v>1140</v>
      </c>
      <c r="C801" s="29" t="s">
        <v>17</v>
      </c>
      <c r="D801" s="29" t="s">
        <v>387</v>
      </c>
      <c r="E801" s="30" t="s">
        <v>911</v>
      </c>
      <c r="F801" s="29"/>
      <c r="G801" s="36"/>
      <c r="H801" s="36">
        <f>H802</f>
        <v>28634</v>
      </c>
      <c r="I801" s="36">
        <f t="shared" si="416"/>
        <v>10868.4</v>
      </c>
      <c r="J801" s="36">
        <f t="shared" si="416"/>
        <v>7936.4</v>
      </c>
      <c r="K801" s="36">
        <f t="shared" si="416"/>
        <v>7936.4</v>
      </c>
      <c r="L801" s="36">
        <f t="shared" si="412"/>
        <v>27.716700426066915</v>
      </c>
      <c r="M801" s="36">
        <f t="shared" si="413"/>
        <v>73.022708034301274</v>
      </c>
    </row>
    <row r="802" spans="1:13" ht="32.25" customHeight="1">
      <c r="A802" s="60" t="s">
        <v>748</v>
      </c>
      <c r="B802" s="68" t="s">
        <v>1140</v>
      </c>
      <c r="C802" s="29" t="s">
        <v>17</v>
      </c>
      <c r="D802" s="29" t="s">
        <v>387</v>
      </c>
      <c r="E802" s="30" t="s">
        <v>952</v>
      </c>
      <c r="F802" s="29"/>
      <c r="G802" s="36"/>
      <c r="H802" s="36">
        <f>H803</f>
        <v>28634</v>
      </c>
      <c r="I802" s="36">
        <f t="shared" si="416"/>
        <v>10868.4</v>
      </c>
      <c r="J802" s="36">
        <f t="shared" si="416"/>
        <v>7936.4</v>
      </c>
      <c r="K802" s="36">
        <f t="shared" si="416"/>
        <v>7936.4</v>
      </c>
      <c r="L802" s="36">
        <f t="shared" si="412"/>
        <v>27.716700426066915</v>
      </c>
      <c r="M802" s="36">
        <f t="shared" si="413"/>
        <v>73.022708034301274</v>
      </c>
    </row>
    <row r="803" spans="1:13" ht="25.5">
      <c r="A803" s="60" t="s">
        <v>80</v>
      </c>
      <c r="B803" s="68" t="s">
        <v>1140</v>
      </c>
      <c r="C803" s="29" t="s">
        <v>17</v>
      </c>
      <c r="D803" s="29" t="s">
        <v>387</v>
      </c>
      <c r="E803" s="30" t="s">
        <v>952</v>
      </c>
      <c r="F803" s="29">
        <v>600</v>
      </c>
      <c r="G803" s="36"/>
      <c r="H803" s="36">
        <f>H804</f>
        <v>28634</v>
      </c>
      <c r="I803" s="36">
        <f t="shared" si="416"/>
        <v>10868.4</v>
      </c>
      <c r="J803" s="36">
        <f t="shared" si="416"/>
        <v>7936.4</v>
      </c>
      <c r="K803" s="36">
        <f t="shared" si="416"/>
        <v>7936.4</v>
      </c>
      <c r="L803" s="36">
        <f t="shared" si="412"/>
        <v>27.716700426066915</v>
      </c>
      <c r="M803" s="36">
        <f t="shared" si="413"/>
        <v>73.022708034301274</v>
      </c>
    </row>
    <row r="804" spans="1:13">
      <c r="A804" s="60" t="s">
        <v>82</v>
      </c>
      <c r="B804" s="68" t="s">
        <v>1140</v>
      </c>
      <c r="C804" s="29" t="s">
        <v>17</v>
      </c>
      <c r="D804" s="29" t="s">
        <v>387</v>
      </c>
      <c r="E804" s="30" t="s">
        <v>952</v>
      </c>
      <c r="F804" s="29">
        <v>620</v>
      </c>
      <c r="G804" s="36"/>
      <c r="H804" s="36">
        <v>28634</v>
      </c>
      <c r="I804" s="36">
        <v>10868.4</v>
      </c>
      <c r="J804" s="36">
        <v>7936.4</v>
      </c>
      <c r="K804" s="36">
        <v>7936.4</v>
      </c>
      <c r="L804" s="36">
        <f t="shared" si="412"/>
        <v>27.716700426066915</v>
      </c>
      <c r="M804" s="36">
        <f t="shared" si="413"/>
        <v>73.022708034301274</v>
      </c>
    </row>
    <row r="805" spans="1:13" ht="41.25" customHeight="1">
      <c r="A805" s="60" t="s">
        <v>734</v>
      </c>
      <c r="B805" s="68" t="s">
        <v>1140</v>
      </c>
      <c r="C805" s="29" t="s">
        <v>17</v>
      </c>
      <c r="D805" s="29" t="s">
        <v>387</v>
      </c>
      <c r="E805" s="30" t="s">
        <v>735</v>
      </c>
      <c r="F805" s="29"/>
      <c r="G805" s="36"/>
      <c r="H805" s="36">
        <f>H806+H815</f>
        <v>432246.1</v>
      </c>
      <c r="I805" s="36">
        <f t="shared" ref="I805:K805" si="417">I806+I815</f>
        <v>209270.53999999998</v>
      </c>
      <c r="J805" s="36">
        <f t="shared" si="417"/>
        <v>206075.99</v>
      </c>
      <c r="K805" s="36">
        <f t="shared" si="417"/>
        <v>206075.99</v>
      </c>
      <c r="L805" s="36">
        <f t="shared" si="412"/>
        <v>47.675615812380954</v>
      </c>
      <c r="M805" s="36">
        <f t="shared" si="413"/>
        <v>98.47348317637065</v>
      </c>
    </row>
    <row r="806" spans="1:13" ht="56.25" customHeight="1">
      <c r="A806" s="60" t="s">
        <v>975</v>
      </c>
      <c r="B806" s="68" t="s">
        <v>1140</v>
      </c>
      <c r="C806" s="29" t="s">
        <v>17</v>
      </c>
      <c r="D806" s="29" t="s">
        <v>387</v>
      </c>
      <c r="E806" s="30" t="s">
        <v>976</v>
      </c>
      <c r="F806" s="29"/>
      <c r="G806" s="36"/>
      <c r="H806" s="36">
        <f>H807+H810</f>
        <v>353436.5</v>
      </c>
      <c r="I806" s="36">
        <f t="shared" ref="I806:K806" si="418">I807+I810</f>
        <v>163463.74</v>
      </c>
      <c r="J806" s="36">
        <f t="shared" si="418"/>
        <v>163463.74</v>
      </c>
      <c r="K806" s="36">
        <f t="shared" si="418"/>
        <v>163463.74</v>
      </c>
      <c r="L806" s="36">
        <f t="shared" si="412"/>
        <v>46.249818567125914</v>
      </c>
      <c r="M806" s="36">
        <f t="shared" si="413"/>
        <v>100</v>
      </c>
    </row>
    <row r="807" spans="1:13" ht="29.25" customHeight="1">
      <c r="A807" s="60" t="s">
        <v>76</v>
      </c>
      <c r="B807" s="68" t="s">
        <v>1140</v>
      </c>
      <c r="C807" s="29" t="s">
        <v>17</v>
      </c>
      <c r="D807" s="29" t="s">
        <v>387</v>
      </c>
      <c r="E807" s="30" t="s">
        <v>977</v>
      </c>
      <c r="F807" s="29"/>
      <c r="G807" s="36"/>
      <c r="H807" s="36">
        <f>H808</f>
        <v>221727.5</v>
      </c>
      <c r="I807" s="36">
        <f t="shared" ref="I807:K808" si="419">I808</f>
        <v>68976.399999999994</v>
      </c>
      <c r="J807" s="36">
        <f t="shared" si="419"/>
        <v>68976.399999999994</v>
      </c>
      <c r="K807" s="36">
        <f t="shared" si="419"/>
        <v>68976.399999999994</v>
      </c>
      <c r="L807" s="36">
        <f t="shared" si="412"/>
        <v>31.108635600004508</v>
      </c>
      <c r="M807" s="36">
        <f t="shared" si="413"/>
        <v>100</v>
      </c>
    </row>
    <row r="808" spans="1:13" ht="25.5">
      <c r="A808" s="60" t="s">
        <v>80</v>
      </c>
      <c r="B808" s="68" t="s">
        <v>1140</v>
      </c>
      <c r="C808" s="29" t="s">
        <v>17</v>
      </c>
      <c r="D808" s="29" t="s">
        <v>387</v>
      </c>
      <c r="E808" s="30" t="s">
        <v>977</v>
      </c>
      <c r="F808" s="29">
        <v>600</v>
      </c>
      <c r="G808" s="36"/>
      <c r="H808" s="36">
        <f>H809</f>
        <v>221727.5</v>
      </c>
      <c r="I808" s="36">
        <f t="shared" si="419"/>
        <v>68976.399999999994</v>
      </c>
      <c r="J808" s="36">
        <f t="shared" si="419"/>
        <v>68976.399999999994</v>
      </c>
      <c r="K808" s="36">
        <f t="shared" si="419"/>
        <v>68976.399999999994</v>
      </c>
      <c r="L808" s="36">
        <f t="shared" si="412"/>
        <v>31.108635600004508</v>
      </c>
      <c r="M808" s="36">
        <f t="shared" si="413"/>
        <v>100</v>
      </c>
    </row>
    <row r="809" spans="1:13">
      <c r="A809" s="60" t="s">
        <v>82</v>
      </c>
      <c r="B809" s="68" t="s">
        <v>1140</v>
      </c>
      <c r="C809" s="29" t="s">
        <v>17</v>
      </c>
      <c r="D809" s="29" t="s">
        <v>387</v>
      </c>
      <c r="E809" s="30" t="s">
        <v>977</v>
      </c>
      <c r="F809" s="29">
        <v>620</v>
      </c>
      <c r="G809" s="36"/>
      <c r="H809" s="36">
        <v>221727.5</v>
      </c>
      <c r="I809" s="36">
        <v>68976.399999999994</v>
      </c>
      <c r="J809" s="36">
        <v>68976.399999999994</v>
      </c>
      <c r="K809" s="36">
        <v>68976.399999999994</v>
      </c>
      <c r="L809" s="36">
        <f t="shared" si="412"/>
        <v>31.108635600004508</v>
      </c>
      <c r="M809" s="36">
        <f t="shared" si="413"/>
        <v>100</v>
      </c>
    </row>
    <row r="810" spans="1:13" ht="39.75" customHeight="1">
      <c r="A810" s="60" t="s">
        <v>748</v>
      </c>
      <c r="B810" s="68" t="s">
        <v>1140</v>
      </c>
      <c r="C810" s="29" t="s">
        <v>17</v>
      </c>
      <c r="D810" s="29" t="s">
        <v>387</v>
      </c>
      <c r="E810" s="30" t="s">
        <v>978</v>
      </c>
      <c r="F810" s="29"/>
      <c r="G810" s="36"/>
      <c r="H810" s="36">
        <f>H811+H813</f>
        <v>131709</v>
      </c>
      <c r="I810" s="36">
        <f t="shared" ref="I810:K810" si="420">I811+I813</f>
        <v>94487.34</v>
      </c>
      <c r="J810" s="36">
        <f t="shared" si="420"/>
        <v>94487.34</v>
      </c>
      <c r="K810" s="36">
        <f t="shared" si="420"/>
        <v>94487.34</v>
      </c>
      <c r="L810" s="36">
        <f t="shared" si="412"/>
        <v>71.739471106758074</v>
      </c>
      <c r="M810" s="36">
        <f t="shared" si="413"/>
        <v>100</v>
      </c>
    </row>
    <row r="811" spans="1:13" ht="25.5">
      <c r="A811" s="60" t="s">
        <v>39</v>
      </c>
      <c r="B811" s="68" t="s">
        <v>1140</v>
      </c>
      <c r="C811" s="29" t="s">
        <v>17</v>
      </c>
      <c r="D811" s="29" t="s">
        <v>387</v>
      </c>
      <c r="E811" s="30" t="s">
        <v>978</v>
      </c>
      <c r="F811" s="29">
        <v>400</v>
      </c>
      <c r="G811" s="36"/>
      <c r="H811" s="36">
        <f>H812</f>
        <v>49600</v>
      </c>
      <c r="I811" s="36">
        <f t="shared" ref="I811:K811" si="421">I812</f>
        <v>33028.74</v>
      </c>
      <c r="J811" s="36">
        <f t="shared" si="421"/>
        <v>33028.74</v>
      </c>
      <c r="K811" s="36">
        <f t="shared" si="421"/>
        <v>33028.74</v>
      </c>
      <c r="L811" s="36">
        <f t="shared" si="412"/>
        <v>66.590201612903215</v>
      </c>
      <c r="M811" s="36">
        <f t="shared" si="413"/>
        <v>100</v>
      </c>
    </row>
    <row r="812" spans="1:13" ht="91.5" customHeight="1">
      <c r="A812" s="60" t="s">
        <v>410</v>
      </c>
      <c r="B812" s="68" t="s">
        <v>1140</v>
      </c>
      <c r="C812" s="29" t="s">
        <v>17</v>
      </c>
      <c r="D812" s="29" t="s">
        <v>387</v>
      </c>
      <c r="E812" s="30" t="s">
        <v>978</v>
      </c>
      <c r="F812" s="29">
        <v>460</v>
      </c>
      <c r="G812" s="36"/>
      <c r="H812" s="36">
        <v>49600</v>
      </c>
      <c r="I812" s="36">
        <v>33028.74</v>
      </c>
      <c r="J812" s="36">
        <v>33028.74</v>
      </c>
      <c r="K812" s="36">
        <v>33028.74</v>
      </c>
      <c r="L812" s="36">
        <f t="shared" si="412"/>
        <v>66.590201612903215</v>
      </c>
      <c r="M812" s="36">
        <f t="shared" si="413"/>
        <v>100</v>
      </c>
    </row>
    <row r="813" spans="1:13" ht="25.5">
      <c r="A813" s="60" t="s">
        <v>80</v>
      </c>
      <c r="B813" s="68" t="s">
        <v>1140</v>
      </c>
      <c r="C813" s="29" t="s">
        <v>17</v>
      </c>
      <c r="D813" s="29" t="s">
        <v>387</v>
      </c>
      <c r="E813" s="30" t="s">
        <v>978</v>
      </c>
      <c r="F813" s="29">
        <v>600</v>
      </c>
      <c r="G813" s="36"/>
      <c r="H813" s="36">
        <f>H814</f>
        <v>82109</v>
      </c>
      <c r="I813" s="36">
        <f t="shared" ref="I813:K813" si="422">I814</f>
        <v>61458.6</v>
      </c>
      <c r="J813" s="36">
        <f t="shared" si="422"/>
        <v>61458.6</v>
      </c>
      <c r="K813" s="36">
        <f t="shared" si="422"/>
        <v>61458.6</v>
      </c>
      <c r="L813" s="36">
        <f t="shared" si="412"/>
        <v>74.85001644155939</v>
      </c>
      <c r="M813" s="36">
        <f t="shared" si="413"/>
        <v>100</v>
      </c>
    </row>
    <row r="814" spans="1:13">
      <c r="A814" s="60" t="s">
        <v>82</v>
      </c>
      <c r="B814" s="68" t="s">
        <v>1140</v>
      </c>
      <c r="C814" s="29" t="s">
        <v>17</v>
      </c>
      <c r="D814" s="29" t="s">
        <v>387</v>
      </c>
      <c r="E814" s="30" t="s">
        <v>978</v>
      </c>
      <c r="F814" s="29">
        <v>620</v>
      </c>
      <c r="G814" s="36"/>
      <c r="H814" s="36">
        <v>82109</v>
      </c>
      <c r="I814" s="36">
        <v>61458.6</v>
      </c>
      <c r="J814" s="36">
        <v>61458.6</v>
      </c>
      <c r="K814" s="36">
        <v>61458.6</v>
      </c>
      <c r="L814" s="36">
        <f t="shared" si="412"/>
        <v>74.85001644155939</v>
      </c>
      <c r="M814" s="36">
        <f t="shared" si="413"/>
        <v>100</v>
      </c>
    </row>
    <row r="815" spans="1:13" ht="43.5" customHeight="1">
      <c r="A815" s="60" t="s">
        <v>979</v>
      </c>
      <c r="B815" s="68" t="s">
        <v>1140</v>
      </c>
      <c r="C815" s="29" t="s">
        <v>17</v>
      </c>
      <c r="D815" s="29" t="s">
        <v>387</v>
      </c>
      <c r="E815" s="30" t="s">
        <v>980</v>
      </c>
      <c r="F815" s="29"/>
      <c r="G815" s="36"/>
      <c r="H815" s="36">
        <f>H816+H819</f>
        <v>78809.599999999991</v>
      </c>
      <c r="I815" s="36">
        <f t="shared" ref="I815:K815" si="423">I816+I819</f>
        <v>45806.8</v>
      </c>
      <c r="J815" s="36">
        <f t="shared" si="423"/>
        <v>42612.25</v>
      </c>
      <c r="K815" s="36">
        <f t="shared" si="423"/>
        <v>42612.25</v>
      </c>
      <c r="L815" s="36">
        <f t="shared" si="412"/>
        <v>54.069872198310875</v>
      </c>
      <c r="M815" s="36">
        <f t="shared" si="413"/>
        <v>93.026035435786824</v>
      </c>
    </row>
    <row r="816" spans="1:13" ht="25.5">
      <c r="A816" s="60" t="s">
        <v>76</v>
      </c>
      <c r="B816" s="68" t="s">
        <v>1140</v>
      </c>
      <c r="C816" s="29" t="s">
        <v>17</v>
      </c>
      <c r="D816" s="29" t="s">
        <v>387</v>
      </c>
      <c r="E816" s="30" t="s">
        <v>981</v>
      </c>
      <c r="F816" s="29"/>
      <c r="G816" s="36"/>
      <c r="H816" s="36">
        <f>H817</f>
        <v>66082.7</v>
      </c>
      <c r="I816" s="36">
        <f t="shared" ref="I816:K817" si="424">I817</f>
        <v>36079.9</v>
      </c>
      <c r="J816" s="36">
        <f t="shared" si="424"/>
        <v>32885.35</v>
      </c>
      <c r="K816" s="36">
        <f t="shared" si="424"/>
        <v>32885.35</v>
      </c>
      <c r="L816" s="36">
        <f t="shared" si="412"/>
        <v>49.763932163788702</v>
      </c>
      <c r="M816" s="36">
        <f t="shared" si="413"/>
        <v>91.145901180435644</v>
      </c>
    </row>
    <row r="817" spans="1:13" ht="25.5">
      <c r="A817" s="63" t="s">
        <v>80</v>
      </c>
      <c r="B817" s="68" t="s">
        <v>1140</v>
      </c>
      <c r="C817" s="29" t="s">
        <v>17</v>
      </c>
      <c r="D817" s="29" t="s">
        <v>387</v>
      </c>
      <c r="E817" s="30" t="s">
        <v>981</v>
      </c>
      <c r="F817" s="29">
        <v>600</v>
      </c>
      <c r="G817" s="36"/>
      <c r="H817" s="36">
        <f>H818</f>
        <v>66082.7</v>
      </c>
      <c r="I817" s="36">
        <f t="shared" si="424"/>
        <v>36079.9</v>
      </c>
      <c r="J817" s="36">
        <f t="shared" si="424"/>
        <v>32885.35</v>
      </c>
      <c r="K817" s="36">
        <f t="shared" si="424"/>
        <v>32885.35</v>
      </c>
      <c r="L817" s="36">
        <f t="shared" si="412"/>
        <v>49.763932163788702</v>
      </c>
      <c r="M817" s="36">
        <f t="shared" si="413"/>
        <v>91.145901180435644</v>
      </c>
    </row>
    <row r="818" spans="1:13">
      <c r="A818" s="60" t="s">
        <v>82</v>
      </c>
      <c r="B818" s="68" t="s">
        <v>1140</v>
      </c>
      <c r="C818" s="29" t="s">
        <v>17</v>
      </c>
      <c r="D818" s="29" t="s">
        <v>387</v>
      </c>
      <c r="E818" s="30" t="s">
        <v>981</v>
      </c>
      <c r="F818" s="29">
        <v>620</v>
      </c>
      <c r="G818" s="36"/>
      <c r="H818" s="36">
        <v>66082.7</v>
      </c>
      <c r="I818" s="36">
        <v>36079.9</v>
      </c>
      <c r="J818" s="36">
        <v>32885.35</v>
      </c>
      <c r="K818" s="36">
        <v>32885.35</v>
      </c>
      <c r="L818" s="36">
        <f t="shared" si="412"/>
        <v>49.763932163788702</v>
      </c>
      <c r="M818" s="36">
        <f t="shared" si="413"/>
        <v>91.145901180435644</v>
      </c>
    </row>
    <row r="819" spans="1:13" ht="37.5" customHeight="1">
      <c r="A819" s="60" t="s">
        <v>748</v>
      </c>
      <c r="B819" s="68" t="s">
        <v>1140</v>
      </c>
      <c r="C819" s="29" t="s">
        <v>17</v>
      </c>
      <c r="D819" s="29" t="s">
        <v>387</v>
      </c>
      <c r="E819" s="30" t="s">
        <v>982</v>
      </c>
      <c r="F819" s="29"/>
      <c r="G819" s="36"/>
      <c r="H819" s="36">
        <f>H820</f>
        <v>12726.9</v>
      </c>
      <c r="I819" s="36">
        <f t="shared" ref="I819:K820" si="425">I820</f>
        <v>9726.9</v>
      </c>
      <c r="J819" s="36">
        <f t="shared" si="425"/>
        <v>9726.9</v>
      </c>
      <c r="K819" s="36">
        <f t="shared" si="425"/>
        <v>9726.9</v>
      </c>
      <c r="L819" s="36">
        <f t="shared" si="412"/>
        <v>76.427881102232277</v>
      </c>
      <c r="M819" s="36">
        <f t="shared" si="413"/>
        <v>100</v>
      </c>
    </row>
    <row r="820" spans="1:13" ht="25.5">
      <c r="A820" s="63" t="s">
        <v>80</v>
      </c>
      <c r="B820" s="68" t="s">
        <v>1140</v>
      </c>
      <c r="C820" s="29" t="s">
        <v>17</v>
      </c>
      <c r="D820" s="29" t="s">
        <v>387</v>
      </c>
      <c r="E820" s="30" t="s">
        <v>982</v>
      </c>
      <c r="F820" s="29">
        <v>600</v>
      </c>
      <c r="G820" s="36"/>
      <c r="H820" s="36">
        <f>H821</f>
        <v>12726.9</v>
      </c>
      <c r="I820" s="36">
        <f t="shared" si="425"/>
        <v>9726.9</v>
      </c>
      <c r="J820" s="36">
        <f t="shared" si="425"/>
        <v>9726.9</v>
      </c>
      <c r="K820" s="36">
        <f t="shared" si="425"/>
        <v>9726.9</v>
      </c>
      <c r="L820" s="36">
        <f t="shared" si="412"/>
        <v>76.427881102232277</v>
      </c>
      <c r="M820" s="36">
        <f t="shared" si="413"/>
        <v>100</v>
      </c>
    </row>
    <row r="821" spans="1:13">
      <c r="A821" s="60" t="s">
        <v>82</v>
      </c>
      <c r="B821" s="68" t="s">
        <v>1140</v>
      </c>
      <c r="C821" s="29" t="s">
        <v>17</v>
      </c>
      <c r="D821" s="29" t="s">
        <v>387</v>
      </c>
      <c r="E821" s="30" t="s">
        <v>982</v>
      </c>
      <c r="F821" s="29">
        <v>620</v>
      </c>
      <c r="G821" s="36"/>
      <c r="H821" s="36">
        <v>12726.9</v>
      </c>
      <c r="I821" s="36">
        <v>9726.9</v>
      </c>
      <c r="J821" s="36">
        <v>9726.9</v>
      </c>
      <c r="K821" s="36">
        <v>9726.9</v>
      </c>
      <c r="L821" s="36">
        <f t="shared" si="412"/>
        <v>76.427881102232277</v>
      </c>
      <c r="M821" s="36">
        <f t="shared" si="413"/>
        <v>100</v>
      </c>
    </row>
    <row r="822" spans="1:13">
      <c r="A822" s="60"/>
      <c r="B822" s="68"/>
      <c r="C822" s="29"/>
      <c r="D822" s="29"/>
      <c r="E822" s="30"/>
      <c r="F822" s="29"/>
      <c r="G822" s="36"/>
      <c r="H822" s="36"/>
      <c r="I822" s="36"/>
      <c r="J822" s="36"/>
      <c r="K822" s="36"/>
      <c r="L822" s="36"/>
      <c r="M822" s="36"/>
    </row>
    <row r="823" spans="1:13">
      <c r="A823" s="63" t="s">
        <v>30</v>
      </c>
      <c r="B823" s="68" t="s">
        <v>1140</v>
      </c>
      <c r="C823" s="68" t="s">
        <v>19</v>
      </c>
      <c r="D823" s="29"/>
      <c r="E823" s="30"/>
      <c r="F823" s="29"/>
      <c r="G823" s="36"/>
      <c r="H823" s="36">
        <f>H824</f>
        <v>17029.291150000001</v>
      </c>
      <c r="I823" s="36">
        <f t="shared" ref="I823:K823" si="426">I824</f>
        <v>12521.616150000002</v>
      </c>
      <c r="J823" s="36">
        <f t="shared" si="426"/>
        <v>6833.4911499999998</v>
      </c>
      <c r="K823" s="36">
        <f t="shared" si="426"/>
        <v>3474.6511700000001</v>
      </c>
      <c r="L823" s="36">
        <f t="shared" si="412"/>
        <v>20.403968311975216</v>
      </c>
      <c r="M823" s="36">
        <f t="shared" si="413"/>
        <v>27.749222850917686</v>
      </c>
    </row>
    <row r="824" spans="1:13">
      <c r="A824" s="63" t="s">
        <v>710</v>
      </c>
      <c r="B824" s="68" t="s">
        <v>1140</v>
      </c>
      <c r="C824" s="68" t="s">
        <v>19</v>
      </c>
      <c r="D824" s="29">
        <v>10</v>
      </c>
      <c r="E824" s="29"/>
      <c r="F824" s="29"/>
      <c r="G824" s="36"/>
      <c r="H824" s="36">
        <f>H825+H830</f>
        <v>17029.291150000001</v>
      </c>
      <c r="I824" s="36">
        <f t="shared" ref="I824:K824" si="427">I825+I830</f>
        <v>12521.616150000002</v>
      </c>
      <c r="J824" s="36">
        <f t="shared" si="427"/>
        <v>6833.4911499999998</v>
      </c>
      <c r="K824" s="36">
        <f t="shared" si="427"/>
        <v>3474.6511700000001</v>
      </c>
      <c r="L824" s="36">
        <f t="shared" si="412"/>
        <v>20.403968311975216</v>
      </c>
      <c r="M824" s="36">
        <f t="shared" si="413"/>
        <v>27.749222850917686</v>
      </c>
    </row>
    <row r="825" spans="1:13" ht="40.5" customHeight="1">
      <c r="A825" s="63" t="s">
        <v>665</v>
      </c>
      <c r="B825" s="68" t="s">
        <v>1140</v>
      </c>
      <c r="C825" s="68" t="s">
        <v>19</v>
      </c>
      <c r="D825" s="29">
        <v>10</v>
      </c>
      <c r="E825" s="30" t="s">
        <v>666</v>
      </c>
      <c r="F825" s="29"/>
      <c r="G825" s="36"/>
      <c r="H825" s="36">
        <f>H826</f>
        <v>7921.7</v>
      </c>
      <c r="I825" s="36">
        <f t="shared" ref="I825:K828" si="428">I826</f>
        <v>4325.4250000000002</v>
      </c>
      <c r="J825" s="36">
        <f t="shared" si="428"/>
        <v>1700</v>
      </c>
      <c r="K825" s="36">
        <f t="shared" si="428"/>
        <v>1700</v>
      </c>
      <c r="L825" s="36">
        <f t="shared" si="412"/>
        <v>21.46004014289862</v>
      </c>
      <c r="M825" s="36">
        <f t="shared" si="413"/>
        <v>39.302496286492079</v>
      </c>
    </row>
    <row r="826" spans="1:13" ht="41.25" customHeight="1">
      <c r="A826" s="63" t="s">
        <v>667</v>
      </c>
      <c r="B826" s="68" t="s">
        <v>1140</v>
      </c>
      <c r="C826" s="68" t="s">
        <v>19</v>
      </c>
      <c r="D826" s="29">
        <v>10</v>
      </c>
      <c r="E826" s="30" t="s">
        <v>668</v>
      </c>
      <c r="F826" s="29"/>
      <c r="G826" s="36"/>
      <c r="H826" s="36">
        <f>H827</f>
        <v>7921.7</v>
      </c>
      <c r="I826" s="36">
        <f t="shared" si="428"/>
        <v>4325.4250000000002</v>
      </c>
      <c r="J826" s="36">
        <f t="shared" si="428"/>
        <v>1700</v>
      </c>
      <c r="K826" s="36">
        <f t="shared" si="428"/>
        <v>1700</v>
      </c>
      <c r="L826" s="36">
        <f t="shared" si="412"/>
        <v>21.46004014289862</v>
      </c>
      <c r="M826" s="36">
        <f t="shared" si="413"/>
        <v>39.302496286492079</v>
      </c>
    </row>
    <row r="827" spans="1:13" ht="25.5">
      <c r="A827" s="60" t="s">
        <v>76</v>
      </c>
      <c r="B827" s="68" t="s">
        <v>1140</v>
      </c>
      <c r="C827" s="68" t="s">
        <v>19</v>
      </c>
      <c r="D827" s="29">
        <v>10</v>
      </c>
      <c r="E827" s="30" t="s">
        <v>694</v>
      </c>
      <c r="F827" s="29"/>
      <c r="G827" s="36"/>
      <c r="H827" s="36">
        <f>H828</f>
        <v>7921.7</v>
      </c>
      <c r="I827" s="36">
        <f t="shared" si="428"/>
        <v>4325.4250000000002</v>
      </c>
      <c r="J827" s="36">
        <f t="shared" si="428"/>
        <v>1700</v>
      </c>
      <c r="K827" s="36">
        <f t="shared" si="428"/>
        <v>1700</v>
      </c>
      <c r="L827" s="36">
        <f t="shared" si="412"/>
        <v>21.46004014289862</v>
      </c>
      <c r="M827" s="36">
        <f t="shared" si="413"/>
        <v>39.302496286492079</v>
      </c>
    </row>
    <row r="828" spans="1:13" ht="25.5">
      <c r="A828" s="63" t="s">
        <v>80</v>
      </c>
      <c r="B828" s="68" t="s">
        <v>1140</v>
      </c>
      <c r="C828" s="68" t="s">
        <v>19</v>
      </c>
      <c r="D828" s="29">
        <v>10</v>
      </c>
      <c r="E828" s="30" t="s">
        <v>694</v>
      </c>
      <c r="F828" s="29">
        <v>600</v>
      </c>
      <c r="G828" s="36"/>
      <c r="H828" s="36">
        <f>H829</f>
        <v>7921.7</v>
      </c>
      <c r="I828" s="36">
        <f t="shared" si="428"/>
        <v>4325.4250000000002</v>
      </c>
      <c r="J828" s="36">
        <f t="shared" si="428"/>
        <v>1700</v>
      </c>
      <c r="K828" s="36">
        <f t="shared" si="428"/>
        <v>1700</v>
      </c>
      <c r="L828" s="36">
        <f t="shared" si="412"/>
        <v>21.46004014289862</v>
      </c>
      <c r="M828" s="36">
        <f t="shared" si="413"/>
        <v>39.302496286492079</v>
      </c>
    </row>
    <row r="829" spans="1:13" ht="13.5" customHeight="1">
      <c r="A829" s="60" t="s">
        <v>271</v>
      </c>
      <c r="B829" s="68" t="s">
        <v>1140</v>
      </c>
      <c r="C829" s="68" t="s">
        <v>19</v>
      </c>
      <c r="D829" s="29">
        <v>10</v>
      </c>
      <c r="E829" s="30" t="s">
        <v>694</v>
      </c>
      <c r="F829" s="29">
        <v>610</v>
      </c>
      <c r="G829" s="36"/>
      <c r="H829" s="36">
        <v>7921.7</v>
      </c>
      <c r="I829" s="36">
        <v>4325.4250000000002</v>
      </c>
      <c r="J829" s="36">
        <v>1700</v>
      </c>
      <c r="K829" s="36">
        <v>1700</v>
      </c>
      <c r="L829" s="36">
        <f t="shared" si="412"/>
        <v>21.46004014289862</v>
      </c>
      <c r="M829" s="36">
        <f t="shared" si="413"/>
        <v>39.302496286492079</v>
      </c>
    </row>
    <row r="830" spans="1:13" ht="38.25">
      <c r="A830" s="60" t="s">
        <v>734</v>
      </c>
      <c r="B830" s="68" t="s">
        <v>1140</v>
      </c>
      <c r="C830" s="68" t="s">
        <v>19</v>
      </c>
      <c r="D830" s="29">
        <v>10</v>
      </c>
      <c r="E830" s="30" t="s">
        <v>735</v>
      </c>
      <c r="F830" s="29"/>
      <c r="G830" s="36"/>
      <c r="H830" s="36">
        <f>H831</f>
        <v>9107.5911500000002</v>
      </c>
      <c r="I830" s="36">
        <f t="shared" ref="I830:K831" si="429">I831</f>
        <v>8196.1911500000006</v>
      </c>
      <c r="J830" s="36">
        <f t="shared" si="429"/>
        <v>5133.4911499999998</v>
      </c>
      <c r="K830" s="36">
        <f t="shared" si="429"/>
        <v>1774.6511699999999</v>
      </c>
      <c r="L830" s="36">
        <f t="shared" si="412"/>
        <v>19.485406632466145</v>
      </c>
      <c r="M830" s="36">
        <f t="shared" si="413"/>
        <v>21.652144728225377</v>
      </c>
    </row>
    <row r="831" spans="1:13" ht="41.25" customHeight="1">
      <c r="A831" s="63" t="s">
        <v>736</v>
      </c>
      <c r="B831" s="68" t="s">
        <v>1140</v>
      </c>
      <c r="C831" s="68" t="s">
        <v>19</v>
      </c>
      <c r="D831" s="29">
        <v>10</v>
      </c>
      <c r="E831" s="30" t="s">
        <v>737</v>
      </c>
      <c r="F831" s="29"/>
      <c r="G831" s="36"/>
      <c r="H831" s="36">
        <f>H832</f>
        <v>9107.5911500000002</v>
      </c>
      <c r="I831" s="36">
        <f t="shared" si="429"/>
        <v>8196.1911500000006</v>
      </c>
      <c r="J831" s="36">
        <f t="shared" si="429"/>
        <v>5133.4911499999998</v>
      </c>
      <c r="K831" s="36">
        <f t="shared" si="429"/>
        <v>1774.6511699999999</v>
      </c>
      <c r="L831" s="36">
        <f t="shared" si="412"/>
        <v>19.485406632466145</v>
      </c>
      <c r="M831" s="36">
        <f t="shared" si="413"/>
        <v>21.652144728225377</v>
      </c>
    </row>
    <row r="832" spans="1:13" ht="25.5">
      <c r="A832" s="60" t="s">
        <v>58</v>
      </c>
      <c r="B832" s="68" t="s">
        <v>1140</v>
      </c>
      <c r="C832" s="68" t="s">
        <v>19</v>
      </c>
      <c r="D832" s="29">
        <v>10</v>
      </c>
      <c r="E832" s="30" t="s">
        <v>738</v>
      </c>
      <c r="F832" s="29"/>
      <c r="G832" s="36"/>
      <c r="H832" s="36">
        <f>H833+H835</f>
        <v>9107.5911500000002</v>
      </c>
      <c r="I832" s="36">
        <f t="shared" ref="I832:K832" si="430">I833+I835</f>
        <v>8196.1911500000006</v>
      </c>
      <c r="J832" s="36">
        <f t="shared" si="430"/>
        <v>5133.4911499999998</v>
      </c>
      <c r="K832" s="36">
        <f t="shared" si="430"/>
        <v>1774.6511699999999</v>
      </c>
      <c r="L832" s="36">
        <f t="shared" si="412"/>
        <v>19.485406632466145</v>
      </c>
      <c r="M832" s="36">
        <f t="shared" si="413"/>
        <v>21.652144728225377</v>
      </c>
    </row>
    <row r="833" spans="1:13" ht="63.75">
      <c r="A833" s="60" t="s">
        <v>60</v>
      </c>
      <c r="B833" s="68" t="s">
        <v>1140</v>
      </c>
      <c r="C833" s="68" t="s">
        <v>19</v>
      </c>
      <c r="D833" s="29">
        <v>10</v>
      </c>
      <c r="E833" s="30" t="s">
        <v>738</v>
      </c>
      <c r="F833" s="29">
        <v>100</v>
      </c>
      <c r="G833" s="36"/>
      <c r="H833" s="36">
        <f>H834</f>
        <v>8502.6</v>
      </c>
      <c r="I833" s="36">
        <f t="shared" ref="I833:K833" si="431">I834</f>
        <v>7591.2</v>
      </c>
      <c r="J833" s="36">
        <f t="shared" si="431"/>
        <v>4728.5</v>
      </c>
      <c r="K833" s="36">
        <f t="shared" si="431"/>
        <v>1759.24767</v>
      </c>
      <c r="L833" s="36">
        <f t="shared" si="412"/>
        <v>20.690702491002753</v>
      </c>
      <c r="M833" s="36">
        <f t="shared" si="413"/>
        <v>23.174829671198228</v>
      </c>
    </row>
    <row r="834" spans="1:13" ht="25.5">
      <c r="A834" s="60" t="s">
        <v>62</v>
      </c>
      <c r="B834" s="68" t="s">
        <v>1140</v>
      </c>
      <c r="C834" s="68" t="s">
        <v>19</v>
      </c>
      <c r="D834" s="29">
        <v>10</v>
      </c>
      <c r="E834" s="30" t="s">
        <v>738</v>
      </c>
      <c r="F834" s="29">
        <v>120</v>
      </c>
      <c r="G834" s="36"/>
      <c r="H834" s="36">
        <v>8502.6</v>
      </c>
      <c r="I834" s="36">
        <f>5700+200+1691.2</f>
        <v>7591.2</v>
      </c>
      <c r="J834" s="36">
        <f>3500+200+1028.5</f>
        <v>4728.5</v>
      </c>
      <c r="K834" s="36">
        <f>1248.56413+199.62575+311.05779</f>
        <v>1759.24767</v>
      </c>
      <c r="L834" s="36">
        <f t="shared" si="412"/>
        <v>20.690702491002753</v>
      </c>
      <c r="M834" s="36">
        <f t="shared" si="413"/>
        <v>23.174829671198228</v>
      </c>
    </row>
    <row r="835" spans="1:13" ht="25.5">
      <c r="A835" s="60" t="s">
        <v>64</v>
      </c>
      <c r="B835" s="68" t="s">
        <v>1140</v>
      </c>
      <c r="C835" s="68" t="s">
        <v>19</v>
      </c>
      <c r="D835" s="29">
        <v>10</v>
      </c>
      <c r="E835" s="30" t="s">
        <v>738</v>
      </c>
      <c r="F835" s="29">
        <v>200</v>
      </c>
      <c r="G835" s="36"/>
      <c r="H835" s="36">
        <f>H836</f>
        <v>604.99114999999995</v>
      </c>
      <c r="I835" s="36">
        <f t="shared" ref="I835:K835" si="432">I836</f>
        <v>604.99114999999995</v>
      </c>
      <c r="J835" s="36">
        <f t="shared" si="432"/>
        <v>404.99115</v>
      </c>
      <c r="K835" s="36">
        <f t="shared" si="432"/>
        <v>15.403499999999999</v>
      </c>
      <c r="L835" s="36">
        <f t="shared" si="412"/>
        <v>2.5460703020201207</v>
      </c>
      <c r="M835" s="36">
        <f t="shared" si="413"/>
        <v>2.5460703020201207</v>
      </c>
    </row>
    <row r="836" spans="1:13" ht="25.5">
      <c r="A836" s="60" t="s">
        <v>66</v>
      </c>
      <c r="B836" s="68" t="s">
        <v>1140</v>
      </c>
      <c r="C836" s="68" t="s">
        <v>19</v>
      </c>
      <c r="D836" s="29">
        <v>10</v>
      </c>
      <c r="E836" s="30" t="s">
        <v>738</v>
      </c>
      <c r="F836" s="29">
        <v>240</v>
      </c>
      <c r="G836" s="36"/>
      <c r="H836" s="36">
        <v>604.99114999999995</v>
      </c>
      <c r="I836" s="36">
        <v>604.99114999999995</v>
      </c>
      <c r="J836" s="36">
        <v>404.99115</v>
      </c>
      <c r="K836" s="36">
        <v>15.403499999999999</v>
      </c>
      <c r="L836" s="36">
        <f t="shared" si="412"/>
        <v>2.5460703020201207</v>
      </c>
      <c r="M836" s="36">
        <f t="shared" si="413"/>
        <v>2.5460703020201207</v>
      </c>
    </row>
    <row r="837" spans="1:13">
      <c r="A837" s="65" t="s">
        <v>0</v>
      </c>
      <c r="B837" s="66" t="s">
        <v>0</v>
      </c>
      <c r="C837" s="59" t="s">
        <v>0</v>
      </c>
      <c r="D837" s="59" t="s">
        <v>0</v>
      </c>
      <c r="E837" s="59" t="s">
        <v>0</v>
      </c>
      <c r="F837" s="59" t="s">
        <v>0</v>
      </c>
      <c r="G837" s="67" t="s">
        <v>0</v>
      </c>
      <c r="H837" s="67" t="s">
        <v>0</v>
      </c>
      <c r="I837" s="67" t="s">
        <v>0</v>
      </c>
      <c r="J837" s="67" t="s">
        <v>0</v>
      </c>
      <c r="K837" s="67" t="s">
        <v>0</v>
      </c>
      <c r="L837" s="67"/>
      <c r="M837" s="67"/>
    </row>
    <row r="838" spans="1:13" ht="25.5">
      <c r="A838" s="74" t="s">
        <v>384</v>
      </c>
      <c r="B838" s="58" t="s">
        <v>385</v>
      </c>
      <c r="C838" s="59" t="s">
        <v>0</v>
      </c>
      <c r="D838" s="59" t="s">
        <v>0</v>
      </c>
      <c r="E838" s="59" t="s">
        <v>0</v>
      </c>
      <c r="F838" s="59" t="s">
        <v>0</v>
      </c>
      <c r="G838" s="31">
        <f>G839+G871+G1060</f>
        <v>17485244</v>
      </c>
      <c r="H838" s="31">
        <f>H839+H871+H1060</f>
        <v>17559936.575135</v>
      </c>
      <c r="I838" s="31">
        <f>I839+I871+I1060</f>
        <v>10245523.073810002</v>
      </c>
      <c r="J838" s="31">
        <f>J839+J871+J1060</f>
        <v>10245523.073810002</v>
      </c>
      <c r="K838" s="31">
        <f>K839+K871+K1060</f>
        <v>9982577.4598800018</v>
      </c>
      <c r="L838" s="31">
        <f t="shared" si="382"/>
        <v>56.84859633271914</v>
      </c>
      <c r="M838" s="31">
        <f t="shared" si="383"/>
        <v>97.433555983079557</v>
      </c>
    </row>
    <row r="839" spans="1:13">
      <c r="A839" s="60" t="s">
        <v>16</v>
      </c>
      <c r="B839" s="29" t="s">
        <v>385</v>
      </c>
      <c r="C839" s="29" t="s">
        <v>17</v>
      </c>
      <c r="D839" s="59" t="s">
        <v>0</v>
      </c>
      <c r="E839" s="59" t="s">
        <v>0</v>
      </c>
      <c r="F839" s="59" t="s">
        <v>0</v>
      </c>
      <c r="G839" s="36">
        <f>G852</f>
        <v>8890.7999999999993</v>
      </c>
      <c r="H839" s="36">
        <f>H852+H840</f>
        <v>9555.0540000000001</v>
      </c>
      <c r="I839" s="36">
        <f t="shared" ref="I839:K839" si="433">I852+I840</f>
        <v>8164.2539999999999</v>
      </c>
      <c r="J839" s="36">
        <f t="shared" si="433"/>
        <v>8164.2539999999999</v>
      </c>
      <c r="K839" s="36">
        <f t="shared" si="433"/>
        <v>8164.2539999999999</v>
      </c>
      <c r="L839" s="36">
        <f t="shared" si="382"/>
        <v>85.444352276816019</v>
      </c>
      <c r="M839" s="36">
        <f t="shared" si="383"/>
        <v>100</v>
      </c>
    </row>
    <row r="840" spans="1:13" ht="25.5">
      <c r="A840" s="63" t="s">
        <v>1141</v>
      </c>
      <c r="B840" s="29" t="s">
        <v>385</v>
      </c>
      <c r="C840" s="29" t="s">
        <v>17</v>
      </c>
      <c r="D840" s="29">
        <v>12</v>
      </c>
      <c r="E840" s="59"/>
      <c r="F840" s="59"/>
      <c r="G840" s="36"/>
      <c r="H840" s="36">
        <f>H841</f>
        <v>8890.7999999999993</v>
      </c>
      <c r="I840" s="36">
        <f t="shared" ref="I840:K840" si="434">I841</f>
        <v>7500</v>
      </c>
      <c r="J840" s="36">
        <f t="shared" si="434"/>
        <v>7500</v>
      </c>
      <c r="K840" s="36">
        <f t="shared" si="434"/>
        <v>7500</v>
      </c>
      <c r="L840" s="36">
        <f t="shared" ref="L840:L851" si="435">K840/H840*100</f>
        <v>84.356863274396005</v>
      </c>
      <c r="M840" s="36">
        <f t="shared" ref="M840:M847" si="436">K840/I840*100</f>
        <v>100</v>
      </c>
    </row>
    <row r="841" spans="1:13" ht="38.25">
      <c r="A841" s="60" t="s">
        <v>112</v>
      </c>
      <c r="B841" s="29" t="s">
        <v>385</v>
      </c>
      <c r="C841" s="29" t="s">
        <v>17</v>
      </c>
      <c r="D841" s="29">
        <v>12</v>
      </c>
      <c r="E841" s="29" t="s">
        <v>113</v>
      </c>
      <c r="F841" s="59"/>
      <c r="G841" s="36"/>
      <c r="H841" s="36">
        <f>H842+H848</f>
        <v>8890.7999999999993</v>
      </c>
      <c r="I841" s="36">
        <f t="shared" ref="I841:K841" si="437">I842+I848</f>
        <v>7500</v>
      </c>
      <c r="J841" s="36">
        <f t="shared" si="437"/>
        <v>7500</v>
      </c>
      <c r="K841" s="36">
        <f t="shared" si="437"/>
        <v>7500</v>
      </c>
      <c r="L841" s="36">
        <f t="shared" si="435"/>
        <v>84.356863274396005</v>
      </c>
      <c r="M841" s="36">
        <f t="shared" si="436"/>
        <v>100</v>
      </c>
    </row>
    <row r="842" spans="1:13" ht="25.5">
      <c r="A842" s="60" t="s">
        <v>388</v>
      </c>
      <c r="B842" s="29" t="s">
        <v>385</v>
      </c>
      <c r="C842" s="29" t="s">
        <v>17</v>
      </c>
      <c r="D842" s="29">
        <v>12</v>
      </c>
      <c r="E842" s="29" t="s">
        <v>389</v>
      </c>
      <c r="F842" s="59"/>
      <c r="G842" s="36"/>
      <c r="H842" s="36">
        <f>H843</f>
        <v>7500</v>
      </c>
      <c r="I842" s="36">
        <f t="shared" ref="I842:K843" si="438">I843</f>
        <v>7500</v>
      </c>
      <c r="J842" s="36">
        <f t="shared" si="438"/>
        <v>7500</v>
      </c>
      <c r="K842" s="36">
        <f t="shared" si="438"/>
        <v>7500</v>
      </c>
      <c r="L842" s="36">
        <f t="shared" si="435"/>
        <v>100</v>
      </c>
      <c r="M842" s="36">
        <f t="shared" si="436"/>
        <v>100</v>
      </c>
    </row>
    <row r="843" spans="1:13" ht="25.5">
      <c r="A843" s="60" t="s">
        <v>390</v>
      </c>
      <c r="B843" s="29" t="s">
        <v>385</v>
      </c>
      <c r="C843" s="29" t="s">
        <v>17</v>
      </c>
      <c r="D843" s="29">
        <v>12</v>
      </c>
      <c r="E843" s="29" t="s">
        <v>391</v>
      </c>
      <c r="F843" s="59" t="s">
        <v>0</v>
      </c>
      <c r="G843" s="36"/>
      <c r="H843" s="36">
        <f>H844</f>
        <v>7500</v>
      </c>
      <c r="I843" s="36">
        <f t="shared" si="438"/>
        <v>7500</v>
      </c>
      <c r="J843" s="36">
        <f t="shared" si="438"/>
        <v>7500</v>
      </c>
      <c r="K843" s="36">
        <f t="shared" si="438"/>
        <v>7500</v>
      </c>
      <c r="L843" s="36">
        <f t="shared" si="435"/>
        <v>100</v>
      </c>
      <c r="M843" s="36">
        <f t="shared" si="436"/>
        <v>100</v>
      </c>
    </row>
    <row r="844" spans="1:13" ht="25.5">
      <c r="A844" s="60" t="s">
        <v>80</v>
      </c>
      <c r="B844" s="29" t="s">
        <v>385</v>
      </c>
      <c r="C844" s="29" t="s">
        <v>17</v>
      </c>
      <c r="D844" s="29">
        <v>12</v>
      </c>
      <c r="E844" s="29" t="s">
        <v>391</v>
      </c>
      <c r="F844" s="29" t="s">
        <v>81</v>
      </c>
      <c r="G844" s="36"/>
      <c r="H844" s="36">
        <f>H845+H846+H847</f>
        <v>7500</v>
      </c>
      <c r="I844" s="36">
        <f t="shared" ref="I844:K844" si="439">I845+I846+I847</f>
        <v>7500</v>
      </c>
      <c r="J844" s="36">
        <f t="shared" si="439"/>
        <v>7500</v>
      </c>
      <c r="K844" s="36">
        <f t="shared" si="439"/>
        <v>7500</v>
      </c>
      <c r="L844" s="36">
        <f t="shared" si="435"/>
        <v>100</v>
      </c>
      <c r="M844" s="36">
        <f t="shared" si="436"/>
        <v>100</v>
      </c>
    </row>
    <row r="845" spans="1:13">
      <c r="A845" s="60" t="s">
        <v>271</v>
      </c>
      <c r="B845" s="29" t="s">
        <v>385</v>
      </c>
      <c r="C845" s="29" t="s">
        <v>17</v>
      </c>
      <c r="D845" s="29">
        <v>12</v>
      </c>
      <c r="E845" s="29" t="s">
        <v>391</v>
      </c>
      <c r="F845" s="29">
        <v>610</v>
      </c>
      <c r="G845" s="36"/>
      <c r="H845" s="36">
        <v>3352.85</v>
      </c>
      <c r="I845" s="36">
        <v>3352.85</v>
      </c>
      <c r="J845" s="36">
        <v>3352.85</v>
      </c>
      <c r="K845" s="36">
        <v>3352.85</v>
      </c>
      <c r="L845" s="36">
        <f t="shared" si="435"/>
        <v>100</v>
      </c>
      <c r="M845" s="36">
        <f t="shared" si="436"/>
        <v>100</v>
      </c>
    </row>
    <row r="846" spans="1:13">
      <c r="A846" s="60" t="s">
        <v>82</v>
      </c>
      <c r="B846" s="29" t="s">
        <v>385</v>
      </c>
      <c r="C846" s="29" t="s">
        <v>17</v>
      </c>
      <c r="D846" s="29">
        <v>12</v>
      </c>
      <c r="E846" s="29" t="s">
        <v>391</v>
      </c>
      <c r="F846" s="29">
        <v>620</v>
      </c>
      <c r="G846" s="36"/>
      <c r="H846" s="36">
        <v>3954.3</v>
      </c>
      <c r="I846" s="36">
        <v>3954.3</v>
      </c>
      <c r="J846" s="36">
        <v>3954.3</v>
      </c>
      <c r="K846" s="36">
        <v>3954.3</v>
      </c>
      <c r="L846" s="36">
        <f t="shared" si="435"/>
        <v>100</v>
      </c>
      <c r="M846" s="36">
        <f t="shared" si="436"/>
        <v>100</v>
      </c>
    </row>
    <row r="847" spans="1:13" ht="38.25">
      <c r="A847" s="60" t="s">
        <v>195</v>
      </c>
      <c r="B847" s="29" t="s">
        <v>385</v>
      </c>
      <c r="C847" s="29" t="s">
        <v>17</v>
      </c>
      <c r="D847" s="29">
        <v>12</v>
      </c>
      <c r="E847" s="29" t="s">
        <v>391</v>
      </c>
      <c r="F847" s="29" t="s">
        <v>196</v>
      </c>
      <c r="G847" s="36"/>
      <c r="H847" s="36">
        <v>192.85</v>
      </c>
      <c r="I847" s="36">
        <v>192.85</v>
      </c>
      <c r="J847" s="36">
        <v>192.85</v>
      </c>
      <c r="K847" s="36">
        <v>192.85</v>
      </c>
      <c r="L847" s="36">
        <f t="shared" si="435"/>
        <v>100</v>
      </c>
      <c r="M847" s="36">
        <f t="shared" si="436"/>
        <v>100</v>
      </c>
    </row>
    <row r="848" spans="1:13" ht="38.25">
      <c r="A848" s="60" t="s">
        <v>392</v>
      </c>
      <c r="B848" s="29" t="s">
        <v>385</v>
      </c>
      <c r="C848" s="29" t="s">
        <v>17</v>
      </c>
      <c r="D848" s="29">
        <v>12</v>
      </c>
      <c r="E848" s="29" t="s">
        <v>393</v>
      </c>
      <c r="F848" s="59" t="s">
        <v>0</v>
      </c>
      <c r="G848" s="36"/>
      <c r="H848" s="36">
        <f>H849</f>
        <v>1390.8</v>
      </c>
      <c r="I848" s="36">
        <f t="shared" ref="I848:K850" si="440">I849</f>
        <v>0</v>
      </c>
      <c r="J848" s="36">
        <f t="shared" si="440"/>
        <v>0</v>
      </c>
      <c r="K848" s="36">
        <f t="shared" si="440"/>
        <v>0</v>
      </c>
      <c r="L848" s="36">
        <f t="shared" si="435"/>
        <v>0</v>
      </c>
      <c r="M848" s="36">
        <v>0</v>
      </c>
    </row>
    <row r="849" spans="1:13" ht="25.5">
      <c r="A849" s="60" t="s">
        <v>390</v>
      </c>
      <c r="B849" s="29" t="s">
        <v>385</v>
      </c>
      <c r="C849" s="29" t="s">
        <v>17</v>
      </c>
      <c r="D849" s="29">
        <v>12</v>
      </c>
      <c r="E849" s="29" t="s">
        <v>394</v>
      </c>
      <c r="F849" s="59" t="s">
        <v>0</v>
      </c>
      <c r="G849" s="36"/>
      <c r="H849" s="36">
        <f>H850</f>
        <v>1390.8</v>
      </c>
      <c r="I849" s="36">
        <f t="shared" si="440"/>
        <v>0</v>
      </c>
      <c r="J849" s="36">
        <f t="shared" si="440"/>
        <v>0</v>
      </c>
      <c r="K849" s="36">
        <f t="shared" si="440"/>
        <v>0</v>
      </c>
      <c r="L849" s="36">
        <f t="shared" si="435"/>
        <v>0</v>
      </c>
      <c r="M849" s="36">
        <v>0</v>
      </c>
    </row>
    <row r="850" spans="1:13" ht="25.5">
      <c r="A850" s="60" t="s">
        <v>80</v>
      </c>
      <c r="B850" s="29" t="s">
        <v>385</v>
      </c>
      <c r="C850" s="29" t="s">
        <v>17</v>
      </c>
      <c r="D850" s="29">
        <v>12</v>
      </c>
      <c r="E850" s="29" t="s">
        <v>394</v>
      </c>
      <c r="F850" s="29" t="s">
        <v>81</v>
      </c>
      <c r="G850" s="36"/>
      <c r="H850" s="36">
        <f>H851</f>
        <v>1390.8</v>
      </c>
      <c r="I850" s="36">
        <f t="shared" si="440"/>
        <v>0</v>
      </c>
      <c r="J850" s="36">
        <f t="shared" si="440"/>
        <v>0</v>
      </c>
      <c r="K850" s="36">
        <f t="shared" si="440"/>
        <v>0</v>
      </c>
      <c r="L850" s="36">
        <f t="shared" si="435"/>
        <v>0</v>
      </c>
      <c r="M850" s="36">
        <v>0</v>
      </c>
    </row>
    <row r="851" spans="1:13">
      <c r="A851" s="60" t="s">
        <v>271</v>
      </c>
      <c r="B851" s="29" t="s">
        <v>385</v>
      </c>
      <c r="C851" s="29" t="s">
        <v>17</v>
      </c>
      <c r="D851" s="29">
        <v>12</v>
      </c>
      <c r="E851" s="29" t="s">
        <v>394</v>
      </c>
      <c r="F851" s="29" t="s">
        <v>272</v>
      </c>
      <c r="G851" s="36"/>
      <c r="H851" s="36">
        <v>1390.8</v>
      </c>
      <c r="I851" s="36"/>
      <c r="J851" s="36"/>
      <c r="K851" s="36"/>
      <c r="L851" s="36">
        <f t="shared" si="435"/>
        <v>0</v>
      </c>
      <c r="M851" s="36">
        <v>0</v>
      </c>
    </row>
    <row r="852" spans="1:13">
      <c r="A852" s="60" t="s">
        <v>386</v>
      </c>
      <c r="B852" s="29" t="s">
        <v>385</v>
      </c>
      <c r="C852" s="29" t="s">
        <v>17</v>
      </c>
      <c r="D852" s="29" t="s">
        <v>387</v>
      </c>
      <c r="E852" s="59" t="s">
        <v>0</v>
      </c>
      <c r="F852" s="59" t="s">
        <v>0</v>
      </c>
      <c r="G852" s="36">
        <f>G853</f>
        <v>8890.7999999999993</v>
      </c>
      <c r="H852" s="36">
        <f>H853+H864</f>
        <v>664.25399999999991</v>
      </c>
      <c r="I852" s="36">
        <f t="shared" ref="I852:K852" si="441">I853+I864</f>
        <v>664.25399999999991</v>
      </c>
      <c r="J852" s="36">
        <f t="shared" si="441"/>
        <v>664.25399999999991</v>
      </c>
      <c r="K852" s="36">
        <f t="shared" si="441"/>
        <v>664.25399999999991</v>
      </c>
      <c r="L852" s="36">
        <f t="shared" si="382"/>
        <v>100</v>
      </c>
      <c r="M852" s="36">
        <f t="shared" si="383"/>
        <v>100</v>
      </c>
    </row>
    <row r="853" spans="1:13" ht="38.25">
      <c r="A853" s="60" t="s">
        <v>112</v>
      </c>
      <c r="B853" s="29" t="s">
        <v>385</v>
      </c>
      <c r="C853" s="29" t="s">
        <v>17</v>
      </c>
      <c r="D853" s="29" t="s">
        <v>387</v>
      </c>
      <c r="E853" s="29" t="s">
        <v>113</v>
      </c>
      <c r="F853" s="59" t="s">
        <v>0</v>
      </c>
      <c r="G853" s="36">
        <f>G854+G860</f>
        <v>8890.7999999999993</v>
      </c>
      <c r="H853" s="36">
        <f t="shared" ref="H853:K853" si="442">H854+H860</f>
        <v>0</v>
      </c>
      <c r="I853" s="36">
        <f t="shared" si="442"/>
        <v>0</v>
      </c>
      <c r="J853" s="36">
        <f t="shared" si="442"/>
        <v>0</v>
      </c>
      <c r="K853" s="36">
        <f t="shared" si="442"/>
        <v>0</v>
      </c>
      <c r="L853" s="36">
        <v>0</v>
      </c>
      <c r="M853" s="36">
        <v>0</v>
      </c>
    </row>
    <row r="854" spans="1:13" ht="25.5">
      <c r="A854" s="60" t="s">
        <v>388</v>
      </c>
      <c r="B854" s="29" t="s">
        <v>385</v>
      </c>
      <c r="C854" s="29" t="s">
        <v>17</v>
      </c>
      <c r="D854" s="29" t="s">
        <v>387</v>
      </c>
      <c r="E854" s="29" t="s">
        <v>389</v>
      </c>
      <c r="F854" s="59" t="s">
        <v>0</v>
      </c>
      <c r="G854" s="36">
        <f>G855</f>
        <v>7500</v>
      </c>
      <c r="H854" s="36">
        <f t="shared" ref="H854:K855" si="443">H855</f>
        <v>0</v>
      </c>
      <c r="I854" s="36">
        <f t="shared" si="443"/>
        <v>0</v>
      </c>
      <c r="J854" s="36">
        <f t="shared" si="443"/>
        <v>0</v>
      </c>
      <c r="K854" s="36">
        <f t="shared" si="443"/>
        <v>0</v>
      </c>
      <c r="L854" s="36">
        <v>0</v>
      </c>
      <c r="M854" s="36">
        <v>0</v>
      </c>
    </row>
    <row r="855" spans="1:13" ht="25.5">
      <c r="A855" s="60" t="s">
        <v>390</v>
      </c>
      <c r="B855" s="29" t="s">
        <v>385</v>
      </c>
      <c r="C855" s="29" t="s">
        <v>17</v>
      </c>
      <c r="D855" s="29" t="s">
        <v>387</v>
      </c>
      <c r="E855" s="29" t="s">
        <v>391</v>
      </c>
      <c r="F855" s="59" t="s">
        <v>0</v>
      </c>
      <c r="G855" s="36">
        <f>G856</f>
        <v>7500</v>
      </c>
      <c r="H855" s="36">
        <f t="shared" si="443"/>
        <v>0</v>
      </c>
      <c r="I855" s="36">
        <f t="shared" si="443"/>
        <v>0</v>
      </c>
      <c r="J855" s="36">
        <f t="shared" si="443"/>
        <v>0</v>
      </c>
      <c r="K855" s="36">
        <f t="shared" si="443"/>
        <v>0</v>
      </c>
      <c r="L855" s="36">
        <v>0</v>
      </c>
      <c r="M855" s="36">
        <v>0</v>
      </c>
    </row>
    <row r="856" spans="1:13" ht="25.5">
      <c r="A856" s="60" t="s">
        <v>80</v>
      </c>
      <c r="B856" s="29" t="s">
        <v>385</v>
      </c>
      <c r="C856" s="29" t="s">
        <v>17</v>
      </c>
      <c r="D856" s="29" t="s">
        <v>387</v>
      </c>
      <c r="E856" s="29" t="s">
        <v>391</v>
      </c>
      <c r="F856" s="29" t="s">
        <v>81</v>
      </c>
      <c r="G856" s="36">
        <f>G859</f>
        <v>7500</v>
      </c>
      <c r="H856" s="36">
        <f>H859</f>
        <v>0</v>
      </c>
      <c r="I856" s="36">
        <f>I859</f>
        <v>0</v>
      </c>
      <c r="J856" s="36">
        <f>J859</f>
        <v>0</v>
      </c>
      <c r="K856" s="36">
        <f>K859</f>
        <v>0</v>
      </c>
      <c r="L856" s="36">
        <v>0</v>
      </c>
      <c r="M856" s="36">
        <v>0</v>
      </c>
    </row>
    <row r="857" spans="1:13" hidden="1">
      <c r="A857" s="60" t="s">
        <v>271</v>
      </c>
      <c r="B857" s="29" t="s">
        <v>385</v>
      </c>
      <c r="C857" s="29" t="s">
        <v>17</v>
      </c>
      <c r="D857" s="29" t="s">
        <v>387</v>
      </c>
      <c r="E857" s="29" t="s">
        <v>391</v>
      </c>
      <c r="F857" s="29">
        <v>610</v>
      </c>
      <c r="G857" s="36"/>
      <c r="H857" s="36"/>
      <c r="I857" s="36"/>
      <c r="J857" s="36"/>
      <c r="K857" s="36"/>
      <c r="L857" s="36"/>
      <c r="M857" s="36"/>
    </row>
    <row r="858" spans="1:13" hidden="1">
      <c r="A858" s="60" t="s">
        <v>82</v>
      </c>
      <c r="B858" s="29" t="s">
        <v>385</v>
      </c>
      <c r="C858" s="29" t="s">
        <v>17</v>
      </c>
      <c r="D858" s="29" t="s">
        <v>387</v>
      </c>
      <c r="E858" s="29" t="s">
        <v>391</v>
      </c>
      <c r="F858" s="29">
        <v>620</v>
      </c>
      <c r="G858" s="36"/>
      <c r="H858" s="36"/>
      <c r="I858" s="36"/>
      <c r="J858" s="36"/>
      <c r="K858" s="36"/>
      <c r="L858" s="36"/>
      <c r="M858" s="36"/>
    </row>
    <row r="859" spans="1:13" ht="38.25">
      <c r="A859" s="60" t="s">
        <v>195</v>
      </c>
      <c r="B859" s="29" t="s">
        <v>385</v>
      </c>
      <c r="C859" s="29" t="s">
        <v>17</v>
      </c>
      <c r="D859" s="29" t="s">
        <v>387</v>
      </c>
      <c r="E859" s="29" t="s">
        <v>391</v>
      </c>
      <c r="F859" s="29" t="s">
        <v>196</v>
      </c>
      <c r="G859" s="36">
        <v>7500</v>
      </c>
      <c r="H859" s="36">
        <v>0</v>
      </c>
      <c r="I859" s="36">
        <v>0</v>
      </c>
      <c r="J859" s="36">
        <v>0</v>
      </c>
      <c r="K859" s="36">
        <v>0</v>
      </c>
      <c r="L859" s="36">
        <v>0</v>
      </c>
      <c r="M859" s="36">
        <v>0</v>
      </c>
    </row>
    <row r="860" spans="1:13" ht="38.25">
      <c r="A860" s="60" t="s">
        <v>392</v>
      </c>
      <c r="B860" s="29" t="s">
        <v>385</v>
      </c>
      <c r="C860" s="29" t="s">
        <v>17</v>
      </c>
      <c r="D860" s="29" t="s">
        <v>387</v>
      </c>
      <c r="E860" s="29" t="s">
        <v>393</v>
      </c>
      <c r="F860" s="59" t="s">
        <v>0</v>
      </c>
      <c r="G860" s="36">
        <f>G861</f>
        <v>1390.8</v>
      </c>
      <c r="H860" s="36">
        <f t="shared" ref="H860:K862" si="444">H861</f>
        <v>0</v>
      </c>
      <c r="I860" s="36">
        <f t="shared" si="444"/>
        <v>0</v>
      </c>
      <c r="J860" s="36">
        <f t="shared" si="444"/>
        <v>0</v>
      </c>
      <c r="K860" s="36">
        <f t="shared" si="444"/>
        <v>0</v>
      </c>
      <c r="L860" s="36">
        <v>0</v>
      </c>
      <c r="M860" s="36">
        <v>0</v>
      </c>
    </row>
    <row r="861" spans="1:13" ht="25.5">
      <c r="A861" s="60" t="s">
        <v>390</v>
      </c>
      <c r="B861" s="29" t="s">
        <v>385</v>
      </c>
      <c r="C861" s="29" t="s">
        <v>17</v>
      </c>
      <c r="D861" s="29" t="s">
        <v>387</v>
      </c>
      <c r="E861" s="29" t="s">
        <v>394</v>
      </c>
      <c r="F861" s="59" t="s">
        <v>0</v>
      </c>
      <c r="G861" s="36">
        <f>G862</f>
        <v>1390.8</v>
      </c>
      <c r="H861" s="36">
        <f t="shared" si="444"/>
        <v>0</v>
      </c>
      <c r="I861" s="36">
        <f t="shared" si="444"/>
        <v>0</v>
      </c>
      <c r="J861" s="36">
        <f t="shared" si="444"/>
        <v>0</v>
      </c>
      <c r="K861" s="36">
        <f t="shared" si="444"/>
        <v>0</v>
      </c>
      <c r="L861" s="36">
        <v>0</v>
      </c>
      <c r="M861" s="36">
        <v>0</v>
      </c>
    </row>
    <row r="862" spans="1:13" ht="25.5">
      <c r="A862" s="60" t="s">
        <v>80</v>
      </c>
      <c r="B862" s="29" t="s">
        <v>385</v>
      </c>
      <c r="C862" s="29" t="s">
        <v>17</v>
      </c>
      <c r="D862" s="29" t="s">
        <v>387</v>
      </c>
      <c r="E862" s="29" t="s">
        <v>394</v>
      </c>
      <c r="F862" s="29" t="s">
        <v>81</v>
      </c>
      <c r="G862" s="36">
        <f>G863</f>
        <v>1390.8</v>
      </c>
      <c r="H862" s="36">
        <f t="shared" si="444"/>
        <v>0</v>
      </c>
      <c r="I862" s="36">
        <f t="shared" si="444"/>
        <v>0</v>
      </c>
      <c r="J862" s="36">
        <f t="shared" si="444"/>
        <v>0</v>
      </c>
      <c r="K862" s="36">
        <f t="shared" si="444"/>
        <v>0</v>
      </c>
      <c r="L862" s="36">
        <v>0</v>
      </c>
      <c r="M862" s="36">
        <v>0</v>
      </c>
    </row>
    <row r="863" spans="1:13">
      <c r="A863" s="60" t="s">
        <v>271</v>
      </c>
      <c r="B863" s="29" t="s">
        <v>385</v>
      </c>
      <c r="C863" s="29" t="s">
        <v>17</v>
      </c>
      <c r="D863" s="29" t="s">
        <v>387</v>
      </c>
      <c r="E863" s="29" t="s">
        <v>394</v>
      </c>
      <c r="F863" s="29" t="s">
        <v>272</v>
      </c>
      <c r="G863" s="36">
        <v>1390.8</v>
      </c>
      <c r="H863" s="36"/>
      <c r="I863" s="36"/>
      <c r="J863" s="36"/>
      <c r="K863" s="36"/>
      <c r="L863" s="36">
        <v>0</v>
      </c>
      <c r="M863" s="36">
        <v>0</v>
      </c>
    </row>
    <row r="864" spans="1:13" ht="45" customHeight="1">
      <c r="A864" s="70" t="s">
        <v>1130</v>
      </c>
      <c r="B864" s="29" t="s">
        <v>385</v>
      </c>
      <c r="C864" s="29" t="s">
        <v>17</v>
      </c>
      <c r="D864" s="29" t="s">
        <v>387</v>
      </c>
      <c r="E864" s="30" t="s">
        <v>1127</v>
      </c>
      <c r="F864" s="29"/>
      <c r="G864" s="36"/>
      <c r="H864" s="36">
        <f>H865</f>
        <v>664.25399999999991</v>
      </c>
      <c r="I864" s="36">
        <f t="shared" ref="I864:K866" si="445">I865</f>
        <v>664.25399999999991</v>
      </c>
      <c r="J864" s="36">
        <f t="shared" si="445"/>
        <v>664.25399999999991</v>
      </c>
      <c r="K864" s="36">
        <f t="shared" si="445"/>
        <v>664.25399999999991</v>
      </c>
      <c r="L864" s="36">
        <f t="shared" ref="L864:L869" si="446">K864/H864*100</f>
        <v>100</v>
      </c>
      <c r="M864" s="36">
        <f t="shared" ref="M864:M869" si="447">K864/I864*100</f>
        <v>100</v>
      </c>
    </row>
    <row r="865" spans="1:13" ht="65.25" customHeight="1">
      <c r="A865" s="60" t="s">
        <v>1144</v>
      </c>
      <c r="B865" s="29" t="s">
        <v>385</v>
      </c>
      <c r="C865" s="29" t="s">
        <v>17</v>
      </c>
      <c r="D865" s="29" t="s">
        <v>387</v>
      </c>
      <c r="E865" s="30" t="s">
        <v>1142</v>
      </c>
      <c r="F865" s="29"/>
      <c r="G865" s="36"/>
      <c r="H865" s="36">
        <f>H866</f>
        <v>664.25399999999991</v>
      </c>
      <c r="I865" s="36">
        <f t="shared" si="445"/>
        <v>664.25399999999991</v>
      </c>
      <c r="J865" s="36">
        <f t="shared" si="445"/>
        <v>664.25399999999991</v>
      </c>
      <c r="K865" s="36">
        <f t="shared" si="445"/>
        <v>664.25399999999991</v>
      </c>
      <c r="L865" s="36">
        <f t="shared" si="446"/>
        <v>100</v>
      </c>
      <c r="M865" s="36">
        <f t="shared" si="447"/>
        <v>100</v>
      </c>
    </row>
    <row r="866" spans="1:13" ht="60" customHeight="1">
      <c r="A866" s="60" t="s">
        <v>1145</v>
      </c>
      <c r="B866" s="29" t="s">
        <v>385</v>
      </c>
      <c r="C866" s="29" t="s">
        <v>17</v>
      </c>
      <c r="D866" s="29" t="s">
        <v>387</v>
      </c>
      <c r="E866" s="30" t="s">
        <v>1143</v>
      </c>
      <c r="F866" s="29"/>
      <c r="G866" s="36"/>
      <c r="H866" s="36">
        <f>H867</f>
        <v>664.25399999999991</v>
      </c>
      <c r="I866" s="36">
        <f t="shared" si="445"/>
        <v>664.25399999999991</v>
      </c>
      <c r="J866" s="36">
        <f t="shared" si="445"/>
        <v>664.25399999999991</v>
      </c>
      <c r="K866" s="36">
        <f t="shared" si="445"/>
        <v>664.25399999999991</v>
      </c>
      <c r="L866" s="36">
        <f t="shared" si="446"/>
        <v>100</v>
      </c>
      <c r="M866" s="36">
        <f t="shared" si="447"/>
        <v>100</v>
      </c>
    </row>
    <row r="867" spans="1:13" ht="25.5">
      <c r="A867" s="60" t="s">
        <v>80</v>
      </c>
      <c r="B867" s="29" t="s">
        <v>385</v>
      </c>
      <c r="C867" s="29" t="s">
        <v>17</v>
      </c>
      <c r="D867" s="29" t="s">
        <v>387</v>
      </c>
      <c r="E867" s="30" t="s">
        <v>1143</v>
      </c>
      <c r="F867" s="29">
        <v>600</v>
      </c>
      <c r="G867" s="62" t="s">
        <v>0</v>
      </c>
      <c r="H867" s="36">
        <f>H868+H869</f>
        <v>664.25399999999991</v>
      </c>
      <c r="I867" s="36">
        <f t="shared" ref="I867:K867" si="448">I868+I869</f>
        <v>664.25399999999991</v>
      </c>
      <c r="J867" s="36">
        <f t="shared" si="448"/>
        <v>664.25399999999991</v>
      </c>
      <c r="K867" s="36">
        <f t="shared" si="448"/>
        <v>664.25399999999991</v>
      </c>
      <c r="L867" s="36">
        <f t="shared" si="446"/>
        <v>100</v>
      </c>
      <c r="M867" s="36">
        <f t="shared" si="447"/>
        <v>100</v>
      </c>
    </row>
    <row r="868" spans="1:13">
      <c r="A868" s="60" t="s">
        <v>271</v>
      </c>
      <c r="B868" s="29" t="s">
        <v>385</v>
      </c>
      <c r="C868" s="29" t="s">
        <v>17</v>
      </c>
      <c r="D868" s="29" t="s">
        <v>387</v>
      </c>
      <c r="E868" s="30" t="s">
        <v>1143</v>
      </c>
      <c r="F868" s="59">
        <v>610</v>
      </c>
      <c r="G868" s="62"/>
      <c r="H868" s="62">
        <v>159.88999999999999</v>
      </c>
      <c r="I868" s="62">
        <v>159.88999999999999</v>
      </c>
      <c r="J868" s="62">
        <v>159.88999999999999</v>
      </c>
      <c r="K868" s="62">
        <v>159.88999999999999</v>
      </c>
      <c r="L868" s="36">
        <f t="shared" si="446"/>
        <v>100</v>
      </c>
      <c r="M868" s="36">
        <f t="shared" si="447"/>
        <v>100</v>
      </c>
    </row>
    <row r="869" spans="1:13">
      <c r="A869" s="60" t="s">
        <v>82</v>
      </c>
      <c r="B869" s="29" t="s">
        <v>385</v>
      </c>
      <c r="C869" s="29" t="s">
        <v>17</v>
      </c>
      <c r="D869" s="29" t="s">
        <v>387</v>
      </c>
      <c r="E869" s="30" t="s">
        <v>1143</v>
      </c>
      <c r="F869" s="59">
        <v>620</v>
      </c>
      <c r="G869" s="62"/>
      <c r="H869" s="62">
        <v>504.36399999999998</v>
      </c>
      <c r="I869" s="62">
        <v>504.36399999999998</v>
      </c>
      <c r="J869" s="62">
        <v>504.36399999999998</v>
      </c>
      <c r="K869" s="62">
        <v>504.36399999999998</v>
      </c>
      <c r="L869" s="36">
        <f t="shared" si="446"/>
        <v>100</v>
      </c>
      <c r="M869" s="36">
        <f t="shared" si="447"/>
        <v>100</v>
      </c>
    </row>
    <row r="870" spans="1:13">
      <c r="A870" s="61"/>
      <c r="B870" s="29"/>
      <c r="C870" s="29"/>
      <c r="D870" s="29"/>
      <c r="E870" s="59"/>
      <c r="F870" s="59"/>
      <c r="G870" s="62"/>
      <c r="H870" s="62"/>
      <c r="I870" s="62"/>
      <c r="J870" s="62"/>
      <c r="K870" s="62"/>
      <c r="L870" s="62"/>
      <c r="M870" s="62"/>
    </row>
    <row r="871" spans="1:13">
      <c r="A871" s="60" t="s">
        <v>109</v>
      </c>
      <c r="B871" s="29" t="s">
        <v>385</v>
      </c>
      <c r="C871" s="29" t="s">
        <v>110</v>
      </c>
      <c r="D871" s="59" t="s">
        <v>0</v>
      </c>
      <c r="E871" s="59" t="s">
        <v>0</v>
      </c>
      <c r="F871" s="59" t="s">
        <v>0</v>
      </c>
      <c r="G871" s="36">
        <f>G877+G911+G928+G934+G941+G951</f>
        <v>16293983.6</v>
      </c>
      <c r="H871" s="36">
        <f>H877+H911+H928+H934+H941+H951+H872</f>
        <v>16368011.966489999</v>
      </c>
      <c r="I871" s="36">
        <f t="shared" ref="I871:K871" si="449">I877+I911+I928+I934+I941+I951+I872</f>
        <v>9684329.8061300013</v>
      </c>
      <c r="J871" s="36">
        <f t="shared" si="449"/>
        <v>9684329.8061300013</v>
      </c>
      <c r="K871" s="36">
        <f t="shared" si="449"/>
        <v>9464686.8655600008</v>
      </c>
      <c r="L871" s="36">
        <f t="shared" si="382"/>
        <v>57.82429097032017</v>
      </c>
      <c r="M871" s="36">
        <f t="shared" si="383"/>
        <v>97.731975831399595</v>
      </c>
    </row>
    <row r="872" spans="1:13">
      <c r="A872" s="63" t="s">
        <v>111</v>
      </c>
      <c r="B872" s="29" t="s">
        <v>385</v>
      </c>
      <c r="C872" s="29" t="s">
        <v>110</v>
      </c>
      <c r="D872" s="29" t="s">
        <v>17</v>
      </c>
      <c r="E872" s="59"/>
      <c r="F872" s="59"/>
      <c r="G872" s="36"/>
      <c r="H872" s="36">
        <f>H873</f>
        <v>718.96600000000001</v>
      </c>
      <c r="I872" s="36">
        <f t="shared" ref="I872:K875" si="450">I873</f>
        <v>718.96600000000001</v>
      </c>
      <c r="J872" s="36">
        <f t="shared" si="450"/>
        <v>718.96600000000001</v>
      </c>
      <c r="K872" s="36">
        <f t="shared" si="450"/>
        <v>718.96600000000001</v>
      </c>
      <c r="L872" s="36">
        <f t="shared" ref="L872:L876" si="451">K872/H872*100</f>
        <v>100</v>
      </c>
      <c r="M872" s="36">
        <f t="shared" ref="M872:M876" si="452">K872/I872*100</f>
        <v>100</v>
      </c>
    </row>
    <row r="873" spans="1:13">
      <c r="A873" s="63" t="s">
        <v>612</v>
      </c>
      <c r="B873" s="29" t="s">
        <v>385</v>
      </c>
      <c r="C873" s="29" t="s">
        <v>110</v>
      </c>
      <c r="D873" s="29" t="s">
        <v>17</v>
      </c>
      <c r="E873" s="30" t="s">
        <v>613</v>
      </c>
      <c r="F873" s="59"/>
      <c r="G873" s="36"/>
      <c r="H873" s="36">
        <f>H874</f>
        <v>718.96600000000001</v>
      </c>
      <c r="I873" s="36">
        <f t="shared" si="450"/>
        <v>718.96600000000001</v>
      </c>
      <c r="J873" s="36">
        <f t="shared" si="450"/>
        <v>718.96600000000001</v>
      </c>
      <c r="K873" s="36">
        <f t="shared" si="450"/>
        <v>718.96600000000001</v>
      </c>
      <c r="L873" s="36">
        <f t="shared" si="451"/>
        <v>100</v>
      </c>
      <c r="M873" s="36">
        <f t="shared" si="452"/>
        <v>100</v>
      </c>
    </row>
    <row r="874" spans="1:13">
      <c r="A874" s="60" t="s">
        <v>612</v>
      </c>
      <c r="B874" s="29" t="s">
        <v>385</v>
      </c>
      <c r="C874" s="29" t="s">
        <v>110</v>
      </c>
      <c r="D874" s="29" t="s">
        <v>17</v>
      </c>
      <c r="E874" s="30" t="s">
        <v>614</v>
      </c>
      <c r="F874" s="59"/>
      <c r="G874" s="36"/>
      <c r="H874" s="36">
        <f>H875</f>
        <v>718.96600000000001</v>
      </c>
      <c r="I874" s="36">
        <f t="shared" si="450"/>
        <v>718.96600000000001</v>
      </c>
      <c r="J874" s="36">
        <f t="shared" si="450"/>
        <v>718.96600000000001</v>
      </c>
      <c r="K874" s="36">
        <f t="shared" si="450"/>
        <v>718.96600000000001</v>
      </c>
      <c r="L874" s="36">
        <f t="shared" si="451"/>
        <v>100</v>
      </c>
      <c r="M874" s="36">
        <f t="shared" si="452"/>
        <v>100</v>
      </c>
    </row>
    <row r="875" spans="1:13">
      <c r="A875" s="60" t="s">
        <v>26</v>
      </c>
      <c r="B875" s="29" t="s">
        <v>385</v>
      </c>
      <c r="C875" s="29" t="s">
        <v>110</v>
      </c>
      <c r="D875" s="29" t="s">
        <v>17</v>
      </c>
      <c r="E875" s="30" t="s">
        <v>614</v>
      </c>
      <c r="F875" s="59">
        <v>500</v>
      </c>
      <c r="G875" s="36"/>
      <c r="H875" s="36">
        <f>H876</f>
        <v>718.96600000000001</v>
      </c>
      <c r="I875" s="36">
        <f t="shared" si="450"/>
        <v>718.96600000000001</v>
      </c>
      <c r="J875" s="36">
        <f t="shared" si="450"/>
        <v>718.96600000000001</v>
      </c>
      <c r="K875" s="36">
        <f t="shared" si="450"/>
        <v>718.96600000000001</v>
      </c>
      <c r="L875" s="36">
        <f t="shared" si="451"/>
        <v>100</v>
      </c>
      <c r="M875" s="36">
        <f t="shared" si="452"/>
        <v>100</v>
      </c>
    </row>
    <row r="876" spans="1:13">
      <c r="A876" s="63" t="s">
        <v>352</v>
      </c>
      <c r="B876" s="29" t="s">
        <v>385</v>
      </c>
      <c r="C876" s="29" t="s">
        <v>110</v>
      </c>
      <c r="D876" s="29" t="s">
        <v>17</v>
      </c>
      <c r="E876" s="30" t="s">
        <v>614</v>
      </c>
      <c r="F876" s="59">
        <v>540</v>
      </c>
      <c r="G876" s="36"/>
      <c r="H876" s="36">
        <v>718.96600000000001</v>
      </c>
      <c r="I876" s="36">
        <v>718.96600000000001</v>
      </c>
      <c r="J876" s="36">
        <v>718.96600000000001</v>
      </c>
      <c r="K876" s="36">
        <v>718.96600000000001</v>
      </c>
      <c r="L876" s="36">
        <f t="shared" si="451"/>
        <v>100</v>
      </c>
      <c r="M876" s="36">
        <f t="shared" si="452"/>
        <v>100</v>
      </c>
    </row>
    <row r="877" spans="1:13">
      <c r="A877" s="60" t="s">
        <v>119</v>
      </c>
      <c r="B877" s="29" t="s">
        <v>385</v>
      </c>
      <c r="C877" s="29" t="s">
        <v>110</v>
      </c>
      <c r="D877" s="29" t="s">
        <v>106</v>
      </c>
      <c r="E877" s="59" t="s">
        <v>0</v>
      </c>
      <c r="F877" s="59" t="s">
        <v>0</v>
      </c>
      <c r="G877" s="36">
        <f>G878</f>
        <v>13435317.5</v>
      </c>
      <c r="H877" s="36">
        <f>H878+H905</f>
        <v>13467113.800759999</v>
      </c>
      <c r="I877" s="36">
        <f t="shared" ref="I877" si="453">I878+I905</f>
        <v>8057579.0967599992</v>
      </c>
      <c r="J877" s="36">
        <f t="shared" ref="J877:K877" si="454">J878+J905</f>
        <v>8057579.0967599992</v>
      </c>
      <c r="K877" s="36">
        <f t="shared" si="454"/>
        <v>7858127.0019599991</v>
      </c>
      <c r="L877" s="36">
        <f t="shared" si="382"/>
        <v>58.350490819469691</v>
      </c>
      <c r="M877" s="36">
        <f t="shared" si="383"/>
        <v>97.524664760905651</v>
      </c>
    </row>
    <row r="878" spans="1:13" ht="38.25">
      <c r="A878" s="60" t="s">
        <v>112</v>
      </c>
      <c r="B878" s="29" t="s">
        <v>385</v>
      </c>
      <c r="C878" s="29" t="s">
        <v>110</v>
      </c>
      <c r="D878" s="29" t="s">
        <v>106</v>
      </c>
      <c r="E878" s="29" t="s">
        <v>113</v>
      </c>
      <c r="F878" s="59" t="s">
        <v>0</v>
      </c>
      <c r="G878" s="36">
        <f>G879+G886+G890+G898</f>
        <v>13435317.5</v>
      </c>
      <c r="H878" s="36">
        <f>H879+H886+H890+H898+H894</f>
        <v>13462026.5</v>
      </c>
      <c r="I878" s="36">
        <f t="shared" ref="I878" si="455">I879+I886+I890+I898+I894</f>
        <v>8052491.7959999992</v>
      </c>
      <c r="J878" s="36">
        <f t="shared" ref="J878:K878" si="456">J879+J886+J890+J898+J894</f>
        <v>8052491.7959999992</v>
      </c>
      <c r="K878" s="36">
        <f t="shared" si="456"/>
        <v>7853039.7011999991</v>
      </c>
      <c r="L878" s="36">
        <f t="shared" si="382"/>
        <v>58.33475146702466</v>
      </c>
      <c r="M878" s="36">
        <f t="shared" si="383"/>
        <v>97.523100925118896</v>
      </c>
    </row>
    <row r="879" spans="1:13" ht="25.5">
      <c r="A879" s="60" t="s">
        <v>395</v>
      </c>
      <c r="B879" s="29" t="s">
        <v>385</v>
      </c>
      <c r="C879" s="29" t="s">
        <v>110</v>
      </c>
      <c r="D879" s="29" t="s">
        <v>106</v>
      </c>
      <c r="E879" s="29" t="s">
        <v>396</v>
      </c>
      <c r="F879" s="59" t="s">
        <v>0</v>
      </c>
      <c r="G879" s="36">
        <f>G880+G883</f>
        <v>11921150.5</v>
      </c>
      <c r="H879" s="36">
        <f t="shared" ref="H879:K879" si="457">H880+H883</f>
        <v>11921150.5</v>
      </c>
      <c r="I879" s="36">
        <f t="shared" si="457"/>
        <v>7218408.1209999993</v>
      </c>
      <c r="J879" s="36">
        <f t="shared" si="457"/>
        <v>7218408.1209999993</v>
      </c>
      <c r="K879" s="36">
        <f t="shared" si="457"/>
        <v>7018956.0261999993</v>
      </c>
      <c r="L879" s="36">
        <f t="shared" si="382"/>
        <v>58.878176449496209</v>
      </c>
      <c r="M879" s="36">
        <f t="shared" si="383"/>
        <v>97.236896397977986</v>
      </c>
    </row>
    <row r="880" spans="1:13" ht="25.5">
      <c r="A880" s="60" t="s">
        <v>76</v>
      </c>
      <c r="B880" s="29" t="s">
        <v>385</v>
      </c>
      <c r="C880" s="29" t="s">
        <v>110</v>
      </c>
      <c r="D880" s="29" t="s">
        <v>106</v>
      </c>
      <c r="E880" s="29" t="s">
        <v>397</v>
      </c>
      <c r="F880" s="59" t="s">
        <v>0</v>
      </c>
      <c r="G880" s="36">
        <f>G881</f>
        <v>199797.4</v>
      </c>
      <c r="H880" s="36">
        <f t="shared" ref="H880:K881" si="458">H881</f>
        <v>199797.4</v>
      </c>
      <c r="I880" s="36">
        <f t="shared" si="458"/>
        <v>115567.13400000001</v>
      </c>
      <c r="J880" s="36">
        <f t="shared" si="458"/>
        <v>115567.13400000001</v>
      </c>
      <c r="K880" s="36">
        <f t="shared" si="458"/>
        <v>115567.13400000001</v>
      </c>
      <c r="L880" s="36">
        <f t="shared" si="382"/>
        <v>57.84216110920363</v>
      </c>
      <c r="M880" s="36">
        <f t="shared" si="383"/>
        <v>100</v>
      </c>
    </row>
    <row r="881" spans="1:13" ht="25.5">
      <c r="A881" s="60" t="s">
        <v>80</v>
      </c>
      <c r="B881" s="29" t="s">
        <v>385</v>
      </c>
      <c r="C881" s="29" t="s">
        <v>110</v>
      </c>
      <c r="D881" s="29" t="s">
        <v>106</v>
      </c>
      <c r="E881" s="29" t="s">
        <v>397</v>
      </c>
      <c r="F881" s="29" t="s">
        <v>81</v>
      </c>
      <c r="G881" s="36">
        <f>G882</f>
        <v>199797.4</v>
      </c>
      <c r="H881" s="36">
        <f t="shared" si="458"/>
        <v>199797.4</v>
      </c>
      <c r="I881" s="36">
        <f t="shared" si="458"/>
        <v>115567.13400000001</v>
      </c>
      <c r="J881" s="36">
        <f t="shared" si="458"/>
        <v>115567.13400000001</v>
      </c>
      <c r="K881" s="36">
        <f t="shared" si="458"/>
        <v>115567.13400000001</v>
      </c>
      <c r="L881" s="36">
        <f t="shared" si="382"/>
        <v>57.84216110920363</v>
      </c>
      <c r="M881" s="36">
        <f t="shared" si="383"/>
        <v>100</v>
      </c>
    </row>
    <row r="882" spans="1:13">
      <c r="A882" s="60" t="s">
        <v>271</v>
      </c>
      <c r="B882" s="29" t="s">
        <v>385</v>
      </c>
      <c r="C882" s="29" t="s">
        <v>110</v>
      </c>
      <c r="D882" s="29" t="s">
        <v>106</v>
      </c>
      <c r="E882" s="29" t="s">
        <v>397</v>
      </c>
      <c r="F882" s="29" t="s">
        <v>272</v>
      </c>
      <c r="G882" s="36">
        <v>199797.4</v>
      </c>
      <c r="H882" s="36">
        <v>199797.4</v>
      </c>
      <c r="I882" s="36">
        <v>115567.13400000001</v>
      </c>
      <c r="J882" s="36">
        <v>115567.13400000001</v>
      </c>
      <c r="K882" s="36">
        <v>115567.13400000001</v>
      </c>
      <c r="L882" s="36">
        <f t="shared" si="382"/>
        <v>57.84216110920363</v>
      </c>
      <c r="M882" s="36">
        <f t="shared" si="383"/>
        <v>100</v>
      </c>
    </row>
    <row r="883" spans="1:13">
      <c r="A883" s="60" t="s">
        <v>398</v>
      </c>
      <c r="B883" s="29" t="s">
        <v>385</v>
      </c>
      <c r="C883" s="29" t="s">
        <v>110</v>
      </c>
      <c r="D883" s="29" t="s">
        <v>106</v>
      </c>
      <c r="E883" s="29" t="s">
        <v>399</v>
      </c>
      <c r="F883" s="59" t="s">
        <v>0</v>
      </c>
      <c r="G883" s="36">
        <f>G884</f>
        <v>11721353.1</v>
      </c>
      <c r="H883" s="36">
        <f t="shared" ref="H883:K884" si="459">H884</f>
        <v>11721353.1</v>
      </c>
      <c r="I883" s="36">
        <f t="shared" si="459"/>
        <v>7102840.9869999997</v>
      </c>
      <c r="J883" s="36">
        <f t="shared" si="459"/>
        <v>7102840.9869999997</v>
      </c>
      <c r="K883" s="36">
        <f t="shared" si="459"/>
        <v>6903388.8921999997</v>
      </c>
      <c r="L883" s="36">
        <f t="shared" si="382"/>
        <v>58.895835944060067</v>
      </c>
      <c r="M883" s="36">
        <f t="shared" si="383"/>
        <v>97.19193918088483</v>
      </c>
    </row>
    <row r="884" spans="1:13">
      <c r="A884" s="60" t="s">
        <v>26</v>
      </c>
      <c r="B884" s="29" t="s">
        <v>385</v>
      </c>
      <c r="C884" s="29" t="s">
        <v>110</v>
      </c>
      <c r="D884" s="29" t="s">
        <v>106</v>
      </c>
      <c r="E884" s="29" t="s">
        <v>399</v>
      </c>
      <c r="F884" s="29" t="s">
        <v>27</v>
      </c>
      <c r="G884" s="36">
        <f>G885</f>
        <v>11721353.1</v>
      </c>
      <c r="H884" s="36">
        <f t="shared" si="459"/>
        <v>11721353.1</v>
      </c>
      <c r="I884" s="36">
        <f t="shared" si="459"/>
        <v>7102840.9869999997</v>
      </c>
      <c r="J884" s="36">
        <f t="shared" si="459"/>
        <v>7102840.9869999997</v>
      </c>
      <c r="K884" s="36">
        <f t="shared" si="459"/>
        <v>6903388.8921999997</v>
      </c>
      <c r="L884" s="36">
        <f t="shared" si="382"/>
        <v>58.895835944060067</v>
      </c>
      <c r="M884" s="36">
        <f t="shared" si="383"/>
        <v>97.19193918088483</v>
      </c>
    </row>
    <row r="885" spans="1:13">
      <c r="A885" s="60" t="s">
        <v>28</v>
      </c>
      <c r="B885" s="29" t="s">
        <v>385</v>
      </c>
      <c r="C885" s="29" t="s">
        <v>110</v>
      </c>
      <c r="D885" s="29" t="s">
        <v>106</v>
      </c>
      <c r="E885" s="29" t="s">
        <v>399</v>
      </c>
      <c r="F885" s="29" t="s">
        <v>29</v>
      </c>
      <c r="G885" s="36">
        <v>11721353.1</v>
      </c>
      <c r="H885" s="36">
        <v>11721353.1</v>
      </c>
      <c r="I885" s="36">
        <v>7102840.9869999997</v>
      </c>
      <c r="J885" s="36">
        <v>7102840.9869999997</v>
      </c>
      <c r="K885" s="36">
        <v>6903388.8921999997</v>
      </c>
      <c r="L885" s="36">
        <f t="shared" si="382"/>
        <v>58.895835944060067</v>
      </c>
      <c r="M885" s="36">
        <f t="shared" si="383"/>
        <v>97.19193918088483</v>
      </c>
    </row>
    <row r="886" spans="1:13" ht="76.5">
      <c r="A886" s="60" t="s">
        <v>400</v>
      </c>
      <c r="B886" s="29" t="s">
        <v>385</v>
      </c>
      <c r="C886" s="29" t="s">
        <v>110</v>
      </c>
      <c r="D886" s="29" t="s">
        <v>106</v>
      </c>
      <c r="E886" s="29" t="s">
        <v>401</v>
      </c>
      <c r="F886" s="59" t="s">
        <v>0</v>
      </c>
      <c r="G886" s="36">
        <f>G887</f>
        <v>1496937</v>
      </c>
      <c r="H886" s="36">
        <f t="shared" ref="H886:K888" si="460">H887</f>
        <v>1496937</v>
      </c>
      <c r="I886" s="36">
        <f t="shared" si="460"/>
        <v>826463.67500000005</v>
      </c>
      <c r="J886" s="36">
        <f t="shared" si="460"/>
        <v>826463.67500000005</v>
      </c>
      <c r="K886" s="36">
        <f t="shared" si="460"/>
        <v>826463.67500000005</v>
      </c>
      <c r="L886" s="36">
        <f t="shared" si="382"/>
        <v>55.210317802285601</v>
      </c>
      <c r="M886" s="36">
        <f t="shared" si="383"/>
        <v>100</v>
      </c>
    </row>
    <row r="887" spans="1:13" ht="25.5">
      <c r="A887" s="60" t="s">
        <v>76</v>
      </c>
      <c r="B887" s="29" t="s">
        <v>385</v>
      </c>
      <c r="C887" s="29" t="s">
        <v>110</v>
      </c>
      <c r="D887" s="29" t="s">
        <v>106</v>
      </c>
      <c r="E887" s="29" t="s">
        <v>402</v>
      </c>
      <c r="F887" s="59" t="s">
        <v>0</v>
      </c>
      <c r="G887" s="36">
        <f>G888</f>
        <v>1496937</v>
      </c>
      <c r="H887" s="36">
        <f t="shared" si="460"/>
        <v>1496937</v>
      </c>
      <c r="I887" s="36">
        <f t="shared" si="460"/>
        <v>826463.67500000005</v>
      </c>
      <c r="J887" s="36">
        <f t="shared" si="460"/>
        <v>826463.67500000005</v>
      </c>
      <c r="K887" s="36">
        <f t="shared" si="460"/>
        <v>826463.67500000005</v>
      </c>
      <c r="L887" s="36">
        <f t="shared" ref="L887:L980" si="461">K887/H887*100</f>
        <v>55.210317802285601</v>
      </c>
      <c r="M887" s="36">
        <f t="shared" ref="M887:M980" si="462">K887/I887*100</f>
        <v>100</v>
      </c>
    </row>
    <row r="888" spans="1:13" ht="25.5">
      <c r="A888" s="60" t="s">
        <v>80</v>
      </c>
      <c r="B888" s="29" t="s">
        <v>385</v>
      </c>
      <c r="C888" s="29" t="s">
        <v>110</v>
      </c>
      <c r="D888" s="29" t="s">
        <v>106</v>
      </c>
      <c r="E888" s="29" t="s">
        <v>402</v>
      </c>
      <c r="F888" s="29" t="s">
        <v>81</v>
      </c>
      <c r="G888" s="36">
        <f>G889</f>
        <v>1496937</v>
      </c>
      <c r="H888" s="36">
        <f t="shared" si="460"/>
        <v>1496937</v>
      </c>
      <c r="I888" s="36">
        <f t="shared" si="460"/>
        <v>826463.67500000005</v>
      </c>
      <c r="J888" s="36">
        <f t="shared" si="460"/>
        <v>826463.67500000005</v>
      </c>
      <c r="K888" s="36">
        <f t="shared" si="460"/>
        <v>826463.67500000005</v>
      </c>
      <c r="L888" s="36">
        <f t="shared" si="461"/>
        <v>55.210317802285601</v>
      </c>
      <c r="M888" s="36">
        <f t="shared" si="462"/>
        <v>100</v>
      </c>
    </row>
    <row r="889" spans="1:13">
      <c r="A889" s="60" t="s">
        <v>271</v>
      </c>
      <c r="B889" s="29" t="s">
        <v>385</v>
      </c>
      <c r="C889" s="29" t="s">
        <v>110</v>
      </c>
      <c r="D889" s="29" t="s">
        <v>106</v>
      </c>
      <c r="E889" s="29" t="s">
        <v>402</v>
      </c>
      <c r="F889" s="29" t="s">
        <v>272</v>
      </c>
      <c r="G889" s="36">
        <v>1496937</v>
      </c>
      <c r="H889" s="36">
        <v>1496937</v>
      </c>
      <c r="I889" s="36">
        <v>826463.67500000005</v>
      </c>
      <c r="J889" s="36">
        <v>826463.67500000005</v>
      </c>
      <c r="K889" s="36">
        <v>826463.67500000005</v>
      </c>
      <c r="L889" s="36">
        <f t="shared" si="461"/>
        <v>55.210317802285601</v>
      </c>
      <c r="M889" s="36">
        <f t="shared" si="462"/>
        <v>100</v>
      </c>
    </row>
    <row r="890" spans="1:13" ht="25.5">
      <c r="A890" s="60" t="s">
        <v>403</v>
      </c>
      <c r="B890" s="29" t="s">
        <v>385</v>
      </c>
      <c r="C890" s="29" t="s">
        <v>110</v>
      </c>
      <c r="D890" s="29" t="s">
        <v>106</v>
      </c>
      <c r="E890" s="29" t="s">
        <v>404</v>
      </c>
      <c r="F890" s="59" t="s">
        <v>0</v>
      </c>
      <c r="G890" s="36">
        <f>G891</f>
        <v>13230</v>
      </c>
      <c r="H890" s="36">
        <f t="shared" ref="H890:K892" si="463">H891</f>
        <v>13230</v>
      </c>
      <c r="I890" s="36">
        <f t="shared" si="463"/>
        <v>7620</v>
      </c>
      <c r="J890" s="36">
        <f t="shared" si="463"/>
        <v>7620</v>
      </c>
      <c r="K890" s="36">
        <f t="shared" si="463"/>
        <v>7620</v>
      </c>
      <c r="L890" s="36">
        <f t="shared" si="461"/>
        <v>57.596371882086174</v>
      </c>
      <c r="M890" s="36">
        <f t="shared" si="462"/>
        <v>100</v>
      </c>
    </row>
    <row r="891" spans="1:13" ht="25.5">
      <c r="A891" s="60" t="s">
        <v>76</v>
      </c>
      <c r="B891" s="29" t="s">
        <v>385</v>
      </c>
      <c r="C891" s="29" t="s">
        <v>110</v>
      </c>
      <c r="D891" s="29" t="s">
        <v>106</v>
      </c>
      <c r="E891" s="29" t="s">
        <v>405</v>
      </c>
      <c r="F891" s="59" t="s">
        <v>0</v>
      </c>
      <c r="G891" s="36">
        <f>G892</f>
        <v>13230</v>
      </c>
      <c r="H891" s="36">
        <f t="shared" si="463"/>
        <v>13230</v>
      </c>
      <c r="I891" s="36">
        <f t="shared" si="463"/>
        <v>7620</v>
      </c>
      <c r="J891" s="36">
        <f t="shared" si="463"/>
        <v>7620</v>
      </c>
      <c r="K891" s="36">
        <f t="shared" si="463"/>
        <v>7620</v>
      </c>
      <c r="L891" s="36">
        <f t="shared" si="461"/>
        <v>57.596371882086174</v>
      </c>
      <c r="M891" s="36">
        <f t="shared" si="462"/>
        <v>100</v>
      </c>
    </row>
    <row r="892" spans="1:13" ht="25.5">
      <c r="A892" s="60" t="s">
        <v>80</v>
      </c>
      <c r="B892" s="29" t="s">
        <v>385</v>
      </c>
      <c r="C892" s="29" t="s">
        <v>110</v>
      </c>
      <c r="D892" s="29" t="s">
        <v>106</v>
      </c>
      <c r="E892" s="29" t="s">
        <v>405</v>
      </c>
      <c r="F892" s="29" t="s">
        <v>81</v>
      </c>
      <c r="G892" s="36">
        <f>G893</f>
        <v>13230</v>
      </c>
      <c r="H892" s="36">
        <f t="shared" si="463"/>
        <v>13230</v>
      </c>
      <c r="I892" s="36">
        <f t="shared" si="463"/>
        <v>7620</v>
      </c>
      <c r="J892" s="36">
        <f t="shared" si="463"/>
        <v>7620</v>
      </c>
      <c r="K892" s="36">
        <f t="shared" si="463"/>
        <v>7620</v>
      </c>
      <c r="L892" s="36">
        <f t="shared" si="461"/>
        <v>57.596371882086174</v>
      </c>
      <c r="M892" s="36">
        <f t="shared" si="462"/>
        <v>100</v>
      </c>
    </row>
    <row r="893" spans="1:13">
      <c r="A893" s="60" t="s">
        <v>271</v>
      </c>
      <c r="B893" s="29" t="s">
        <v>385</v>
      </c>
      <c r="C893" s="29" t="s">
        <v>110</v>
      </c>
      <c r="D893" s="29" t="s">
        <v>106</v>
      </c>
      <c r="E893" s="29" t="s">
        <v>405</v>
      </c>
      <c r="F893" s="29" t="s">
        <v>272</v>
      </c>
      <c r="G893" s="36">
        <v>13230</v>
      </c>
      <c r="H893" s="36">
        <v>13230</v>
      </c>
      <c r="I893" s="36">
        <v>7620</v>
      </c>
      <c r="J893" s="36">
        <v>7620</v>
      </c>
      <c r="K893" s="36">
        <v>7620</v>
      </c>
      <c r="L893" s="36">
        <f t="shared" si="461"/>
        <v>57.596371882086174</v>
      </c>
      <c r="M893" s="36">
        <f t="shared" si="462"/>
        <v>100</v>
      </c>
    </row>
    <row r="894" spans="1:13" ht="33.75" customHeight="1">
      <c r="A894" s="60" t="s">
        <v>412</v>
      </c>
      <c r="B894" s="29" t="s">
        <v>385</v>
      </c>
      <c r="C894" s="29" t="s">
        <v>110</v>
      </c>
      <c r="D894" s="29" t="s">
        <v>106</v>
      </c>
      <c r="E894" s="30" t="s">
        <v>413</v>
      </c>
      <c r="F894" s="29"/>
      <c r="G894" s="36"/>
      <c r="H894" s="36">
        <f>H895</f>
        <v>1600</v>
      </c>
      <c r="I894" s="36">
        <f t="shared" ref="I894:K896" si="464">I895</f>
        <v>0</v>
      </c>
      <c r="J894" s="36">
        <f t="shared" si="464"/>
        <v>0</v>
      </c>
      <c r="K894" s="36">
        <f t="shared" si="464"/>
        <v>0</v>
      </c>
      <c r="L894" s="36">
        <f t="shared" ref="L894:L897" si="465">K894/H894*100</f>
        <v>0</v>
      </c>
      <c r="M894" s="36">
        <v>0</v>
      </c>
    </row>
    <row r="895" spans="1:13">
      <c r="A895" s="60" t="s">
        <v>1147</v>
      </c>
      <c r="B895" s="29" t="s">
        <v>385</v>
      </c>
      <c r="C895" s="29" t="s">
        <v>110</v>
      </c>
      <c r="D895" s="29" t="s">
        <v>106</v>
      </c>
      <c r="E895" s="30" t="s">
        <v>1146</v>
      </c>
      <c r="F895" s="29"/>
      <c r="G895" s="36"/>
      <c r="H895" s="36">
        <f>H896</f>
        <v>1600</v>
      </c>
      <c r="I895" s="36">
        <f t="shared" si="464"/>
        <v>0</v>
      </c>
      <c r="J895" s="36">
        <f t="shared" si="464"/>
        <v>0</v>
      </c>
      <c r="K895" s="36">
        <f t="shared" si="464"/>
        <v>0</v>
      </c>
      <c r="L895" s="36">
        <f t="shared" si="465"/>
        <v>0</v>
      </c>
      <c r="M895" s="36">
        <v>0</v>
      </c>
    </row>
    <row r="896" spans="1:13">
      <c r="A896" s="63" t="s">
        <v>68</v>
      </c>
      <c r="B896" s="29" t="s">
        <v>385</v>
      </c>
      <c r="C896" s="29" t="s">
        <v>110</v>
      </c>
      <c r="D896" s="29" t="s">
        <v>106</v>
      </c>
      <c r="E896" s="30" t="s">
        <v>1146</v>
      </c>
      <c r="F896" s="29">
        <v>300</v>
      </c>
      <c r="G896" s="36"/>
      <c r="H896" s="36">
        <f>H897</f>
        <v>1600</v>
      </c>
      <c r="I896" s="36">
        <f t="shared" si="464"/>
        <v>0</v>
      </c>
      <c r="J896" s="36">
        <f t="shared" si="464"/>
        <v>0</v>
      </c>
      <c r="K896" s="36">
        <f t="shared" si="464"/>
        <v>0</v>
      </c>
      <c r="L896" s="36">
        <f t="shared" si="465"/>
        <v>0</v>
      </c>
      <c r="M896" s="36">
        <v>0</v>
      </c>
    </row>
    <row r="897" spans="1:13">
      <c r="A897" s="63" t="s">
        <v>373</v>
      </c>
      <c r="B897" s="29" t="s">
        <v>385</v>
      </c>
      <c r="C897" s="29" t="s">
        <v>110</v>
      </c>
      <c r="D897" s="29" t="s">
        <v>106</v>
      </c>
      <c r="E897" s="30" t="s">
        <v>1146</v>
      </c>
      <c r="F897" s="29">
        <v>350</v>
      </c>
      <c r="G897" s="36"/>
      <c r="H897" s="36">
        <v>1600</v>
      </c>
      <c r="I897" s="36">
        <v>0</v>
      </c>
      <c r="J897" s="36">
        <v>0</v>
      </c>
      <c r="K897" s="36">
        <v>0</v>
      </c>
      <c r="L897" s="36">
        <f t="shared" si="465"/>
        <v>0</v>
      </c>
      <c r="M897" s="36">
        <v>0</v>
      </c>
    </row>
    <row r="898" spans="1:13" ht="38.25">
      <c r="A898" s="60" t="s">
        <v>114</v>
      </c>
      <c r="B898" s="29" t="s">
        <v>385</v>
      </c>
      <c r="C898" s="29" t="s">
        <v>110</v>
      </c>
      <c r="D898" s="29" t="s">
        <v>106</v>
      </c>
      <c r="E898" s="29" t="s">
        <v>115</v>
      </c>
      <c r="F898" s="59" t="s">
        <v>0</v>
      </c>
      <c r="G898" s="36">
        <f>G902</f>
        <v>4000</v>
      </c>
      <c r="H898" s="36">
        <f>H902+H899</f>
        <v>29109</v>
      </c>
      <c r="I898" s="36">
        <f t="shared" ref="I898:K898" si="466">I902+I899</f>
        <v>0</v>
      </c>
      <c r="J898" s="36">
        <f t="shared" si="466"/>
        <v>0</v>
      </c>
      <c r="K898" s="36">
        <f t="shared" si="466"/>
        <v>0</v>
      </c>
      <c r="L898" s="36">
        <f t="shared" si="461"/>
        <v>0</v>
      </c>
      <c r="M898" s="36">
        <v>0</v>
      </c>
    </row>
    <row r="899" spans="1:13" ht="43.5" customHeight="1">
      <c r="A899" s="60" t="s">
        <v>1149</v>
      </c>
      <c r="B899" s="29" t="s">
        <v>385</v>
      </c>
      <c r="C899" s="29" t="s">
        <v>110</v>
      </c>
      <c r="D899" s="29" t="s">
        <v>106</v>
      </c>
      <c r="E899" s="30" t="s">
        <v>1148</v>
      </c>
      <c r="F899" s="59"/>
      <c r="G899" s="36"/>
      <c r="H899" s="36">
        <f>H900</f>
        <v>25109</v>
      </c>
      <c r="I899" s="36">
        <f t="shared" ref="I899:K900" si="467">I900</f>
        <v>0</v>
      </c>
      <c r="J899" s="36">
        <f t="shared" si="467"/>
        <v>0</v>
      </c>
      <c r="K899" s="36">
        <f t="shared" si="467"/>
        <v>0</v>
      </c>
      <c r="L899" s="36">
        <f t="shared" ref="L899:L901" si="468">K899/H899*100</f>
        <v>0</v>
      </c>
      <c r="M899" s="36">
        <v>0</v>
      </c>
    </row>
    <row r="900" spans="1:13">
      <c r="A900" s="60" t="s">
        <v>26</v>
      </c>
      <c r="B900" s="29" t="s">
        <v>385</v>
      </c>
      <c r="C900" s="29" t="s">
        <v>110</v>
      </c>
      <c r="D900" s="29" t="s">
        <v>106</v>
      </c>
      <c r="E900" s="30" t="s">
        <v>1148</v>
      </c>
      <c r="F900" s="59">
        <v>500</v>
      </c>
      <c r="G900" s="36"/>
      <c r="H900" s="36">
        <f>H901</f>
        <v>25109</v>
      </c>
      <c r="I900" s="36">
        <f t="shared" si="467"/>
        <v>0</v>
      </c>
      <c r="J900" s="36">
        <f t="shared" si="467"/>
        <v>0</v>
      </c>
      <c r="K900" s="36">
        <f t="shared" si="467"/>
        <v>0</v>
      </c>
      <c r="L900" s="36">
        <f t="shared" si="468"/>
        <v>0</v>
      </c>
      <c r="M900" s="36">
        <v>0</v>
      </c>
    </row>
    <row r="901" spans="1:13">
      <c r="A901" s="60" t="s">
        <v>56</v>
      </c>
      <c r="B901" s="29" t="s">
        <v>385</v>
      </c>
      <c r="C901" s="29" t="s">
        <v>110</v>
      </c>
      <c r="D901" s="29" t="s">
        <v>106</v>
      </c>
      <c r="E901" s="30" t="s">
        <v>1148</v>
      </c>
      <c r="F901" s="59">
        <v>520</v>
      </c>
      <c r="G901" s="36"/>
      <c r="H901" s="36">
        <v>25109</v>
      </c>
      <c r="I901" s="36">
        <v>0</v>
      </c>
      <c r="J901" s="36">
        <v>0</v>
      </c>
      <c r="K901" s="36">
        <v>0</v>
      </c>
      <c r="L901" s="36">
        <f t="shared" si="468"/>
        <v>0</v>
      </c>
      <c r="M901" s="36">
        <v>0</v>
      </c>
    </row>
    <row r="902" spans="1:13" ht="51">
      <c r="A902" s="60" t="s">
        <v>406</v>
      </c>
      <c r="B902" s="29" t="s">
        <v>385</v>
      </c>
      <c r="C902" s="29" t="s">
        <v>110</v>
      </c>
      <c r="D902" s="29" t="s">
        <v>106</v>
      </c>
      <c r="E902" s="29" t="s">
        <v>407</v>
      </c>
      <c r="F902" s="59" t="s">
        <v>0</v>
      </c>
      <c r="G902" s="36">
        <f>G903</f>
        <v>4000</v>
      </c>
      <c r="H902" s="36">
        <f t="shared" ref="H902:K903" si="469">H903</f>
        <v>4000</v>
      </c>
      <c r="I902" s="36">
        <f t="shared" si="469"/>
        <v>0</v>
      </c>
      <c r="J902" s="36">
        <f t="shared" si="469"/>
        <v>0</v>
      </c>
      <c r="K902" s="36">
        <f t="shared" si="469"/>
        <v>0</v>
      </c>
      <c r="L902" s="36">
        <f t="shared" si="461"/>
        <v>0</v>
      </c>
      <c r="M902" s="36">
        <v>0</v>
      </c>
    </row>
    <row r="903" spans="1:13">
      <c r="A903" s="60" t="s">
        <v>26</v>
      </c>
      <c r="B903" s="29" t="s">
        <v>385</v>
      </c>
      <c r="C903" s="29" t="s">
        <v>110</v>
      </c>
      <c r="D903" s="29" t="s">
        <v>106</v>
      </c>
      <c r="E903" s="29" t="s">
        <v>407</v>
      </c>
      <c r="F903" s="29" t="s">
        <v>27</v>
      </c>
      <c r="G903" s="36">
        <f>G904</f>
        <v>4000</v>
      </c>
      <c r="H903" s="36">
        <f t="shared" si="469"/>
        <v>4000</v>
      </c>
      <c r="I903" s="36">
        <f t="shared" si="469"/>
        <v>0</v>
      </c>
      <c r="J903" s="36">
        <f t="shared" si="469"/>
        <v>0</v>
      </c>
      <c r="K903" s="36">
        <f t="shared" si="469"/>
        <v>0</v>
      </c>
      <c r="L903" s="36">
        <f t="shared" si="461"/>
        <v>0</v>
      </c>
      <c r="M903" s="36">
        <v>0</v>
      </c>
    </row>
    <row r="904" spans="1:13" ht="12.75" customHeight="1">
      <c r="A904" s="60" t="s">
        <v>56</v>
      </c>
      <c r="B904" s="29" t="s">
        <v>385</v>
      </c>
      <c r="C904" s="29" t="s">
        <v>110</v>
      </c>
      <c r="D904" s="29" t="s">
        <v>106</v>
      </c>
      <c r="E904" s="29" t="s">
        <v>407</v>
      </c>
      <c r="F904" s="29" t="s">
        <v>57</v>
      </c>
      <c r="G904" s="36">
        <v>4000</v>
      </c>
      <c r="H904" s="36">
        <v>4000</v>
      </c>
      <c r="I904" s="36">
        <v>0</v>
      </c>
      <c r="J904" s="36">
        <v>0</v>
      </c>
      <c r="K904" s="36">
        <v>0</v>
      </c>
      <c r="L904" s="36">
        <f t="shared" si="461"/>
        <v>0</v>
      </c>
      <c r="M904" s="36">
        <v>0</v>
      </c>
    </row>
    <row r="905" spans="1:13" ht="12.75" customHeight="1">
      <c r="A905" s="63" t="s">
        <v>612</v>
      </c>
      <c r="B905" s="29" t="s">
        <v>385</v>
      </c>
      <c r="C905" s="29" t="s">
        <v>110</v>
      </c>
      <c r="D905" s="29" t="s">
        <v>106</v>
      </c>
      <c r="E905" s="30" t="s">
        <v>613</v>
      </c>
      <c r="F905" s="29"/>
      <c r="G905" s="36"/>
      <c r="H905" s="36">
        <f>H906</f>
        <v>5087.3007600000001</v>
      </c>
      <c r="I905" s="36">
        <f t="shared" ref="I905:K905" si="470">I906</f>
        <v>5087.3007600000001</v>
      </c>
      <c r="J905" s="36">
        <f t="shared" si="470"/>
        <v>5087.3007600000001</v>
      </c>
      <c r="K905" s="36">
        <f t="shared" si="470"/>
        <v>5087.3007600000001</v>
      </c>
      <c r="L905" s="36">
        <f t="shared" ref="L905:L910" si="471">K905/H905*100</f>
        <v>100</v>
      </c>
      <c r="M905" s="36">
        <f t="shared" ref="M905:M910" si="472">K905/I905*100</f>
        <v>100</v>
      </c>
    </row>
    <row r="906" spans="1:13" ht="12.75" customHeight="1">
      <c r="A906" s="63" t="s">
        <v>612</v>
      </c>
      <c r="B906" s="29" t="s">
        <v>385</v>
      </c>
      <c r="C906" s="29" t="s">
        <v>110</v>
      </c>
      <c r="D906" s="29" t="s">
        <v>106</v>
      </c>
      <c r="E906" s="30" t="s">
        <v>614</v>
      </c>
      <c r="F906" s="29"/>
      <c r="G906" s="36"/>
      <c r="H906" s="36">
        <f>H907+H909</f>
        <v>5087.3007600000001</v>
      </c>
      <c r="I906" s="36">
        <f t="shared" ref="I906:K906" si="473">I907+I909</f>
        <v>5087.3007600000001</v>
      </c>
      <c r="J906" s="36">
        <f t="shared" si="473"/>
        <v>5087.3007600000001</v>
      </c>
      <c r="K906" s="36">
        <f t="shared" si="473"/>
        <v>5087.3007600000001</v>
      </c>
      <c r="L906" s="36">
        <f t="shared" si="471"/>
        <v>100</v>
      </c>
      <c r="M906" s="36">
        <f t="shared" si="472"/>
        <v>100</v>
      </c>
    </row>
    <row r="907" spans="1:13" ht="12.75" customHeight="1">
      <c r="A907" s="63" t="s">
        <v>26</v>
      </c>
      <c r="B907" s="29" t="s">
        <v>385</v>
      </c>
      <c r="C907" s="29" t="s">
        <v>110</v>
      </c>
      <c r="D907" s="29" t="s">
        <v>106</v>
      </c>
      <c r="E907" s="30" t="s">
        <v>614</v>
      </c>
      <c r="F907" s="29">
        <v>500</v>
      </c>
      <c r="G907" s="36"/>
      <c r="H907" s="36">
        <f>H908</f>
        <v>4915.49676</v>
      </c>
      <c r="I907" s="36">
        <f t="shared" ref="I907:K907" si="474">I908</f>
        <v>4915.49676</v>
      </c>
      <c r="J907" s="36">
        <f t="shared" si="474"/>
        <v>4915.49676</v>
      </c>
      <c r="K907" s="36">
        <f t="shared" si="474"/>
        <v>4915.49676</v>
      </c>
      <c r="L907" s="36">
        <f t="shared" si="471"/>
        <v>100</v>
      </c>
      <c r="M907" s="36">
        <f t="shared" si="472"/>
        <v>100</v>
      </c>
    </row>
    <row r="908" spans="1:13" ht="12.75" customHeight="1">
      <c r="A908" s="63" t="s">
        <v>352</v>
      </c>
      <c r="B908" s="29" t="s">
        <v>385</v>
      </c>
      <c r="C908" s="29" t="s">
        <v>110</v>
      </c>
      <c r="D908" s="29" t="s">
        <v>106</v>
      </c>
      <c r="E908" s="30" t="s">
        <v>614</v>
      </c>
      <c r="F908" s="29">
        <v>540</v>
      </c>
      <c r="G908" s="36"/>
      <c r="H908" s="36">
        <v>4915.49676</v>
      </c>
      <c r="I908" s="36">
        <v>4915.49676</v>
      </c>
      <c r="J908" s="36">
        <v>4915.49676</v>
      </c>
      <c r="K908" s="36">
        <v>4915.49676</v>
      </c>
      <c r="L908" s="36">
        <f t="shared" si="471"/>
        <v>100</v>
      </c>
      <c r="M908" s="36">
        <f t="shared" si="472"/>
        <v>100</v>
      </c>
    </row>
    <row r="909" spans="1:13" ht="25.5">
      <c r="A909" s="60" t="s">
        <v>80</v>
      </c>
      <c r="B909" s="29" t="s">
        <v>385</v>
      </c>
      <c r="C909" s="29" t="s">
        <v>110</v>
      </c>
      <c r="D909" s="29" t="s">
        <v>106</v>
      </c>
      <c r="E909" s="30" t="s">
        <v>614</v>
      </c>
      <c r="F909" s="29">
        <v>600</v>
      </c>
      <c r="G909" s="36"/>
      <c r="H909" s="36">
        <f>H910</f>
        <v>171.804</v>
      </c>
      <c r="I909" s="36">
        <f t="shared" ref="I909:K909" si="475">I910</f>
        <v>171.804</v>
      </c>
      <c r="J909" s="36">
        <f t="shared" si="475"/>
        <v>171.804</v>
      </c>
      <c r="K909" s="36">
        <f t="shared" si="475"/>
        <v>171.804</v>
      </c>
      <c r="L909" s="36">
        <f t="shared" si="471"/>
        <v>100</v>
      </c>
      <c r="M909" s="36">
        <f t="shared" si="472"/>
        <v>100</v>
      </c>
    </row>
    <row r="910" spans="1:13">
      <c r="A910" s="60" t="s">
        <v>271</v>
      </c>
      <c r="B910" s="29" t="s">
        <v>385</v>
      </c>
      <c r="C910" s="29" t="s">
        <v>110</v>
      </c>
      <c r="D910" s="29" t="s">
        <v>106</v>
      </c>
      <c r="E910" s="30" t="s">
        <v>614</v>
      </c>
      <c r="F910" s="29">
        <v>610</v>
      </c>
      <c r="G910" s="36"/>
      <c r="H910" s="36">
        <v>171.804</v>
      </c>
      <c r="I910" s="36">
        <v>171.804</v>
      </c>
      <c r="J910" s="36">
        <v>171.804</v>
      </c>
      <c r="K910" s="36">
        <v>171.804</v>
      </c>
      <c r="L910" s="36">
        <f t="shared" si="471"/>
        <v>100</v>
      </c>
      <c r="M910" s="36">
        <f t="shared" si="472"/>
        <v>100</v>
      </c>
    </row>
    <row r="911" spans="1:13">
      <c r="A911" s="60" t="s">
        <v>127</v>
      </c>
      <c r="B911" s="29" t="s">
        <v>385</v>
      </c>
      <c r="C911" s="29" t="s">
        <v>110</v>
      </c>
      <c r="D911" s="29" t="s">
        <v>19</v>
      </c>
      <c r="E911" s="59" t="s">
        <v>0</v>
      </c>
      <c r="F911" s="59" t="s">
        <v>0</v>
      </c>
      <c r="G911" s="36">
        <f>G912</f>
        <v>2013794</v>
      </c>
      <c r="H911" s="36">
        <f>H912+H924</f>
        <v>2014477.895</v>
      </c>
      <c r="I911" s="36">
        <f t="shared" ref="I911:K911" si="476">I912+I924</f>
        <v>1143603.878</v>
      </c>
      <c r="J911" s="36">
        <f t="shared" si="476"/>
        <v>1143603.878</v>
      </c>
      <c r="K911" s="36">
        <f t="shared" si="476"/>
        <v>1143603.878</v>
      </c>
      <c r="L911" s="36">
        <f t="shared" si="461"/>
        <v>56.769244320747433</v>
      </c>
      <c r="M911" s="36">
        <f t="shared" si="462"/>
        <v>100</v>
      </c>
    </row>
    <row r="912" spans="1:13" ht="38.25">
      <c r="A912" s="60" t="s">
        <v>112</v>
      </c>
      <c r="B912" s="29" t="s">
        <v>385</v>
      </c>
      <c r="C912" s="29" t="s">
        <v>110</v>
      </c>
      <c r="D912" s="29" t="s">
        <v>19</v>
      </c>
      <c r="E912" s="29" t="s">
        <v>113</v>
      </c>
      <c r="F912" s="59" t="s">
        <v>0</v>
      </c>
      <c r="G912" s="36">
        <f>G913</f>
        <v>2013794</v>
      </c>
      <c r="H912" s="36">
        <f t="shared" ref="H912:K912" si="477">H913</f>
        <v>2014389.2</v>
      </c>
      <c r="I912" s="36">
        <f t="shared" si="477"/>
        <v>1143515.183</v>
      </c>
      <c r="J912" s="36">
        <f t="shared" si="477"/>
        <v>1143515.183</v>
      </c>
      <c r="K912" s="36">
        <f t="shared" si="477"/>
        <v>1143515.183</v>
      </c>
      <c r="L912" s="36">
        <f t="shared" si="461"/>
        <v>56.767340839595448</v>
      </c>
      <c r="M912" s="36">
        <f t="shared" si="462"/>
        <v>100</v>
      </c>
    </row>
    <row r="913" spans="1:13" ht="25.5">
      <c r="A913" s="60" t="s">
        <v>403</v>
      </c>
      <c r="B913" s="29" t="s">
        <v>385</v>
      </c>
      <c r="C913" s="29" t="s">
        <v>110</v>
      </c>
      <c r="D913" s="29" t="s">
        <v>19</v>
      </c>
      <c r="E913" s="29" t="s">
        <v>404</v>
      </c>
      <c r="F913" s="59" t="s">
        <v>0</v>
      </c>
      <c r="G913" s="36">
        <f>G917+G921</f>
        <v>2013794</v>
      </c>
      <c r="H913" s="36">
        <f>H917+H921+H914</f>
        <v>2014389.2</v>
      </c>
      <c r="I913" s="36">
        <f t="shared" ref="I913:K913" si="478">I917+I921+I914</f>
        <v>1143515.183</v>
      </c>
      <c r="J913" s="36">
        <f t="shared" si="478"/>
        <v>1143515.183</v>
      </c>
      <c r="K913" s="36">
        <f t="shared" si="478"/>
        <v>1143515.183</v>
      </c>
      <c r="L913" s="36">
        <f t="shared" si="461"/>
        <v>56.767340839595448</v>
      </c>
      <c r="M913" s="36">
        <f t="shared" si="462"/>
        <v>100</v>
      </c>
    </row>
    <row r="914" spans="1:13" ht="82.5" customHeight="1">
      <c r="A914" s="60" t="s">
        <v>1151</v>
      </c>
      <c r="B914" s="29" t="s">
        <v>385</v>
      </c>
      <c r="C914" s="29" t="s">
        <v>110</v>
      </c>
      <c r="D914" s="29" t="s">
        <v>19</v>
      </c>
      <c r="E914" s="30" t="s">
        <v>1150</v>
      </c>
      <c r="F914" s="59"/>
      <c r="G914" s="36"/>
      <c r="H914" s="36">
        <f>H915</f>
        <v>595.20000000000005</v>
      </c>
      <c r="I914" s="36">
        <f t="shared" ref="I914:K915" si="479">I915</f>
        <v>595.20000000000005</v>
      </c>
      <c r="J914" s="36">
        <f t="shared" si="479"/>
        <v>595.20000000000005</v>
      </c>
      <c r="K914" s="36">
        <f t="shared" si="479"/>
        <v>595.20000000000005</v>
      </c>
      <c r="L914" s="36">
        <f t="shared" ref="L914:L916" si="480">K914/H914*100</f>
        <v>100</v>
      </c>
      <c r="M914" s="36">
        <f t="shared" ref="M914:M916" si="481">K914/I914*100</f>
        <v>100</v>
      </c>
    </row>
    <row r="915" spans="1:13">
      <c r="A915" s="60" t="s">
        <v>68</v>
      </c>
      <c r="B915" s="29" t="s">
        <v>385</v>
      </c>
      <c r="C915" s="29" t="s">
        <v>110</v>
      </c>
      <c r="D915" s="29" t="s">
        <v>19</v>
      </c>
      <c r="E915" s="30" t="s">
        <v>1150</v>
      </c>
      <c r="F915" s="59">
        <v>300</v>
      </c>
      <c r="G915" s="36"/>
      <c r="H915" s="36">
        <f>H916</f>
        <v>595.20000000000005</v>
      </c>
      <c r="I915" s="36">
        <f t="shared" si="479"/>
        <v>595.20000000000005</v>
      </c>
      <c r="J915" s="36">
        <f t="shared" si="479"/>
        <v>595.20000000000005</v>
      </c>
      <c r="K915" s="36">
        <f t="shared" si="479"/>
        <v>595.20000000000005</v>
      </c>
      <c r="L915" s="36">
        <f t="shared" si="480"/>
        <v>100</v>
      </c>
      <c r="M915" s="36">
        <f t="shared" si="481"/>
        <v>100</v>
      </c>
    </row>
    <row r="916" spans="1:13">
      <c r="A916" s="60" t="s">
        <v>70</v>
      </c>
      <c r="B916" s="29" t="s">
        <v>385</v>
      </c>
      <c r="C916" s="29" t="s">
        <v>110</v>
      </c>
      <c r="D916" s="29" t="s">
        <v>19</v>
      </c>
      <c r="E916" s="30" t="s">
        <v>1150</v>
      </c>
      <c r="F916" s="59">
        <v>360</v>
      </c>
      <c r="G916" s="36"/>
      <c r="H916" s="36">
        <v>595.20000000000005</v>
      </c>
      <c r="I916" s="36">
        <v>595.20000000000005</v>
      </c>
      <c r="J916" s="36">
        <v>595.20000000000005</v>
      </c>
      <c r="K916" s="36">
        <v>595.20000000000005</v>
      </c>
      <c r="L916" s="36">
        <f t="shared" si="480"/>
        <v>100</v>
      </c>
      <c r="M916" s="36">
        <f t="shared" si="481"/>
        <v>100</v>
      </c>
    </row>
    <row r="917" spans="1:13" ht="25.5">
      <c r="A917" s="60" t="s">
        <v>76</v>
      </c>
      <c r="B917" s="29" t="s">
        <v>385</v>
      </c>
      <c r="C917" s="29" t="s">
        <v>110</v>
      </c>
      <c r="D917" s="29" t="s">
        <v>19</v>
      </c>
      <c r="E917" s="29" t="s">
        <v>405</v>
      </c>
      <c r="F917" s="59" t="s">
        <v>0</v>
      </c>
      <c r="G917" s="36">
        <f>G918</f>
        <v>2005294</v>
      </c>
      <c r="H917" s="36">
        <f t="shared" ref="H917:K917" si="482">H918</f>
        <v>2005294</v>
      </c>
      <c r="I917" s="36">
        <f t="shared" si="482"/>
        <v>1134419.983</v>
      </c>
      <c r="J917" s="36">
        <f t="shared" si="482"/>
        <v>1134419.983</v>
      </c>
      <c r="K917" s="36">
        <f t="shared" si="482"/>
        <v>1134419.983</v>
      </c>
      <c r="L917" s="36">
        <f t="shared" si="461"/>
        <v>56.571255037914639</v>
      </c>
      <c r="M917" s="36">
        <f t="shared" si="462"/>
        <v>100</v>
      </c>
    </row>
    <row r="918" spans="1:13" ht="25.5">
      <c r="A918" s="60" t="s">
        <v>80</v>
      </c>
      <c r="B918" s="29" t="s">
        <v>385</v>
      </c>
      <c r="C918" s="29" t="s">
        <v>110</v>
      </c>
      <c r="D918" s="29" t="s">
        <v>19</v>
      </c>
      <c r="E918" s="29" t="s">
        <v>405</v>
      </c>
      <c r="F918" s="29" t="s">
        <v>81</v>
      </c>
      <c r="G918" s="36">
        <f>G919+G920</f>
        <v>2005294</v>
      </c>
      <c r="H918" s="36">
        <f t="shared" ref="H918:K918" si="483">H919+H920</f>
        <v>2005294</v>
      </c>
      <c r="I918" s="36">
        <f t="shared" si="483"/>
        <v>1134419.983</v>
      </c>
      <c r="J918" s="36">
        <f t="shared" si="483"/>
        <v>1134419.983</v>
      </c>
      <c r="K918" s="36">
        <f t="shared" si="483"/>
        <v>1134419.983</v>
      </c>
      <c r="L918" s="36">
        <f t="shared" si="461"/>
        <v>56.571255037914639</v>
      </c>
      <c r="M918" s="36">
        <f t="shared" si="462"/>
        <v>100</v>
      </c>
    </row>
    <row r="919" spans="1:13">
      <c r="A919" s="60" t="s">
        <v>271</v>
      </c>
      <c r="B919" s="29" t="s">
        <v>385</v>
      </c>
      <c r="C919" s="29" t="s">
        <v>110</v>
      </c>
      <c r="D919" s="29" t="s">
        <v>19</v>
      </c>
      <c r="E919" s="29" t="s">
        <v>405</v>
      </c>
      <c r="F919" s="29" t="s">
        <v>272</v>
      </c>
      <c r="G919" s="36">
        <v>1071464.1000000001</v>
      </c>
      <c r="H919" s="36">
        <f>911644.77571+166566.39329</f>
        <v>1078211.169</v>
      </c>
      <c r="I919" s="36">
        <f>520713.10371+85177.28429</f>
        <v>605890.38800000004</v>
      </c>
      <c r="J919" s="36">
        <f>520713.10371+85177.28429</f>
        <v>605890.38800000004</v>
      </c>
      <c r="K919" s="36">
        <f>520713.10371+85177.28429</f>
        <v>605890.38800000004</v>
      </c>
      <c r="L919" s="36">
        <f t="shared" si="461"/>
        <v>56.194037440916176</v>
      </c>
      <c r="M919" s="36">
        <f t="shared" si="462"/>
        <v>100</v>
      </c>
    </row>
    <row r="920" spans="1:13">
      <c r="A920" s="60" t="s">
        <v>82</v>
      </c>
      <c r="B920" s="29" t="s">
        <v>385</v>
      </c>
      <c r="C920" s="29" t="s">
        <v>110</v>
      </c>
      <c r="D920" s="29" t="s">
        <v>19</v>
      </c>
      <c r="E920" s="29" t="s">
        <v>405</v>
      </c>
      <c r="F920" s="29" t="s">
        <v>83</v>
      </c>
      <c r="G920" s="36">
        <v>933829.9</v>
      </c>
      <c r="H920" s="36">
        <f>785712.08672+141370.74428</f>
        <v>927082.83100000001</v>
      </c>
      <c r="I920" s="36">
        <f>457673.57972+70856.01528</f>
        <v>528529.59499999997</v>
      </c>
      <c r="J920" s="36">
        <f>457673.57972+70856.01528</f>
        <v>528529.59499999997</v>
      </c>
      <c r="K920" s="36">
        <f>457673.57972+70856.01528</f>
        <v>528529.59499999997</v>
      </c>
      <c r="L920" s="36">
        <f t="shared" si="461"/>
        <v>57.00996473312965</v>
      </c>
      <c r="M920" s="36">
        <f t="shared" si="462"/>
        <v>100</v>
      </c>
    </row>
    <row r="921" spans="1:13" ht="38.25">
      <c r="A921" s="60" t="s">
        <v>408</v>
      </c>
      <c r="B921" s="29" t="s">
        <v>385</v>
      </c>
      <c r="C921" s="29" t="s">
        <v>110</v>
      </c>
      <c r="D921" s="29" t="s">
        <v>19</v>
      </c>
      <c r="E921" s="29" t="s">
        <v>409</v>
      </c>
      <c r="F921" s="59" t="s">
        <v>0</v>
      </c>
      <c r="G921" s="36">
        <f>G922</f>
        <v>8500</v>
      </c>
      <c r="H921" s="36">
        <f t="shared" ref="H921:K922" si="484">H922</f>
        <v>8500</v>
      </c>
      <c r="I921" s="36">
        <f t="shared" si="484"/>
        <v>8500</v>
      </c>
      <c r="J921" s="36">
        <f t="shared" si="484"/>
        <v>8500</v>
      </c>
      <c r="K921" s="36">
        <f t="shared" si="484"/>
        <v>8500</v>
      </c>
      <c r="L921" s="36">
        <f t="shared" si="461"/>
        <v>100</v>
      </c>
      <c r="M921" s="36">
        <f t="shared" si="462"/>
        <v>100</v>
      </c>
    </row>
    <row r="922" spans="1:13" ht="25.5">
      <c r="A922" s="60" t="s">
        <v>39</v>
      </c>
      <c r="B922" s="29" t="s">
        <v>385</v>
      </c>
      <c r="C922" s="29" t="s">
        <v>110</v>
      </c>
      <c r="D922" s="29" t="s">
        <v>19</v>
      </c>
      <c r="E922" s="29" t="s">
        <v>409</v>
      </c>
      <c r="F922" s="29" t="s">
        <v>40</v>
      </c>
      <c r="G922" s="36">
        <f>G923</f>
        <v>8500</v>
      </c>
      <c r="H922" s="36">
        <f t="shared" si="484"/>
        <v>8500</v>
      </c>
      <c r="I922" s="36">
        <f t="shared" si="484"/>
        <v>8500</v>
      </c>
      <c r="J922" s="36">
        <f t="shared" si="484"/>
        <v>8500</v>
      </c>
      <c r="K922" s="36">
        <f t="shared" si="484"/>
        <v>8500</v>
      </c>
      <c r="L922" s="36">
        <f t="shared" si="461"/>
        <v>100</v>
      </c>
      <c r="M922" s="36">
        <f t="shared" si="462"/>
        <v>100</v>
      </c>
    </row>
    <row r="923" spans="1:13" ht="89.25">
      <c r="A923" s="63" t="s">
        <v>410</v>
      </c>
      <c r="B923" s="29" t="s">
        <v>385</v>
      </c>
      <c r="C923" s="29" t="s">
        <v>110</v>
      </c>
      <c r="D923" s="29" t="s">
        <v>19</v>
      </c>
      <c r="E923" s="29" t="s">
        <v>409</v>
      </c>
      <c r="F923" s="29" t="s">
        <v>411</v>
      </c>
      <c r="G923" s="36">
        <v>8500</v>
      </c>
      <c r="H923" s="36">
        <v>8500</v>
      </c>
      <c r="I923" s="36">
        <v>8500</v>
      </c>
      <c r="J923" s="36">
        <v>8500</v>
      </c>
      <c r="K923" s="36">
        <v>8500</v>
      </c>
      <c r="L923" s="36">
        <f t="shared" si="461"/>
        <v>100</v>
      </c>
      <c r="M923" s="36">
        <f t="shared" si="462"/>
        <v>100</v>
      </c>
    </row>
    <row r="924" spans="1:13">
      <c r="A924" s="63" t="s">
        <v>612</v>
      </c>
      <c r="B924" s="29" t="s">
        <v>385</v>
      </c>
      <c r="C924" s="29" t="s">
        <v>110</v>
      </c>
      <c r="D924" s="29" t="s">
        <v>19</v>
      </c>
      <c r="E924" s="30" t="s">
        <v>613</v>
      </c>
      <c r="F924" s="29"/>
      <c r="G924" s="36"/>
      <c r="H924" s="36">
        <f>H925</f>
        <v>88.694999999999993</v>
      </c>
      <c r="I924" s="36">
        <f t="shared" ref="I924:K926" si="485">I925</f>
        <v>88.694999999999993</v>
      </c>
      <c r="J924" s="36">
        <f t="shared" si="485"/>
        <v>88.694999999999993</v>
      </c>
      <c r="K924" s="36">
        <f t="shared" si="485"/>
        <v>88.694999999999993</v>
      </c>
      <c r="L924" s="36">
        <f t="shared" ref="L924:L927" si="486">K924/H924*100</f>
        <v>100</v>
      </c>
      <c r="M924" s="36">
        <f t="shared" ref="M924:M927" si="487">K924/I924*100</f>
        <v>100</v>
      </c>
    </row>
    <row r="925" spans="1:13">
      <c r="A925" s="63" t="s">
        <v>612</v>
      </c>
      <c r="B925" s="29" t="s">
        <v>385</v>
      </c>
      <c r="C925" s="29" t="s">
        <v>110</v>
      </c>
      <c r="D925" s="29" t="s">
        <v>19</v>
      </c>
      <c r="E925" s="30" t="s">
        <v>614</v>
      </c>
      <c r="F925" s="29"/>
      <c r="G925" s="36"/>
      <c r="H925" s="36">
        <f>H926</f>
        <v>88.694999999999993</v>
      </c>
      <c r="I925" s="36">
        <f t="shared" si="485"/>
        <v>88.694999999999993</v>
      </c>
      <c r="J925" s="36">
        <f t="shared" si="485"/>
        <v>88.694999999999993</v>
      </c>
      <c r="K925" s="36">
        <f t="shared" si="485"/>
        <v>88.694999999999993</v>
      </c>
      <c r="L925" s="36">
        <f t="shared" si="486"/>
        <v>100</v>
      </c>
      <c r="M925" s="36">
        <f t="shared" si="487"/>
        <v>100</v>
      </c>
    </row>
    <row r="926" spans="1:13" ht="25.5">
      <c r="A926" s="60" t="s">
        <v>80</v>
      </c>
      <c r="B926" s="29" t="s">
        <v>385</v>
      </c>
      <c r="C926" s="29" t="s">
        <v>110</v>
      </c>
      <c r="D926" s="29" t="s">
        <v>19</v>
      </c>
      <c r="E926" s="30" t="s">
        <v>614</v>
      </c>
      <c r="F926" s="29">
        <v>600</v>
      </c>
      <c r="G926" s="36"/>
      <c r="H926" s="36">
        <f>H927</f>
        <v>88.694999999999993</v>
      </c>
      <c r="I926" s="36">
        <f t="shared" si="485"/>
        <v>88.694999999999993</v>
      </c>
      <c r="J926" s="36">
        <f t="shared" si="485"/>
        <v>88.694999999999993</v>
      </c>
      <c r="K926" s="36">
        <f t="shared" si="485"/>
        <v>88.694999999999993</v>
      </c>
      <c r="L926" s="36">
        <f t="shared" si="486"/>
        <v>100</v>
      </c>
      <c r="M926" s="36">
        <f t="shared" si="487"/>
        <v>100</v>
      </c>
    </row>
    <row r="927" spans="1:13">
      <c r="A927" s="60" t="s">
        <v>271</v>
      </c>
      <c r="B927" s="29" t="s">
        <v>385</v>
      </c>
      <c r="C927" s="29" t="s">
        <v>110</v>
      </c>
      <c r="D927" s="29" t="s">
        <v>19</v>
      </c>
      <c r="E927" s="30" t="s">
        <v>614</v>
      </c>
      <c r="F927" s="29">
        <v>610</v>
      </c>
      <c r="G927" s="36"/>
      <c r="H927" s="36">
        <v>88.694999999999993</v>
      </c>
      <c r="I927" s="36">
        <v>88.694999999999993</v>
      </c>
      <c r="J927" s="36">
        <v>88.694999999999993</v>
      </c>
      <c r="K927" s="36">
        <v>88.694999999999993</v>
      </c>
      <c r="L927" s="36">
        <f t="shared" si="486"/>
        <v>100</v>
      </c>
      <c r="M927" s="36">
        <f t="shared" si="487"/>
        <v>100</v>
      </c>
    </row>
    <row r="928" spans="1:13" ht="25.5">
      <c r="A928" s="60" t="s">
        <v>288</v>
      </c>
      <c r="B928" s="29" t="s">
        <v>385</v>
      </c>
      <c r="C928" s="29" t="s">
        <v>110</v>
      </c>
      <c r="D928" s="29" t="s">
        <v>93</v>
      </c>
      <c r="E928" s="59" t="s">
        <v>0</v>
      </c>
      <c r="F928" s="59" t="s">
        <v>0</v>
      </c>
      <c r="G928" s="36">
        <f>G929</f>
        <v>93378.6</v>
      </c>
      <c r="H928" s="36">
        <f t="shared" ref="H928:K932" si="488">H929</f>
        <v>93378.6</v>
      </c>
      <c r="I928" s="36">
        <f t="shared" si="488"/>
        <v>51129.8</v>
      </c>
      <c r="J928" s="36">
        <f t="shared" si="488"/>
        <v>51129.8</v>
      </c>
      <c r="K928" s="36">
        <f t="shared" si="488"/>
        <v>51129.8</v>
      </c>
      <c r="L928" s="36">
        <f t="shared" si="461"/>
        <v>54.755372215903854</v>
      </c>
      <c r="M928" s="36">
        <f t="shared" si="462"/>
        <v>100</v>
      </c>
    </row>
    <row r="929" spans="1:13" ht="38.25">
      <c r="A929" s="60" t="s">
        <v>112</v>
      </c>
      <c r="B929" s="29" t="s">
        <v>385</v>
      </c>
      <c r="C929" s="29" t="s">
        <v>110</v>
      </c>
      <c r="D929" s="29" t="s">
        <v>93</v>
      </c>
      <c r="E929" s="29" t="s">
        <v>113</v>
      </c>
      <c r="F929" s="59" t="s">
        <v>0</v>
      </c>
      <c r="G929" s="36">
        <f>G930</f>
        <v>93378.6</v>
      </c>
      <c r="H929" s="36">
        <f t="shared" si="488"/>
        <v>93378.6</v>
      </c>
      <c r="I929" s="36">
        <f t="shared" si="488"/>
        <v>51129.8</v>
      </c>
      <c r="J929" s="36">
        <f t="shared" si="488"/>
        <v>51129.8</v>
      </c>
      <c r="K929" s="36">
        <f t="shared" si="488"/>
        <v>51129.8</v>
      </c>
      <c r="L929" s="36">
        <f t="shared" si="461"/>
        <v>54.755372215903854</v>
      </c>
      <c r="M929" s="36">
        <f t="shared" si="462"/>
        <v>100</v>
      </c>
    </row>
    <row r="930" spans="1:13" ht="25.5">
      <c r="A930" s="60" t="s">
        <v>412</v>
      </c>
      <c r="B930" s="29" t="s">
        <v>385</v>
      </c>
      <c r="C930" s="29" t="s">
        <v>110</v>
      </c>
      <c r="D930" s="29" t="s">
        <v>93</v>
      </c>
      <c r="E930" s="29" t="s">
        <v>413</v>
      </c>
      <c r="F930" s="59" t="s">
        <v>0</v>
      </c>
      <c r="G930" s="36">
        <f>G931</f>
        <v>93378.6</v>
      </c>
      <c r="H930" s="36">
        <f t="shared" si="488"/>
        <v>93378.6</v>
      </c>
      <c r="I930" s="36">
        <f t="shared" si="488"/>
        <v>51129.8</v>
      </c>
      <c r="J930" s="36">
        <f t="shared" si="488"/>
        <v>51129.8</v>
      </c>
      <c r="K930" s="36">
        <f t="shared" si="488"/>
        <v>51129.8</v>
      </c>
      <c r="L930" s="36">
        <f t="shared" si="461"/>
        <v>54.755372215903854</v>
      </c>
      <c r="M930" s="36">
        <f t="shared" si="462"/>
        <v>100</v>
      </c>
    </row>
    <row r="931" spans="1:13" ht="25.5">
      <c r="A931" s="60" t="s">
        <v>76</v>
      </c>
      <c r="B931" s="29" t="s">
        <v>385</v>
      </c>
      <c r="C931" s="29" t="s">
        <v>110</v>
      </c>
      <c r="D931" s="29" t="s">
        <v>93</v>
      </c>
      <c r="E931" s="29" t="s">
        <v>414</v>
      </c>
      <c r="F931" s="59" t="s">
        <v>0</v>
      </c>
      <c r="G931" s="36">
        <f>G932</f>
        <v>93378.6</v>
      </c>
      <c r="H931" s="36">
        <f t="shared" si="488"/>
        <v>93378.6</v>
      </c>
      <c r="I931" s="36">
        <f t="shared" si="488"/>
        <v>51129.8</v>
      </c>
      <c r="J931" s="36">
        <f t="shared" si="488"/>
        <v>51129.8</v>
      </c>
      <c r="K931" s="36">
        <f t="shared" si="488"/>
        <v>51129.8</v>
      </c>
      <c r="L931" s="36">
        <f t="shared" si="461"/>
        <v>54.755372215903854</v>
      </c>
      <c r="M931" s="36">
        <f t="shared" si="462"/>
        <v>100</v>
      </c>
    </row>
    <row r="932" spans="1:13" ht="25.5">
      <c r="A932" s="60" t="s">
        <v>80</v>
      </c>
      <c r="B932" s="29" t="s">
        <v>385</v>
      </c>
      <c r="C932" s="29" t="s">
        <v>110</v>
      </c>
      <c r="D932" s="29" t="s">
        <v>93</v>
      </c>
      <c r="E932" s="29" t="s">
        <v>414</v>
      </c>
      <c r="F932" s="29" t="s">
        <v>81</v>
      </c>
      <c r="G932" s="36">
        <f>G933</f>
        <v>93378.6</v>
      </c>
      <c r="H932" s="36">
        <f t="shared" si="488"/>
        <v>93378.6</v>
      </c>
      <c r="I932" s="36">
        <f t="shared" si="488"/>
        <v>51129.8</v>
      </c>
      <c r="J932" s="36">
        <f t="shared" si="488"/>
        <v>51129.8</v>
      </c>
      <c r="K932" s="36">
        <f t="shared" si="488"/>
        <v>51129.8</v>
      </c>
      <c r="L932" s="36">
        <f t="shared" si="461"/>
        <v>54.755372215903854</v>
      </c>
      <c r="M932" s="36">
        <f t="shared" si="462"/>
        <v>100</v>
      </c>
    </row>
    <row r="933" spans="1:13">
      <c r="A933" s="60" t="s">
        <v>82</v>
      </c>
      <c r="B933" s="29" t="s">
        <v>385</v>
      </c>
      <c r="C933" s="29" t="s">
        <v>110</v>
      </c>
      <c r="D933" s="29" t="s">
        <v>93</v>
      </c>
      <c r="E933" s="29" t="s">
        <v>414</v>
      </c>
      <c r="F933" s="29" t="s">
        <v>83</v>
      </c>
      <c r="G933" s="36">
        <v>93378.6</v>
      </c>
      <c r="H933" s="36">
        <v>93378.6</v>
      </c>
      <c r="I933" s="36">
        <v>51129.8</v>
      </c>
      <c r="J933" s="36">
        <v>51129.8</v>
      </c>
      <c r="K933" s="36">
        <v>51129.8</v>
      </c>
      <c r="L933" s="36">
        <f t="shared" si="461"/>
        <v>54.755372215903854</v>
      </c>
      <c r="M933" s="36">
        <f t="shared" si="462"/>
        <v>100</v>
      </c>
    </row>
    <row r="934" spans="1:13">
      <c r="A934" s="60" t="s">
        <v>415</v>
      </c>
      <c r="B934" s="29" t="s">
        <v>385</v>
      </c>
      <c r="C934" s="29" t="s">
        <v>110</v>
      </c>
      <c r="D934" s="29" t="s">
        <v>110</v>
      </c>
      <c r="E934" s="59" t="s">
        <v>0</v>
      </c>
      <c r="F934" s="59" t="s">
        <v>0</v>
      </c>
      <c r="G934" s="36">
        <f>G935</f>
        <v>43760</v>
      </c>
      <c r="H934" s="36">
        <f t="shared" ref="H934:K937" si="489">H935</f>
        <v>43760</v>
      </c>
      <c r="I934" s="36">
        <f t="shared" si="489"/>
        <v>30470.196</v>
      </c>
      <c r="J934" s="36">
        <f t="shared" si="489"/>
        <v>30470.196</v>
      </c>
      <c r="K934" s="36">
        <f t="shared" si="489"/>
        <v>30470.196</v>
      </c>
      <c r="L934" s="36">
        <f t="shared" si="461"/>
        <v>69.630246800731271</v>
      </c>
      <c r="M934" s="36">
        <f t="shared" si="462"/>
        <v>100</v>
      </c>
    </row>
    <row r="935" spans="1:13" ht="38.25">
      <c r="A935" s="60" t="s">
        <v>299</v>
      </c>
      <c r="B935" s="29" t="s">
        <v>385</v>
      </c>
      <c r="C935" s="29" t="s">
        <v>110</v>
      </c>
      <c r="D935" s="29" t="s">
        <v>110</v>
      </c>
      <c r="E935" s="29" t="s">
        <v>300</v>
      </c>
      <c r="F935" s="59" t="s">
        <v>0</v>
      </c>
      <c r="G935" s="36">
        <f>G936</f>
        <v>43760</v>
      </c>
      <c r="H935" s="36">
        <f t="shared" si="489"/>
        <v>43760</v>
      </c>
      <c r="I935" s="36">
        <f t="shared" si="489"/>
        <v>30470.196</v>
      </c>
      <c r="J935" s="36">
        <f t="shared" si="489"/>
        <v>30470.196</v>
      </c>
      <c r="K935" s="36">
        <f t="shared" si="489"/>
        <v>30470.196</v>
      </c>
      <c r="L935" s="36">
        <f t="shared" si="461"/>
        <v>69.630246800731271</v>
      </c>
      <c r="M935" s="36">
        <f t="shared" si="462"/>
        <v>100</v>
      </c>
    </row>
    <row r="936" spans="1:13" ht="25.5">
      <c r="A936" s="60" t="s">
        <v>416</v>
      </c>
      <c r="B936" s="29" t="s">
        <v>385</v>
      </c>
      <c r="C936" s="29" t="s">
        <v>110</v>
      </c>
      <c r="D936" s="29" t="s">
        <v>110</v>
      </c>
      <c r="E936" s="29" t="s">
        <v>417</v>
      </c>
      <c r="F936" s="59" t="s">
        <v>0</v>
      </c>
      <c r="G936" s="36">
        <f>G937</f>
        <v>43760</v>
      </c>
      <c r="H936" s="36">
        <f t="shared" si="489"/>
        <v>43760</v>
      </c>
      <c r="I936" s="36">
        <f t="shared" si="489"/>
        <v>30470.196</v>
      </c>
      <c r="J936" s="36">
        <f t="shared" si="489"/>
        <v>30470.196</v>
      </c>
      <c r="K936" s="36">
        <f t="shared" si="489"/>
        <v>30470.196</v>
      </c>
      <c r="L936" s="36">
        <f t="shared" si="461"/>
        <v>69.630246800731271</v>
      </c>
      <c r="M936" s="36">
        <f t="shared" si="462"/>
        <v>100</v>
      </c>
    </row>
    <row r="937" spans="1:13">
      <c r="A937" s="60" t="s">
        <v>418</v>
      </c>
      <c r="B937" s="29" t="s">
        <v>385</v>
      </c>
      <c r="C937" s="29" t="s">
        <v>110</v>
      </c>
      <c r="D937" s="29" t="s">
        <v>110</v>
      </c>
      <c r="E937" s="29" t="s">
        <v>419</v>
      </c>
      <c r="F937" s="59" t="s">
        <v>0</v>
      </c>
      <c r="G937" s="36">
        <f>G938</f>
        <v>43760</v>
      </c>
      <c r="H937" s="36">
        <f t="shared" si="489"/>
        <v>43760</v>
      </c>
      <c r="I937" s="36">
        <f t="shared" si="489"/>
        <v>30470.196</v>
      </c>
      <c r="J937" s="36">
        <f t="shared" si="489"/>
        <v>30470.196</v>
      </c>
      <c r="K937" s="36">
        <f t="shared" si="489"/>
        <v>30470.196</v>
      </c>
      <c r="L937" s="36">
        <f t="shared" si="461"/>
        <v>69.630246800731271</v>
      </c>
      <c r="M937" s="36">
        <f t="shared" si="462"/>
        <v>100</v>
      </c>
    </row>
    <row r="938" spans="1:13" ht="25.5">
      <c r="A938" s="60" t="s">
        <v>80</v>
      </c>
      <c r="B938" s="29" t="s">
        <v>385</v>
      </c>
      <c r="C938" s="29" t="s">
        <v>110</v>
      </c>
      <c r="D938" s="29" t="s">
        <v>110</v>
      </c>
      <c r="E938" s="29" t="s">
        <v>419</v>
      </c>
      <c r="F938" s="29" t="s">
        <v>81</v>
      </c>
      <c r="G938" s="36">
        <f>G939+G940</f>
        <v>43760</v>
      </c>
      <c r="H938" s="36">
        <f t="shared" ref="H938:K938" si="490">H939+H940</f>
        <v>43760</v>
      </c>
      <c r="I938" s="36">
        <f t="shared" si="490"/>
        <v>30470.196</v>
      </c>
      <c r="J938" s="36">
        <f t="shared" si="490"/>
        <v>30470.196</v>
      </c>
      <c r="K938" s="36">
        <f t="shared" si="490"/>
        <v>30470.196</v>
      </c>
      <c r="L938" s="36">
        <f t="shared" si="461"/>
        <v>69.630246800731271</v>
      </c>
      <c r="M938" s="36">
        <f t="shared" si="462"/>
        <v>100</v>
      </c>
    </row>
    <row r="939" spans="1:13">
      <c r="A939" s="60" t="s">
        <v>271</v>
      </c>
      <c r="B939" s="29" t="s">
        <v>385</v>
      </c>
      <c r="C939" s="29" t="s">
        <v>110</v>
      </c>
      <c r="D939" s="29" t="s">
        <v>110</v>
      </c>
      <c r="E939" s="29" t="s">
        <v>419</v>
      </c>
      <c r="F939" s="29" t="s">
        <v>272</v>
      </c>
      <c r="G939" s="36">
        <v>41760</v>
      </c>
      <c r="H939" s="36">
        <v>41760</v>
      </c>
      <c r="I939" s="36">
        <v>28470.196</v>
      </c>
      <c r="J939" s="36">
        <v>28470.196</v>
      </c>
      <c r="K939" s="36">
        <v>28470.196</v>
      </c>
      <c r="L939" s="36">
        <f t="shared" si="461"/>
        <v>68.175756704980842</v>
      </c>
      <c r="M939" s="36">
        <f t="shared" si="462"/>
        <v>100</v>
      </c>
    </row>
    <row r="940" spans="1:13">
      <c r="A940" s="60" t="s">
        <v>82</v>
      </c>
      <c r="B940" s="29" t="s">
        <v>385</v>
      </c>
      <c r="C940" s="29" t="s">
        <v>110</v>
      </c>
      <c r="D940" s="29" t="s">
        <v>110</v>
      </c>
      <c r="E940" s="29" t="s">
        <v>419</v>
      </c>
      <c r="F940" s="29" t="s">
        <v>83</v>
      </c>
      <c r="G940" s="36">
        <v>2000</v>
      </c>
      <c r="H940" s="36">
        <v>2000</v>
      </c>
      <c r="I940" s="36">
        <v>2000</v>
      </c>
      <c r="J940" s="36">
        <v>2000</v>
      </c>
      <c r="K940" s="36">
        <v>2000</v>
      </c>
      <c r="L940" s="36">
        <f t="shared" si="461"/>
        <v>100</v>
      </c>
      <c r="M940" s="36">
        <f t="shared" si="462"/>
        <v>100</v>
      </c>
    </row>
    <row r="941" spans="1:13" ht="25.5">
      <c r="A941" s="60" t="s">
        <v>420</v>
      </c>
      <c r="B941" s="29" t="s">
        <v>385</v>
      </c>
      <c r="C941" s="29" t="s">
        <v>110</v>
      </c>
      <c r="D941" s="29" t="s">
        <v>130</v>
      </c>
      <c r="E941" s="59" t="s">
        <v>0</v>
      </c>
      <c r="F941" s="59" t="s">
        <v>0</v>
      </c>
      <c r="G941" s="36">
        <f>G942</f>
        <v>3905.3</v>
      </c>
      <c r="H941" s="36">
        <f>H942+H947</f>
        <v>4205.3</v>
      </c>
      <c r="I941" s="36">
        <f t="shared" ref="I941:K941" si="491">I942+I947</f>
        <v>2215.9349999999999</v>
      </c>
      <c r="J941" s="36">
        <f t="shared" si="491"/>
        <v>2215.9349999999999</v>
      </c>
      <c r="K941" s="36">
        <f t="shared" si="491"/>
        <v>2215.9349999999999</v>
      </c>
      <c r="L941" s="36">
        <f t="shared" si="461"/>
        <v>52.693862506836609</v>
      </c>
      <c r="M941" s="36">
        <f t="shared" si="462"/>
        <v>100</v>
      </c>
    </row>
    <row r="942" spans="1:13" ht="38.25">
      <c r="A942" s="60" t="s">
        <v>112</v>
      </c>
      <c r="B942" s="29" t="s">
        <v>385</v>
      </c>
      <c r="C942" s="29" t="s">
        <v>110</v>
      </c>
      <c r="D942" s="29" t="s">
        <v>130</v>
      </c>
      <c r="E942" s="29" t="s">
        <v>113</v>
      </c>
      <c r="F942" s="59" t="s">
        <v>0</v>
      </c>
      <c r="G942" s="36">
        <f>G943</f>
        <v>3905.3</v>
      </c>
      <c r="H942" s="36">
        <f t="shared" ref="H942:K945" si="492">H943</f>
        <v>3905.3</v>
      </c>
      <c r="I942" s="36">
        <f t="shared" si="492"/>
        <v>1915.9349999999999</v>
      </c>
      <c r="J942" s="36">
        <f t="shared" si="492"/>
        <v>1915.9349999999999</v>
      </c>
      <c r="K942" s="36">
        <f t="shared" si="492"/>
        <v>1915.9349999999999</v>
      </c>
      <c r="L942" s="36">
        <f t="shared" si="461"/>
        <v>49.059867359741887</v>
      </c>
      <c r="M942" s="36">
        <f t="shared" si="462"/>
        <v>100</v>
      </c>
    </row>
    <row r="943" spans="1:13" ht="38.25">
      <c r="A943" s="60" t="s">
        <v>392</v>
      </c>
      <c r="B943" s="29" t="s">
        <v>385</v>
      </c>
      <c r="C943" s="29" t="s">
        <v>110</v>
      </c>
      <c r="D943" s="29" t="s">
        <v>130</v>
      </c>
      <c r="E943" s="29" t="s">
        <v>393</v>
      </c>
      <c r="F943" s="59" t="s">
        <v>0</v>
      </c>
      <c r="G943" s="36">
        <f>G944</f>
        <v>3905.3</v>
      </c>
      <c r="H943" s="36">
        <f t="shared" si="492"/>
        <v>3905.3</v>
      </c>
      <c r="I943" s="36">
        <f t="shared" si="492"/>
        <v>1915.9349999999999</v>
      </c>
      <c r="J943" s="36">
        <f t="shared" si="492"/>
        <v>1915.9349999999999</v>
      </c>
      <c r="K943" s="36">
        <f t="shared" si="492"/>
        <v>1915.9349999999999</v>
      </c>
      <c r="L943" s="36">
        <f t="shared" si="461"/>
        <v>49.059867359741887</v>
      </c>
      <c r="M943" s="36">
        <f t="shared" si="462"/>
        <v>100</v>
      </c>
    </row>
    <row r="944" spans="1:13" ht="25.5">
      <c r="A944" s="60" t="s">
        <v>76</v>
      </c>
      <c r="B944" s="29" t="s">
        <v>385</v>
      </c>
      <c r="C944" s="29" t="s">
        <v>110</v>
      </c>
      <c r="D944" s="29" t="s">
        <v>130</v>
      </c>
      <c r="E944" s="29" t="s">
        <v>421</v>
      </c>
      <c r="F944" s="59" t="s">
        <v>0</v>
      </c>
      <c r="G944" s="36">
        <f>G945</f>
        <v>3905.3</v>
      </c>
      <c r="H944" s="36">
        <f t="shared" si="492"/>
        <v>3905.3</v>
      </c>
      <c r="I944" s="36">
        <f t="shared" si="492"/>
        <v>1915.9349999999999</v>
      </c>
      <c r="J944" s="36">
        <f t="shared" si="492"/>
        <v>1915.9349999999999</v>
      </c>
      <c r="K944" s="36">
        <f t="shared" si="492"/>
        <v>1915.9349999999999</v>
      </c>
      <c r="L944" s="36">
        <f t="shared" si="461"/>
        <v>49.059867359741887</v>
      </c>
      <c r="M944" s="36">
        <f t="shared" si="462"/>
        <v>100</v>
      </c>
    </row>
    <row r="945" spans="1:13" ht="25.5">
      <c r="A945" s="60" t="s">
        <v>80</v>
      </c>
      <c r="B945" s="29" t="s">
        <v>385</v>
      </c>
      <c r="C945" s="29" t="s">
        <v>110</v>
      </c>
      <c r="D945" s="29" t="s">
        <v>130</v>
      </c>
      <c r="E945" s="29" t="s">
        <v>421</v>
      </c>
      <c r="F945" s="29" t="s">
        <v>81</v>
      </c>
      <c r="G945" s="64">
        <f>G946</f>
        <v>3905.3</v>
      </c>
      <c r="H945" s="64">
        <f t="shared" si="492"/>
        <v>3905.3</v>
      </c>
      <c r="I945" s="64">
        <f t="shared" si="492"/>
        <v>1915.9349999999999</v>
      </c>
      <c r="J945" s="64">
        <f t="shared" si="492"/>
        <v>1915.9349999999999</v>
      </c>
      <c r="K945" s="64">
        <f t="shared" si="492"/>
        <v>1915.9349999999999</v>
      </c>
      <c r="L945" s="36">
        <f t="shared" si="461"/>
        <v>49.059867359741887</v>
      </c>
      <c r="M945" s="36">
        <f t="shared" si="462"/>
        <v>100</v>
      </c>
    </row>
    <row r="946" spans="1:13">
      <c r="A946" s="60" t="s">
        <v>271</v>
      </c>
      <c r="B946" s="29" t="s">
        <v>385</v>
      </c>
      <c r="C946" s="29" t="s">
        <v>110</v>
      </c>
      <c r="D946" s="29" t="s">
        <v>130</v>
      </c>
      <c r="E946" s="29" t="s">
        <v>421</v>
      </c>
      <c r="F946" s="29" t="s">
        <v>272</v>
      </c>
      <c r="G946" s="36">
        <v>3905.3</v>
      </c>
      <c r="H946" s="36">
        <v>3905.3</v>
      </c>
      <c r="I946" s="36">
        <v>1915.9349999999999</v>
      </c>
      <c r="J946" s="36">
        <v>1915.9349999999999</v>
      </c>
      <c r="K946" s="36">
        <v>1915.9349999999999</v>
      </c>
      <c r="L946" s="36">
        <f t="shared" si="461"/>
        <v>49.059867359741887</v>
      </c>
      <c r="M946" s="36">
        <f t="shared" si="462"/>
        <v>100</v>
      </c>
    </row>
    <row r="947" spans="1:13">
      <c r="A947" s="63" t="s">
        <v>612</v>
      </c>
      <c r="B947" s="29" t="s">
        <v>385</v>
      </c>
      <c r="C947" s="29" t="s">
        <v>110</v>
      </c>
      <c r="D947" s="29" t="s">
        <v>130</v>
      </c>
      <c r="E947" s="30" t="s">
        <v>613</v>
      </c>
      <c r="F947" s="29"/>
      <c r="G947" s="36"/>
      <c r="H947" s="36">
        <f>H948</f>
        <v>300</v>
      </c>
      <c r="I947" s="36">
        <f t="shared" ref="I947:K949" si="493">I948</f>
        <v>300</v>
      </c>
      <c r="J947" s="36">
        <f t="shared" si="493"/>
        <v>300</v>
      </c>
      <c r="K947" s="36">
        <f t="shared" si="493"/>
        <v>300</v>
      </c>
      <c r="L947" s="36">
        <f t="shared" ref="L947:L950" si="494">K947/H947*100</f>
        <v>100</v>
      </c>
      <c r="M947" s="36">
        <f t="shared" ref="M947:M950" si="495">K947/I947*100</f>
        <v>100</v>
      </c>
    </row>
    <row r="948" spans="1:13">
      <c r="A948" s="63" t="s">
        <v>612</v>
      </c>
      <c r="B948" s="29" t="s">
        <v>385</v>
      </c>
      <c r="C948" s="29" t="s">
        <v>110</v>
      </c>
      <c r="D948" s="29" t="s">
        <v>130</v>
      </c>
      <c r="E948" s="30" t="s">
        <v>614</v>
      </c>
      <c r="F948" s="29"/>
      <c r="G948" s="36"/>
      <c r="H948" s="36">
        <f>H949</f>
        <v>300</v>
      </c>
      <c r="I948" s="36">
        <f t="shared" si="493"/>
        <v>300</v>
      </c>
      <c r="J948" s="36">
        <f t="shared" si="493"/>
        <v>300</v>
      </c>
      <c r="K948" s="36">
        <f t="shared" si="493"/>
        <v>300</v>
      </c>
      <c r="L948" s="36">
        <f t="shared" si="494"/>
        <v>100</v>
      </c>
      <c r="M948" s="36">
        <f t="shared" si="495"/>
        <v>100</v>
      </c>
    </row>
    <row r="949" spans="1:13" ht="25.5">
      <c r="A949" s="60" t="s">
        <v>80</v>
      </c>
      <c r="B949" s="29" t="s">
        <v>385</v>
      </c>
      <c r="C949" s="29" t="s">
        <v>110</v>
      </c>
      <c r="D949" s="29" t="s">
        <v>130</v>
      </c>
      <c r="E949" s="30" t="s">
        <v>614</v>
      </c>
      <c r="F949" s="29" t="s">
        <v>81</v>
      </c>
      <c r="G949" s="36"/>
      <c r="H949" s="36">
        <f>H950</f>
        <v>300</v>
      </c>
      <c r="I949" s="36">
        <f t="shared" si="493"/>
        <v>300</v>
      </c>
      <c r="J949" s="36">
        <f t="shared" si="493"/>
        <v>300</v>
      </c>
      <c r="K949" s="36">
        <f t="shared" si="493"/>
        <v>300</v>
      </c>
      <c r="L949" s="36">
        <f t="shared" si="494"/>
        <v>100</v>
      </c>
      <c r="M949" s="36">
        <f t="shared" si="495"/>
        <v>100</v>
      </c>
    </row>
    <row r="950" spans="1:13">
      <c r="A950" s="60" t="s">
        <v>271</v>
      </c>
      <c r="B950" s="29" t="s">
        <v>385</v>
      </c>
      <c r="C950" s="29" t="s">
        <v>110</v>
      </c>
      <c r="D950" s="29" t="s">
        <v>130</v>
      </c>
      <c r="E950" s="30" t="s">
        <v>614</v>
      </c>
      <c r="F950" s="29" t="s">
        <v>272</v>
      </c>
      <c r="G950" s="36"/>
      <c r="H950" s="36">
        <v>300</v>
      </c>
      <c r="I950" s="36">
        <v>300</v>
      </c>
      <c r="J950" s="36">
        <v>300</v>
      </c>
      <c r="K950" s="36">
        <v>300</v>
      </c>
      <c r="L950" s="36">
        <f t="shared" si="494"/>
        <v>100</v>
      </c>
      <c r="M950" s="36">
        <f t="shared" si="495"/>
        <v>100</v>
      </c>
    </row>
    <row r="951" spans="1:13">
      <c r="A951" s="60" t="s">
        <v>422</v>
      </c>
      <c r="B951" s="29" t="s">
        <v>385</v>
      </c>
      <c r="C951" s="29" t="s">
        <v>110</v>
      </c>
      <c r="D951" s="29" t="s">
        <v>46</v>
      </c>
      <c r="E951" s="59" t="s">
        <v>0</v>
      </c>
      <c r="F951" s="59" t="s">
        <v>0</v>
      </c>
      <c r="G951" s="36">
        <f>G952+G1027+G1033+G1046+G1051</f>
        <v>703828.2</v>
      </c>
      <c r="H951" s="36">
        <f>H952+H1027+H1033+H1046+H1051+H1055</f>
        <v>744357.40473000007</v>
      </c>
      <c r="I951" s="36">
        <f t="shared" ref="I951:K951" si="496">I952+I1027+I1033+I1046+I1051+I1055</f>
        <v>398611.93436999997</v>
      </c>
      <c r="J951" s="36">
        <f t="shared" si="496"/>
        <v>398611.93436999997</v>
      </c>
      <c r="K951" s="36">
        <f t="shared" si="496"/>
        <v>378421.08860000002</v>
      </c>
      <c r="L951" s="36">
        <f t="shared" si="461"/>
        <v>50.838627545764027</v>
      </c>
      <c r="M951" s="36">
        <f t="shared" si="462"/>
        <v>94.934711174187186</v>
      </c>
    </row>
    <row r="952" spans="1:13" ht="38.25">
      <c r="A952" s="60" t="s">
        <v>112</v>
      </c>
      <c r="B952" s="29" t="s">
        <v>385</v>
      </c>
      <c r="C952" s="29" t="s">
        <v>110</v>
      </c>
      <c r="D952" s="29" t="s">
        <v>46</v>
      </c>
      <c r="E952" s="29" t="s">
        <v>113</v>
      </c>
      <c r="F952" s="59" t="s">
        <v>0</v>
      </c>
      <c r="G952" s="36">
        <f>G953+G968+G989+G997</f>
        <v>697958.2</v>
      </c>
      <c r="H952" s="36">
        <f>H953+H968+H989+H997</f>
        <v>735234.12473000004</v>
      </c>
      <c r="I952" s="36">
        <f>I953+I968+I989+I997</f>
        <v>393576.24136999995</v>
      </c>
      <c r="J952" s="36">
        <f>J953+J968+J989+J997</f>
        <v>393576.24136999995</v>
      </c>
      <c r="K952" s="36">
        <f>K953+K968+K989+K997</f>
        <v>376485.39559999999</v>
      </c>
      <c r="L952" s="36">
        <f t="shared" si="461"/>
        <v>51.206191733586451</v>
      </c>
      <c r="M952" s="36">
        <f t="shared" si="462"/>
        <v>95.657551454196422</v>
      </c>
    </row>
    <row r="953" spans="1:13" ht="25.5">
      <c r="A953" s="60" t="s">
        <v>395</v>
      </c>
      <c r="B953" s="29" t="s">
        <v>385</v>
      </c>
      <c r="C953" s="29" t="s">
        <v>110</v>
      </c>
      <c r="D953" s="29" t="s">
        <v>46</v>
      </c>
      <c r="E953" s="29" t="s">
        <v>396</v>
      </c>
      <c r="F953" s="59" t="s">
        <v>0</v>
      </c>
      <c r="G953" s="36">
        <f>G957+G961+G964</f>
        <v>117634.7</v>
      </c>
      <c r="H953" s="36">
        <f>H957+H961+H964+H954</f>
        <v>127569.7</v>
      </c>
      <c r="I953" s="36">
        <f t="shared" ref="I953:K953" si="497">I957+I961+I964+I954</f>
        <v>76632.879000000001</v>
      </c>
      <c r="J953" s="36">
        <f t="shared" si="497"/>
        <v>76632.879000000001</v>
      </c>
      <c r="K953" s="36">
        <f t="shared" si="497"/>
        <v>66697.879000000001</v>
      </c>
      <c r="L953" s="36">
        <f t="shared" si="461"/>
        <v>52.283480324873388</v>
      </c>
      <c r="M953" s="36">
        <f t="shared" si="462"/>
        <v>87.035590819966458</v>
      </c>
    </row>
    <row r="954" spans="1:13" ht="38.25">
      <c r="A954" s="77" t="s">
        <v>1154</v>
      </c>
      <c r="B954" s="29" t="s">
        <v>385</v>
      </c>
      <c r="C954" s="29" t="s">
        <v>110</v>
      </c>
      <c r="D954" s="29" t="s">
        <v>46</v>
      </c>
      <c r="E954" s="78" t="s">
        <v>1153</v>
      </c>
      <c r="F954" s="59"/>
      <c r="G954" s="36"/>
      <c r="H954" s="36">
        <f>H955</f>
        <v>9935</v>
      </c>
      <c r="I954" s="36">
        <f t="shared" ref="I954:K955" si="498">I955</f>
        <v>9935</v>
      </c>
      <c r="J954" s="36">
        <f t="shared" si="498"/>
        <v>9935</v>
      </c>
      <c r="K954" s="36">
        <f t="shared" si="498"/>
        <v>0</v>
      </c>
      <c r="L954" s="36">
        <f t="shared" ref="L954:L956" si="499">K954/H954*100</f>
        <v>0</v>
      </c>
      <c r="M954" s="36">
        <f t="shared" ref="M954:M956" si="500">K954/I954*100</f>
        <v>0</v>
      </c>
    </row>
    <row r="955" spans="1:13" ht="25.5">
      <c r="A955" s="60" t="s">
        <v>80</v>
      </c>
      <c r="B955" s="29" t="s">
        <v>385</v>
      </c>
      <c r="C955" s="29" t="s">
        <v>110</v>
      </c>
      <c r="D955" s="29" t="s">
        <v>46</v>
      </c>
      <c r="E955" s="78" t="s">
        <v>1153</v>
      </c>
      <c r="F955" s="29">
        <v>600</v>
      </c>
      <c r="G955" s="36"/>
      <c r="H955" s="36">
        <f>H956</f>
        <v>9935</v>
      </c>
      <c r="I955" s="36">
        <f t="shared" si="498"/>
        <v>9935</v>
      </c>
      <c r="J955" s="36">
        <f t="shared" si="498"/>
        <v>9935</v>
      </c>
      <c r="K955" s="36">
        <f t="shared" si="498"/>
        <v>0</v>
      </c>
      <c r="L955" s="36">
        <f t="shared" si="499"/>
        <v>0</v>
      </c>
      <c r="M955" s="36">
        <f t="shared" si="500"/>
        <v>0</v>
      </c>
    </row>
    <row r="956" spans="1:13">
      <c r="A956" s="60" t="s">
        <v>82</v>
      </c>
      <c r="B956" s="29" t="s">
        <v>385</v>
      </c>
      <c r="C956" s="29" t="s">
        <v>110</v>
      </c>
      <c r="D956" s="29" t="s">
        <v>46</v>
      </c>
      <c r="E956" s="78" t="s">
        <v>1153</v>
      </c>
      <c r="F956" s="59">
        <v>620</v>
      </c>
      <c r="G956" s="36"/>
      <c r="H956" s="36">
        <v>9935</v>
      </c>
      <c r="I956" s="36">
        <v>9935</v>
      </c>
      <c r="J956" s="36">
        <v>9935</v>
      </c>
      <c r="K956" s="36">
        <v>0</v>
      </c>
      <c r="L956" s="36">
        <f t="shared" si="499"/>
        <v>0</v>
      </c>
      <c r="M956" s="36">
        <f t="shared" si="500"/>
        <v>0</v>
      </c>
    </row>
    <row r="957" spans="1:13" ht="25.5">
      <c r="A957" s="60" t="s">
        <v>76</v>
      </c>
      <c r="B957" s="29" t="s">
        <v>385</v>
      </c>
      <c r="C957" s="29" t="s">
        <v>110</v>
      </c>
      <c r="D957" s="29" t="s">
        <v>46</v>
      </c>
      <c r="E957" s="29" t="s">
        <v>397</v>
      </c>
      <c r="F957" s="59" t="s">
        <v>0</v>
      </c>
      <c r="G957" s="36">
        <f>G958</f>
        <v>66777.7</v>
      </c>
      <c r="H957" s="36">
        <f t="shared" ref="H957:K957" si="501">H958</f>
        <v>66777.7</v>
      </c>
      <c r="I957" s="36">
        <f t="shared" si="501"/>
        <v>32164.02</v>
      </c>
      <c r="J957" s="36">
        <f t="shared" si="501"/>
        <v>32164.02</v>
      </c>
      <c r="K957" s="36">
        <f t="shared" si="501"/>
        <v>32164.02</v>
      </c>
      <c r="L957" s="36">
        <f t="shared" si="461"/>
        <v>48.165809843705311</v>
      </c>
      <c r="M957" s="36">
        <f t="shared" si="462"/>
        <v>100</v>
      </c>
    </row>
    <row r="958" spans="1:13" ht="25.5">
      <c r="A958" s="60" t="s">
        <v>80</v>
      </c>
      <c r="B958" s="29" t="s">
        <v>385</v>
      </c>
      <c r="C958" s="29" t="s">
        <v>110</v>
      </c>
      <c r="D958" s="29" t="s">
        <v>46</v>
      </c>
      <c r="E958" s="29" t="s">
        <v>397</v>
      </c>
      <c r="F958" s="29" t="s">
        <v>81</v>
      </c>
      <c r="G958" s="36">
        <f>G959+G960</f>
        <v>66777.7</v>
      </c>
      <c r="H958" s="36">
        <f t="shared" ref="H958:K958" si="502">H959+H960</f>
        <v>66777.7</v>
      </c>
      <c r="I958" s="36">
        <f t="shared" si="502"/>
        <v>32164.02</v>
      </c>
      <c r="J958" s="36">
        <f t="shared" si="502"/>
        <v>32164.02</v>
      </c>
      <c r="K958" s="36">
        <f t="shared" si="502"/>
        <v>32164.02</v>
      </c>
      <c r="L958" s="36">
        <f t="shared" si="461"/>
        <v>48.165809843705311</v>
      </c>
      <c r="M958" s="36">
        <f t="shared" si="462"/>
        <v>100</v>
      </c>
    </row>
    <row r="959" spans="1:13">
      <c r="A959" s="60" t="s">
        <v>271</v>
      </c>
      <c r="B959" s="29" t="s">
        <v>385</v>
      </c>
      <c r="C959" s="29" t="s">
        <v>110</v>
      </c>
      <c r="D959" s="29" t="s">
        <v>46</v>
      </c>
      <c r="E959" s="29" t="s">
        <v>397</v>
      </c>
      <c r="F959" s="29" t="s">
        <v>272</v>
      </c>
      <c r="G959" s="36">
        <v>39080.5</v>
      </c>
      <c r="H959" s="36">
        <f>33099.5+5981</f>
        <v>39080.5</v>
      </c>
      <c r="I959" s="36">
        <f>16060.52+1647</f>
        <v>17707.52</v>
      </c>
      <c r="J959" s="36">
        <f>16060.52+1647</f>
        <v>17707.52</v>
      </c>
      <c r="K959" s="36">
        <f>16060.52+1647</f>
        <v>17707.52</v>
      </c>
      <c r="L959" s="36">
        <f t="shared" si="461"/>
        <v>45.310372180499229</v>
      </c>
      <c r="M959" s="36">
        <f t="shared" si="462"/>
        <v>100</v>
      </c>
    </row>
    <row r="960" spans="1:13">
      <c r="A960" s="60" t="s">
        <v>82</v>
      </c>
      <c r="B960" s="29" t="s">
        <v>385</v>
      </c>
      <c r="C960" s="29" t="s">
        <v>110</v>
      </c>
      <c r="D960" s="29" t="s">
        <v>46</v>
      </c>
      <c r="E960" s="29" t="s">
        <v>397</v>
      </c>
      <c r="F960" s="29" t="s">
        <v>83</v>
      </c>
      <c r="G960" s="36">
        <v>27697.200000000001</v>
      </c>
      <c r="H960" s="36">
        <f>27127.2+570</f>
        <v>27697.200000000001</v>
      </c>
      <c r="I960" s="36">
        <f>13936.5+520</f>
        <v>14456.5</v>
      </c>
      <c r="J960" s="36">
        <f>13936.5+520</f>
        <v>14456.5</v>
      </c>
      <c r="K960" s="36">
        <f>13936.5+520</f>
        <v>14456.5</v>
      </c>
      <c r="L960" s="36">
        <f t="shared" si="461"/>
        <v>52.194806695261612</v>
      </c>
      <c r="M960" s="36">
        <f t="shared" si="462"/>
        <v>100</v>
      </c>
    </row>
    <row r="961" spans="1:13" ht="76.5">
      <c r="A961" s="60" t="s">
        <v>367</v>
      </c>
      <c r="B961" s="29" t="s">
        <v>385</v>
      </c>
      <c r="C961" s="29" t="s">
        <v>110</v>
      </c>
      <c r="D961" s="29" t="s">
        <v>46</v>
      </c>
      <c r="E961" s="29" t="s">
        <v>423</v>
      </c>
      <c r="F961" s="59" t="s">
        <v>0</v>
      </c>
      <c r="G961" s="36">
        <f>G962</f>
        <v>3910.4</v>
      </c>
      <c r="H961" s="36">
        <f t="shared" ref="H961:K962" si="503">H962</f>
        <v>3910.4</v>
      </c>
      <c r="I961" s="36">
        <f t="shared" si="503"/>
        <v>0</v>
      </c>
      <c r="J961" s="36">
        <f t="shared" si="503"/>
        <v>0</v>
      </c>
      <c r="K961" s="36">
        <f t="shared" si="503"/>
        <v>0</v>
      </c>
      <c r="L961" s="36">
        <f t="shared" si="461"/>
        <v>0</v>
      </c>
      <c r="M961" s="36">
        <v>0</v>
      </c>
    </row>
    <row r="962" spans="1:13">
      <c r="A962" s="60" t="s">
        <v>72</v>
      </c>
      <c r="B962" s="29" t="s">
        <v>385</v>
      </c>
      <c r="C962" s="29" t="s">
        <v>110</v>
      </c>
      <c r="D962" s="29" t="s">
        <v>46</v>
      </c>
      <c r="E962" s="29" t="s">
        <v>423</v>
      </c>
      <c r="F962" s="29" t="s">
        <v>73</v>
      </c>
      <c r="G962" s="36">
        <f>G963</f>
        <v>3910.4</v>
      </c>
      <c r="H962" s="36">
        <f t="shared" si="503"/>
        <v>3910.4</v>
      </c>
      <c r="I962" s="36">
        <f t="shared" si="503"/>
        <v>0</v>
      </c>
      <c r="J962" s="36">
        <f t="shared" si="503"/>
        <v>0</v>
      </c>
      <c r="K962" s="36">
        <f t="shared" si="503"/>
        <v>0</v>
      </c>
      <c r="L962" s="36">
        <f t="shared" si="461"/>
        <v>0</v>
      </c>
      <c r="M962" s="36">
        <v>0</v>
      </c>
    </row>
    <row r="963" spans="1:13">
      <c r="A963" s="60" t="s">
        <v>369</v>
      </c>
      <c r="B963" s="29" t="s">
        <v>385</v>
      </c>
      <c r="C963" s="29" t="s">
        <v>110</v>
      </c>
      <c r="D963" s="29" t="s">
        <v>46</v>
      </c>
      <c r="E963" s="29" t="s">
        <v>423</v>
      </c>
      <c r="F963" s="29" t="s">
        <v>370</v>
      </c>
      <c r="G963" s="36">
        <v>3910.4</v>
      </c>
      <c r="H963" s="36">
        <v>3910.4</v>
      </c>
      <c r="I963" s="36">
        <v>0</v>
      </c>
      <c r="J963" s="36">
        <v>0</v>
      </c>
      <c r="K963" s="36">
        <v>0</v>
      </c>
      <c r="L963" s="36">
        <f t="shared" si="461"/>
        <v>0</v>
      </c>
      <c r="M963" s="36">
        <v>0</v>
      </c>
    </row>
    <row r="964" spans="1:13">
      <c r="A964" s="60" t="s">
        <v>424</v>
      </c>
      <c r="B964" s="29" t="s">
        <v>385</v>
      </c>
      <c r="C964" s="29" t="s">
        <v>110</v>
      </c>
      <c r="D964" s="29" t="s">
        <v>46</v>
      </c>
      <c r="E964" s="29" t="s">
        <v>425</v>
      </c>
      <c r="F964" s="59" t="s">
        <v>0</v>
      </c>
      <c r="G964" s="36">
        <f>G965</f>
        <v>46946.600000000006</v>
      </c>
      <c r="H964" s="36">
        <f t="shared" ref="H964:K964" si="504">H965</f>
        <v>46946.600000000006</v>
      </c>
      <c r="I964" s="36">
        <f t="shared" si="504"/>
        <v>34533.859000000004</v>
      </c>
      <c r="J964" s="36">
        <f t="shared" si="504"/>
        <v>34533.859000000004</v>
      </c>
      <c r="K964" s="36">
        <f t="shared" si="504"/>
        <v>34533.859000000004</v>
      </c>
      <c r="L964" s="36">
        <f t="shared" si="461"/>
        <v>73.559872280420734</v>
      </c>
      <c r="M964" s="36">
        <f t="shared" si="462"/>
        <v>100</v>
      </c>
    </row>
    <row r="965" spans="1:13" ht="25.5">
      <c r="A965" s="60" t="s">
        <v>80</v>
      </c>
      <c r="B965" s="29" t="s">
        <v>385</v>
      </c>
      <c r="C965" s="29" t="s">
        <v>110</v>
      </c>
      <c r="D965" s="29" t="s">
        <v>46</v>
      </c>
      <c r="E965" s="29" t="s">
        <v>425</v>
      </c>
      <c r="F965" s="29" t="s">
        <v>81</v>
      </c>
      <c r="G965" s="36">
        <f>G966+G967</f>
        <v>46946.600000000006</v>
      </c>
      <c r="H965" s="36">
        <f t="shared" ref="H965:K965" si="505">H966+H967</f>
        <v>46946.600000000006</v>
      </c>
      <c r="I965" s="36">
        <f t="shared" si="505"/>
        <v>34533.859000000004</v>
      </c>
      <c r="J965" s="36">
        <f t="shared" si="505"/>
        <v>34533.859000000004</v>
      </c>
      <c r="K965" s="36">
        <f t="shared" si="505"/>
        <v>34533.859000000004</v>
      </c>
      <c r="L965" s="36">
        <f t="shared" si="461"/>
        <v>73.559872280420734</v>
      </c>
      <c r="M965" s="36">
        <f t="shared" si="462"/>
        <v>100</v>
      </c>
    </row>
    <row r="966" spans="1:13">
      <c r="A966" s="60" t="s">
        <v>271</v>
      </c>
      <c r="B966" s="29" t="s">
        <v>385</v>
      </c>
      <c r="C966" s="29" t="s">
        <v>110</v>
      </c>
      <c r="D966" s="29" t="s">
        <v>46</v>
      </c>
      <c r="E966" s="29" t="s">
        <v>425</v>
      </c>
      <c r="F966" s="29" t="s">
        <v>272</v>
      </c>
      <c r="G966" s="36">
        <v>7318.3</v>
      </c>
      <c r="H966" s="36">
        <v>7318.3</v>
      </c>
      <c r="I966" s="36">
        <v>5636.3540000000003</v>
      </c>
      <c r="J966" s="36">
        <v>5636.3540000000003</v>
      </c>
      <c r="K966" s="36">
        <v>5636.3540000000003</v>
      </c>
      <c r="L966" s="36">
        <f t="shared" si="461"/>
        <v>77.017258106390827</v>
      </c>
      <c r="M966" s="36">
        <f t="shared" si="462"/>
        <v>100</v>
      </c>
    </row>
    <row r="967" spans="1:13">
      <c r="A967" s="60" t="s">
        <v>82</v>
      </c>
      <c r="B967" s="29" t="s">
        <v>385</v>
      </c>
      <c r="C967" s="29" t="s">
        <v>110</v>
      </c>
      <c r="D967" s="29" t="s">
        <v>46</v>
      </c>
      <c r="E967" s="29" t="s">
        <v>425</v>
      </c>
      <c r="F967" s="29" t="s">
        <v>83</v>
      </c>
      <c r="G967" s="36">
        <v>39628.300000000003</v>
      </c>
      <c r="H967" s="36">
        <v>39628.300000000003</v>
      </c>
      <c r="I967" s="36">
        <v>28897.505000000001</v>
      </c>
      <c r="J967" s="36">
        <v>28897.505000000001</v>
      </c>
      <c r="K967" s="36">
        <v>28897.505000000001</v>
      </c>
      <c r="L967" s="36">
        <f t="shared" si="461"/>
        <v>72.921384465142339</v>
      </c>
      <c r="M967" s="36">
        <f t="shared" si="462"/>
        <v>100</v>
      </c>
    </row>
    <row r="968" spans="1:13" ht="76.5">
      <c r="A968" s="60" t="s">
        <v>400</v>
      </c>
      <c r="B968" s="29" t="s">
        <v>385</v>
      </c>
      <c r="C968" s="29" t="s">
        <v>110</v>
      </c>
      <c r="D968" s="29" t="s">
        <v>46</v>
      </c>
      <c r="E968" s="29" t="s">
        <v>401</v>
      </c>
      <c r="F968" s="59" t="s">
        <v>0</v>
      </c>
      <c r="G968" s="36">
        <f>G972+G975+G981+G986</f>
        <v>63050.6</v>
      </c>
      <c r="H968" s="36">
        <f>H972+H975+H981+H986+H969</f>
        <v>90391.479370000001</v>
      </c>
      <c r="I968" s="36">
        <f t="shared" ref="I968:K968" si="506">I972+I975+I981+I986+I969</f>
        <v>35117.479370000001</v>
      </c>
      <c r="J968" s="36">
        <f t="shared" si="506"/>
        <v>35117.479370000001</v>
      </c>
      <c r="K968" s="36">
        <f t="shared" si="506"/>
        <v>33724.92828</v>
      </c>
      <c r="L968" s="36">
        <f t="shared" si="461"/>
        <v>37.309853224056155</v>
      </c>
      <c r="M968" s="36">
        <f t="shared" si="462"/>
        <v>96.034592701463581</v>
      </c>
    </row>
    <row r="969" spans="1:13" ht="37.5" customHeight="1">
      <c r="A969" s="60" t="s">
        <v>1157</v>
      </c>
      <c r="B969" s="29" t="s">
        <v>385</v>
      </c>
      <c r="C969" s="29" t="s">
        <v>110</v>
      </c>
      <c r="D969" s="29" t="s">
        <v>46</v>
      </c>
      <c r="E969" s="30" t="s">
        <v>1152</v>
      </c>
      <c r="F969" s="59"/>
      <c r="G969" s="36"/>
      <c r="H969" s="36">
        <f>H970</f>
        <v>27340.909</v>
      </c>
      <c r="I969" s="36">
        <f t="shared" ref="I969:K970" si="507">I970</f>
        <v>27340.909</v>
      </c>
      <c r="J969" s="36">
        <f t="shared" si="507"/>
        <v>27340.909</v>
      </c>
      <c r="K969" s="36">
        <f t="shared" si="507"/>
        <v>27229.93491</v>
      </c>
      <c r="L969" s="36">
        <f t="shared" ref="L969:L971" si="508">K969/H969*100</f>
        <v>99.59410972766122</v>
      </c>
      <c r="M969" s="36">
        <f t="shared" ref="M969:M971" si="509">K969/I969*100</f>
        <v>99.59410972766122</v>
      </c>
    </row>
    <row r="970" spans="1:13" ht="25.5">
      <c r="A970" s="60" t="s">
        <v>64</v>
      </c>
      <c r="B970" s="29" t="s">
        <v>385</v>
      </c>
      <c r="C970" s="29" t="s">
        <v>110</v>
      </c>
      <c r="D970" s="29" t="s">
        <v>46</v>
      </c>
      <c r="E970" s="30" t="s">
        <v>1152</v>
      </c>
      <c r="F970" s="29">
        <v>200</v>
      </c>
      <c r="G970" s="36"/>
      <c r="H970" s="36">
        <f>H971</f>
        <v>27340.909</v>
      </c>
      <c r="I970" s="36">
        <f t="shared" si="507"/>
        <v>27340.909</v>
      </c>
      <c r="J970" s="36">
        <f t="shared" si="507"/>
        <v>27340.909</v>
      </c>
      <c r="K970" s="36">
        <f t="shared" si="507"/>
        <v>27229.93491</v>
      </c>
      <c r="L970" s="36">
        <f t="shared" si="508"/>
        <v>99.59410972766122</v>
      </c>
      <c r="M970" s="36">
        <f t="shared" si="509"/>
        <v>99.59410972766122</v>
      </c>
    </row>
    <row r="971" spans="1:13" ht="25.5">
      <c r="A971" s="60" t="s">
        <v>66</v>
      </c>
      <c r="B971" s="29" t="s">
        <v>385</v>
      </c>
      <c r="C971" s="29" t="s">
        <v>110</v>
      </c>
      <c r="D971" s="29" t="s">
        <v>46</v>
      </c>
      <c r="E971" s="30" t="s">
        <v>1152</v>
      </c>
      <c r="F971" s="29">
        <v>240</v>
      </c>
      <c r="G971" s="36"/>
      <c r="H971" s="36">
        <v>27340.909</v>
      </c>
      <c r="I971" s="36">
        <v>27340.909</v>
      </c>
      <c r="J971" s="36">
        <v>27340.909</v>
      </c>
      <c r="K971" s="36">
        <v>27229.93491</v>
      </c>
      <c r="L971" s="36">
        <f t="shared" si="508"/>
        <v>99.59410972766122</v>
      </c>
      <c r="M971" s="36">
        <f t="shared" si="509"/>
        <v>99.59410972766122</v>
      </c>
    </row>
    <row r="972" spans="1:13" ht="76.5">
      <c r="A972" s="60" t="s">
        <v>367</v>
      </c>
      <c r="B972" s="29" t="s">
        <v>385</v>
      </c>
      <c r="C972" s="29" t="s">
        <v>110</v>
      </c>
      <c r="D972" s="29" t="s">
        <v>46</v>
      </c>
      <c r="E972" s="29" t="s">
        <v>426</v>
      </c>
      <c r="F972" s="59" t="s">
        <v>0</v>
      </c>
      <c r="G972" s="36">
        <f>G973</f>
        <v>20000</v>
      </c>
      <c r="H972" s="36">
        <f t="shared" ref="H972:K973" si="510">H973</f>
        <v>20000</v>
      </c>
      <c r="I972" s="36">
        <f t="shared" si="510"/>
        <v>0</v>
      </c>
      <c r="J972" s="36">
        <f t="shared" si="510"/>
        <v>0</v>
      </c>
      <c r="K972" s="36">
        <f t="shared" si="510"/>
        <v>0</v>
      </c>
      <c r="L972" s="36">
        <f t="shared" si="461"/>
        <v>0</v>
      </c>
      <c r="M972" s="36">
        <v>0</v>
      </c>
    </row>
    <row r="973" spans="1:13">
      <c r="A973" s="60" t="s">
        <v>72</v>
      </c>
      <c r="B973" s="29" t="s">
        <v>385</v>
      </c>
      <c r="C973" s="29" t="s">
        <v>110</v>
      </c>
      <c r="D973" s="29" t="s">
        <v>46</v>
      </c>
      <c r="E973" s="29" t="s">
        <v>426</v>
      </c>
      <c r="F973" s="29" t="s">
        <v>73</v>
      </c>
      <c r="G973" s="36">
        <f>G974</f>
        <v>20000</v>
      </c>
      <c r="H973" s="36">
        <f t="shared" si="510"/>
        <v>20000</v>
      </c>
      <c r="I973" s="36">
        <f t="shared" si="510"/>
        <v>0</v>
      </c>
      <c r="J973" s="36">
        <f t="shared" si="510"/>
        <v>0</v>
      </c>
      <c r="K973" s="36">
        <f t="shared" si="510"/>
        <v>0</v>
      </c>
      <c r="L973" s="36">
        <f t="shared" si="461"/>
        <v>0</v>
      </c>
      <c r="M973" s="36">
        <v>0</v>
      </c>
    </row>
    <row r="974" spans="1:13">
      <c r="A974" s="60" t="s">
        <v>369</v>
      </c>
      <c r="B974" s="29" t="s">
        <v>385</v>
      </c>
      <c r="C974" s="29" t="s">
        <v>110</v>
      </c>
      <c r="D974" s="29" t="s">
        <v>46</v>
      </c>
      <c r="E974" s="29" t="s">
        <v>426</v>
      </c>
      <c r="F974" s="29" t="s">
        <v>370</v>
      </c>
      <c r="G974" s="36">
        <v>20000</v>
      </c>
      <c r="H974" s="36">
        <v>20000</v>
      </c>
      <c r="I974" s="36">
        <v>0</v>
      </c>
      <c r="J974" s="36">
        <v>0</v>
      </c>
      <c r="K974" s="36">
        <v>0</v>
      </c>
      <c r="L974" s="36">
        <f t="shared" si="461"/>
        <v>0</v>
      </c>
      <c r="M974" s="36">
        <v>0</v>
      </c>
    </row>
    <row r="975" spans="1:13">
      <c r="A975" s="60" t="s">
        <v>424</v>
      </c>
      <c r="B975" s="29" t="s">
        <v>385</v>
      </c>
      <c r="C975" s="29" t="s">
        <v>110</v>
      </c>
      <c r="D975" s="29" t="s">
        <v>46</v>
      </c>
      <c r="E975" s="29" t="s">
        <v>427</v>
      </c>
      <c r="F975" s="59" t="s">
        <v>0</v>
      </c>
      <c r="G975" s="36">
        <f>G976+G978</f>
        <v>17592</v>
      </c>
      <c r="H975" s="36">
        <f t="shared" ref="H975:K975" si="511">H976+H978</f>
        <v>17592</v>
      </c>
      <c r="I975" s="36">
        <f t="shared" si="511"/>
        <v>5493</v>
      </c>
      <c r="J975" s="36">
        <f t="shared" si="511"/>
        <v>5493</v>
      </c>
      <c r="K975" s="36">
        <f t="shared" si="511"/>
        <v>4211.4229999999998</v>
      </c>
      <c r="L975" s="36">
        <f t="shared" si="461"/>
        <v>23.939421327876307</v>
      </c>
      <c r="M975" s="36">
        <f t="shared" si="462"/>
        <v>76.66890588021117</v>
      </c>
    </row>
    <row r="976" spans="1:13" ht="25.5">
      <c r="A976" s="60" t="s">
        <v>64</v>
      </c>
      <c r="B976" s="29" t="s">
        <v>385</v>
      </c>
      <c r="C976" s="29" t="s">
        <v>110</v>
      </c>
      <c r="D976" s="29" t="s">
        <v>46</v>
      </c>
      <c r="E976" s="29" t="s">
        <v>427</v>
      </c>
      <c r="F976" s="29" t="s">
        <v>65</v>
      </c>
      <c r="G976" s="36">
        <f>G977</f>
        <v>6302</v>
      </c>
      <c r="H976" s="36">
        <f t="shared" ref="H976:K976" si="512">H977</f>
        <v>6302</v>
      </c>
      <c r="I976" s="36">
        <f t="shared" si="512"/>
        <v>2278</v>
      </c>
      <c r="J976" s="36">
        <f t="shared" si="512"/>
        <v>2278</v>
      </c>
      <c r="K976" s="36">
        <f t="shared" si="512"/>
        <v>996.423</v>
      </c>
      <c r="L976" s="36">
        <f t="shared" si="461"/>
        <v>15.811218660742622</v>
      </c>
      <c r="M976" s="36">
        <f t="shared" si="462"/>
        <v>43.741132572431958</v>
      </c>
    </row>
    <row r="977" spans="1:13" ht="25.5">
      <c r="A977" s="60" t="s">
        <v>66</v>
      </c>
      <c r="B977" s="29" t="s">
        <v>385</v>
      </c>
      <c r="C977" s="29" t="s">
        <v>110</v>
      </c>
      <c r="D977" s="29" t="s">
        <v>46</v>
      </c>
      <c r="E977" s="29" t="s">
        <v>427</v>
      </c>
      <c r="F977" s="29" t="s">
        <v>67</v>
      </c>
      <c r="G977" s="36">
        <v>6302</v>
      </c>
      <c r="H977" s="36">
        <v>6302</v>
      </c>
      <c r="I977" s="36">
        <v>2278</v>
      </c>
      <c r="J977" s="36">
        <v>2278</v>
      </c>
      <c r="K977" s="36">
        <v>996.423</v>
      </c>
      <c r="L977" s="36">
        <f t="shared" si="461"/>
        <v>15.811218660742622</v>
      </c>
      <c r="M977" s="36">
        <f t="shared" si="462"/>
        <v>43.741132572431958</v>
      </c>
    </row>
    <row r="978" spans="1:13" ht="25.5">
      <c r="A978" s="60" t="s">
        <v>80</v>
      </c>
      <c r="B978" s="29" t="s">
        <v>385</v>
      </c>
      <c r="C978" s="29" t="s">
        <v>110</v>
      </c>
      <c r="D978" s="29" t="s">
        <v>46</v>
      </c>
      <c r="E978" s="29" t="s">
        <v>427</v>
      </c>
      <c r="F978" s="29" t="s">
        <v>81</v>
      </c>
      <c r="G978" s="36">
        <f>G979+G980</f>
        <v>11290</v>
      </c>
      <c r="H978" s="36">
        <f t="shared" ref="H978:K978" si="513">H979+H980</f>
        <v>11290</v>
      </c>
      <c r="I978" s="36">
        <f t="shared" si="513"/>
        <v>3215</v>
      </c>
      <c r="J978" s="36">
        <f t="shared" si="513"/>
        <v>3215</v>
      </c>
      <c r="K978" s="36">
        <f t="shared" si="513"/>
        <v>3215</v>
      </c>
      <c r="L978" s="36">
        <f t="shared" si="461"/>
        <v>28.476527900797166</v>
      </c>
      <c r="M978" s="36">
        <f t="shared" si="462"/>
        <v>100</v>
      </c>
    </row>
    <row r="979" spans="1:13">
      <c r="A979" s="60" t="s">
        <v>271</v>
      </c>
      <c r="B979" s="29" t="s">
        <v>385</v>
      </c>
      <c r="C979" s="29" t="s">
        <v>110</v>
      </c>
      <c r="D979" s="29" t="s">
        <v>46</v>
      </c>
      <c r="E979" s="29" t="s">
        <v>427</v>
      </c>
      <c r="F979" s="29" t="s">
        <v>272</v>
      </c>
      <c r="G979" s="36">
        <v>1570</v>
      </c>
      <c r="H979" s="36">
        <v>1690</v>
      </c>
      <c r="I979" s="36">
        <v>765</v>
      </c>
      <c r="J979" s="36">
        <v>765</v>
      </c>
      <c r="K979" s="36">
        <v>765</v>
      </c>
      <c r="L979" s="36">
        <f t="shared" si="461"/>
        <v>45.26627218934911</v>
      </c>
      <c r="M979" s="36">
        <f t="shared" si="462"/>
        <v>100</v>
      </c>
    </row>
    <row r="980" spans="1:13">
      <c r="A980" s="60" t="s">
        <v>82</v>
      </c>
      <c r="B980" s="29" t="s">
        <v>385</v>
      </c>
      <c r="C980" s="29" t="s">
        <v>110</v>
      </c>
      <c r="D980" s="29" t="s">
        <v>46</v>
      </c>
      <c r="E980" s="29" t="s">
        <v>427</v>
      </c>
      <c r="F980" s="29" t="s">
        <v>83</v>
      </c>
      <c r="G980" s="36">
        <v>9720</v>
      </c>
      <c r="H980" s="36">
        <v>9600</v>
      </c>
      <c r="I980" s="36">
        <v>2450</v>
      </c>
      <c r="J980" s="36">
        <v>2450</v>
      </c>
      <c r="K980" s="36">
        <v>2450</v>
      </c>
      <c r="L980" s="36">
        <f t="shared" si="461"/>
        <v>25.520833333333332</v>
      </c>
      <c r="M980" s="36">
        <f t="shared" si="462"/>
        <v>100</v>
      </c>
    </row>
    <row r="981" spans="1:13" ht="63.75">
      <c r="A981" s="60" t="s">
        <v>428</v>
      </c>
      <c r="B981" s="29" t="s">
        <v>385</v>
      </c>
      <c r="C981" s="29" t="s">
        <v>110</v>
      </c>
      <c r="D981" s="29" t="s">
        <v>46</v>
      </c>
      <c r="E981" s="29" t="s">
        <v>429</v>
      </c>
      <c r="F981" s="59" t="s">
        <v>0</v>
      </c>
      <c r="G981" s="36">
        <f>G982+G984</f>
        <v>3222</v>
      </c>
      <c r="H981" s="36">
        <f t="shared" ref="H981:K981" si="514">H982+H984</f>
        <v>3221.9880000000003</v>
      </c>
      <c r="I981" s="36">
        <f t="shared" si="514"/>
        <v>2021.9880000000001</v>
      </c>
      <c r="J981" s="36">
        <f t="shared" si="514"/>
        <v>2021.9880000000001</v>
      </c>
      <c r="K981" s="36">
        <f t="shared" si="514"/>
        <v>2021.9880000000001</v>
      </c>
      <c r="L981" s="36">
        <f t="shared" ref="L981:L1048" si="515">K981/H981*100</f>
        <v>62.755913429845165</v>
      </c>
      <c r="M981" s="36">
        <f t="shared" ref="M981:M1048" si="516">K981/I981*100</f>
        <v>100</v>
      </c>
    </row>
    <row r="982" spans="1:13" ht="25.5">
      <c r="A982" s="60" t="s">
        <v>64</v>
      </c>
      <c r="B982" s="29" t="s">
        <v>385</v>
      </c>
      <c r="C982" s="29" t="s">
        <v>110</v>
      </c>
      <c r="D982" s="29" t="s">
        <v>46</v>
      </c>
      <c r="E982" s="29" t="s">
        <v>429</v>
      </c>
      <c r="F982" s="29" t="s">
        <v>65</v>
      </c>
      <c r="G982" s="36">
        <f>G983</f>
        <v>2022</v>
      </c>
      <c r="H982" s="36">
        <f t="shared" ref="H982:K982" si="517">H983</f>
        <v>2021.9880000000001</v>
      </c>
      <c r="I982" s="36">
        <f t="shared" si="517"/>
        <v>2021.9880000000001</v>
      </c>
      <c r="J982" s="36">
        <f t="shared" si="517"/>
        <v>2021.9880000000001</v>
      </c>
      <c r="K982" s="36">
        <f t="shared" si="517"/>
        <v>2021.9880000000001</v>
      </c>
      <c r="L982" s="36">
        <f t="shared" si="515"/>
        <v>100</v>
      </c>
      <c r="M982" s="36">
        <f t="shared" si="516"/>
        <v>100</v>
      </c>
    </row>
    <row r="983" spans="1:13" ht="25.5">
      <c r="A983" s="60" t="s">
        <v>66</v>
      </c>
      <c r="B983" s="29" t="s">
        <v>385</v>
      </c>
      <c r="C983" s="29" t="s">
        <v>110</v>
      </c>
      <c r="D983" s="29" t="s">
        <v>46</v>
      </c>
      <c r="E983" s="29" t="s">
        <v>429</v>
      </c>
      <c r="F983" s="29" t="s">
        <v>67</v>
      </c>
      <c r="G983" s="36">
        <v>2022</v>
      </c>
      <c r="H983" s="36">
        <v>2021.9880000000001</v>
      </c>
      <c r="I983" s="36">
        <v>2021.9880000000001</v>
      </c>
      <c r="J983" s="36">
        <v>2021.9880000000001</v>
      </c>
      <c r="K983" s="36">
        <v>2021.9880000000001</v>
      </c>
      <c r="L983" s="36">
        <f t="shared" si="515"/>
        <v>100</v>
      </c>
      <c r="M983" s="36">
        <f t="shared" si="516"/>
        <v>100</v>
      </c>
    </row>
    <row r="984" spans="1:13" ht="25.5">
      <c r="A984" s="60" t="s">
        <v>80</v>
      </c>
      <c r="B984" s="29" t="s">
        <v>385</v>
      </c>
      <c r="C984" s="29" t="s">
        <v>110</v>
      </c>
      <c r="D984" s="29" t="s">
        <v>46</v>
      </c>
      <c r="E984" s="29" t="s">
        <v>429</v>
      </c>
      <c r="F984" s="29" t="s">
        <v>81</v>
      </c>
      <c r="G984" s="36">
        <f>G985</f>
        <v>1200</v>
      </c>
      <c r="H984" s="36">
        <f t="shared" ref="H984:K984" si="518">H985</f>
        <v>1200</v>
      </c>
      <c r="I984" s="36">
        <f t="shared" si="518"/>
        <v>0</v>
      </c>
      <c r="J984" s="36">
        <f t="shared" si="518"/>
        <v>0</v>
      </c>
      <c r="K984" s="36">
        <f t="shared" si="518"/>
        <v>0</v>
      </c>
      <c r="L984" s="36">
        <f t="shared" si="515"/>
        <v>0</v>
      </c>
      <c r="M984" s="36">
        <v>0</v>
      </c>
    </row>
    <row r="985" spans="1:13">
      <c r="A985" s="60" t="s">
        <v>271</v>
      </c>
      <c r="B985" s="29" t="s">
        <v>385</v>
      </c>
      <c r="C985" s="29" t="s">
        <v>110</v>
      </c>
      <c r="D985" s="29" t="s">
        <v>46</v>
      </c>
      <c r="E985" s="29" t="s">
        <v>429</v>
      </c>
      <c r="F985" s="29" t="s">
        <v>272</v>
      </c>
      <c r="G985" s="36">
        <v>1200</v>
      </c>
      <c r="H985" s="36">
        <v>1200</v>
      </c>
      <c r="I985" s="36">
        <v>0</v>
      </c>
      <c r="J985" s="36">
        <v>0</v>
      </c>
      <c r="K985" s="36">
        <v>0</v>
      </c>
      <c r="L985" s="36">
        <f t="shared" si="515"/>
        <v>0</v>
      </c>
      <c r="M985" s="36">
        <v>0</v>
      </c>
    </row>
    <row r="986" spans="1:13" ht="51">
      <c r="A986" s="60" t="s">
        <v>430</v>
      </c>
      <c r="B986" s="29" t="s">
        <v>385</v>
      </c>
      <c r="C986" s="29" t="s">
        <v>110</v>
      </c>
      <c r="D986" s="29" t="s">
        <v>46</v>
      </c>
      <c r="E986" s="29" t="s">
        <v>431</v>
      </c>
      <c r="F986" s="59" t="s">
        <v>0</v>
      </c>
      <c r="G986" s="36">
        <f>G987</f>
        <v>22236.6</v>
      </c>
      <c r="H986" s="36">
        <f t="shared" ref="H986:K987" si="519">H987</f>
        <v>22236.58237</v>
      </c>
      <c r="I986" s="36">
        <f t="shared" si="519"/>
        <v>261.58237000000003</v>
      </c>
      <c r="J986" s="36">
        <f t="shared" si="519"/>
        <v>261.58237000000003</v>
      </c>
      <c r="K986" s="36">
        <f t="shared" si="519"/>
        <v>261.58237000000003</v>
      </c>
      <c r="L986" s="36">
        <f t="shared" si="515"/>
        <v>1.1763604930266089</v>
      </c>
      <c r="M986" s="36">
        <f t="shared" si="516"/>
        <v>100</v>
      </c>
    </row>
    <row r="987" spans="1:13">
      <c r="A987" s="60" t="s">
        <v>26</v>
      </c>
      <c r="B987" s="29" t="s">
        <v>385</v>
      </c>
      <c r="C987" s="29" t="s">
        <v>110</v>
      </c>
      <c r="D987" s="29" t="s">
        <v>46</v>
      </c>
      <c r="E987" s="29" t="s">
        <v>431</v>
      </c>
      <c r="F987" s="29" t="s">
        <v>27</v>
      </c>
      <c r="G987" s="36">
        <f>G988</f>
        <v>22236.6</v>
      </c>
      <c r="H987" s="36">
        <f t="shared" si="519"/>
        <v>22236.58237</v>
      </c>
      <c r="I987" s="36">
        <f t="shared" si="519"/>
        <v>261.58237000000003</v>
      </c>
      <c r="J987" s="36">
        <f t="shared" si="519"/>
        <v>261.58237000000003</v>
      </c>
      <c r="K987" s="36">
        <f t="shared" si="519"/>
        <v>261.58237000000003</v>
      </c>
      <c r="L987" s="36">
        <f t="shared" si="515"/>
        <v>1.1763604930266089</v>
      </c>
      <c r="M987" s="36">
        <f t="shared" si="516"/>
        <v>100</v>
      </c>
    </row>
    <row r="988" spans="1:13">
      <c r="A988" s="60" t="s">
        <v>56</v>
      </c>
      <c r="B988" s="29" t="s">
        <v>385</v>
      </c>
      <c r="C988" s="29" t="s">
        <v>110</v>
      </c>
      <c r="D988" s="29" t="s">
        <v>46</v>
      </c>
      <c r="E988" s="29" t="s">
        <v>431</v>
      </c>
      <c r="F988" s="29" t="s">
        <v>57</v>
      </c>
      <c r="G988" s="36">
        <v>22236.6</v>
      </c>
      <c r="H988" s="36">
        <v>22236.58237</v>
      </c>
      <c r="I988" s="36">
        <v>261.58237000000003</v>
      </c>
      <c r="J988" s="36">
        <v>261.58237000000003</v>
      </c>
      <c r="K988" s="36">
        <v>261.58237000000003</v>
      </c>
      <c r="L988" s="36">
        <f t="shared" si="515"/>
        <v>1.1763604930266089</v>
      </c>
      <c r="M988" s="36">
        <f t="shared" si="516"/>
        <v>100</v>
      </c>
    </row>
    <row r="989" spans="1:13" ht="25.5">
      <c r="A989" s="60" t="s">
        <v>403</v>
      </c>
      <c r="B989" s="29" t="s">
        <v>385</v>
      </c>
      <c r="C989" s="29" t="s">
        <v>110</v>
      </c>
      <c r="D989" s="29" t="s">
        <v>46</v>
      </c>
      <c r="E989" s="29" t="s">
        <v>404</v>
      </c>
      <c r="F989" s="59" t="s">
        <v>0</v>
      </c>
      <c r="G989" s="36">
        <f>G990+G993</f>
        <v>25351.1</v>
      </c>
      <c r="H989" s="36">
        <f t="shared" ref="H989:K989" si="520">H990+H993</f>
        <v>25351.1</v>
      </c>
      <c r="I989" s="36">
        <f t="shared" si="520"/>
        <v>3495.62</v>
      </c>
      <c r="J989" s="36">
        <f t="shared" si="520"/>
        <v>3495.62</v>
      </c>
      <c r="K989" s="36">
        <f t="shared" si="520"/>
        <v>3495.62</v>
      </c>
      <c r="L989" s="36">
        <f t="shared" si="515"/>
        <v>13.788829676029838</v>
      </c>
      <c r="M989" s="36">
        <f t="shared" si="516"/>
        <v>100</v>
      </c>
    </row>
    <row r="990" spans="1:13" ht="76.5">
      <c r="A990" s="60" t="s">
        <v>367</v>
      </c>
      <c r="B990" s="29" t="s">
        <v>385</v>
      </c>
      <c r="C990" s="29" t="s">
        <v>110</v>
      </c>
      <c r="D990" s="29" t="s">
        <v>46</v>
      </c>
      <c r="E990" s="29" t="s">
        <v>432</v>
      </c>
      <c r="F990" s="59" t="s">
        <v>0</v>
      </c>
      <c r="G990" s="36">
        <f>G991</f>
        <v>19357.099999999999</v>
      </c>
      <c r="H990" s="36">
        <f t="shared" ref="H990:K991" si="521">H991</f>
        <v>19357.099999999999</v>
      </c>
      <c r="I990" s="36">
        <f t="shared" si="521"/>
        <v>0</v>
      </c>
      <c r="J990" s="36">
        <f t="shared" si="521"/>
        <v>0</v>
      </c>
      <c r="K990" s="36">
        <f t="shared" si="521"/>
        <v>0</v>
      </c>
      <c r="L990" s="36">
        <f t="shared" si="515"/>
        <v>0</v>
      </c>
      <c r="M990" s="36">
        <v>0</v>
      </c>
    </row>
    <row r="991" spans="1:13">
      <c r="A991" s="60" t="s">
        <v>72</v>
      </c>
      <c r="B991" s="29" t="s">
        <v>385</v>
      </c>
      <c r="C991" s="29" t="s">
        <v>110</v>
      </c>
      <c r="D991" s="29" t="s">
        <v>46</v>
      </c>
      <c r="E991" s="29" t="s">
        <v>432</v>
      </c>
      <c r="F991" s="29" t="s">
        <v>73</v>
      </c>
      <c r="G991" s="36">
        <f>G992</f>
        <v>19357.099999999999</v>
      </c>
      <c r="H991" s="36">
        <f t="shared" si="521"/>
        <v>19357.099999999999</v>
      </c>
      <c r="I991" s="36">
        <f t="shared" si="521"/>
        <v>0</v>
      </c>
      <c r="J991" s="36">
        <f t="shared" si="521"/>
        <v>0</v>
      </c>
      <c r="K991" s="36">
        <f t="shared" si="521"/>
        <v>0</v>
      </c>
      <c r="L991" s="36">
        <f t="shared" si="515"/>
        <v>0</v>
      </c>
      <c r="M991" s="36">
        <v>0</v>
      </c>
    </row>
    <row r="992" spans="1:13">
      <c r="A992" s="60" t="s">
        <v>369</v>
      </c>
      <c r="B992" s="29" t="s">
        <v>385</v>
      </c>
      <c r="C992" s="29" t="s">
        <v>110</v>
      </c>
      <c r="D992" s="29" t="s">
        <v>46</v>
      </c>
      <c r="E992" s="29" t="s">
        <v>432</v>
      </c>
      <c r="F992" s="29" t="s">
        <v>370</v>
      </c>
      <c r="G992" s="36">
        <v>19357.099999999999</v>
      </c>
      <c r="H992" s="36">
        <v>19357.099999999999</v>
      </c>
      <c r="I992" s="36">
        <v>0</v>
      </c>
      <c r="J992" s="36">
        <v>0</v>
      </c>
      <c r="K992" s="36">
        <v>0</v>
      </c>
      <c r="L992" s="36">
        <f t="shared" si="515"/>
        <v>0</v>
      </c>
      <c r="M992" s="36">
        <v>0</v>
      </c>
    </row>
    <row r="993" spans="1:13">
      <c r="A993" s="60" t="s">
        <v>424</v>
      </c>
      <c r="B993" s="29" t="s">
        <v>385</v>
      </c>
      <c r="C993" s="29" t="s">
        <v>110</v>
      </c>
      <c r="D993" s="29" t="s">
        <v>46</v>
      </c>
      <c r="E993" s="29" t="s">
        <v>433</v>
      </c>
      <c r="F993" s="59" t="s">
        <v>0</v>
      </c>
      <c r="G993" s="36">
        <f>G994</f>
        <v>5994</v>
      </c>
      <c r="H993" s="36">
        <f t="shared" ref="H993:K993" si="522">H994</f>
        <v>5994</v>
      </c>
      <c r="I993" s="36">
        <f t="shared" si="522"/>
        <v>3495.62</v>
      </c>
      <c r="J993" s="36">
        <f t="shared" si="522"/>
        <v>3495.62</v>
      </c>
      <c r="K993" s="36">
        <f t="shared" si="522"/>
        <v>3495.62</v>
      </c>
      <c r="L993" s="36">
        <f t="shared" si="515"/>
        <v>58.318651985318645</v>
      </c>
      <c r="M993" s="36">
        <f t="shared" si="516"/>
        <v>100</v>
      </c>
    </row>
    <row r="994" spans="1:13" ht="25.5">
      <c r="A994" s="60" t="s">
        <v>80</v>
      </c>
      <c r="B994" s="29" t="s">
        <v>385</v>
      </c>
      <c r="C994" s="29" t="s">
        <v>110</v>
      </c>
      <c r="D994" s="29" t="s">
        <v>46</v>
      </c>
      <c r="E994" s="29" t="s">
        <v>433</v>
      </c>
      <c r="F994" s="29" t="s">
        <v>81</v>
      </c>
      <c r="G994" s="36">
        <f>G995+G996</f>
        <v>5994</v>
      </c>
      <c r="H994" s="36">
        <f t="shared" ref="H994:K994" si="523">H995+H996</f>
        <v>5994</v>
      </c>
      <c r="I994" s="36">
        <f t="shared" si="523"/>
        <v>3495.62</v>
      </c>
      <c r="J994" s="36">
        <f t="shared" si="523"/>
        <v>3495.62</v>
      </c>
      <c r="K994" s="36">
        <f t="shared" si="523"/>
        <v>3495.62</v>
      </c>
      <c r="L994" s="36">
        <f t="shared" si="515"/>
        <v>58.318651985318645</v>
      </c>
      <c r="M994" s="36">
        <f t="shared" si="516"/>
        <v>100</v>
      </c>
    </row>
    <row r="995" spans="1:13">
      <c r="A995" s="60" t="s">
        <v>271</v>
      </c>
      <c r="B995" s="29" t="s">
        <v>385</v>
      </c>
      <c r="C995" s="29" t="s">
        <v>110</v>
      </c>
      <c r="D995" s="29" t="s">
        <v>46</v>
      </c>
      <c r="E995" s="29" t="s">
        <v>433</v>
      </c>
      <c r="F995" s="29" t="s">
        <v>272</v>
      </c>
      <c r="G995" s="36">
        <v>2494</v>
      </c>
      <c r="H995" s="36">
        <v>3094</v>
      </c>
      <c r="I995" s="36">
        <v>2072.5100000000002</v>
      </c>
      <c r="J995" s="36">
        <v>2072.5100000000002</v>
      </c>
      <c r="K995" s="36">
        <v>2072.5100000000002</v>
      </c>
      <c r="L995" s="36">
        <f t="shared" si="515"/>
        <v>66.984809308338725</v>
      </c>
      <c r="M995" s="36">
        <f t="shared" si="516"/>
        <v>100</v>
      </c>
    </row>
    <row r="996" spans="1:13">
      <c r="A996" s="60" t="s">
        <v>82</v>
      </c>
      <c r="B996" s="29" t="s">
        <v>385</v>
      </c>
      <c r="C996" s="29" t="s">
        <v>110</v>
      </c>
      <c r="D996" s="29" t="s">
        <v>46</v>
      </c>
      <c r="E996" s="29" t="s">
        <v>433</v>
      </c>
      <c r="F996" s="29" t="s">
        <v>83</v>
      </c>
      <c r="G996" s="36">
        <v>3500</v>
      </c>
      <c r="H996" s="36">
        <v>2900</v>
      </c>
      <c r="I996" s="36">
        <v>1423.11</v>
      </c>
      <c r="J996" s="36">
        <v>1423.11</v>
      </c>
      <c r="K996" s="36">
        <v>1423.11</v>
      </c>
      <c r="L996" s="36">
        <f t="shared" si="515"/>
        <v>49.072758620689648</v>
      </c>
      <c r="M996" s="36">
        <f t="shared" si="516"/>
        <v>100</v>
      </c>
    </row>
    <row r="997" spans="1:13" ht="25.5">
      <c r="A997" s="60" t="s">
        <v>412</v>
      </c>
      <c r="B997" s="29" t="s">
        <v>385</v>
      </c>
      <c r="C997" s="29" t="s">
        <v>110</v>
      </c>
      <c r="D997" s="29" t="s">
        <v>46</v>
      </c>
      <c r="E997" s="29" t="s">
        <v>413</v>
      </c>
      <c r="F997" s="59" t="s">
        <v>0</v>
      </c>
      <c r="G997" s="36">
        <f>G998+G1003+G1013+G1021</f>
        <v>491921.8</v>
      </c>
      <c r="H997" s="36">
        <f>H998+H1003+H1013+H1021+H1024</f>
        <v>491921.84535999998</v>
      </c>
      <c r="I997" s="36">
        <f t="shared" ref="I997:K997" si="524">I998+I1003+I1013+I1021+I1024</f>
        <v>278330.26299999998</v>
      </c>
      <c r="J997" s="36">
        <f t="shared" si="524"/>
        <v>278330.26299999998</v>
      </c>
      <c r="K997" s="36">
        <f t="shared" si="524"/>
        <v>272566.96831999999</v>
      </c>
      <c r="L997" s="36">
        <f t="shared" si="515"/>
        <v>55.408592013336808</v>
      </c>
      <c r="M997" s="36">
        <f t="shared" si="516"/>
        <v>97.929332362970527</v>
      </c>
    </row>
    <row r="998" spans="1:13" ht="76.5">
      <c r="A998" s="60" t="s">
        <v>434</v>
      </c>
      <c r="B998" s="29" t="s">
        <v>385</v>
      </c>
      <c r="C998" s="29" t="s">
        <v>110</v>
      </c>
      <c r="D998" s="29" t="s">
        <v>46</v>
      </c>
      <c r="E998" s="29" t="s">
        <v>435</v>
      </c>
      <c r="F998" s="59" t="s">
        <v>0</v>
      </c>
      <c r="G998" s="36">
        <f>G999+G1001</f>
        <v>8213.1</v>
      </c>
      <c r="H998" s="36">
        <f t="shared" ref="H998:K998" si="525">H999+H1001</f>
        <v>8213.1</v>
      </c>
      <c r="I998" s="36">
        <f t="shared" si="525"/>
        <v>3477.163</v>
      </c>
      <c r="J998" s="36">
        <f t="shared" si="525"/>
        <v>3477.163</v>
      </c>
      <c r="K998" s="36">
        <f t="shared" si="525"/>
        <v>2703.30681</v>
      </c>
      <c r="L998" s="36">
        <f t="shared" si="515"/>
        <v>32.914573181867993</v>
      </c>
      <c r="M998" s="36">
        <f t="shared" si="516"/>
        <v>77.744609901807877</v>
      </c>
    </row>
    <row r="999" spans="1:13" ht="63.75">
      <c r="A999" s="60" t="s">
        <v>60</v>
      </c>
      <c r="B999" s="29" t="s">
        <v>385</v>
      </c>
      <c r="C999" s="29" t="s">
        <v>110</v>
      </c>
      <c r="D999" s="29" t="s">
        <v>46</v>
      </c>
      <c r="E999" s="29" t="s">
        <v>435</v>
      </c>
      <c r="F999" s="29" t="s">
        <v>61</v>
      </c>
      <c r="G999" s="36">
        <f>G1000</f>
        <v>7150.4</v>
      </c>
      <c r="H999" s="36">
        <f t="shared" ref="H999:K999" si="526">H1000</f>
        <v>7150.4</v>
      </c>
      <c r="I999" s="36">
        <f t="shared" si="526"/>
        <v>2715.0630000000001</v>
      </c>
      <c r="J999" s="36">
        <f t="shared" si="526"/>
        <v>2715.0630000000001</v>
      </c>
      <c r="K999" s="36">
        <f t="shared" si="526"/>
        <v>2429.48101</v>
      </c>
      <c r="L999" s="36">
        <f t="shared" si="515"/>
        <v>33.976854581561874</v>
      </c>
      <c r="M999" s="36">
        <f t="shared" si="516"/>
        <v>89.48157040923175</v>
      </c>
    </row>
    <row r="1000" spans="1:13" ht="25.5">
      <c r="A1000" s="60" t="s">
        <v>62</v>
      </c>
      <c r="B1000" s="29" t="s">
        <v>385</v>
      </c>
      <c r="C1000" s="29" t="s">
        <v>110</v>
      </c>
      <c r="D1000" s="29" t="s">
        <v>46</v>
      </c>
      <c r="E1000" s="29" t="s">
        <v>435</v>
      </c>
      <c r="F1000" s="29" t="s">
        <v>63</v>
      </c>
      <c r="G1000" s="36">
        <v>7150.4</v>
      </c>
      <c r="H1000" s="36">
        <v>7150.4</v>
      </c>
      <c r="I1000" s="36">
        <f>2017+129.183+568.88</f>
        <v>2715.0630000000001</v>
      </c>
      <c r="J1000" s="36">
        <f>2017+129.183+568.88</f>
        <v>2715.0630000000001</v>
      </c>
      <c r="K1000" s="36">
        <f>1815.056+111.98739+502.43762</f>
        <v>2429.48101</v>
      </c>
      <c r="L1000" s="36">
        <f t="shared" si="515"/>
        <v>33.976854581561874</v>
      </c>
      <c r="M1000" s="36">
        <f t="shared" si="516"/>
        <v>89.48157040923175</v>
      </c>
    </row>
    <row r="1001" spans="1:13" ht="25.5">
      <c r="A1001" s="60" t="s">
        <v>64</v>
      </c>
      <c r="B1001" s="29" t="s">
        <v>385</v>
      </c>
      <c r="C1001" s="29" t="s">
        <v>110</v>
      </c>
      <c r="D1001" s="29" t="s">
        <v>46</v>
      </c>
      <c r="E1001" s="29" t="s">
        <v>435</v>
      </c>
      <c r="F1001" s="29" t="s">
        <v>65</v>
      </c>
      <c r="G1001" s="36">
        <f>G1002</f>
        <v>1062.7</v>
      </c>
      <c r="H1001" s="36">
        <f t="shared" ref="H1001:K1001" si="527">H1002</f>
        <v>1062.7</v>
      </c>
      <c r="I1001" s="36">
        <f t="shared" si="527"/>
        <v>762.1</v>
      </c>
      <c r="J1001" s="36">
        <f t="shared" si="527"/>
        <v>762.1</v>
      </c>
      <c r="K1001" s="36">
        <f t="shared" si="527"/>
        <v>273.82580000000002</v>
      </c>
      <c r="L1001" s="36">
        <f t="shared" si="515"/>
        <v>25.766989743107182</v>
      </c>
      <c r="M1001" s="36">
        <f t="shared" si="516"/>
        <v>35.930429077548879</v>
      </c>
    </row>
    <row r="1002" spans="1:13" ht="25.5">
      <c r="A1002" s="60" t="s">
        <v>66</v>
      </c>
      <c r="B1002" s="29" t="s">
        <v>385</v>
      </c>
      <c r="C1002" s="29" t="s">
        <v>110</v>
      </c>
      <c r="D1002" s="29" t="s">
        <v>46</v>
      </c>
      <c r="E1002" s="29" t="s">
        <v>435</v>
      </c>
      <c r="F1002" s="29" t="s">
        <v>67</v>
      </c>
      <c r="G1002" s="36">
        <v>1062.7</v>
      </c>
      <c r="H1002" s="36">
        <v>1062.7</v>
      </c>
      <c r="I1002" s="36">
        <v>762.1</v>
      </c>
      <c r="J1002" s="36">
        <v>762.1</v>
      </c>
      <c r="K1002" s="36">
        <v>273.82580000000002</v>
      </c>
      <c r="L1002" s="36">
        <f t="shared" si="515"/>
        <v>25.766989743107182</v>
      </c>
      <c r="M1002" s="36">
        <f t="shared" si="516"/>
        <v>35.930429077548879</v>
      </c>
    </row>
    <row r="1003" spans="1:13" ht="25.5">
      <c r="A1003" s="60" t="s">
        <v>58</v>
      </c>
      <c r="B1003" s="29" t="s">
        <v>385</v>
      </c>
      <c r="C1003" s="29" t="s">
        <v>110</v>
      </c>
      <c r="D1003" s="29" t="s">
        <v>46</v>
      </c>
      <c r="E1003" s="29" t="s">
        <v>436</v>
      </c>
      <c r="F1003" s="59" t="s">
        <v>0</v>
      </c>
      <c r="G1003" s="36">
        <f>G1004+G1006+G1008+G1010</f>
        <v>56320.9</v>
      </c>
      <c r="H1003" s="36">
        <f t="shared" ref="H1003:K1003" si="528">H1004+H1006+H1008+H1010</f>
        <v>56320.9</v>
      </c>
      <c r="I1003" s="36">
        <f t="shared" si="528"/>
        <v>27754</v>
      </c>
      <c r="J1003" s="36">
        <f t="shared" si="528"/>
        <v>27754</v>
      </c>
      <c r="K1003" s="36">
        <f t="shared" si="528"/>
        <v>23134.325509999999</v>
      </c>
      <c r="L1003" s="36">
        <f t="shared" si="515"/>
        <v>41.07591588557711</v>
      </c>
      <c r="M1003" s="36">
        <f t="shared" si="516"/>
        <v>83.354923650644949</v>
      </c>
    </row>
    <row r="1004" spans="1:13" ht="63.75">
      <c r="A1004" s="60" t="s">
        <v>60</v>
      </c>
      <c r="B1004" s="29" t="s">
        <v>385</v>
      </c>
      <c r="C1004" s="29" t="s">
        <v>110</v>
      </c>
      <c r="D1004" s="29" t="s">
        <v>46</v>
      </c>
      <c r="E1004" s="29" t="s">
        <v>436</v>
      </c>
      <c r="F1004" s="29" t="s">
        <v>61</v>
      </c>
      <c r="G1004" s="36">
        <f>G1005</f>
        <v>54214.9</v>
      </c>
      <c r="H1004" s="36">
        <f t="shared" ref="H1004:K1004" si="529">H1005</f>
        <v>54214.6</v>
      </c>
      <c r="I1004" s="36">
        <f t="shared" si="529"/>
        <v>26637.7</v>
      </c>
      <c r="J1004" s="36">
        <f t="shared" si="529"/>
        <v>26637.7</v>
      </c>
      <c r="K1004" s="36">
        <f t="shared" si="529"/>
        <v>22245.18116</v>
      </c>
      <c r="L1004" s="36">
        <f t="shared" si="515"/>
        <v>41.031716843802222</v>
      </c>
      <c r="M1004" s="36">
        <f t="shared" si="516"/>
        <v>83.510142242010375</v>
      </c>
    </row>
    <row r="1005" spans="1:13" ht="25.5">
      <c r="A1005" s="60" t="s">
        <v>62</v>
      </c>
      <c r="B1005" s="29" t="s">
        <v>385</v>
      </c>
      <c r="C1005" s="29" t="s">
        <v>110</v>
      </c>
      <c r="D1005" s="29" t="s">
        <v>46</v>
      </c>
      <c r="E1005" s="29" t="s">
        <v>436</v>
      </c>
      <c r="F1005" s="29" t="s">
        <v>63</v>
      </c>
      <c r="G1005" s="36">
        <v>54214.9</v>
      </c>
      <c r="H1005" s="36">
        <v>54214.6</v>
      </c>
      <c r="I1005" s="36">
        <f>19699.7+1351+5587</f>
        <v>26637.7</v>
      </c>
      <c r="J1005" s="36">
        <f>19699.7+1351+5587</f>
        <v>26637.7</v>
      </c>
      <c r="K1005" s="36">
        <f>16273.31066+1349.11384+4622.75666</f>
        <v>22245.18116</v>
      </c>
      <c r="L1005" s="36">
        <f t="shared" si="515"/>
        <v>41.031716843802222</v>
      </c>
      <c r="M1005" s="36">
        <f t="shared" si="516"/>
        <v>83.510142242010375</v>
      </c>
    </row>
    <row r="1006" spans="1:13" ht="25.5">
      <c r="A1006" s="60" t="s">
        <v>64</v>
      </c>
      <c r="B1006" s="29" t="s">
        <v>385</v>
      </c>
      <c r="C1006" s="29" t="s">
        <v>110</v>
      </c>
      <c r="D1006" s="29" t="s">
        <v>46</v>
      </c>
      <c r="E1006" s="29" t="s">
        <v>436</v>
      </c>
      <c r="F1006" s="29" t="s">
        <v>65</v>
      </c>
      <c r="G1006" s="36">
        <f>G1007</f>
        <v>2045</v>
      </c>
      <c r="H1006" s="36">
        <f t="shared" ref="H1006:K1006" si="530">H1007</f>
        <v>2045</v>
      </c>
      <c r="I1006" s="36">
        <f t="shared" si="530"/>
        <v>1115.5</v>
      </c>
      <c r="J1006" s="36">
        <f t="shared" si="530"/>
        <v>1115.5</v>
      </c>
      <c r="K1006" s="36">
        <f t="shared" si="530"/>
        <v>888.46635000000003</v>
      </c>
      <c r="L1006" s="36">
        <f t="shared" si="515"/>
        <v>43.44578728606357</v>
      </c>
      <c r="M1006" s="36">
        <f t="shared" si="516"/>
        <v>79.64736441057822</v>
      </c>
    </row>
    <row r="1007" spans="1:13" ht="25.5">
      <c r="A1007" s="60" t="s">
        <v>66</v>
      </c>
      <c r="B1007" s="29" t="s">
        <v>385</v>
      </c>
      <c r="C1007" s="29" t="s">
        <v>110</v>
      </c>
      <c r="D1007" s="29" t="s">
        <v>46</v>
      </c>
      <c r="E1007" s="29" t="s">
        <v>436</v>
      </c>
      <c r="F1007" s="29" t="s">
        <v>67</v>
      </c>
      <c r="G1007" s="36">
        <v>2045</v>
      </c>
      <c r="H1007" s="36">
        <v>2045</v>
      </c>
      <c r="I1007" s="36">
        <v>1115.5</v>
      </c>
      <c r="J1007" s="36">
        <v>1115.5</v>
      </c>
      <c r="K1007" s="36">
        <v>888.46635000000003</v>
      </c>
      <c r="L1007" s="36">
        <f t="shared" si="515"/>
        <v>43.44578728606357</v>
      </c>
      <c r="M1007" s="36">
        <f t="shared" si="516"/>
        <v>79.64736441057822</v>
      </c>
    </row>
    <row r="1008" spans="1:13">
      <c r="A1008" s="60" t="s">
        <v>68</v>
      </c>
      <c r="B1008" s="29" t="s">
        <v>385</v>
      </c>
      <c r="C1008" s="29" t="s">
        <v>110</v>
      </c>
      <c r="D1008" s="29" t="s">
        <v>46</v>
      </c>
      <c r="E1008" s="29" t="s">
        <v>436</v>
      </c>
      <c r="F1008" s="29" t="s">
        <v>69</v>
      </c>
      <c r="G1008" s="36">
        <f>G1009</f>
        <v>60</v>
      </c>
      <c r="H1008" s="36">
        <f t="shared" ref="H1008:K1008" si="531">H1009</f>
        <v>60</v>
      </c>
      <c r="I1008" s="36">
        <f t="shared" si="531"/>
        <v>0</v>
      </c>
      <c r="J1008" s="36">
        <f t="shared" si="531"/>
        <v>0</v>
      </c>
      <c r="K1008" s="36">
        <f t="shared" si="531"/>
        <v>0</v>
      </c>
      <c r="L1008" s="36">
        <f t="shared" si="515"/>
        <v>0</v>
      </c>
      <c r="M1008" s="36">
        <v>0</v>
      </c>
    </row>
    <row r="1009" spans="1:13">
      <c r="A1009" s="60" t="s">
        <v>70</v>
      </c>
      <c r="B1009" s="29" t="s">
        <v>385</v>
      </c>
      <c r="C1009" s="29" t="s">
        <v>110</v>
      </c>
      <c r="D1009" s="29" t="s">
        <v>46</v>
      </c>
      <c r="E1009" s="29" t="s">
        <v>436</v>
      </c>
      <c r="F1009" s="29" t="s">
        <v>71</v>
      </c>
      <c r="G1009" s="36">
        <v>60</v>
      </c>
      <c r="H1009" s="36">
        <v>60</v>
      </c>
      <c r="I1009" s="36">
        <v>0</v>
      </c>
      <c r="J1009" s="36">
        <v>0</v>
      </c>
      <c r="K1009" s="36">
        <v>0</v>
      </c>
      <c r="L1009" s="36">
        <f t="shared" si="515"/>
        <v>0</v>
      </c>
      <c r="M1009" s="36">
        <v>0</v>
      </c>
    </row>
    <row r="1010" spans="1:13">
      <c r="A1010" s="60" t="s">
        <v>72</v>
      </c>
      <c r="B1010" s="29" t="s">
        <v>385</v>
      </c>
      <c r="C1010" s="29" t="s">
        <v>110</v>
      </c>
      <c r="D1010" s="29" t="s">
        <v>46</v>
      </c>
      <c r="E1010" s="29" t="s">
        <v>436</v>
      </c>
      <c r="F1010" s="29" t="s">
        <v>73</v>
      </c>
      <c r="G1010" s="36">
        <f>G1012</f>
        <v>1</v>
      </c>
      <c r="H1010" s="36">
        <f>H1012+H1011</f>
        <v>1.3</v>
      </c>
      <c r="I1010" s="36">
        <f>I1012+I1011</f>
        <v>0.8</v>
      </c>
      <c r="J1010" s="36">
        <f t="shared" ref="J1010:K1010" si="532">J1012+J1011</f>
        <v>0.8</v>
      </c>
      <c r="K1010" s="36">
        <f t="shared" si="532"/>
        <v>0.67799999999999994</v>
      </c>
      <c r="L1010" s="36">
        <f t="shared" si="515"/>
        <v>52.153846153846153</v>
      </c>
      <c r="M1010" s="36">
        <f t="shared" si="516"/>
        <v>84.749999999999986</v>
      </c>
    </row>
    <row r="1011" spans="1:13">
      <c r="A1011" s="60" t="s">
        <v>84</v>
      </c>
      <c r="B1011" s="29" t="s">
        <v>385</v>
      </c>
      <c r="C1011" s="29" t="s">
        <v>110</v>
      </c>
      <c r="D1011" s="29" t="s">
        <v>46</v>
      </c>
      <c r="E1011" s="29" t="s">
        <v>436</v>
      </c>
      <c r="F1011" s="29">
        <v>830</v>
      </c>
      <c r="G1011" s="36"/>
      <c r="H1011" s="36">
        <v>0.3</v>
      </c>
      <c r="I1011" s="36">
        <v>0.3</v>
      </c>
      <c r="J1011" s="36">
        <v>0.3</v>
      </c>
      <c r="K1011" s="36">
        <v>0.3</v>
      </c>
      <c r="L1011" s="36">
        <f t="shared" ref="L1011" si="533">K1011/H1011*100</f>
        <v>100</v>
      </c>
      <c r="M1011" s="36">
        <f t="shared" ref="M1011" si="534">K1011/I1011*100</f>
        <v>100</v>
      </c>
    </row>
    <row r="1012" spans="1:13">
      <c r="A1012" s="60" t="s">
        <v>74</v>
      </c>
      <c r="B1012" s="29" t="s">
        <v>385</v>
      </c>
      <c r="C1012" s="29" t="s">
        <v>110</v>
      </c>
      <c r="D1012" s="29" t="s">
        <v>46</v>
      </c>
      <c r="E1012" s="29" t="s">
        <v>436</v>
      </c>
      <c r="F1012" s="29" t="s">
        <v>75</v>
      </c>
      <c r="G1012" s="36">
        <v>1</v>
      </c>
      <c r="H1012" s="36">
        <v>1</v>
      </c>
      <c r="I1012" s="36">
        <v>0.5</v>
      </c>
      <c r="J1012" s="36">
        <v>0.5</v>
      </c>
      <c r="K1012" s="36">
        <v>0.378</v>
      </c>
      <c r="L1012" s="36">
        <f t="shared" si="515"/>
        <v>37.799999999999997</v>
      </c>
      <c r="M1012" s="36">
        <f t="shared" si="516"/>
        <v>75.599999999999994</v>
      </c>
    </row>
    <row r="1013" spans="1:13">
      <c r="A1013" s="60" t="s">
        <v>424</v>
      </c>
      <c r="B1013" s="29" t="s">
        <v>385</v>
      </c>
      <c r="C1013" s="29" t="s">
        <v>110</v>
      </c>
      <c r="D1013" s="29" t="s">
        <v>46</v>
      </c>
      <c r="E1013" s="29" t="s">
        <v>437</v>
      </c>
      <c r="F1013" s="59" t="s">
        <v>0</v>
      </c>
      <c r="G1013" s="36">
        <f>G1014+G1016+G1019</f>
        <v>15314</v>
      </c>
      <c r="H1013" s="36">
        <f t="shared" ref="H1013:K1013" si="535">H1014+H1016+H1019</f>
        <v>13514</v>
      </c>
      <c r="I1013" s="36">
        <f t="shared" si="535"/>
        <v>3454.3</v>
      </c>
      <c r="J1013" s="36">
        <f t="shared" si="535"/>
        <v>3454.3</v>
      </c>
      <c r="K1013" s="36">
        <f t="shared" si="535"/>
        <v>3084.5360000000001</v>
      </c>
      <c r="L1013" s="36">
        <f t="shared" si="515"/>
        <v>22.824744709190469</v>
      </c>
      <c r="M1013" s="36">
        <f t="shared" si="516"/>
        <v>89.295544683438038</v>
      </c>
    </row>
    <row r="1014" spans="1:13" ht="25.5">
      <c r="A1014" s="60" t="s">
        <v>64</v>
      </c>
      <c r="B1014" s="29" t="s">
        <v>385</v>
      </c>
      <c r="C1014" s="29" t="s">
        <v>110</v>
      </c>
      <c r="D1014" s="29" t="s">
        <v>46</v>
      </c>
      <c r="E1014" s="29" t="s">
        <v>437</v>
      </c>
      <c r="F1014" s="29" t="s">
        <v>65</v>
      </c>
      <c r="G1014" s="36">
        <f>G1015</f>
        <v>2364</v>
      </c>
      <c r="H1014" s="36">
        <f t="shared" ref="H1014:K1014" si="536">H1015</f>
        <v>2364</v>
      </c>
      <c r="I1014" s="36">
        <f t="shared" si="536"/>
        <v>2274</v>
      </c>
      <c r="J1014" s="36">
        <f t="shared" si="536"/>
        <v>2274</v>
      </c>
      <c r="K1014" s="36">
        <f t="shared" si="536"/>
        <v>1904.2360000000001</v>
      </c>
      <c r="L1014" s="36">
        <f t="shared" si="515"/>
        <v>80.551438240270727</v>
      </c>
      <c r="M1014" s="36">
        <f t="shared" si="516"/>
        <v>83.739489885664028</v>
      </c>
    </row>
    <row r="1015" spans="1:13" ht="25.5">
      <c r="A1015" s="60" t="s">
        <v>66</v>
      </c>
      <c r="B1015" s="29" t="s">
        <v>385</v>
      </c>
      <c r="C1015" s="29" t="s">
        <v>110</v>
      </c>
      <c r="D1015" s="29" t="s">
        <v>46</v>
      </c>
      <c r="E1015" s="29" t="s">
        <v>437</v>
      </c>
      <c r="F1015" s="29" t="s">
        <v>67</v>
      </c>
      <c r="G1015" s="36">
        <v>2364</v>
      </c>
      <c r="H1015" s="36">
        <v>2364</v>
      </c>
      <c r="I1015" s="36">
        <v>2274</v>
      </c>
      <c r="J1015" s="36">
        <v>2274</v>
      </c>
      <c r="K1015" s="36">
        <v>1904.2360000000001</v>
      </c>
      <c r="L1015" s="36">
        <f t="shared" si="515"/>
        <v>80.551438240270727</v>
      </c>
      <c r="M1015" s="36">
        <f t="shared" si="516"/>
        <v>83.739489885664028</v>
      </c>
    </row>
    <row r="1016" spans="1:13">
      <c r="A1016" s="60" t="s">
        <v>68</v>
      </c>
      <c r="B1016" s="29" t="s">
        <v>385</v>
      </c>
      <c r="C1016" s="29" t="s">
        <v>110</v>
      </c>
      <c r="D1016" s="29" t="s">
        <v>46</v>
      </c>
      <c r="E1016" s="29" t="s">
        <v>437</v>
      </c>
      <c r="F1016" s="29" t="s">
        <v>69</v>
      </c>
      <c r="G1016" s="36">
        <f>G1017+G1018</f>
        <v>11250</v>
      </c>
      <c r="H1016" s="36">
        <f t="shared" ref="H1016:K1016" si="537">H1017+H1018</f>
        <v>9450</v>
      </c>
      <c r="I1016" s="36">
        <f t="shared" si="537"/>
        <v>0</v>
      </c>
      <c r="J1016" s="36">
        <f t="shared" si="537"/>
        <v>0</v>
      </c>
      <c r="K1016" s="36">
        <f t="shared" si="537"/>
        <v>0</v>
      </c>
      <c r="L1016" s="36">
        <f t="shared" si="515"/>
        <v>0</v>
      </c>
      <c r="M1016" s="36">
        <v>0</v>
      </c>
    </row>
    <row r="1017" spans="1:13">
      <c r="A1017" s="60" t="s">
        <v>373</v>
      </c>
      <c r="B1017" s="29" t="s">
        <v>385</v>
      </c>
      <c r="C1017" s="29" t="s">
        <v>110</v>
      </c>
      <c r="D1017" s="29" t="s">
        <v>46</v>
      </c>
      <c r="E1017" s="29" t="s">
        <v>437</v>
      </c>
      <c r="F1017" s="29" t="s">
        <v>374</v>
      </c>
      <c r="G1017" s="36">
        <v>2250</v>
      </c>
      <c r="H1017" s="36">
        <v>450</v>
      </c>
      <c r="I1017" s="36">
        <v>0</v>
      </c>
      <c r="J1017" s="36">
        <v>0</v>
      </c>
      <c r="K1017" s="36">
        <v>0</v>
      </c>
      <c r="L1017" s="36">
        <f t="shared" si="515"/>
        <v>0</v>
      </c>
      <c r="M1017" s="36">
        <v>0</v>
      </c>
    </row>
    <row r="1018" spans="1:13">
      <c r="A1018" s="60" t="s">
        <v>70</v>
      </c>
      <c r="B1018" s="29" t="s">
        <v>385</v>
      </c>
      <c r="C1018" s="29" t="s">
        <v>110</v>
      </c>
      <c r="D1018" s="29" t="s">
        <v>46</v>
      </c>
      <c r="E1018" s="29" t="s">
        <v>437</v>
      </c>
      <c r="F1018" s="29" t="s">
        <v>71</v>
      </c>
      <c r="G1018" s="36">
        <v>9000</v>
      </c>
      <c r="H1018" s="36">
        <v>9000</v>
      </c>
      <c r="I1018" s="36">
        <v>0</v>
      </c>
      <c r="J1018" s="36">
        <v>0</v>
      </c>
      <c r="K1018" s="36">
        <v>0</v>
      </c>
      <c r="L1018" s="36">
        <f t="shared" si="515"/>
        <v>0</v>
      </c>
      <c r="M1018" s="36">
        <v>0</v>
      </c>
    </row>
    <row r="1019" spans="1:13" ht="25.5">
      <c r="A1019" s="60" t="s">
        <v>80</v>
      </c>
      <c r="B1019" s="29" t="s">
        <v>385</v>
      </c>
      <c r="C1019" s="29" t="s">
        <v>110</v>
      </c>
      <c r="D1019" s="29" t="s">
        <v>46</v>
      </c>
      <c r="E1019" s="29" t="s">
        <v>437</v>
      </c>
      <c r="F1019" s="29" t="s">
        <v>81</v>
      </c>
      <c r="G1019" s="36">
        <f>G1020</f>
        <v>1700</v>
      </c>
      <c r="H1019" s="36">
        <f t="shared" ref="H1019:K1019" si="538">H1020</f>
        <v>1700</v>
      </c>
      <c r="I1019" s="36">
        <f t="shared" si="538"/>
        <v>1180.3</v>
      </c>
      <c r="J1019" s="36">
        <f t="shared" si="538"/>
        <v>1180.3</v>
      </c>
      <c r="K1019" s="36">
        <f t="shared" si="538"/>
        <v>1180.3</v>
      </c>
      <c r="L1019" s="36">
        <f t="shared" si="515"/>
        <v>69.42941176470589</v>
      </c>
      <c r="M1019" s="36">
        <f t="shared" si="516"/>
        <v>100</v>
      </c>
    </row>
    <row r="1020" spans="1:13">
      <c r="A1020" s="60" t="s">
        <v>82</v>
      </c>
      <c r="B1020" s="29" t="s">
        <v>385</v>
      </c>
      <c r="C1020" s="29" t="s">
        <v>110</v>
      </c>
      <c r="D1020" s="29" t="s">
        <v>46</v>
      </c>
      <c r="E1020" s="29" t="s">
        <v>437</v>
      </c>
      <c r="F1020" s="29" t="s">
        <v>83</v>
      </c>
      <c r="G1020" s="36">
        <v>1700</v>
      </c>
      <c r="H1020" s="36">
        <v>1700</v>
      </c>
      <c r="I1020" s="36">
        <v>1180.3</v>
      </c>
      <c r="J1020" s="36">
        <v>1180.3</v>
      </c>
      <c r="K1020" s="36">
        <v>1180.3</v>
      </c>
      <c r="L1020" s="36">
        <f t="shared" si="515"/>
        <v>69.42941176470589</v>
      </c>
      <c r="M1020" s="36">
        <f t="shared" si="516"/>
        <v>100</v>
      </c>
    </row>
    <row r="1021" spans="1:13" ht="76.5">
      <c r="A1021" s="60" t="s">
        <v>438</v>
      </c>
      <c r="B1021" s="29" t="s">
        <v>385</v>
      </c>
      <c r="C1021" s="29" t="s">
        <v>110</v>
      </c>
      <c r="D1021" s="29" t="s">
        <v>46</v>
      </c>
      <c r="E1021" s="29" t="s">
        <v>439</v>
      </c>
      <c r="F1021" s="59" t="s">
        <v>0</v>
      </c>
      <c r="G1021" s="36">
        <f>G1022</f>
        <v>412073.8</v>
      </c>
      <c r="H1021" s="36">
        <f t="shared" ref="H1021:K1022" si="539">H1022</f>
        <v>412073.84535999998</v>
      </c>
      <c r="I1021" s="36">
        <f t="shared" si="539"/>
        <v>243644.79999999999</v>
      </c>
      <c r="J1021" s="36">
        <f t="shared" si="539"/>
        <v>243644.79999999999</v>
      </c>
      <c r="K1021" s="36">
        <f t="shared" si="539"/>
        <v>243644.79999999999</v>
      </c>
      <c r="L1021" s="36">
        <f t="shared" si="515"/>
        <v>59.126489764751909</v>
      </c>
      <c r="M1021" s="36">
        <f t="shared" si="516"/>
        <v>100</v>
      </c>
    </row>
    <row r="1022" spans="1:13">
      <c r="A1022" s="60" t="s">
        <v>26</v>
      </c>
      <c r="B1022" s="29" t="s">
        <v>385</v>
      </c>
      <c r="C1022" s="29" t="s">
        <v>110</v>
      </c>
      <c r="D1022" s="29" t="s">
        <v>46</v>
      </c>
      <c r="E1022" s="29" t="s">
        <v>439</v>
      </c>
      <c r="F1022" s="29" t="s">
        <v>27</v>
      </c>
      <c r="G1022" s="36">
        <f>G1023</f>
        <v>412073.8</v>
      </c>
      <c r="H1022" s="36">
        <f t="shared" si="539"/>
        <v>412073.84535999998</v>
      </c>
      <c r="I1022" s="36">
        <f t="shared" si="539"/>
        <v>243644.79999999999</v>
      </c>
      <c r="J1022" s="36">
        <f t="shared" si="539"/>
        <v>243644.79999999999</v>
      </c>
      <c r="K1022" s="36">
        <f t="shared" si="539"/>
        <v>243644.79999999999</v>
      </c>
      <c r="L1022" s="36">
        <f t="shared" si="515"/>
        <v>59.126489764751909</v>
      </c>
      <c r="M1022" s="36">
        <f t="shared" si="516"/>
        <v>100</v>
      </c>
    </row>
    <row r="1023" spans="1:13">
      <c r="A1023" s="60" t="s">
        <v>56</v>
      </c>
      <c r="B1023" s="29" t="s">
        <v>385</v>
      </c>
      <c r="C1023" s="29" t="s">
        <v>110</v>
      </c>
      <c r="D1023" s="29" t="s">
        <v>46</v>
      </c>
      <c r="E1023" s="29" t="s">
        <v>439</v>
      </c>
      <c r="F1023" s="29" t="s">
        <v>57</v>
      </c>
      <c r="G1023" s="36">
        <v>412073.8</v>
      </c>
      <c r="H1023" s="36">
        <v>412073.84535999998</v>
      </c>
      <c r="I1023" s="36">
        <v>243644.79999999999</v>
      </c>
      <c r="J1023" s="36">
        <v>243644.79999999999</v>
      </c>
      <c r="K1023" s="36">
        <v>243644.79999999999</v>
      </c>
      <c r="L1023" s="36">
        <f t="shared" si="515"/>
        <v>59.126489764751909</v>
      </c>
      <c r="M1023" s="36">
        <f t="shared" si="516"/>
        <v>100</v>
      </c>
    </row>
    <row r="1024" spans="1:13">
      <c r="A1024" s="60" t="s">
        <v>1156</v>
      </c>
      <c r="B1024" s="29" t="s">
        <v>385</v>
      </c>
      <c r="C1024" s="29" t="s">
        <v>110</v>
      </c>
      <c r="D1024" s="29" t="s">
        <v>46</v>
      </c>
      <c r="E1024" s="30" t="s">
        <v>1155</v>
      </c>
      <c r="F1024" s="29"/>
      <c r="G1024" s="36"/>
      <c r="H1024" s="36">
        <f>H1025</f>
        <v>1800</v>
      </c>
      <c r="I1024" s="36">
        <f t="shared" ref="I1024:K1025" si="540">I1025</f>
        <v>0</v>
      </c>
      <c r="J1024" s="36">
        <f t="shared" si="540"/>
        <v>0</v>
      </c>
      <c r="K1024" s="36">
        <f t="shared" si="540"/>
        <v>0</v>
      </c>
      <c r="L1024" s="36">
        <f t="shared" ref="L1024:L1026" si="541">K1024/H1024*100</f>
        <v>0</v>
      </c>
      <c r="M1024" s="36">
        <v>0</v>
      </c>
    </row>
    <row r="1025" spans="1:13">
      <c r="A1025" s="63" t="s">
        <v>68</v>
      </c>
      <c r="B1025" s="29" t="s">
        <v>385</v>
      </c>
      <c r="C1025" s="29" t="s">
        <v>110</v>
      </c>
      <c r="D1025" s="29" t="s">
        <v>46</v>
      </c>
      <c r="E1025" s="30" t="s">
        <v>1155</v>
      </c>
      <c r="F1025" s="29">
        <v>300</v>
      </c>
      <c r="G1025" s="36"/>
      <c r="H1025" s="36">
        <f>H1026</f>
        <v>1800</v>
      </c>
      <c r="I1025" s="36">
        <f t="shared" si="540"/>
        <v>0</v>
      </c>
      <c r="J1025" s="36">
        <f t="shared" si="540"/>
        <v>0</v>
      </c>
      <c r="K1025" s="36">
        <f t="shared" si="540"/>
        <v>0</v>
      </c>
      <c r="L1025" s="36">
        <f t="shared" si="541"/>
        <v>0</v>
      </c>
      <c r="M1025" s="36">
        <v>0</v>
      </c>
    </row>
    <row r="1026" spans="1:13">
      <c r="A1026" s="63" t="s">
        <v>373</v>
      </c>
      <c r="B1026" s="29" t="s">
        <v>385</v>
      </c>
      <c r="C1026" s="29" t="s">
        <v>110</v>
      </c>
      <c r="D1026" s="29" t="s">
        <v>46</v>
      </c>
      <c r="E1026" s="30" t="s">
        <v>1155</v>
      </c>
      <c r="F1026" s="29">
        <v>350</v>
      </c>
      <c r="G1026" s="36"/>
      <c r="H1026" s="36">
        <v>1800</v>
      </c>
      <c r="I1026" s="36">
        <v>0</v>
      </c>
      <c r="J1026" s="36">
        <v>0</v>
      </c>
      <c r="K1026" s="36">
        <v>0</v>
      </c>
      <c r="L1026" s="36">
        <f t="shared" si="541"/>
        <v>0</v>
      </c>
      <c r="M1026" s="36">
        <v>0</v>
      </c>
    </row>
    <row r="1027" spans="1:13" ht="38.25">
      <c r="A1027" s="60" t="s">
        <v>299</v>
      </c>
      <c r="B1027" s="29" t="s">
        <v>385</v>
      </c>
      <c r="C1027" s="29" t="s">
        <v>110</v>
      </c>
      <c r="D1027" s="29" t="s">
        <v>46</v>
      </c>
      <c r="E1027" s="29" t="s">
        <v>300</v>
      </c>
      <c r="F1027" s="59" t="s">
        <v>0</v>
      </c>
      <c r="G1027" s="36">
        <f>G1028</f>
        <v>600</v>
      </c>
      <c r="H1027" s="36">
        <f t="shared" ref="H1027:K1029" si="542">H1028</f>
        <v>600</v>
      </c>
      <c r="I1027" s="36">
        <f t="shared" si="542"/>
        <v>175</v>
      </c>
      <c r="J1027" s="36">
        <f t="shared" si="542"/>
        <v>175</v>
      </c>
      <c r="K1027" s="36">
        <f t="shared" si="542"/>
        <v>175</v>
      </c>
      <c r="L1027" s="36">
        <f t="shared" si="515"/>
        <v>29.166666666666668</v>
      </c>
      <c r="M1027" s="36">
        <f t="shared" si="516"/>
        <v>100</v>
      </c>
    </row>
    <row r="1028" spans="1:13">
      <c r="A1028" s="60" t="s">
        <v>440</v>
      </c>
      <c r="B1028" s="29" t="s">
        <v>385</v>
      </c>
      <c r="C1028" s="29" t="s">
        <v>110</v>
      </c>
      <c r="D1028" s="29" t="s">
        <v>46</v>
      </c>
      <c r="E1028" s="29" t="s">
        <v>441</v>
      </c>
      <c r="F1028" s="59" t="s">
        <v>0</v>
      </c>
      <c r="G1028" s="36">
        <f>G1029</f>
        <v>600</v>
      </c>
      <c r="H1028" s="36">
        <f t="shared" si="542"/>
        <v>600</v>
      </c>
      <c r="I1028" s="36">
        <f t="shared" si="542"/>
        <v>175</v>
      </c>
      <c r="J1028" s="36">
        <f t="shared" si="542"/>
        <v>175</v>
      </c>
      <c r="K1028" s="36">
        <f t="shared" si="542"/>
        <v>175</v>
      </c>
      <c r="L1028" s="36">
        <f t="shared" si="515"/>
        <v>29.166666666666668</v>
      </c>
      <c r="M1028" s="36">
        <f t="shared" si="516"/>
        <v>100</v>
      </c>
    </row>
    <row r="1029" spans="1:13">
      <c r="A1029" s="60" t="s">
        <v>424</v>
      </c>
      <c r="B1029" s="29" t="s">
        <v>385</v>
      </c>
      <c r="C1029" s="29" t="s">
        <v>110</v>
      </c>
      <c r="D1029" s="29" t="s">
        <v>46</v>
      </c>
      <c r="E1029" s="29" t="s">
        <v>442</v>
      </c>
      <c r="F1029" s="59" t="s">
        <v>0</v>
      </c>
      <c r="G1029" s="36">
        <f>G1030</f>
        <v>600</v>
      </c>
      <c r="H1029" s="36">
        <f t="shared" si="542"/>
        <v>600</v>
      </c>
      <c r="I1029" s="36">
        <f t="shared" si="542"/>
        <v>175</v>
      </c>
      <c r="J1029" s="36">
        <f t="shared" si="542"/>
        <v>175</v>
      </c>
      <c r="K1029" s="36">
        <f t="shared" si="542"/>
        <v>175</v>
      </c>
      <c r="L1029" s="36">
        <f t="shared" si="515"/>
        <v>29.166666666666668</v>
      </c>
      <c r="M1029" s="36">
        <f t="shared" si="516"/>
        <v>100</v>
      </c>
    </row>
    <row r="1030" spans="1:13" ht="25.5">
      <c r="A1030" s="60" t="s">
        <v>80</v>
      </c>
      <c r="B1030" s="29" t="s">
        <v>385</v>
      </c>
      <c r="C1030" s="29" t="s">
        <v>110</v>
      </c>
      <c r="D1030" s="29" t="s">
        <v>46</v>
      </c>
      <c r="E1030" s="29" t="s">
        <v>442</v>
      </c>
      <c r="F1030" s="29" t="s">
        <v>81</v>
      </c>
      <c r="G1030" s="36">
        <f>G1031+G1032</f>
        <v>600</v>
      </c>
      <c r="H1030" s="36">
        <f t="shared" ref="H1030:K1030" si="543">H1031+H1032</f>
        <v>600</v>
      </c>
      <c r="I1030" s="36">
        <f t="shared" si="543"/>
        <v>175</v>
      </c>
      <c r="J1030" s="36">
        <f t="shared" si="543"/>
        <v>175</v>
      </c>
      <c r="K1030" s="36">
        <f t="shared" si="543"/>
        <v>175</v>
      </c>
      <c r="L1030" s="36">
        <f t="shared" si="515"/>
        <v>29.166666666666668</v>
      </c>
      <c r="M1030" s="36">
        <f t="shared" si="516"/>
        <v>100</v>
      </c>
    </row>
    <row r="1031" spans="1:13">
      <c r="A1031" s="60" t="s">
        <v>271</v>
      </c>
      <c r="B1031" s="29" t="s">
        <v>385</v>
      </c>
      <c r="C1031" s="29" t="s">
        <v>110</v>
      </c>
      <c r="D1031" s="29" t="s">
        <v>46</v>
      </c>
      <c r="E1031" s="29" t="s">
        <v>442</v>
      </c>
      <c r="F1031" s="29" t="s">
        <v>272</v>
      </c>
      <c r="G1031" s="36">
        <v>450</v>
      </c>
      <c r="H1031" s="36">
        <v>405</v>
      </c>
      <c r="I1031" s="36">
        <v>75</v>
      </c>
      <c r="J1031" s="36">
        <v>75</v>
      </c>
      <c r="K1031" s="36">
        <v>75</v>
      </c>
      <c r="L1031" s="36">
        <f t="shared" si="515"/>
        <v>18.518518518518519</v>
      </c>
      <c r="M1031" s="36">
        <f t="shared" si="516"/>
        <v>100</v>
      </c>
    </row>
    <row r="1032" spans="1:13">
      <c r="A1032" s="60" t="s">
        <v>82</v>
      </c>
      <c r="B1032" s="29" t="s">
        <v>385</v>
      </c>
      <c r="C1032" s="29" t="s">
        <v>110</v>
      </c>
      <c r="D1032" s="29" t="s">
        <v>46</v>
      </c>
      <c r="E1032" s="29" t="s">
        <v>442</v>
      </c>
      <c r="F1032" s="29" t="s">
        <v>83</v>
      </c>
      <c r="G1032" s="36">
        <v>150</v>
      </c>
      <c r="H1032" s="36">
        <v>195</v>
      </c>
      <c r="I1032" s="36">
        <v>100</v>
      </c>
      <c r="J1032" s="36">
        <v>100</v>
      </c>
      <c r="K1032" s="36">
        <v>100</v>
      </c>
      <c r="L1032" s="36">
        <f t="shared" si="515"/>
        <v>51.282051282051277</v>
      </c>
      <c r="M1032" s="36">
        <f t="shared" si="516"/>
        <v>100</v>
      </c>
    </row>
    <row r="1033" spans="1:13" ht="76.5">
      <c r="A1033" s="60" t="s">
        <v>86</v>
      </c>
      <c r="B1033" s="29" t="s">
        <v>385</v>
      </c>
      <c r="C1033" s="29" t="s">
        <v>110</v>
      </c>
      <c r="D1033" s="29" t="s">
        <v>46</v>
      </c>
      <c r="E1033" s="29" t="s">
        <v>87</v>
      </c>
      <c r="F1033" s="59" t="s">
        <v>0</v>
      </c>
      <c r="G1033" s="36">
        <f>G1034+G1038+G1042</f>
        <v>3400</v>
      </c>
      <c r="H1033" s="36">
        <f t="shared" ref="H1033:K1033" si="544">H1034+H1038+H1042</f>
        <v>3400</v>
      </c>
      <c r="I1033" s="36">
        <f t="shared" si="544"/>
        <v>452.41300000000001</v>
      </c>
      <c r="J1033" s="36">
        <f t="shared" si="544"/>
        <v>452.41300000000001</v>
      </c>
      <c r="K1033" s="36">
        <f t="shared" si="544"/>
        <v>452.41300000000001</v>
      </c>
      <c r="L1033" s="36">
        <f t="shared" si="515"/>
        <v>13.306264705882354</v>
      </c>
      <c r="M1033" s="36">
        <f t="shared" si="516"/>
        <v>100</v>
      </c>
    </row>
    <row r="1034" spans="1:13" ht="51">
      <c r="A1034" s="60" t="s">
        <v>443</v>
      </c>
      <c r="B1034" s="29" t="s">
        <v>385</v>
      </c>
      <c r="C1034" s="29" t="s">
        <v>110</v>
      </c>
      <c r="D1034" s="29" t="s">
        <v>46</v>
      </c>
      <c r="E1034" s="29" t="s">
        <v>444</v>
      </c>
      <c r="F1034" s="59" t="s">
        <v>0</v>
      </c>
      <c r="G1034" s="36">
        <f>G1035</f>
        <v>750</v>
      </c>
      <c r="H1034" s="36">
        <f t="shared" ref="H1034:K1036" si="545">H1035</f>
        <v>750</v>
      </c>
      <c r="I1034" s="36">
        <f t="shared" si="545"/>
        <v>302.41300000000001</v>
      </c>
      <c r="J1034" s="36">
        <f t="shared" si="545"/>
        <v>302.41300000000001</v>
      </c>
      <c r="K1034" s="36">
        <f t="shared" si="545"/>
        <v>302.41300000000001</v>
      </c>
      <c r="L1034" s="36">
        <f t="shared" si="515"/>
        <v>40.321733333333334</v>
      </c>
      <c r="M1034" s="36">
        <f t="shared" si="516"/>
        <v>100</v>
      </c>
    </row>
    <row r="1035" spans="1:13">
      <c r="A1035" s="60" t="s">
        <v>424</v>
      </c>
      <c r="B1035" s="29" t="s">
        <v>385</v>
      </c>
      <c r="C1035" s="29" t="s">
        <v>110</v>
      </c>
      <c r="D1035" s="29" t="s">
        <v>46</v>
      </c>
      <c r="E1035" s="29" t="s">
        <v>445</v>
      </c>
      <c r="F1035" s="59" t="s">
        <v>0</v>
      </c>
      <c r="G1035" s="36">
        <f>G1036</f>
        <v>750</v>
      </c>
      <c r="H1035" s="36">
        <f t="shared" si="545"/>
        <v>750</v>
      </c>
      <c r="I1035" s="36">
        <f t="shared" si="545"/>
        <v>302.41300000000001</v>
      </c>
      <c r="J1035" s="36">
        <f t="shared" si="545"/>
        <v>302.41300000000001</v>
      </c>
      <c r="K1035" s="36">
        <f t="shared" si="545"/>
        <v>302.41300000000001</v>
      </c>
      <c r="L1035" s="36">
        <f t="shared" si="515"/>
        <v>40.321733333333334</v>
      </c>
      <c r="M1035" s="36">
        <f t="shared" si="516"/>
        <v>100</v>
      </c>
    </row>
    <row r="1036" spans="1:13" ht="25.5">
      <c r="A1036" s="60" t="s">
        <v>80</v>
      </c>
      <c r="B1036" s="29" t="s">
        <v>385</v>
      </c>
      <c r="C1036" s="29" t="s">
        <v>110</v>
      </c>
      <c r="D1036" s="29" t="s">
        <v>46</v>
      </c>
      <c r="E1036" s="29" t="s">
        <v>445</v>
      </c>
      <c r="F1036" s="29" t="s">
        <v>81</v>
      </c>
      <c r="G1036" s="36">
        <f>G1037</f>
        <v>750</v>
      </c>
      <c r="H1036" s="36">
        <f t="shared" si="545"/>
        <v>750</v>
      </c>
      <c r="I1036" s="36">
        <f t="shared" si="545"/>
        <v>302.41300000000001</v>
      </c>
      <c r="J1036" s="36">
        <f t="shared" si="545"/>
        <v>302.41300000000001</v>
      </c>
      <c r="K1036" s="36">
        <f t="shared" si="545"/>
        <v>302.41300000000001</v>
      </c>
      <c r="L1036" s="36">
        <f t="shared" si="515"/>
        <v>40.321733333333334</v>
      </c>
      <c r="M1036" s="36">
        <f t="shared" si="516"/>
        <v>100</v>
      </c>
    </row>
    <row r="1037" spans="1:13">
      <c r="A1037" s="60" t="s">
        <v>271</v>
      </c>
      <c r="B1037" s="29" t="s">
        <v>385</v>
      </c>
      <c r="C1037" s="29" t="s">
        <v>110</v>
      </c>
      <c r="D1037" s="29" t="s">
        <v>46</v>
      </c>
      <c r="E1037" s="29" t="s">
        <v>445</v>
      </c>
      <c r="F1037" s="29" t="s">
        <v>272</v>
      </c>
      <c r="G1037" s="36">
        <v>750</v>
      </c>
      <c r="H1037" s="36">
        <v>750</v>
      </c>
      <c r="I1037" s="36">
        <v>302.41300000000001</v>
      </c>
      <c r="J1037" s="36">
        <v>302.41300000000001</v>
      </c>
      <c r="K1037" s="36">
        <v>302.41300000000001</v>
      </c>
      <c r="L1037" s="36">
        <f t="shared" si="515"/>
        <v>40.321733333333334</v>
      </c>
      <c r="M1037" s="36">
        <f t="shared" si="516"/>
        <v>100</v>
      </c>
    </row>
    <row r="1038" spans="1:13" ht="25.5">
      <c r="A1038" s="60" t="s">
        <v>88</v>
      </c>
      <c r="B1038" s="29" t="s">
        <v>385</v>
      </c>
      <c r="C1038" s="29" t="s">
        <v>110</v>
      </c>
      <c r="D1038" s="29" t="s">
        <v>46</v>
      </c>
      <c r="E1038" s="29" t="s">
        <v>89</v>
      </c>
      <c r="F1038" s="59" t="s">
        <v>0</v>
      </c>
      <c r="G1038" s="36">
        <f>G1039</f>
        <v>150</v>
      </c>
      <c r="H1038" s="36">
        <f t="shared" ref="H1038:K1040" si="546">H1039</f>
        <v>150</v>
      </c>
      <c r="I1038" s="36">
        <f t="shared" si="546"/>
        <v>150</v>
      </c>
      <c r="J1038" s="36">
        <f t="shared" si="546"/>
        <v>150</v>
      </c>
      <c r="K1038" s="36">
        <f t="shared" si="546"/>
        <v>150</v>
      </c>
      <c r="L1038" s="36">
        <f t="shared" si="515"/>
        <v>100</v>
      </c>
      <c r="M1038" s="36">
        <f t="shared" si="516"/>
        <v>100</v>
      </c>
    </row>
    <row r="1039" spans="1:13">
      <c r="A1039" s="60" t="s">
        <v>424</v>
      </c>
      <c r="B1039" s="29" t="s">
        <v>385</v>
      </c>
      <c r="C1039" s="29" t="s">
        <v>110</v>
      </c>
      <c r="D1039" s="29" t="s">
        <v>46</v>
      </c>
      <c r="E1039" s="29" t="s">
        <v>446</v>
      </c>
      <c r="F1039" s="59" t="s">
        <v>0</v>
      </c>
      <c r="G1039" s="36">
        <f>G1040</f>
        <v>150</v>
      </c>
      <c r="H1039" s="36">
        <f t="shared" si="546"/>
        <v>150</v>
      </c>
      <c r="I1039" s="36">
        <f t="shared" si="546"/>
        <v>150</v>
      </c>
      <c r="J1039" s="36">
        <f t="shared" si="546"/>
        <v>150</v>
      </c>
      <c r="K1039" s="36">
        <f t="shared" si="546"/>
        <v>150</v>
      </c>
      <c r="L1039" s="36">
        <f t="shared" si="515"/>
        <v>100</v>
      </c>
      <c r="M1039" s="36">
        <f t="shared" si="516"/>
        <v>100</v>
      </c>
    </row>
    <row r="1040" spans="1:13" ht="25.5">
      <c r="A1040" s="60" t="s">
        <v>80</v>
      </c>
      <c r="B1040" s="29" t="s">
        <v>385</v>
      </c>
      <c r="C1040" s="29" t="s">
        <v>110</v>
      </c>
      <c r="D1040" s="29" t="s">
        <v>46</v>
      </c>
      <c r="E1040" s="29" t="s">
        <v>446</v>
      </c>
      <c r="F1040" s="29" t="s">
        <v>81</v>
      </c>
      <c r="G1040" s="36">
        <f>G1041</f>
        <v>150</v>
      </c>
      <c r="H1040" s="36">
        <f t="shared" si="546"/>
        <v>150</v>
      </c>
      <c r="I1040" s="36">
        <f t="shared" si="546"/>
        <v>150</v>
      </c>
      <c r="J1040" s="36">
        <f t="shared" si="546"/>
        <v>150</v>
      </c>
      <c r="K1040" s="36">
        <f t="shared" si="546"/>
        <v>150</v>
      </c>
      <c r="L1040" s="36">
        <f t="shared" si="515"/>
        <v>100</v>
      </c>
      <c r="M1040" s="36">
        <f t="shared" si="516"/>
        <v>100</v>
      </c>
    </row>
    <row r="1041" spans="1:13">
      <c r="A1041" s="60" t="s">
        <v>271</v>
      </c>
      <c r="B1041" s="29" t="s">
        <v>385</v>
      </c>
      <c r="C1041" s="29" t="s">
        <v>110</v>
      </c>
      <c r="D1041" s="29" t="s">
        <v>46</v>
      </c>
      <c r="E1041" s="29" t="s">
        <v>446</v>
      </c>
      <c r="F1041" s="29" t="s">
        <v>272</v>
      </c>
      <c r="G1041" s="36">
        <v>150</v>
      </c>
      <c r="H1041" s="36">
        <v>150</v>
      </c>
      <c r="I1041" s="36">
        <v>150</v>
      </c>
      <c r="J1041" s="36">
        <v>150</v>
      </c>
      <c r="K1041" s="36">
        <v>150</v>
      </c>
      <c r="L1041" s="36">
        <f t="shared" si="515"/>
        <v>100</v>
      </c>
      <c r="M1041" s="36">
        <f t="shared" si="516"/>
        <v>100</v>
      </c>
    </row>
    <row r="1042" spans="1:13" ht="25.5">
      <c r="A1042" s="60" t="s">
        <v>447</v>
      </c>
      <c r="B1042" s="29" t="s">
        <v>385</v>
      </c>
      <c r="C1042" s="29" t="s">
        <v>110</v>
      </c>
      <c r="D1042" s="29" t="s">
        <v>46</v>
      </c>
      <c r="E1042" s="29" t="s">
        <v>448</v>
      </c>
      <c r="F1042" s="59" t="s">
        <v>0</v>
      </c>
      <c r="G1042" s="36">
        <f>G1043</f>
        <v>2500</v>
      </c>
      <c r="H1042" s="36">
        <f t="shared" ref="H1042:K1044" si="547">H1043</f>
        <v>2500</v>
      </c>
      <c r="I1042" s="36">
        <f t="shared" si="547"/>
        <v>0</v>
      </c>
      <c r="J1042" s="36">
        <f t="shared" si="547"/>
        <v>0</v>
      </c>
      <c r="K1042" s="36">
        <f t="shared" si="547"/>
        <v>0</v>
      </c>
      <c r="L1042" s="36">
        <f t="shared" si="515"/>
        <v>0</v>
      </c>
      <c r="M1042" s="36">
        <v>0</v>
      </c>
    </row>
    <row r="1043" spans="1:13" ht="25.5">
      <c r="A1043" s="60" t="s">
        <v>76</v>
      </c>
      <c r="B1043" s="29" t="s">
        <v>385</v>
      </c>
      <c r="C1043" s="29" t="s">
        <v>110</v>
      </c>
      <c r="D1043" s="29" t="s">
        <v>46</v>
      </c>
      <c r="E1043" s="29" t="s">
        <v>449</v>
      </c>
      <c r="F1043" s="59" t="s">
        <v>0</v>
      </c>
      <c r="G1043" s="36">
        <f>G1044</f>
        <v>2500</v>
      </c>
      <c r="H1043" s="36">
        <f t="shared" si="547"/>
        <v>2500</v>
      </c>
      <c r="I1043" s="36">
        <f t="shared" si="547"/>
        <v>0</v>
      </c>
      <c r="J1043" s="36">
        <f t="shared" si="547"/>
        <v>0</v>
      </c>
      <c r="K1043" s="36">
        <f t="shared" si="547"/>
        <v>0</v>
      </c>
      <c r="L1043" s="36">
        <f t="shared" si="515"/>
        <v>0</v>
      </c>
      <c r="M1043" s="36">
        <v>0</v>
      </c>
    </row>
    <row r="1044" spans="1:13" ht="25.5">
      <c r="A1044" s="60" t="s">
        <v>80</v>
      </c>
      <c r="B1044" s="29" t="s">
        <v>385</v>
      </c>
      <c r="C1044" s="29" t="s">
        <v>110</v>
      </c>
      <c r="D1044" s="29" t="s">
        <v>46</v>
      </c>
      <c r="E1044" s="29" t="s">
        <v>449</v>
      </c>
      <c r="F1044" s="29" t="s">
        <v>81</v>
      </c>
      <c r="G1044" s="36">
        <f>G1045</f>
        <v>2500</v>
      </c>
      <c r="H1044" s="36">
        <f t="shared" si="547"/>
        <v>2500</v>
      </c>
      <c r="I1044" s="36">
        <f t="shared" si="547"/>
        <v>0</v>
      </c>
      <c r="J1044" s="36">
        <f t="shared" si="547"/>
        <v>0</v>
      </c>
      <c r="K1044" s="36">
        <f t="shared" si="547"/>
        <v>0</v>
      </c>
      <c r="L1044" s="36">
        <f t="shared" si="515"/>
        <v>0</v>
      </c>
      <c r="M1044" s="36">
        <v>0</v>
      </c>
    </row>
    <row r="1045" spans="1:13">
      <c r="A1045" s="60" t="s">
        <v>271</v>
      </c>
      <c r="B1045" s="29" t="s">
        <v>385</v>
      </c>
      <c r="C1045" s="29" t="s">
        <v>110</v>
      </c>
      <c r="D1045" s="29" t="s">
        <v>46</v>
      </c>
      <c r="E1045" s="29" t="s">
        <v>449</v>
      </c>
      <c r="F1045" s="29" t="s">
        <v>272</v>
      </c>
      <c r="G1045" s="36">
        <v>2500</v>
      </c>
      <c r="H1045" s="36">
        <v>2500</v>
      </c>
      <c r="I1045" s="36">
        <v>0</v>
      </c>
      <c r="J1045" s="36">
        <v>0</v>
      </c>
      <c r="K1045" s="36">
        <v>0</v>
      </c>
      <c r="L1045" s="36">
        <f t="shared" si="515"/>
        <v>0</v>
      </c>
      <c r="M1045" s="36">
        <v>0</v>
      </c>
    </row>
    <row r="1046" spans="1:13" ht="63.75">
      <c r="A1046" s="60" t="s">
        <v>156</v>
      </c>
      <c r="B1046" s="29" t="s">
        <v>385</v>
      </c>
      <c r="C1046" s="29" t="s">
        <v>110</v>
      </c>
      <c r="D1046" s="29" t="s">
        <v>46</v>
      </c>
      <c r="E1046" s="29" t="s">
        <v>157</v>
      </c>
      <c r="F1046" s="59" t="s">
        <v>0</v>
      </c>
      <c r="G1046" s="36">
        <f>G1047</f>
        <v>800</v>
      </c>
      <c r="H1046" s="36">
        <f t="shared" ref="H1046:K1049" si="548">H1047</f>
        <v>800</v>
      </c>
      <c r="I1046" s="36">
        <f t="shared" si="548"/>
        <v>450</v>
      </c>
      <c r="J1046" s="36">
        <f t="shared" si="548"/>
        <v>450</v>
      </c>
      <c r="K1046" s="36">
        <f t="shared" si="548"/>
        <v>450</v>
      </c>
      <c r="L1046" s="36">
        <f t="shared" si="515"/>
        <v>56.25</v>
      </c>
      <c r="M1046" s="36">
        <f t="shared" si="516"/>
        <v>100</v>
      </c>
    </row>
    <row r="1047" spans="1:13" ht="51">
      <c r="A1047" s="60" t="s">
        <v>450</v>
      </c>
      <c r="B1047" s="29" t="s">
        <v>385</v>
      </c>
      <c r="C1047" s="29" t="s">
        <v>110</v>
      </c>
      <c r="D1047" s="29" t="s">
        <v>46</v>
      </c>
      <c r="E1047" s="29" t="s">
        <v>451</v>
      </c>
      <c r="F1047" s="59" t="s">
        <v>0</v>
      </c>
      <c r="G1047" s="36">
        <f>G1048</f>
        <v>800</v>
      </c>
      <c r="H1047" s="36">
        <f t="shared" si="548"/>
        <v>800</v>
      </c>
      <c r="I1047" s="36">
        <f t="shared" si="548"/>
        <v>450</v>
      </c>
      <c r="J1047" s="36">
        <f t="shared" si="548"/>
        <v>450</v>
      </c>
      <c r="K1047" s="36">
        <f t="shared" si="548"/>
        <v>450</v>
      </c>
      <c r="L1047" s="36">
        <f t="shared" si="515"/>
        <v>56.25</v>
      </c>
      <c r="M1047" s="36">
        <f t="shared" si="516"/>
        <v>100</v>
      </c>
    </row>
    <row r="1048" spans="1:13">
      <c r="A1048" s="60" t="s">
        <v>424</v>
      </c>
      <c r="B1048" s="29" t="s">
        <v>385</v>
      </c>
      <c r="C1048" s="29" t="s">
        <v>110</v>
      </c>
      <c r="D1048" s="29" t="s">
        <v>46</v>
      </c>
      <c r="E1048" s="29" t="s">
        <v>452</v>
      </c>
      <c r="F1048" s="59" t="s">
        <v>0</v>
      </c>
      <c r="G1048" s="36">
        <f>G1049</f>
        <v>800</v>
      </c>
      <c r="H1048" s="36">
        <f t="shared" si="548"/>
        <v>800</v>
      </c>
      <c r="I1048" s="36">
        <f t="shared" si="548"/>
        <v>450</v>
      </c>
      <c r="J1048" s="36">
        <f t="shared" si="548"/>
        <v>450</v>
      </c>
      <c r="K1048" s="36">
        <f t="shared" si="548"/>
        <v>450</v>
      </c>
      <c r="L1048" s="36">
        <f t="shared" si="515"/>
        <v>56.25</v>
      </c>
      <c r="M1048" s="36">
        <f t="shared" si="516"/>
        <v>100</v>
      </c>
    </row>
    <row r="1049" spans="1:13" ht="25.5">
      <c r="A1049" s="60" t="s">
        <v>64</v>
      </c>
      <c r="B1049" s="29" t="s">
        <v>385</v>
      </c>
      <c r="C1049" s="29" t="s">
        <v>110</v>
      </c>
      <c r="D1049" s="29" t="s">
        <v>46</v>
      </c>
      <c r="E1049" s="29" t="s">
        <v>452</v>
      </c>
      <c r="F1049" s="29" t="s">
        <v>65</v>
      </c>
      <c r="G1049" s="36">
        <f>G1050</f>
        <v>800</v>
      </c>
      <c r="H1049" s="36">
        <f t="shared" si="548"/>
        <v>800</v>
      </c>
      <c r="I1049" s="36">
        <f t="shared" si="548"/>
        <v>450</v>
      </c>
      <c r="J1049" s="36">
        <f t="shared" si="548"/>
        <v>450</v>
      </c>
      <c r="K1049" s="36">
        <f t="shared" si="548"/>
        <v>450</v>
      </c>
      <c r="L1049" s="36">
        <f t="shared" ref="L1049:L1116" si="549">K1049/H1049*100</f>
        <v>56.25</v>
      </c>
      <c r="M1049" s="36">
        <f t="shared" ref="M1049:M1116" si="550">K1049/I1049*100</f>
        <v>100</v>
      </c>
    </row>
    <row r="1050" spans="1:13" ht="25.5">
      <c r="A1050" s="60" t="s">
        <v>66</v>
      </c>
      <c r="B1050" s="29" t="s">
        <v>385</v>
      </c>
      <c r="C1050" s="29" t="s">
        <v>110</v>
      </c>
      <c r="D1050" s="29" t="s">
        <v>46</v>
      </c>
      <c r="E1050" s="29" t="s">
        <v>452</v>
      </c>
      <c r="F1050" s="29" t="s">
        <v>67</v>
      </c>
      <c r="G1050" s="36">
        <v>800</v>
      </c>
      <c r="H1050" s="36">
        <v>800</v>
      </c>
      <c r="I1050" s="36">
        <v>450</v>
      </c>
      <c r="J1050" s="36">
        <v>450</v>
      </c>
      <c r="K1050" s="36">
        <v>450</v>
      </c>
      <c r="L1050" s="36">
        <f t="shared" si="549"/>
        <v>56.25</v>
      </c>
      <c r="M1050" s="36">
        <f t="shared" si="550"/>
        <v>100</v>
      </c>
    </row>
    <row r="1051" spans="1:13" ht="51">
      <c r="A1051" s="60" t="s">
        <v>377</v>
      </c>
      <c r="B1051" s="29" t="s">
        <v>385</v>
      </c>
      <c r="C1051" s="29" t="s">
        <v>110</v>
      </c>
      <c r="D1051" s="29" t="s">
        <v>46</v>
      </c>
      <c r="E1051" s="29" t="s">
        <v>378</v>
      </c>
      <c r="F1051" s="59" t="s">
        <v>0</v>
      </c>
      <c r="G1051" s="36">
        <f>G1052</f>
        <v>1070</v>
      </c>
      <c r="H1051" s="36">
        <f t="shared" ref="H1051:K1053" si="551">H1052</f>
        <v>1070</v>
      </c>
      <c r="I1051" s="36">
        <f t="shared" si="551"/>
        <v>705</v>
      </c>
      <c r="J1051" s="36">
        <f t="shared" si="551"/>
        <v>705</v>
      </c>
      <c r="K1051" s="36">
        <f t="shared" si="551"/>
        <v>705</v>
      </c>
      <c r="L1051" s="36">
        <f t="shared" si="549"/>
        <v>65.887850467289724</v>
      </c>
      <c r="M1051" s="36">
        <f t="shared" si="550"/>
        <v>100</v>
      </c>
    </row>
    <row r="1052" spans="1:13">
      <c r="A1052" s="60" t="s">
        <v>424</v>
      </c>
      <c r="B1052" s="29" t="s">
        <v>385</v>
      </c>
      <c r="C1052" s="29" t="s">
        <v>110</v>
      </c>
      <c r="D1052" s="29" t="s">
        <v>46</v>
      </c>
      <c r="E1052" s="29" t="s">
        <v>453</v>
      </c>
      <c r="F1052" s="59" t="s">
        <v>0</v>
      </c>
      <c r="G1052" s="36">
        <f>G1053</f>
        <v>1070</v>
      </c>
      <c r="H1052" s="36">
        <f t="shared" si="551"/>
        <v>1070</v>
      </c>
      <c r="I1052" s="36">
        <f t="shared" si="551"/>
        <v>705</v>
      </c>
      <c r="J1052" s="36">
        <f t="shared" si="551"/>
        <v>705</v>
      </c>
      <c r="K1052" s="36">
        <f t="shared" si="551"/>
        <v>705</v>
      </c>
      <c r="L1052" s="36">
        <f t="shared" si="549"/>
        <v>65.887850467289724</v>
      </c>
      <c r="M1052" s="36">
        <f t="shared" si="550"/>
        <v>100</v>
      </c>
    </row>
    <row r="1053" spans="1:13" ht="25.5">
      <c r="A1053" s="60" t="s">
        <v>80</v>
      </c>
      <c r="B1053" s="29" t="s">
        <v>385</v>
      </c>
      <c r="C1053" s="29" t="s">
        <v>110</v>
      </c>
      <c r="D1053" s="29" t="s">
        <v>46</v>
      </c>
      <c r="E1053" s="29" t="s">
        <v>453</v>
      </c>
      <c r="F1053" s="29" t="s">
        <v>81</v>
      </c>
      <c r="G1053" s="36">
        <f>G1054</f>
        <v>1070</v>
      </c>
      <c r="H1053" s="36">
        <f t="shared" si="551"/>
        <v>1070</v>
      </c>
      <c r="I1053" s="36">
        <f t="shared" si="551"/>
        <v>705</v>
      </c>
      <c r="J1053" s="36">
        <f t="shared" si="551"/>
        <v>705</v>
      </c>
      <c r="K1053" s="36">
        <f t="shared" si="551"/>
        <v>705</v>
      </c>
      <c r="L1053" s="36">
        <f t="shared" si="549"/>
        <v>65.887850467289724</v>
      </c>
      <c r="M1053" s="36">
        <f t="shared" si="550"/>
        <v>100</v>
      </c>
    </row>
    <row r="1054" spans="1:13">
      <c r="A1054" s="60" t="s">
        <v>82</v>
      </c>
      <c r="B1054" s="29" t="s">
        <v>385</v>
      </c>
      <c r="C1054" s="29" t="s">
        <v>110</v>
      </c>
      <c r="D1054" s="29" t="s">
        <v>46</v>
      </c>
      <c r="E1054" s="29" t="s">
        <v>453</v>
      </c>
      <c r="F1054" s="29" t="s">
        <v>83</v>
      </c>
      <c r="G1054" s="36">
        <v>1070</v>
      </c>
      <c r="H1054" s="36">
        <v>1070</v>
      </c>
      <c r="I1054" s="36">
        <v>705</v>
      </c>
      <c r="J1054" s="36">
        <v>705</v>
      </c>
      <c r="K1054" s="36">
        <v>705</v>
      </c>
      <c r="L1054" s="36">
        <f t="shared" si="549"/>
        <v>65.887850467289724</v>
      </c>
      <c r="M1054" s="36">
        <f t="shared" si="550"/>
        <v>100</v>
      </c>
    </row>
    <row r="1055" spans="1:13">
      <c r="A1055" s="63" t="s">
        <v>612</v>
      </c>
      <c r="B1055" s="29" t="s">
        <v>385</v>
      </c>
      <c r="C1055" s="29" t="s">
        <v>110</v>
      </c>
      <c r="D1055" s="29" t="s">
        <v>46</v>
      </c>
      <c r="E1055" s="30" t="s">
        <v>613</v>
      </c>
      <c r="F1055" s="29"/>
      <c r="G1055" s="36"/>
      <c r="H1055" s="36">
        <f>H1056</f>
        <v>3253.28</v>
      </c>
      <c r="I1055" s="36">
        <f t="shared" ref="I1055:K1057" si="552">I1056</f>
        <v>3253.28</v>
      </c>
      <c r="J1055" s="36">
        <f t="shared" si="552"/>
        <v>3253.28</v>
      </c>
      <c r="K1055" s="36">
        <f t="shared" si="552"/>
        <v>153.28</v>
      </c>
      <c r="L1055" s="36">
        <f t="shared" ref="L1055:L1058" si="553">K1055/H1055*100</f>
        <v>4.711552648404072</v>
      </c>
      <c r="M1055" s="36">
        <f t="shared" ref="M1055:M1058" si="554">K1055/I1055*100</f>
        <v>4.711552648404072</v>
      </c>
    </row>
    <row r="1056" spans="1:13">
      <c r="A1056" s="63" t="s">
        <v>612</v>
      </c>
      <c r="B1056" s="29" t="s">
        <v>385</v>
      </c>
      <c r="C1056" s="29" t="s">
        <v>110</v>
      </c>
      <c r="D1056" s="29" t="s">
        <v>46</v>
      </c>
      <c r="E1056" s="30" t="s">
        <v>614</v>
      </c>
      <c r="F1056" s="29"/>
      <c r="G1056" s="36"/>
      <c r="H1056" s="36">
        <f>H1057</f>
        <v>3253.28</v>
      </c>
      <c r="I1056" s="36">
        <f t="shared" si="552"/>
        <v>3253.28</v>
      </c>
      <c r="J1056" s="36">
        <f t="shared" si="552"/>
        <v>3253.28</v>
      </c>
      <c r="K1056" s="36">
        <f t="shared" si="552"/>
        <v>153.28</v>
      </c>
      <c r="L1056" s="36">
        <f t="shared" si="553"/>
        <v>4.711552648404072</v>
      </c>
      <c r="M1056" s="36">
        <f t="shared" si="554"/>
        <v>4.711552648404072</v>
      </c>
    </row>
    <row r="1057" spans="1:13" ht="25.5">
      <c r="A1057" s="60" t="s">
        <v>80</v>
      </c>
      <c r="B1057" s="29" t="s">
        <v>385</v>
      </c>
      <c r="C1057" s="29" t="s">
        <v>110</v>
      </c>
      <c r="D1057" s="29" t="s">
        <v>46</v>
      </c>
      <c r="E1057" s="30" t="s">
        <v>614</v>
      </c>
      <c r="F1057" s="29">
        <v>600</v>
      </c>
      <c r="G1057" s="36"/>
      <c r="H1057" s="36">
        <f>H1058</f>
        <v>3253.28</v>
      </c>
      <c r="I1057" s="36">
        <f t="shared" si="552"/>
        <v>3253.28</v>
      </c>
      <c r="J1057" s="36">
        <f t="shared" si="552"/>
        <v>3253.28</v>
      </c>
      <c r="K1057" s="36">
        <f t="shared" si="552"/>
        <v>153.28</v>
      </c>
      <c r="L1057" s="36">
        <f t="shared" si="553"/>
        <v>4.711552648404072</v>
      </c>
      <c r="M1057" s="36">
        <f t="shared" si="554"/>
        <v>4.711552648404072</v>
      </c>
    </row>
    <row r="1058" spans="1:13" ht="38.25">
      <c r="A1058" s="60" t="s">
        <v>195</v>
      </c>
      <c r="B1058" s="29" t="s">
        <v>385</v>
      </c>
      <c r="C1058" s="29" t="s">
        <v>110</v>
      </c>
      <c r="D1058" s="29" t="s">
        <v>46</v>
      </c>
      <c r="E1058" s="30" t="s">
        <v>614</v>
      </c>
      <c r="F1058" s="29">
        <v>630</v>
      </c>
      <c r="G1058" s="36"/>
      <c r="H1058" s="36">
        <v>3253.28</v>
      </c>
      <c r="I1058" s="36">
        <v>3253.28</v>
      </c>
      <c r="J1058" s="36">
        <v>3253.28</v>
      </c>
      <c r="K1058" s="36">
        <v>153.28</v>
      </c>
      <c r="L1058" s="36">
        <f t="shared" si="553"/>
        <v>4.711552648404072</v>
      </c>
      <c r="M1058" s="36">
        <f t="shared" si="554"/>
        <v>4.711552648404072</v>
      </c>
    </row>
    <row r="1059" spans="1:13">
      <c r="A1059" s="61" t="s">
        <v>0</v>
      </c>
      <c r="B1059" s="59" t="s">
        <v>0</v>
      </c>
      <c r="C1059" s="59" t="s">
        <v>0</v>
      </c>
      <c r="D1059" s="59" t="s">
        <v>0</v>
      </c>
      <c r="E1059" s="59" t="s">
        <v>0</v>
      </c>
      <c r="F1059" s="59" t="s">
        <v>0</v>
      </c>
      <c r="G1059" s="62" t="s">
        <v>0</v>
      </c>
      <c r="H1059" s="62" t="s">
        <v>0</v>
      </c>
      <c r="I1059" s="62" t="s">
        <v>0</v>
      </c>
      <c r="J1059" s="62" t="s">
        <v>0</v>
      </c>
      <c r="K1059" s="62" t="s">
        <v>0</v>
      </c>
      <c r="L1059" s="62"/>
      <c r="M1059" s="62"/>
    </row>
    <row r="1060" spans="1:13">
      <c r="A1060" s="60" t="s">
        <v>147</v>
      </c>
      <c r="B1060" s="29" t="s">
        <v>385</v>
      </c>
      <c r="C1060" s="29" t="s">
        <v>148</v>
      </c>
      <c r="D1060" s="59" t="s">
        <v>0</v>
      </c>
      <c r="E1060" s="59" t="s">
        <v>0</v>
      </c>
      <c r="F1060" s="59" t="s">
        <v>0</v>
      </c>
      <c r="G1060" s="36">
        <f>G1061+G1101</f>
        <v>1182369.6000000001</v>
      </c>
      <c r="H1060" s="36">
        <f t="shared" ref="H1060:K1060" si="555">H1061+H1101</f>
        <v>1182369.554645</v>
      </c>
      <c r="I1060" s="36">
        <f t="shared" si="555"/>
        <v>553029.01367999997</v>
      </c>
      <c r="J1060" s="36">
        <f t="shared" si="555"/>
        <v>553029.01367999997</v>
      </c>
      <c r="K1060" s="36">
        <f t="shared" si="555"/>
        <v>509726.34032000002</v>
      </c>
      <c r="L1060" s="36">
        <f t="shared" si="549"/>
        <v>43.110577257128597</v>
      </c>
      <c r="M1060" s="36">
        <f t="shared" si="550"/>
        <v>92.169909301529657</v>
      </c>
    </row>
    <row r="1061" spans="1:13">
      <c r="A1061" s="60" t="s">
        <v>454</v>
      </c>
      <c r="B1061" s="29" t="s">
        <v>385</v>
      </c>
      <c r="C1061" s="29" t="s">
        <v>148</v>
      </c>
      <c r="D1061" s="29" t="s">
        <v>19</v>
      </c>
      <c r="E1061" s="59" t="s">
        <v>0</v>
      </c>
      <c r="F1061" s="59" t="s">
        <v>0</v>
      </c>
      <c r="G1061" s="36">
        <f>G1062</f>
        <v>1072545.8</v>
      </c>
      <c r="H1061" s="36">
        <f t="shared" ref="H1061:K1061" si="556">H1062</f>
        <v>1072545.754645</v>
      </c>
      <c r="I1061" s="36">
        <f t="shared" si="556"/>
        <v>498078.74368000001</v>
      </c>
      <c r="J1061" s="36">
        <f t="shared" si="556"/>
        <v>498078.74368000001</v>
      </c>
      <c r="K1061" s="36">
        <f t="shared" si="556"/>
        <v>460261.37083000003</v>
      </c>
      <c r="L1061" s="36">
        <f t="shared" si="549"/>
        <v>42.91298239135179</v>
      </c>
      <c r="M1061" s="36">
        <f t="shared" si="550"/>
        <v>92.407350578627288</v>
      </c>
    </row>
    <row r="1062" spans="1:13" ht="38.25">
      <c r="A1062" s="60" t="s">
        <v>112</v>
      </c>
      <c r="B1062" s="29" t="s">
        <v>385</v>
      </c>
      <c r="C1062" s="29" t="s">
        <v>148</v>
      </c>
      <c r="D1062" s="29" t="s">
        <v>19</v>
      </c>
      <c r="E1062" s="29" t="s">
        <v>113</v>
      </c>
      <c r="F1062" s="59" t="s">
        <v>0</v>
      </c>
      <c r="G1062" s="36">
        <f>G1063+G1070</f>
        <v>1072545.8</v>
      </c>
      <c r="H1062" s="36">
        <f t="shared" ref="H1062:K1062" si="557">H1063+H1070</f>
        <v>1072545.754645</v>
      </c>
      <c r="I1062" s="36">
        <f t="shared" si="557"/>
        <v>498078.74368000001</v>
      </c>
      <c r="J1062" s="36">
        <f t="shared" si="557"/>
        <v>498078.74368000001</v>
      </c>
      <c r="K1062" s="36">
        <f t="shared" si="557"/>
        <v>460261.37083000003</v>
      </c>
      <c r="L1062" s="36">
        <f t="shared" si="549"/>
        <v>42.91298239135179</v>
      </c>
      <c r="M1062" s="36">
        <f t="shared" si="550"/>
        <v>92.407350578627288</v>
      </c>
    </row>
    <row r="1063" spans="1:13" ht="25.5">
      <c r="A1063" s="60" t="s">
        <v>395</v>
      </c>
      <c r="B1063" s="29" t="s">
        <v>385</v>
      </c>
      <c r="C1063" s="29" t="s">
        <v>148</v>
      </c>
      <c r="D1063" s="29" t="s">
        <v>19</v>
      </c>
      <c r="E1063" s="29" t="s">
        <v>396</v>
      </c>
      <c r="F1063" s="59" t="s">
        <v>0</v>
      </c>
      <c r="G1063" s="36">
        <f>G1064+G1067</f>
        <v>391191.3</v>
      </c>
      <c r="H1063" s="36">
        <f t="shared" ref="H1063:K1063" si="558">H1064+H1067</f>
        <v>391191.3</v>
      </c>
      <c r="I1063" s="36">
        <f t="shared" si="558"/>
        <v>217884.30499999999</v>
      </c>
      <c r="J1063" s="36">
        <f t="shared" si="558"/>
        <v>217884.30499999999</v>
      </c>
      <c r="K1063" s="36">
        <f t="shared" si="558"/>
        <v>203993.21283</v>
      </c>
      <c r="L1063" s="36">
        <f t="shared" si="549"/>
        <v>52.146664005564546</v>
      </c>
      <c r="M1063" s="36">
        <f t="shared" si="550"/>
        <v>93.624555853162533</v>
      </c>
    </row>
    <row r="1064" spans="1:13" ht="63.75">
      <c r="A1064" s="60" t="s">
        <v>455</v>
      </c>
      <c r="B1064" s="29" t="s">
        <v>385</v>
      </c>
      <c r="C1064" s="29" t="s">
        <v>148</v>
      </c>
      <c r="D1064" s="29" t="s">
        <v>19</v>
      </c>
      <c r="E1064" s="29" t="s">
        <v>456</v>
      </c>
      <c r="F1064" s="59" t="s">
        <v>0</v>
      </c>
      <c r="G1064" s="36">
        <f>G1065</f>
        <v>2691.1</v>
      </c>
      <c r="H1064" s="36">
        <f t="shared" ref="H1064:K1065" si="559">H1065</f>
        <v>2691.1</v>
      </c>
      <c r="I1064" s="36">
        <f t="shared" si="559"/>
        <v>1278.5899999999999</v>
      </c>
      <c r="J1064" s="36">
        <f t="shared" si="559"/>
        <v>1278.5899999999999</v>
      </c>
      <c r="K1064" s="36">
        <f t="shared" si="559"/>
        <v>1278.5899999999999</v>
      </c>
      <c r="L1064" s="36">
        <f t="shared" si="549"/>
        <v>47.511798149455615</v>
      </c>
      <c r="M1064" s="36">
        <f t="shared" si="550"/>
        <v>100</v>
      </c>
    </row>
    <row r="1065" spans="1:13">
      <c r="A1065" s="60" t="s">
        <v>26</v>
      </c>
      <c r="B1065" s="29" t="s">
        <v>385</v>
      </c>
      <c r="C1065" s="29" t="s">
        <v>148</v>
      </c>
      <c r="D1065" s="29" t="s">
        <v>19</v>
      </c>
      <c r="E1065" s="29" t="s">
        <v>456</v>
      </c>
      <c r="F1065" s="29" t="s">
        <v>27</v>
      </c>
      <c r="G1065" s="36">
        <f>G1066</f>
        <v>2691.1</v>
      </c>
      <c r="H1065" s="36">
        <f t="shared" si="559"/>
        <v>2691.1</v>
      </c>
      <c r="I1065" s="36">
        <f t="shared" si="559"/>
        <v>1278.5899999999999</v>
      </c>
      <c r="J1065" s="36">
        <f t="shared" si="559"/>
        <v>1278.5899999999999</v>
      </c>
      <c r="K1065" s="36">
        <f t="shared" si="559"/>
        <v>1278.5899999999999</v>
      </c>
      <c r="L1065" s="36">
        <f t="shared" si="549"/>
        <v>47.511798149455615</v>
      </c>
      <c r="M1065" s="36">
        <f t="shared" si="550"/>
        <v>100</v>
      </c>
    </row>
    <row r="1066" spans="1:13">
      <c r="A1066" s="60" t="s">
        <v>56</v>
      </c>
      <c r="B1066" s="29" t="s">
        <v>385</v>
      </c>
      <c r="C1066" s="29" t="s">
        <v>148</v>
      </c>
      <c r="D1066" s="29" t="s">
        <v>19</v>
      </c>
      <c r="E1066" s="29" t="s">
        <v>456</v>
      </c>
      <c r="F1066" s="29" t="s">
        <v>57</v>
      </c>
      <c r="G1066" s="36">
        <v>2691.1</v>
      </c>
      <c r="H1066" s="36">
        <v>2691.1</v>
      </c>
      <c r="I1066" s="36">
        <v>1278.5899999999999</v>
      </c>
      <c r="J1066" s="36">
        <v>1278.5899999999999</v>
      </c>
      <c r="K1066" s="36">
        <v>1278.5899999999999</v>
      </c>
      <c r="L1066" s="36">
        <f t="shared" si="549"/>
        <v>47.511798149455615</v>
      </c>
      <c r="M1066" s="36">
        <f t="shared" si="550"/>
        <v>100</v>
      </c>
    </row>
    <row r="1067" spans="1:13" ht="51">
      <c r="A1067" s="60" t="s">
        <v>457</v>
      </c>
      <c r="B1067" s="29" t="s">
        <v>385</v>
      </c>
      <c r="C1067" s="29" t="s">
        <v>148</v>
      </c>
      <c r="D1067" s="29" t="s">
        <v>19</v>
      </c>
      <c r="E1067" s="29" t="s">
        <v>458</v>
      </c>
      <c r="F1067" s="59" t="s">
        <v>0</v>
      </c>
      <c r="G1067" s="36">
        <f>G1068</f>
        <v>388500.2</v>
      </c>
      <c r="H1067" s="36">
        <f t="shared" ref="H1067:K1068" si="560">H1068</f>
        <v>388500.2</v>
      </c>
      <c r="I1067" s="36">
        <f t="shared" si="560"/>
        <v>216605.715</v>
      </c>
      <c r="J1067" s="36">
        <f t="shared" si="560"/>
        <v>216605.715</v>
      </c>
      <c r="K1067" s="36">
        <f t="shared" si="560"/>
        <v>202714.62283000001</v>
      </c>
      <c r="L1067" s="36">
        <f t="shared" si="549"/>
        <v>52.178769233580837</v>
      </c>
      <c r="M1067" s="36">
        <f t="shared" si="550"/>
        <v>93.586922593432035</v>
      </c>
    </row>
    <row r="1068" spans="1:13">
      <c r="A1068" s="60" t="s">
        <v>26</v>
      </c>
      <c r="B1068" s="29" t="s">
        <v>385</v>
      </c>
      <c r="C1068" s="29" t="s">
        <v>148</v>
      </c>
      <c r="D1068" s="29" t="s">
        <v>19</v>
      </c>
      <c r="E1068" s="29" t="s">
        <v>458</v>
      </c>
      <c r="F1068" s="29" t="s">
        <v>27</v>
      </c>
      <c r="G1068" s="36">
        <f>G1069</f>
        <v>388500.2</v>
      </c>
      <c r="H1068" s="36">
        <f t="shared" si="560"/>
        <v>388500.2</v>
      </c>
      <c r="I1068" s="36">
        <f t="shared" si="560"/>
        <v>216605.715</v>
      </c>
      <c r="J1068" s="36">
        <f t="shared" si="560"/>
        <v>216605.715</v>
      </c>
      <c r="K1068" s="36">
        <f t="shared" si="560"/>
        <v>202714.62283000001</v>
      </c>
      <c r="L1068" s="36">
        <f t="shared" si="549"/>
        <v>52.178769233580837</v>
      </c>
      <c r="M1068" s="36">
        <f t="shared" si="550"/>
        <v>93.586922593432035</v>
      </c>
    </row>
    <row r="1069" spans="1:13">
      <c r="A1069" s="60" t="s">
        <v>28</v>
      </c>
      <c r="B1069" s="29" t="s">
        <v>385</v>
      </c>
      <c r="C1069" s="29" t="s">
        <v>148</v>
      </c>
      <c r="D1069" s="29" t="s">
        <v>19</v>
      </c>
      <c r="E1069" s="29" t="s">
        <v>458</v>
      </c>
      <c r="F1069" s="29" t="s">
        <v>29</v>
      </c>
      <c r="G1069" s="36">
        <v>388500.2</v>
      </c>
      <c r="H1069" s="36">
        <v>388500.2</v>
      </c>
      <c r="I1069" s="36">
        <v>216605.715</v>
      </c>
      <c r="J1069" s="36">
        <v>216605.715</v>
      </c>
      <c r="K1069" s="36">
        <v>202714.62283000001</v>
      </c>
      <c r="L1069" s="36">
        <f t="shared" si="549"/>
        <v>52.178769233580837</v>
      </c>
      <c r="M1069" s="36">
        <f t="shared" si="550"/>
        <v>93.586922593432035</v>
      </c>
    </row>
    <row r="1070" spans="1:13" ht="76.5">
      <c r="A1070" s="60" t="s">
        <v>400</v>
      </c>
      <c r="B1070" s="29" t="s">
        <v>385</v>
      </c>
      <c r="C1070" s="29" t="s">
        <v>148</v>
      </c>
      <c r="D1070" s="29" t="s">
        <v>19</v>
      </c>
      <c r="E1070" s="29" t="s">
        <v>401</v>
      </c>
      <c r="F1070" s="59" t="s">
        <v>0</v>
      </c>
      <c r="G1070" s="36">
        <f>G1071+G1074+G1079+G1084+G1087++G1092+G1095+G1098</f>
        <v>681354.5</v>
      </c>
      <c r="H1070" s="36">
        <f t="shared" ref="H1070:K1070" si="561">H1071+H1074+H1079+H1084+H1087++H1092+H1095+H1098</f>
        <v>681354.45464500005</v>
      </c>
      <c r="I1070" s="36">
        <f t="shared" si="561"/>
        <v>280194.43868000002</v>
      </c>
      <c r="J1070" s="36">
        <f t="shared" si="561"/>
        <v>280194.43868000002</v>
      </c>
      <c r="K1070" s="36">
        <f t="shared" si="561"/>
        <v>256268.158</v>
      </c>
      <c r="L1070" s="36">
        <f t="shared" si="549"/>
        <v>37.611577388676658</v>
      </c>
      <c r="M1070" s="36">
        <f t="shared" si="550"/>
        <v>91.460829560816023</v>
      </c>
    </row>
    <row r="1071" spans="1:13" ht="51">
      <c r="A1071" s="60" t="s">
        <v>459</v>
      </c>
      <c r="B1071" s="29" t="s">
        <v>385</v>
      </c>
      <c r="C1071" s="29" t="s">
        <v>148</v>
      </c>
      <c r="D1071" s="29" t="s">
        <v>19</v>
      </c>
      <c r="E1071" s="29" t="s">
        <v>460</v>
      </c>
      <c r="F1071" s="59" t="s">
        <v>0</v>
      </c>
      <c r="G1071" s="36">
        <f>G1072</f>
        <v>88281.2</v>
      </c>
      <c r="H1071" s="36">
        <f t="shared" ref="H1071:K1072" si="562">H1072</f>
        <v>88281.2</v>
      </c>
      <c r="I1071" s="36">
        <f t="shared" si="562"/>
        <v>5001.0079999999998</v>
      </c>
      <c r="J1071" s="36">
        <f t="shared" si="562"/>
        <v>5001.0079999999998</v>
      </c>
      <c r="K1071" s="36">
        <f t="shared" si="562"/>
        <v>4999.3580000000002</v>
      </c>
      <c r="L1071" s="36">
        <f t="shared" si="549"/>
        <v>5.6629928002791079</v>
      </c>
      <c r="M1071" s="36">
        <f t="shared" si="550"/>
        <v>99.967006651459073</v>
      </c>
    </row>
    <row r="1072" spans="1:13">
      <c r="A1072" s="60" t="s">
        <v>26</v>
      </c>
      <c r="B1072" s="29" t="s">
        <v>385</v>
      </c>
      <c r="C1072" s="29" t="s">
        <v>148</v>
      </c>
      <c r="D1072" s="29" t="s">
        <v>19</v>
      </c>
      <c r="E1072" s="29" t="s">
        <v>460</v>
      </c>
      <c r="F1072" s="29" t="s">
        <v>27</v>
      </c>
      <c r="G1072" s="36">
        <f>G1073</f>
        <v>88281.2</v>
      </c>
      <c r="H1072" s="36">
        <f t="shared" si="562"/>
        <v>88281.2</v>
      </c>
      <c r="I1072" s="36">
        <f t="shared" si="562"/>
        <v>5001.0079999999998</v>
      </c>
      <c r="J1072" s="36">
        <f t="shared" si="562"/>
        <v>5001.0079999999998</v>
      </c>
      <c r="K1072" s="36">
        <f t="shared" si="562"/>
        <v>4999.3580000000002</v>
      </c>
      <c r="L1072" s="36">
        <f t="shared" si="549"/>
        <v>5.6629928002791079</v>
      </c>
      <c r="M1072" s="36">
        <f t="shared" si="550"/>
        <v>99.967006651459073</v>
      </c>
    </row>
    <row r="1073" spans="1:13">
      <c r="A1073" s="60" t="s">
        <v>28</v>
      </c>
      <c r="B1073" s="29" t="s">
        <v>385</v>
      </c>
      <c r="C1073" s="29" t="s">
        <v>148</v>
      </c>
      <c r="D1073" s="29" t="s">
        <v>19</v>
      </c>
      <c r="E1073" s="29" t="s">
        <v>460</v>
      </c>
      <c r="F1073" s="29" t="s">
        <v>29</v>
      </c>
      <c r="G1073" s="36">
        <v>88281.2</v>
      </c>
      <c r="H1073" s="36">
        <v>88281.2</v>
      </c>
      <c r="I1073" s="36">
        <v>5001.0079999999998</v>
      </c>
      <c r="J1073" s="36">
        <v>5001.0079999999998</v>
      </c>
      <c r="K1073" s="36">
        <v>4999.3580000000002</v>
      </c>
      <c r="L1073" s="36">
        <f t="shared" si="549"/>
        <v>5.6629928002791079</v>
      </c>
      <c r="M1073" s="36">
        <f t="shared" si="550"/>
        <v>99.967006651459073</v>
      </c>
    </row>
    <row r="1074" spans="1:13" ht="38.25">
      <c r="A1074" s="60" t="s">
        <v>461</v>
      </c>
      <c r="B1074" s="29" t="s">
        <v>385</v>
      </c>
      <c r="C1074" s="29" t="s">
        <v>148</v>
      </c>
      <c r="D1074" s="29" t="s">
        <v>19</v>
      </c>
      <c r="E1074" s="29" t="s">
        <v>462</v>
      </c>
      <c r="F1074" s="59" t="s">
        <v>0</v>
      </c>
      <c r="G1074" s="36">
        <f>G1075+G1077</f>
        <v>8494.4</v>
      </c>
      <c r="H1074" s="36">
        <f t="shared" ref="H1074:K1074" si="563">H1075+H1077</f>
        <v>8494.4</v>
      </c>
      <c r="I1074" s="36">
        <f t="shared" si="563"/>
        <v>4953.3822200000004</v>
      </c>
      <c r="J1074" s="36">
        <f t="shared" si="563"/>
        <v>4953.3822200000004</v>
      </c>
      <c r="K1074" s="36">
        <f t="shared" si="563"/>
        <v>4950.9833000000008</v>
      </c>
      <c r="L1074" s="36">
        <f t="shared" si="549"/>
        <v>58.285262055000956</v>
      </c>
      <c r="M1074" s="36">
        <f t="shared" si="550"/>
        <v>99.951570060749333</v>
      </c>
    </row>
    <row r="1075" spans="1:13" ht="25.5">
      <c r="A1075" s="60" t="s">
        <v>64</v>
      </c>
      <c r="B1075" s="29" t="s">
        <v>385</v>
      </c>
      <c r="C1075" s="29" t="s">
        <v>148</v>
      </c>
      <c r="D1075" s="29" t="s">
        <v>19</v>
      </c>
      <c r="E1075" s="29" t="s">
        <v>462</v>
      </c>
      <c r="F1075" s="29" t="s">
        <v>65</v>
      </c>
      <c r="G1075" s="36">
        <f>G1076</f>
        <v>122.6</v>
      </c>
      <c r="H1075" s="36">
        <f t="shared" ref="H1075:K1075" si="564">H1076</f>
        <v>122.6</v>
      </c>
      <c r="I1075" s="36">
        <f t="shared" si="564"/>
        <v>7</v>
      </c>
      <c r="J1075" s="36">
        <f t="shared" si="564"/>
        <v>7</v>
      </c>
      <c r="K1075" s="36">
        <f t="shared" si="564"/>
        <v>4.6010799999999996</v>
      </c>
      <c r="L1075" s="36">
        <f t="shared" si="549"/>
        <v>3.7529200652528543</v>
      </c>
      <c r="M1075" s="36">
        <f t="shared" si="550"/>
        <v>65.72971428571428</v>
      </c>
    </row>
    <row r="1076" spans="1:13" ht="25.5">
      <c r="A1076" s="60" t="s">
        <v>66</v>
      </c>
      <c r="B1076" s="29" t="s">
        <v>385</v>
      </c>
      <c r="C1076" s="29" t="s">
        <v>148</v>
      </c>
      <c r="D1076" s="29" t="s">
        <v>19</v>
      </c>
      <c r="E1076" s="29" t="s">
        <v>462</v>
      </c>
      <c r="F1076" s="29" t="s">
        <v>67</v>
      </c>
      <c r="G1076" s="36">
        <v>122.6</v>
      </c>
      <c r="H1076" s="36">
        <v>122.6</v>
      </c>
      <c r="I1076" s="36">
        <v>7</v>
      </c>
      <c r="J1076" s="36">
        <v>7</v>
      </c>
      <c r="K1076" s="36">
        <v>4.6010799999999996</v>
      </c>
      <c r="L1076" s="36">
        <f t="shared" si="549"/>
        <v>3.7529200652528543</v>
      </c>
      <c r="M1076" s="36">
        <f t="shared" si="550"/>
        <v>65.72971428571428</v>
      </c>
    </row>
    <row r="1077" spans="1:13">
      <c r="A1077" s="60" t="s">
        <v>68</v>
      </c>
      <c r="B1077" s="29" t="s">
        <v>385</v>
      </c>
      <c r="C1077" s="29" t="s">
        <v>148</v>
      </c>
      <c r="D1077" s="29" t="s">
        <v>19</v>
      </c>
      <c r="E1077" s="29" t="s">
        <v>462</v>
      </c>
      <c r="F1077" s="29" t="s">
        <v>69</v>
      </c>
      <c r="G1077" s="36">
        <f>G1078</f>
        <v>8371.7999999999993</v>
      </c>
      <c r="H1077" s="36">
        <f t="shared" ref="H1077:K1077" si="565">H1078</f>
        <v>8371.7999999999993</v>
      </c>
      <c r="I1077" s="36">
        <f t="shared" si="565"/>
        <v>4946.3822200000004</v>
      </c>
      <c r="J1077" s="36">
        <f t="shared" si="565"/>
        <v>4946.3822200000004</v>
      </c>
      <c r="K1077" s="36">
        <f t="shared" si="565"/>
        <v>4946.3822200000004</v>
      </c>
      <c r="L1077" s="36">
        <f t="shared" si="549"/>
        <v>59.083855562722491</v>
      </c>
      <c r="M1077" s="36">
        <f t="shared" si="550"/>
        <v>100</v>
      </c>
    </row>
    <row r="1078" spans="1:13" ht="25.5">
      <c r="A1078" s="60" t="s">
        <v>463</v>
      </c>
      <c r="B1078" s="29" t="s">
        <v>385</v>
      </c>
      <c r="C1078" s="29" t="s">
        <v>148</v>
      </c>
      <c r="D1078" s="29" t="s">
        <v>19</v>
      </c>
      <c r="E1078" s="29" t="s">
        <v>462</v>
      </c>
      <c r="F1078" s="29" t="s">
        <v>464</v>
      </c>
      <c r="G1078" s="36">
        <v>8371.7999999999993</v>
      </c>
      <c r="H1078" s="36">
        <v>8371.7999999999993</v>
      </c>
      <c r="I1078" s="36">
        <v>4946.3822200000004</v>
      </c>
      <c r="J1078" s="36">
        <v>4946.3822200000004</v>
      </c>
      <c r="K1078" s="36">
        <v>4946.3822200000004</v>
      </c>
      <c r="L1078" s="36">
        <f t="shared" si="549"/>
        <v>59.083855562722491</v>
      </c>
      <c r="M1078" s="36">
        <f t="shared" si="550"/>
        <v>100</v>
      </c>
    </row>
    <row r="1079" spans="1:13" ht="25.5">
      <c r="A1079" s="60" t="s">
        <v>465</v>
      </c>
      <c r="B1079" s="29" t="s">
        <v>385</v>
      </c>
      <c r="C1079" s="29" t="s">
        <v>148</v>
      </c>
      <c r="D1079" s="29" t="s">
        <v>19</v>
      </c>
      <c r="E1079" s="29" t="s">
        <v>466</v>
      </c>
      <c r="F1079" s="59" t="s">
        <v>0</v>
      </c>
      <c r="G1079" s="36">
        <f>G1080+G1082</f>
        <v>138474.69999999998</v>
      </c>
      <c r="H1079" s="36">
        <f t="shared" ref="H1079:K1079" si="566">H1080+H1082</f>
        <v>138474.69999999998</v>
      </c>
      <c r="I1079" s="36">
        <f t="shared" si="566"/>
        <v>55566.7</v>
      </c>
      <c r="J1079" s="36">
        <f t="shared" si="566"/>
        <v>55566.7</v>
      </c>
      <c r="K1079" s="36">
        <f t="shared" si="566"/>
        <v>55433.659099999997</v>
      </c>
      <c r="L1079" s="36">
        <f t="shared" si="549"/>
        <v>40.031615233685294</v>
      </c>
      <c r="M1079" s="36">
        <f t="shared" si="550"/>
        <v>99.760574408773593</v>
      </c>
    </row>
    <row r="1080" spans="1:13" ht="25.5">
      <c r="A1080" s="60" t="s">
        <v>64</v>
      </c>
      <c r="B1080" s="29" t="s">
        <v>385</v>
      </c>
      <c r="C1080" s="29" t="s">
        <v>148</v>
      </c>
      <c r="D1080" s="29" t="s">
        <v>19</v>
      </c>
      <c r="E1080" s="29" t="s">
        <v>466</v>
      </c>
      <c r="F1080" s="29" t="s">
        <v>65</v>
      </c>
      <c r="G1080" s="36">
        <f>G1081</f>
        <v>810.4</v>
      </c>
      <c r="H1080" s="36">
        <f t="shared" ref="H1080:K1080" si="567">H1081</f>
        <v>810.4</v>
      </c>
      <c r="I1080" s="36">
        <f t="shared" si="567"/>
        <v>291.10000000000002</v>
      </c>
      <c r="J1080" s="36">
        <f t="shared" si="567"/>
        <v>291.10000000000002</v>
      </c>
      <c r="K1080" s="36">
        <f t="shared" si="567"/>
        <v>264.78622999999999</v>
      </c>
      <c r="L1080" s="36">
        <f t="shared" si="549"/>
        <v>32.673522951628826</v>
      </c>
      <c r="M1080" s="36">
        <f t="shared" si="550"/>
        <v>90.960573686018549</v>
      </c>
    </row>
    <row r="1081" spans="1:13" ht="25.5">
      <c r="A1081" s="60" t="s">
        <v>66</v>
      </c>
      <c r="B1081" s="29" t="s">
        <v>385</v>
      </c>
      <c r="C1081" s="29" t="s">
        <v>148</v>
      </c>
      <c r="D1081" s="29" t="s">
        <v>19</v>
      </c>
      <c r="E1081" s="29" t="s">
        <v>466</v>
      </c>
      <c r="F1081" s="29" t="s">
        <v>67</v>
      </c>
      <c r="G1081" s="36">
        <v>810.4</v>
      </c>
      <c r="H1081" s="36">
        <v>810.4</v>
      </c>
      <c r="I1081" s="36">
        <v>291.10000000000002</v>
      </c>
      <c r="J1081" s="36">
        <v>291.10000000000002</v>
      </c>
      <c r="K1081" s="36">
        <v>264.78622999999999</v>
      </c>
      <c r="L1081" s="36">
        <f t="shared" si="549"/>
        <v>32.673522951628826</v>
      </c>
      <c r="M1081" s="36">
        <f t="shared" si="550"/>
        <v>90.960573686018549</v>
      </c>
    </row>
    <row r="1082" spans="1:13">
      <c r="A1082" s="60" t="s">
        <v>68</v>
      </c>
      <c r="B1082" s="29" t="s">
        <v>385</v>
      </c>
      <c r="C1082" s="29" t="s">
        <v>148</v>
      </c>
      <c r="D1082" s="29" t="s">
        <v>19</v>
      </c>
      <c r="E1082" s="29" t="s">
        <v>466</v>
      </c>
      <c r="F1082" s="29" t="s">
        <v>69</v>
      </c>
      <c r="G1082" s="36">
        <f>G1083</f>
        <v>137664.29999999999</v>
      </c>
      <c r="H1082" s="36">
        <f t="shared" ref="H1082:K1082" si="568">H1083</f>
        <v>137664.29999999999</v>
      </c>
      <c r="I1082" s="36">
        <f t="shared" si="568"/>
        <v>55275.6</v>
      </c>
      <c r="J1082" s="36">
        <f t="shared" si="568"/>
        <v>55275.6</v>
      </c>
      <c r="K1082" s="36">
        <f t="shared" si="568"/>
        <v>55168.872869999999</v>
      </c>
      <c r="L1082" s="36">
        <f t="shared" si="549"/>
        <v>40.074930733676055</v>
      </c>
      <c r="M1082" s="36">
        <f t="shared" si="550"/>
        <v>99.806918188133636</v>
      </c>
    </row>
    <row r="1083" spans="1:13" ht="25.5">
      <c r="A1083" s="60" t="s">
        <v>463</v>
      </c>
      <c r="B1083" s="29" t="s">
        <v>385</v>
      </c>
      <c r="C1083" s="29" t="s">
        <v>148</v>
      </c>
      <c r="D1083" s="29" t="s">
        <v>19</v>
      </c>
      <c r="E1083" s="29" t="s">
        <v>466</v>
      </c>
      <c r="F1083" s="29" t="s">
        <v>464</v>
      </c>
      <c r="G1083" s="36">
        <v>137664.29999999999</v>
      </c>
      <c r="H1083" s="36">
        <v>137664.29999999999</v>
      </c>
      <c r="I1083" s="36">
        <v>55275.6</v>
      </c>
      <c r="J1083" s="36">
        <v>55275.6</v>
      </c>
      <c r="K1083" s="36">
        <v>55168.872869999999</v>
      </c>
      <c r="L1083" s="36">
        <f t="shared" si="549"/>
        <v>40.074930733676055</v>
      </c>
      <c r="M1083" s="36">
        <f t="shared" si="550"/>
        <v>99.806918188133636</v>
      </c>
    </row>
    <row r="1084" spans="1:13">
      <c r="A1084" s="60" t="s">
        <v>467</v>
      </c>
      <c r="B1084" s="29" t="s">
        <v>385</v>
      </c>
      <c r="C1084" s="29" t="s">
        <v>148</v>
      </c>
      <c r="D1084" s="29" t="s">
        <v>19</v>
      </c>
      <c r="E1084" s="29" t="s">
        <v>468</v>
      </c>
      <c r="F1084" s="59" t="s">
        <v>0</v>
      </c>
      <c r="G1084" s="36">
        <f>G1085</f>
        <v>184654.3</v>
      </c>
      <c r="H1084" s="36">
        <f t="shared" ref="H1084:K1085" si="569">H1085</f>
        <v>184654.3</v>
      </c>
      <c r="I1084" s="36">
        <f t="shared" si="569"/>
        <v>79610</v>
      </c>
      <c r="J1084" s="36">
        <f t="shared" si="569"/>
        <v>79610</v>
      </c>
      <c r="K1084" s="36">
        <f t="shared" si="569"/>
        <v>76430.117580000006</v>
      </c>
      <c r="L1084" s="36">
        <f t="shared" si="549"/>
        <v>41.390922161032812</v>
      </c>
      <c r="M1084" s="36">
        <f t="shared" si="550"/>
        <v>96.005674638864463</v>
      </c>
    </row>
    <row r="1085" spans="1:13" ht="25.5">
      <c r="A1085" s="60" t="s">
        <v>64</v>
      </c>
      <c r="B1085" s="29" t="s">
        <v>385</v>
      </c>
      <c r="C1085" s="29" t="s">
        <v>148</v>
      </c>
      <c r="D1085" s="29" t="s">
        <v>19</v>
      </c>
      <c r="E1085" s="29" t="s">
        <v>468</v>
      </c>
      <c r="F1085" s="29" t="s">
        <v>65</v>
      </c>
      <c r="G1085" s="36">
        <f>G1086</f>
        <v>184654.3</v>
      </c>
      <c r="H1085" s="36">
        <f t="shared" si="569"/>
        <v>184654.3</v>
      </c>
      <c r="I1085" s="36">
        <f t="shared" si="569"/>
        <v>79610</v>
      </c>
      <c r="J1085" s="36">
        <f t="shared" si="569"/>
        <v>79610</v>
      </c>
      <c r="K1085" s="36">
        <f t="shared" si="569"/>
        <v>76430.117580000006</v>
      </c>
      <c r="L1085" s="36">
        <f t="shared" si="549"/>
        <v>41.390922161032812</v>
      </c>
      <c r="M1085" s="36">
        <f t="shared" si="550"/>
        <v>96.005674638864463</v>
      </c>
    </row>
    <row r="1086" spans="1:13" ht="25.5">
      <c r="A1086" s="60" t="s">
        <v>66</v>
      </c>
      <c r="B1086" s="29" t="s">
        <v>385</v>
      </c>
      <c r="C1086" s="29" t="s">
        <v>148</v>
      </c>
      <c r="D1086" s="29" t="s">
        <v>19</v>
      </c>
      <c r="E1086" s="29" t="s">
        <v>468</v>
      </c>
      <c r="F1086" s="29" t="s">
        <v>67</v>
      </c>
      <c r="G1086" s="36">
        <v>184654.3</v>
      </c>
      <c r="H1086" s="36">
        <v>184654.3</v>
      </c>
      <c r="I1086" s="36">
        <v>79610</v>
      </c>
      <c r="J1086" s="36">
        <v>79610</v>
      </c>
      <c r="K1086" s="36">
        <v>76430.117580000006</v>
      </c>
      <c r="L1086" s="36">
        <f t="shared" si="549"/>
        <v>41.390922161032812</v>
      </c>
      <c r="M1086" s="36">
        <f t="shared" si="550"/>
        <v>96.005674638864463</v>
      </c>
    </row>
    <row r="1087" spans="1:13" ht="25.5">
      <c r="A1087" s="60" t="s">
        <v>469</v>
      </c>
      <c r="B1087" s="29" t="s">
        <v>385</v>
      </c>
      <c r="C1087" s="29" t="s">
        <v>148</v>
      </c>
      <c r="D1087" s="29" t="s">
        <v>19</v>
      </c>
      <c r="E1087" s="29" t="s">
        <v>470</v>
      </c>
      <c r="F1087" s="59" t="s">
        <v>0</v>
      </c>
      <c r="G1087" s="36">
        <f>G1088+G1090</f>
        <v>158290.20000000001</v>
      </c>
      <c r="H1087" s="36">
        <f t="shared" ref="H1087:K1087" si="570">H1088+H1090</f>
        <v>158290.20000000001</v>
      </c>
      <c r="I1087" s="36">
        <f t="shared" si="570"/>
        <v>66392.2</v>
      </c>
      <c r="J1087" s="36">
        <f t="shared" si="570"/>
        <v>66392.2</v>
      </c>
      <c r="K1087" s="36">
        <f t="shared" si="570"/>
        <v>66189.243960000007</v>
      </c>
      <c r="L1087" s="36">
        <f t="shared" si="549"/>
        <v>41.815124347559106</v>
      </c>
      <c r="M1087" s="36">
        <f t="shared" si="550"/>
        <v>99.694307403580552</v>
      </c>
    </row>
    <row r="1088" spans="1:13" ht="25.5">
      <c r="A1088" s="60" t="s">
        <v>64</v>
      </c>
      <c r="B1088" s="29" t="s">
        <v>385</v>
      </c>
      <c r="C1088" s="29" t="s">
        <v>148</v>
      </c>
      <c r="D1088" s="29" t="s">
        <v>19</v>
      </c>
      <c r="E1088" s="29" t="s">
        <v>470</v>
      </c>
      <c r="F1088" s="29" t="s">
        <v>65</v>
      </c>
      <c r="G1088" s="36">
        <f>G1089</f>
        <v>1055.5999999999999</v>
      </c>
      <c r="H1088" s="36">
        <f t="shared" ref="H1088:K1088" si="571">H1089</f>
        <v>1055.5999999999999</v>
      </c>
      <c r="I1088" s="36">
        <f t="shared" si="571"/>
        <v>409.2</v>
      </c>
      <c r="J1088" s="36">
        <f t="shared" si="571"/>
        <v>409.2</v>
      </c>
      <c r="K1088" s="36">
        <f t="shared" si="571"/>
        <v>401.19812000000002</v>
      </c>
      <c r="L1088" s="36">
        <f t="shared" si="549"/>
        <v>38.006642667677156</v>
      </c>
      <c r="M1088" s="36">
        <f t="shared" si="550"/>
        <v>98.044506353861209</v>
      </c>
    </row>
    <row r="1089" spans="1:13" ht="25.5">
      <c r="A1089" s="60" t="s">
        <v>66</v>
      </c>
      <c r="B1089" s="29" t="s">
        <v>385</v>
      </c>
      <c r="C1089" s="29" t="s">
        <v>148</v>
      </c>
      <c r="D1089" s="29" t="s">
        <v>19</v>
      </c>
      <c r="E1089" s="29" t="s">
        <v>470</v>
      </c>
      <c r="F1089" s="29" t="s">
        <v>67</v>
      </c>
      <c r="G1089" s="36">
        <v>1055.5999999999999</v>
      </c>
      <c r="H1089" s="36">
        <v>1055.5999999999999</v>
      </c>
      <c r="I1089" s="36">
        <v>409.2</v>
      </c>
      <c r="J1089" s="36">
        <v>409.2</v>
      </c>
      <c r="K1089" s="36">
        <v>401.19812000000002</v>
      </c>
      <c r="L1089" s="36">
        <f t="shared" si="549"/>
        <v>38.006642667677156</v>
      </c>
      <c r="M1089" s="36">
        <f t="shared" si="550"/>
        <v>98.044506353861209</v>
      </c>
    </row>
    <row r="1090" spans="1:13">
      <c r="A1090" s="60" t="s">
        <v>68</v>
      </c>
      <c r="B1090" s="29" t="s">
        <v>385</v>
      </c>
      <c r="C1090" s="29" t="s">
        <v>148</v>
      </c>
      <c r="D1090" s="29" t="s">
        <v>19</v>
      </c>
      <c r="E1090" s="29" t="s">
        <v>470</v>
      </c>
      <c r="F1090" s="29" t="s">
        <v>69</v>
      </c>
      <c r="G1090" s="36">
        <f>G1091</f>
        <v>157234.6</v>
      </c>
      <c r="H1090" s="36">
        <f t="shared" ref="H1090:K1090" si="572">H1091</f>
        <v>157234.6</v>
      </c>
      <c r="I1090" s="36">
        <f t="shared" si="572"/>
        <v>65983</v>
      </c>
      <c r="J1090" s="36">
        <f t="shared" si="572"/>
        <v>65983</v>
      </c>
      <c r="K1090" s="36">
        <f t="shared" si="572"/>
        <v>65788.045840000006</v>
      </c>
      <c r="L1090" s="36">
        <f t="shared" si="549"/>
        <v>41.840692722848537</v>
      </c>
      <c r="M1090" s="36">
        <f t="shared" si="550"/>
        <v>99.7045388054499</v>
      </c>
    </row>
    <row r="1091" spans="1:13" ht="25.5">
      <c r="A1091" s="60" t="s">
        <v>463</v>
      </c>
      <c r="B1091" s="29" t="s">
        <v>385</v>
      </c>
      <c r="C1091" s="29" t="s">
        <v>148</v>
      </c>
      <c r="D1091" s="29" t="s">
        <v>19</v>
      </c>
      <c r="E1091" s="29" t="s">
        <v>470</v>
      </c>
      <c r="F1091" s="29" t="s">
        <v>464</v>
      </c>
      <c r="G1091" s="36">
        <v>157234.6</v>
      </c>
      <c r="H1091" s="36">
        <v>157234.6</v>
      </c>
      <c r="I1091" s="36">
        <v>65983</v>
      </c>
      <c r="J1091" s="36">
        <v>65983</v>
      </c>
      <c r="K1091" s="36">
        <v>65788.045840000006</v>
      </c>
      <c r="L1091" s="36">
        <f t="shared" si="549"/>
        <v>41.840692722848537</v>
      </c>
      <c r="M1091" s="36">
        <f t="shared" si="550"/>
        <v>99.7045388054499</v>
      </c>
    </row>
    <row r="1092" spans="1:13" ht="76.5">
      <c r="A1092" s="60" t="s">
        <v>471</v>
      </c>
      <c r="B1092" s="29" t="s">
        <v>385</v>
      </c>
      <c r="C1092" s="29" t="s">
        <v>148</v>
      </c>
      <c r="D1092" s="29" t="s">
        <v>19</v>
      </c>
      <c r="E1092" s="29" t="s">
        <v>472</v>
      </c>
      <c r="F1092" s="59" t="s">
        <v>0</v>
      </c>
      <c r="G1092" s="36">
        <f>G1093</f>
        <v>7861.8</v>
      </c>
      <c r="H1092" s="36">
        <f t="shared" ref="H1092:K1093" si="573">H1093</f>
        <v>7861.8</v>
      </c>
      <c r="I1092" s="36">
        <f t="shared" si="573"/>
        <v>2408.6825699999999</v>
      </c>
      <c r="J1092" s="36">
        <f t="shared" si="573"/>
        <v>2408.6825699999999</v>
      </c>
      <c r="K1092" s="36">
        <f t="shared" si="573"/>
        <v>2408.5654800000002</v>
      </c>
      <c r="L1092" s="36">
        <f t="shared" si="549"/>
        <v>30.636310768526293</v>
      </c>
      <c r="M1092" s="36">
        <f t="shared" si="550"/>
        <v>99.995138836413815</v>
      </c>
    </row>
    <row r="1093" spans="1:13">
      <c r="A1093" s="60" t="s">
        <v>68</v>
      </c>
      <c r="B1093" s="29" t="s">
        <v>385</v>
      </c>
      <c r="C1093" s="29" t="s">
        <v>148</v>
      </c>
      <c r="D1093" s="29" t="s">
        <v>19</v>
      </c>
      <c r="E1093" s="29" t="s">
        <v>472</v>
      </c>
      <c r="F1093" s="29" t="s">
        <v>69</v>
      </c>
      <c r="G1093" s="36">
        <f>G1094</f>
        <v>7861.8</v>
      </c>
      <c r="H1093" s="36">
        <f t="shared" si="573"/>
        <v>7861.8</v>
      </c>
      <c r="I1093" s="36">
        <f t="shared" si="573"/>
        <v>2408.6825699999999</v>
      </c>
      <c r="J1093" s="36">
        <f t="shared" si="573"/>
        <v>2408.6825699999999</v>
      </c>
      <c r="K1093" s="36">
        <f t="shared" si="573"/>
        <v>2408.5654800000002</v>
      </c>
      <c r="L1093" s="36">
        <f t="shared" si="549"/>
        <v>30.636310768526293</v>
      </c>
      <c r="M1093" s="36">
        <f t="shared" si="550"/>
        <v>99.995138836413815</v>
      </c>
    </row>
    <row r="1094" spans="1:13" ht="25.5">
      <c r="A1094" s="60" t="s">
        <v>151</v>
      </c>
      <c r="B1094" s="29" t="s">
        <v>385</v>
      </c>
      <c r="C1094" s="29" t="s">
        <v>148</v>
      </c>
      <c r="D1094" s="29" t="s">
        <v>19</v>
      </c>
      <c r="E1094" s="29" t="s">
        <v>472</v>
      </c>
      <c r="F1094" s="29" t="s">
        <v>152</v>
      </c>
      <c r="G1094" s="36">
        <v>7861.8</v>
      </c>
      <c r="H1094" s="36">
        <v>7861.8</v>
      </c>
      <c r="I1094" s="36">
        <v>2408.6825699999999</v>
      </c>
      <c r="J1094" s="36">
        <v>2408.6825699999999</v>
      </c>
      <c r="K1094" s="36">
        <v>2408.5654800000002</v>
      </c>
      <c r="L1094" s="36">
        <f t="shared" si="549"/>
        <v>30.636310768526293</v>
      </c>
      <c r="M1094" s="36">
        <f t="shared" si="550"/>
        <v>99.995138836413815</v>
      </c>
    </row>
    <row r="1095" spans="1:13" ht="76.5">
      <c r="A1095" s="60" t="s">
        <v>473</v>
      </c>
      <c r="B1095" s="29" t="s">
        <v>385</v>
      </c>
      <c r="C1095" s="29" t="s">
        <v>148</v>
      </c>
      <c r="D1095" s="29" t="s">
        <v>19</v>
      </c>
      <c r="E1095" s="29" t="s">
        <v>474</v>
      </c>
      <c r="F1095" s="59" t="s">
        <v>0</v>
      </c>
      <c r="G1095" s="36">
        <f>G1096</f>
        <v>20604.2</v>
      </c>
      <c r="H1095" s="36">
        <f t="shared" ref="H1095:K1096" si="574">H1096</f>
        <v>20604.2</v>
      </c>
      <c r="I1095" s="36">
        <f t="shared" si="574"/>
        <v>17910.475999999999</v>
      </c>
      <c r="J1095" s="36">
        <f t="shared" si="574"/>
        <v>17910.475999999999</v>
      </c>
      <c r="K1095" s="36">
        <f t="shared" si="574"/>
        <v>17902.376</v>
      </c>
      <c r="L1095" s="36">
        <f t="shared" si="549"/>
        <v>86.887023034138664</v>
      </c>
      <c r="M1095" s="36">
        <f t="shared" si="550"/>
        <v>99.954775071304653</v>
      </c>
    </row>
    <row r="1096" spans="1:13">
      <c r="A1096" s="60" t="s">
        <v>26</v>
      </c>
      <c r="B1096" s="29" t="s">
        <v>385</v>
      </c>
      <c r="C1096" s="29" t="s">
        <v>148</v>
      </c>
      <c r="D1096" s="29" t="s">
        <v>19</v>
      </c>
      <c r="E1096" s="29" t="s">
        <v>474</v>
      </c>
      <c r="F1096" s="29" t="s">
        <v>27</v>
      </c>
      <c r="G1096" s="36">
        <f>G1097</f>
        <v>20604.2</v>
      </c>
      <c r="H1096" s="36">
        <f t="shared" si="574"/>
        <v>20604.2</v>
      </c>
      <c r="I1096" s="36">
        <f t="shared" si="574"/>
        <v>17910.475999999999</v>
      </c>
      <c r="J1096" s="36">
        <f t="shared" si="574"/>
        <v>17910.475999999999</v>
      </c>
      <c r="K1096" s="36">
        <f t="shared" si="574"/>
        <v>17902.376</v>
      </c>
      <c r="L1096" s="36">
        <f t="shared" si="549"/>
        <v>86.887023034138664</v>
      </c>
      <c r="M1096" s="36">
        <f t="shared" si="550"/>
        <v>99.954775071304653</v>
      </c>
    </row>
    <row r="1097" spans="1:13">
      <c r="A1097" s="60" t="s">
        <v>28</v>
      </c>
      <c r="B1097" s="29" t="s">
        <v>385</v>
      </c>
      <c r="C1097" s="29" t="s">
        <v>148</v>
      </c>
      <c r="D1097" s="29" t="s">
        <v>19</v>
      </c>
      <c r="E1097" s="29" t="s">
        <v>474</v>
      </c>
      <c r="F1097" s="29" t="s">
        <v>29</v>
      </c>
      <c r="G1097" s="36">
        <v>20604.2</v>
      </c>
      <c r="H1097" s="36">
        <v>20604.2</v>
      </c>
      <c r="I1097" s="36">
        <v>17910.475999999999</v>
      </c>
      <c r="J1097" s="36">
        <v>17910.475999999999</v>
      </c>
      <c r="K1097" s="36">
        <v>17902.376</v>
      </c>
      <c r="L1097" s="36">
        <f t="shared" si="549"/>
        <v>86.887023034138664</v>
      </c>
      <c r="M1097" s="36">
        <f t="shared" si="550"/>
        <v>99.954775071304653</v>
      </c>
    </row>
    <row r="1098" spans="1:13" ht="51">
      <c r="A1098" s="60" t="s">
        <v>475</v>
      </c>
      <c r="B1098" s="29" t="s">
        <v>385</v>
      </c>
      <c r="C1098" s="29" t="s">
        <v>148</v>
      </c>
      <c r="D1098" s="29" t="s">
        <v>19</v>
      </c>
      <c r="E1098" s="29" t="s">
        <v>476</v>
      </c>
      <c r="F1098" s="59" t="s">
        <v>0</v>
      </c>
      <c r="G1098" s="36">
        <f>G1099</f>
        <v>74693.7</v>
      </c>
      <c r="H1098" s="36">
        <f t="shared" ref="H1098:K1099" si="575">H1099</f>
        <v>74693.654645000002</v>
      </c>
      <c r="I1098" s="36">
        <f t="shared" si="575"/>
        <v>48351.989889999997</v>
      </c>
      <c r="J1098" s="36">
        <f t="shared" si="575"/>
        <v>48351.989889999997</v>
      </c>
      <c r="K1098" s="36">
        <f t="shared" si="575"/>
        <v>27953.854579999999</v>
      </c>
      <c r="L1098" s="36">
        <f t="shared" si="549"/>
        <v>37.424671095366243</v>
      </c>
      <c r="M1098" s="36">
        <f t="shared" si="550"/>
        <v>57.813245418843294</v>
      </c>
    </row>
    <row r="1099" spans="1:13">
      <c r="A1099" s="60" t="s">
        <v>26</v>
      </c>
      <c r="B1099" s="29" t="s">
        <v>385</v>
      </c>
      <c r="C1099" s="29" t="s">
        <v>148</v>
      </c>
      <c r="D1099" s="29" t="s">
        <v>19</v>
      </c>
      <c r="E1099" s="29" t="s">
        <v>476</v>
      </c>
      <c r="F1099" s="29" t="s">
        <v>27</v>
      </c>
      <c r="G1099" s="36">
        <f>G1100</f>
        <v>74693.7</v>
      </c>
      <c r="H1099" s="36">
        <f t="shared" si="575"/>
        <v>74693.654645000002</v>
      </c>
      <c r="I1099" s="36">
        <f t="shared" si="575"/>
        <v>48351.989889999997</v>
      </c>
      <c r="J1099" s="36">
        <f t="shared" si="575"/>
        <v>48351.989889999997</v>
      </c>
      <c r="K1099" s="36">
        <f t="shared" si="575"/>
        <v>27953.854579999999</v>
      </c>
      <c r="L1099" s="36">
        <f t="shared" si="549"/>
        <v>37.424671095366243</v>
      </c>
      <c r="M1099" s="36">
        <f t="shared" si="550"/>
        <v>57.813245418843294</v>
      </c>
    </row>
    <row r="1100" spans="1:13">
      <c r="A1100" s="60" t="s">
        <v>28</v>
      </c>
      <c r="B1100" s="29" t="s">
        <v>385</v>
      </c>
      <c r="C1100" s="29" t="s">
        <v>148</v>
      </c>
      <c r="D1100" s="29" t="s">
        <v>19</v>
      </c>
      <c r="E1100" s="29" t="s">
        <v>476</v>
      </c>
      <c r="F1100" s="29" t="s">
        <v>29</v>
      </c>
      <c r="G1100" s="36">
        <v>74693.7</v>
      </c>
      <c r="H1100" s="36">
        <v>74693.654645000002</v>
      </c>
      <c r="I1100" s="36">
        <v>48351.989889999997</v>
      </c>
      <c r="J1100" s="36">
        <v>48351.989889999997</v>
      </c>
      <c r="K1100" s="36">
        <v>27953.854579999999</v>
      </c>
      <c r="L1100" s="36">
        <f t="shared" si="549"/>
        <v>37.424671095366243</v>
      </c>
      <c r="M1100" s="36">
        <f t="shared" si="550"/>
        <v>57.813245418843294</v>
      </c>
    </row>
    <row r="1101" spans="1:13">
      <c r="A1101" s="60" t="s">
        <v>477</v>
      </c>
      <c r="B1101" s="29" t="s">
        <v>385</v>
      </c>
      <c r="C1101" s="29" t="s">
        <v>148</v>
      </c>
      <c r="D1101" s="29" t="s">
        <v>32</v>
      </c>
      <c r="E1101" s="59" t="s">
        <v>0</v>
      </c>
      <c r="F1101" s="59" t="s">
        <v>0</v>
      </c>
      <c r="G1101" s="36">
        <f>G1102</f>
        <v>109823.8</v>
      </c>
      <c r="H1101" s="36">
        <f t="shared" ref="H1101:K1105" si="576">H1102</f>
        <v>109823.8</v>
      </c>
      <c r="I1101" s="36">
        <f t="shared" si="576"/>
        <v>54950.27</v>
      </c>
      <c r="J1101" s="36">
        <f t="shared" si="576"/>
        <v>54950.27</v>
      </c>
      <c r="K1101" s="36">
        <f t="shared" si="576"/>
        <v>49464.969490000003</v>
      </c>
      <c r="L1101" s="36">
        <f t="shared" si="549"/>
        <v>45.040300453999954</v>
      </c>
      <c r="M1101" s="36">
        <f t="shared" si="550"/>
        <v>90.017700531771737</v>
      </c>
    </row>
    <row r="1102" spans="1:13" ht="38.25">
      <c r="A1102" s="60" t="s">
        <v>112</v>
      </c>
      <c r="B1102" s="29" t="s">
        <v>385</v>
      </c>
      <c r="C1102" s="29" t="s">
        <v>148</v>
      </c>
      <c r="D1102" s="29" t="s">
        <v>32</v>
      </c>
      <c r="E1102" s="29" t="s">
        <v>113</v>
      </c>
      <c r="F1102" s="59" t="s">
        <v>0</v>
      </c>
      <c r="G1102" s="36">
        <f>G1103</f>
        <v>109823.8</v>
      </c>
      <c r="H1102" s="36">
        <f t="shared" si="576"/>
        <v>109823.8</v>
      </c>
      <c r="I1102" s="36">
        <f t="shared" si="576"/>
        <v>54950.27</v>
      </c>
      <c r="J1102" s="36">
        <f t="shared" si="576"/>
        <v>54950.27</v>
      </c>
      <c r="K1102" s="36">
        <f t="shared" si="576"/>
        <v>49464.969490000003</v>
      </c>
      <c r="L1102" s="36">
        <f t="shared" si="549"/>
        <v>45.040300453999954</v>
      </c>
      <c r="M1102" s="36">
        <f t="shared" si="550"/>
        <v>90.017700531771737</v>
      </c>
    </row>
    <row r="1103" spans="1:13" ht="76.5">
      <c r="A1103" s="60" t="s">
        <v>400</v>
      </c>
      <c r="B1103" s="29" t="s">
        <v>385</v>
      </c>
      <c r="C1103" s="29" t="s">
        <v>148</v>
      </c>
      <c r="D1103" s="29" t="s">
        <v>32</v>
      </c>
      <c r="E1103" s="29" t="s">
        <v>401</v>
      </c>
      <c r="F1103" s="59" t="s">
        <v>0</v>
      </c>
      <c r="G1103" s="36">
        <f>G1104</f>
        <v>109823.8</v>
      </c>
      <c r="H1103" s="36">
        <f t="shared" si="576"/>
        <v>109823.8</v>
      </c>
      <c r="I1103" s="36">
        <f t="shared" si="576"/>
        <v>54950.27</v>
      </c>
      <c r="J1103" s="36">
        <f t="shared" si="576"/>
        <v>54950.27</v>
      </c>
      <c r="K1103" s="36">
        <f t="shared" si="576"/>
        <v>49464.969490000003</v>
      </c>
      <c r="L1103" s="36">
        <f t="shared" si="549"/>
        <v>45.040300453999954</v>
      </c>
      <c r="M1103" s="36">
        <f t="shared" si="550"/>
        <v>90.017700531771737</v>
      </c>
    </row>
    <row r="1104" spans="1:13" ht="38.25">
      <c r="A1104" s="60" t="s">
        <v>478</v>
      </c>
      <c r="B1104" s="29" t="s">
        <v>385</v>
      </c>
      <c r="C1104" s="29" t="s">
        <v>148</v>
      </c>
      <c r="D1104" s="29" t="s">
        <v>32</v>
      </c>
      <c r="E1104" s="29" t="s">
        <v>479</v>
      </c>
      <c r="F1104" s="59" t="s">
        <v>0</v>
      </c>
      <c r="G1104" s="36">
        <f>G1105</f>
        <v>109823.8</v>
      </c>
      <c r="H1104" s="36">
        <f t="shared" si="576"/>
        <v>109823.8</v>
      </c>
      <c r="I1104" s="36">
        <f t="shared" si="576"/>
        <v>54950.27</v>
      </c>
      <c r="J1104" s="36">
        <f t="shared" si="576"/>
        <v>54950.27</v>
      </c>
      <c r="K1104" s="36">
        <f t="shared" si="576"/>
        <v>49464.969490000003</v>
      </c>
      <c r="L1104" s="36">
        <f t="shared" si="549"/>
        <v>45.040300453999954</v>
      </c>
      <c r="M1104" s="36">
        <f t="shared" si="550"/>
        <v>90.017700531771737</v>
      </c>
    </row>
    <row r="1105" spans="1:13">
      <c r="A1105" s="60" t="s">
        <v>26</v>
      </c>
      <c r="B1105" s="29" t="s">
        <v>385</v>
      </c>
      <c r="C1105" s="29" t="s">
        <v>148</v>
      </c>
      <c r="D1105" s="29" t="s">
        <v>32</v>
      </c>
      <c r="E1105" s="29" t="s">
        <v>479</v>
      </c>
      <c r="F1105" s="29" t="s">
        <v>27</v>
      </c>
      <c r="G1105" s="36">
        <f>G1106</f>
        <v>109823.8</v>
      </c>
      <c r="H1105" s="36">
        <f t="shared" si="576"/>
        <v>109823.8</v>
      </c>
      <c r="I1105" s="36">
        <f t="shared" si="576"/>
        <v>54950.27</v>
      </c>
      <c r="J1105" s="36">
        <f t="shared" si="576"/>
        <v>54950.27</v>
      </c>
      <c r="K1105" s="36">
        <f t="shared" si="576"/>
        <v>49464.969490000003</v>
      </c>
      <c r="L1105" s="36">
        <f t="shared" si="549"/>
        <v>45.040300453999954</v>
      </c>
      <c r="M1105" s="36">
        <f t="shared" si="550"/>
        <v>90.017700531771737</v>
      </c>
    </row>
    <row r="1106" spans="1:13">
      <c r="A1106" s="60" t="s">
        <v>28</v>
      </c>
      <c r="B1106" s="29" t="s">
        <v>385</v>
      </c>
      <c r="C1106" s="29" t="s">
        <v>148</v>
      </c>
      <c r="D1106" s="29" t="s">
        <v>32</v>
      </c>
      <c r="E1106" s="29" t="s">
        <v>479</v>
      </c>
      <c r="F1106" s="29" t="s">
        <v>29</v>
      </c>
      <c r="G1106" s="36">
        <v>109823.8</v>
      </c>
      <c r="H1106" s="36">
        <v>109823.8</v>
      </c>
      <c r="I1106" s="36">
        <v>54950.27</v>
      </c>
      <c r="J1106" s="36">
        <v>54950.27</v>
      </c>
      <c r="K1106" s="36">
        <v>49464.969490000003</v>
      </c>
      <c r="L1106" s="36">
        <f t="shared" si="549"/>
        <v>45.040300453999954</v>
      </c>
      <c r="M1106" s="36">
        <f t="shared" si="550"/>
        <v>90.017700531771737</v>
      </c>
    </row>
    <row r="1107" spans="1:13">
      <c r="A1107" s="65" t="s">
        <v>0</v>
      </c>
      <c r="B1107" s="66" t="s">
        <v>0</v>
      </c>
      <c r="C1107" s="59" t="s">
        <v>0</v>
      </c>
      <c r="D1107" s="59" t="s">
        <v>0</v>
      </c>
      <c r="E1107" s="59" t="s">
        <v>0</v>
      </c>
      <c r="F1107" s="59" t="s">
        <v>0</v>
      </c>
      <c r="G1107" s="67" t="s">
        <v>0</v>
      </c>
      <c r="H1107" s="67" t="s">
        <v>0</v>
      </c>
      <c r="I1107" s="67" t="s">
        <v>0</v>
      </c>
      <c r="J1107" s="67" t="s">
        <v>0</v>
      </c>
      <c r="K1107" s="67" t="s">
        <v>0</v>
      </c>
      <c r="L1107" s="67"/>
      <c r="M1107" s="67"/>
    </row>
    <row r="1108" spans="1:13" ht="38.25">
      <c r="A1108" s="57" t="s">
        <v>480</v>
      </c>
      <c r="B1108" s="58" t="s">
        <v>481</v>
      </c>
      <c r="C1108" s="59" t="s">
        <v>0</v>
      </c>
      <c r="D1108" s="59" t="s">
        <v>0</v>
      </c>
      <c r="E1108" s="59" t="s">
        <v>0</v>
      </c>
      <c r="F1108" s="59" t="s">
        <v>0</v>
      </c>
      <c r="G1108" s="31">
        <f>G1109+G1122+G1337</f>
        <v>762387.70000000007</v>
      </c>
      <c r="H1108" s="31">
        <f>H1109+H1122+H1337</f>
        <v>1009474.4</v>
      </c>
      <c r="I1108" s="31">
        <f>I1109+I1122+I1337</f>
        <v>569391.12394000008</v>
      </c>
      <c r="J1108" s="31">
        <f>J1109+J1122+J1337</f>
        <v>568513.68817000021</v>
      </c>
      <c r="K1108" s="31">
        <f>K1109+K1122+K1337</f>
        <v>565427.03319000022</v>
      </c>
      <c r="L1108" s="31">
        <f t="shared" si="549"/>
        <v>56.012023008211031</v>
      </c>
      <c r="M1108" s="31">
        <f t="shared" si="550"/>
        <v>99.303801801023937</v>
      </c>
    </row>
    <row r="1109" spans="1:13">
      <c r="A1109" s="60" t="s">
        <v>16</v>
      </c>
      <c r="B1109" s="29" t="s">
        <v>481</v>
      </c>
      <c r="C1109" s="29" t="s">
        <v>17</v>
      </c>
      <c r="D1109" s="59" t="s">
        <v>0</v>
      </c>
      <c r="E1109" s="59" t="s">
        <v>0</v>
      </c>
      <c r="F1109" s="59" t="s">
        <v>0</v>
      </c>
      <c r="G1109" s="36">
        <f>G1110+G1115</f>
        <v>18041</v>
      </c>
      <c r="H1109" s="36">
        <f t="shared" ref="H1109:K1109" si="577">H1110+H1115</f>
        <v>18041</v>
      </c>
      <c r="I1109" s="36">
        <f t="shared" si="577"/>
        <v>624.20000000000005</v>
      </c>
      <c r="J1109" s="36">
        <f t="shared" si="577"/>
        <v>624.20000000000005</v>
      </c>
      <c r="K1109" s="36">
        <f t="shared" si="577"/>
        <v>532.79999999999995</v>
      </c>
      <c r="L1109" s="36">
        <f t="shared" si="549"/>
        <v>2.9532731001607448</v>
      </c>
      <c r="M1109" s="36">
        <f t="shared" si="550"/>
        <v>85.35725728933032</v>
      </c>
    </row>
    <row r="1110" spans="1:13" ht="51">
      <c r="A1110" s="60" t="s">
        <v>18</v>
      </c>
      <c r="B1110" s="29" t="s">
        <v>481</v>
      </c>
      <c r="C1110" s="29" t="s">
        <v>17</v>
      </c>
      <c r="D1110" s="29" t="s">
        <v>19</v>
      </c>
      <c r="E1110" s="59" t="s">
        <v>0</v>
      </c>
      <c r="F1110" s="59" t="s">
        <v>0</v>
      </c>
      <c r="G1110" s="36">
        <f>G1111</f>
        <v>925</v>
      </c>
      <c r="H1110" s="36">
        <f t="shared" ref="H1110:K1113" si="578">H1111</f>
        <v>925</v>
      </c>
      <c r="I1110" s="36">
        <f t="shared" si="578"/>
        <v>462.5</v>
      </c>
      <c r="J1110" s="36">
        <f t="shared" si="578"/>
        <v>462.5</v>
      </c>
      <c r="K1110" s="36">
        <f t="shared" si="578"/>
        <v>462.5</v>
      </c>
      <c r="L1110" s="36">
        <f t="shared" si="549"/>
        <v>50</v>
      </c>
      <c r="M1110" s="36">
        <f t="shared" si="550"/>
        <v>100</v>
      </c>
    </row>
    <row r="1111" spans="1:13" ht="38.25">
      <c r="A1111" s="60" t="s">
        <v>482</v>
      </c>
      <c r="B1111" s="29" t="s">
        <v>481</v>
      </c>
      <c r="C1111" s="29" t="s">
        <v>17</v>
      </c>
      <c r="D1111" s="29" t="s">
        <v>19</v>
      </c>
      <c r="E1111" s="29" t="s">
        <v>483</v>
      </c>
      <c r="F1111" s="59" t="s">
        <v>0</v>
      </c>
      <c r="G1111" s="36">
        <f>G1112</f>
        <v>925</v>
      </c>
      <c r="H1111" s="36">
        <f t="shared" si="578"/>
        <v>925</v>
      </c>
      <c r="I1111" s="36">
        <f t="shared" si="578"/>
        <v>462.5</v>
      </c>
      <c r="J1111" s="36">
        <f t="shared" si="578"/>
        <v>462.5</v>
      </c>
      <c r="K1111" s="36">
        <f t="shared" si="578"/>
        <v>462.5</v>
      </c>
      <c r="L1111" s="36">
        <f t="shared" si="549"/>
        <v>50</v>
      </c>
      <c r="M1111" s="36">
        <f t="shared" si="550"/>
        <v>100</v>
      </c>
    </row>
    <row r="1112" spans="1:13" ht="25.5">
      <c r="A1112" s="60" t="s">
        <v>484</v>
      </c>
      <c r="B1112" s="29" t="s">
        <v>481</v>
      </c>
      <c r="C1112" s="29" t="s">
        <v>17</v>
      </c>
      <c r="D1112" s="29" t="s">
        <v>19</v>
      </c>
      <c r="E1112" s="29" t="s">
        <v>485</v>
      </c>
      <c r="F1112" s="59" t="s">
        <v>0</v>
      </c>
      <c r="G1112" s="36">
        <f>G1113</f>
        <v>925</v>
      </c>
      <c r="H1112" s="36">
        <f t="shared" si="578"/>
        <v>925</v>
      </c>
      <c r="I1112" s="36">
        <f t="shared" si="578"/>
        <v>462.5</v>
      </c>
      <c r="J1112" s="36">
        <f t="shared" si="578"/>
        <v>462.5</v>
      </c>
      <c r="K1112" s="36">
        <f t="shared" si="578"/>
        <v>462.5</v>
      </c>
      <c r="L1112" s="36">
        <f t="shared" si="549"/>
        <v>50</v>
      </c>
      <c r="M1112" s="36">
        <f t="shared" si="550"/>
        <v>100</v>
      </c>
    </row>
    <row r="1113" spans="1:13">
      <c r="A1113" s="60" t="s">
        <v>26</v>
      </c>
      <c r="B1113" s="29" t="s">
        <v>481</v>
      </c>
      <c r="C1113" s="29" t="s">
        <v>17</v>
      </c>
      <c r="D1113" s="29" t="s">
        <v>19</v>
      </c>
      <c r="E1113" s="29" t="s">
        <v>485</v>
      </c>
      <c r="F1113" s="29" t="s">
        <v>27</v>
      </c>
      <c r="G1113" s="36">
        <f>G1114</f>
        <v>925</v>
      </c>
      <c r="H1113" s="36">
        <f t="shared" si="578"/>
        <v>925</v>
      </c>
      <c r="I1113" s="36">
        <f t="shared" si="578"/>
        <v>462.5</v>
      </c>
      <c r="J1113" s="36">
        <f t="shared" si="578"/>
        <v>462.5</v>
      </c>
      <c r="K1113" s="36">
        <f t="shared" si="578"/>
        <v>462.5</v>
      </c>
      <c r="L1113" s="36">
        <f t="shared" si="549"/>
        <v>50</v>
      </c>
      <c r="M1113" s="36">
        <f t="shared" si="550"/>
        <v>100</v>
      </c>
    </row>
    <row r="1114" spans="1:13">
      <c r="A1114" s="60" t="s">
        <v>28</v>
      </c>
      <c r="B1114" s="29" t="s">
        <v>481</v>
      </c>
      <c r="C1114" s="29" t="s">
        <v>17</v>
      </c>
      <c r="D1114" s="29" t="s">
        <v>19</v>
      </c>
      <c r="E1114" s="29" t="s">
        <v>485</v>
      </c>
      <c r="F1114" s="29" t="s">
        <v>29</v>
      </c>
      <c r="G1114" s="36">
        <v>925</v>
      </c>
      <c r="H1114" s="36">
        <v>925</v>
      </c>
      <c r="I1114" s="36">
        <v>462.5</v>
      </c>
      <c r="J1114" s="36">
        <v>462.5</v>
      </c>
      <c r="K1114" s="36">
        <v>462.5</v>
      </c>
      <c r="L1114" s="36">
        <f t="shared" si="549"/>
        <v>50</v>
      </c>
      <c r="M1114" s="36">
        <f t="shared" si="550"/>
        <v>100</v>
      </c>
    </row>
    <row r="1115" spans="1:13">
      <c r="A1115" s="60" t="s">
        <v>386</v>
      </c>
      <c r="B1115" s="29" t="s">
        <v>481</v>
      </c>
      <c r="C1115" s="29" t="s">
        <v>17</v>
      </c>
      <c r="D1115" s="29" t="s">
        <v>387</v>
      </c>
      <c r="E1115" s="59" t="s">
        <v>0</v>
      </c>
      <c r="F1115" s="59" t="s">
        <v>0</v>
      </c>
      <c r="G1115" s="36">
        <f>G1116</f>
        <v>17116</v>
      </c>
      <c r="H1115" s="36">
        <f t="shared" ref="H1115:K1119" si="579">H1116</f>
        <v>17116</v>
      </c>
      <c r="I1115" s="36">
        <f t="shared" si="579"/>
        <v>161.69999999999999</v>
      </c>
      <c r="J1115" s="36">
        <f t="shared" si="579"/>
        <v>161.69999999999999</v>
      </c>
      <c r="K1115" s="36">
        <f t="shared" si="579"/>
        <v>70.3</v>
      </c>
      <c r="L1115" s="36">
        <f t="shared" si="549"/>
        <v>0.41072680532834771</v>
      </c>
      <c r="M1115" s="36">
        <f t="shared" si="550"/>
        <v>43.475572047000618</v>
      </c>
    </row>
    <row r="1116" spans="1:13" ht="63.75">
      <c r="A1116" s="60" t="s">
        <v>186</v>
      </c>
      <c r="B1116" s="29" t="s">
        <v>481</v>
      </c>
      <c r="C1116" s="29" t="s">
        <v>17</v>
      </c>
      <c r="D1116" s="29" t="s">
        <v>387</v>
      </c>
      <c r="E1116" s="29" t="s">
        <v>187</v>
      </c>
      <c r="F1116" s="59" t="s">
        <v>0</v>
      </c>
      <c r="G1116" s="36">
        <f>G1117</f>
        <v>17116</v>
      </c>
      <c r="H1116" s="36">
        <f t="shared" si="579"/>
        <v>17116</v>
      </c>
      <c r="I1116" s="36">
        <f t="shared" si="579"/>
        <v>161.69999999999999</v>
      </c>
      <c r="J1116" s="36">
        <f t="shared" si="579"/>
        <v>161.69999999999999</v>
      </c>
      <c r="K1116" s="36">
        <f t="shared" si="579"/>
        <v>70.3</v>
      </c>
      <c r="L1116" s="36">
        <f t="shared" si="549"/>
        <v>0.41072680532834771</v>
      </c>
      <c r="M1116" s="36">
        <f t="shared" si="550"/>
        <v>43.475572047000618</v>
      </c>
    </row>
    <row r="1117" spans="1:13" ht="25.5">
      <c r="A1117" s="60" t="s">
        <v>22</v>
      </c>
      <c r="B1117" s="29" t="s">
        <v>481</v>
      </c>
      <c r="C1117" s="29" t="s">
        <v>17</v>
      </c>
      <c r="D1117" s="29" t="s">
        <v>387</v>
      </c>
      <c r="E1117" s="29" t="s">
        <v>486</v>
      </c>
      <c r="F1117" s="59" t="s">
        <v>0</v>
      </c>
      <c r="G1117" s="36">
        <f>G1118</f>
        <v>17116</v>
      </c>
      <c r="H1117" s="36">
        <f t="shared" si="579"/>
        <v>17116</v>
      </c>
      <c r="I1117" s="36">
        <f t="shared" si="579"/>
        <v>161.69999999999999</v>
      </c>
      <c r="J1117" s="36">
        <f t="shared" si="579"/>
        <v>161.69999999999999</v>
      </c>
      <c r="K1117" s="36">
        <f t="shared" si="579"/>
        <v>70.3</v>
      </c>
      <c r="L1117" s="36">
        <f t="shared" ref="L1117:L1219" si="580">K1117/H1117*100</f>
        <v>0.41072680532834771</v>
      </c>
      <c r="M1117" s="36">
        <f t="shared" ref="M1117:M1211" si="581">K1117/I1117*100</f>
        <v>43.475572047000618</v>
      </c>
    </row>
    <row r="1118" spans="1:13" ht="25.5">
      <c r="A1118" s="60" t="s">
        <v>487</v>
      </c>
      <c r="B1118" s="29" t="s">
        <v>481</v>
      </c>
      <c r="C1118" s="29" t="s">
        <v>17</v>
      </c>
      <c r="D1118" s="29" t="s">
        <v>387</v>
      </c>
      <c r="E1118" s="29" t="s">
        <v>488</v>
      </c>
      <c r="F1118" s="59" t="s">
        <v>0</v>
      </c>
      <c r="G1118" s="36">
        <f>G1119</f>
        <v>17116</v>
      </c>
      <c r="H1118" s="36">
        <f t="shared" si="579"/>
        <v>17116</v>
      </c>
      <c r="I1118" s="36">
        <f t="shared" si="579"/>
        <v>161.69999999999999</v>
      </c>
      <c r="J1118" s="36">
        <f t="shared" si="579"/>
        <v>161.69999999999999</v>
      </c>
      <c r="K1118" s="36">
        <f t="shared" si="579"/>
        <v>70.3</v>
      </c>
      <c r="L1118" s="36">
        <f t="shared" si="580"/>
        <v>0.41072680532834771</v>
      </c>
      <c r="M1118" s="36">
        <f t="shared" si="581"/>
        <v>43.475572047000618</v>
      </c>
    </row>
    <row r="1119" spans="1:13">
      <c r="A1119" s="60" t="s">
        <v>26</v>
      </c>
      <c r="B1119" s="29" t="s">
        <v>481</v>
      </c>
      <c r="C1119" s="29" t="s">
        <v>17</v>
      </c>
      <c r="D1119" s="29" t="s">
        <v>387</v>
      </c>
      <c r="E1119" s="29" t="s">
        <v>488</v>
      </c>
      <c r="F1119" s="29" t="s">
        <v>27</v>
      </c>
      <c r="G1119" s="36">
        <f>G1120</f>
        <v>17116</v>
      </c>
      <c r="H1119" s="36">
        <f t="shared" si="579"/>
        <v>17116</v>
      </c>
      <c r="I1119" s="36">
        <f t="shared" si="579"/>
        <v>161.69999999999999</v>
      </c>
      <c r="J1119" s="36">
        <f t="shared" si="579"/>
        <v>161.69999999999999</v>
      </c>
      <c r="K1119" s="36">
        <f t="shared" si="579"/>
        <v>70.3</v>
      </c>
      <c r="L1119" s="36">
        <f t="shared" si="580"/>
        <v>0.41072680532834771</v>
      </c>
      <c r="M1119" s="36">
        <f t="shared" si="581"/>
        <v>43.475572047000618</v>
      </c>
    </row>
    <row r="1120" spans="1:13">
      <c r="A1120" s="60" t="s">
        <v>28</v>
      </c>
      <c r="B1120" s="29" t="s">
        <v>481</v>
      </c>
      <c r="C1120" s="29" t="s">
        <v>17</v>
      </c>
      <c r="D1120" s="29" t="s">
        <v>387</v>
      </c>
      <c r="E1120" s="29" t="s">
        <v>488</v>
      </c>
      <c r="F1120" s="29" t="s">
        <v>29</v>
      </c>
      <c r="G1120" s="36">
        <v>17116</v>
      </c>
      <c r="H1120" s="36">
        <v>17116</v>
      </c>
      <c r="I1120" s="36">
        <v>161.69999999999999</v>
      </c>
      <c r="J1120" s="36">
        <v>161.69999999999999</v>
      </c>
      <c r="K1120" s="36">
        <v>70.3</v>
      </c>
      <c r="L1120" s="36">
        <f t="shared" si="580"/>
        <v>0.41072680532834771</v>
      </c>
      <c r="M1120" s="36">
        <f t="shared" si="581"/>
        <v>43.475572047000618</v>
      </c>
    </row>
    <row r="1121" spans="1:13">
      <c r="A1121" s="61" t="s">
        <v>0</v>
      </c>
      <c r="B1121" s="59" t="s">
        <v>0</v>
      </c>
      <c r="C1121" s="59" t="s">
        <v>0</v>
      </c>
      <c r="D1121" s="59" t="s">
        <v>0</v>
      </c>
      <c r="E1121" s="59" t="s">
        <v>0</v>
      </c>
      <c r="F1121" s="59" t="s">
        <v>0</v>
      </c>
      <c r="G1121" s="62" t="s">
        <v>0</v>
      </c>
      <c r="H1121" s="62" t="s">
        <v>0</v>
      </c>
      <c r="I1121" s="62" t="s">
        <v>0</v>
      </c>
      <c r="J1121" s="62" t="s">
        <v>0</v>
      </c>
      <c r="K1121" s="62" t="s">
        <v>0</v>
      </c>
      <c r="L1121" s="62"/>
      <c r="M1121" s="62"/>
    </row>
    <row r="1122" spans="1:13">
      <c r="A1122" s="60" t="s">
        <v>30</v>
      </c>
      <c r="B1122" s="29" t="s">
        <v>481</v>
      </c>
      <c r="C1122" s="29" t="s">
        <v>19</v>
      </c>
      <c r="D1122" s="59" t="s">
        <v>0</v>
      </c>
      <c r="E1122" s="59" t="s">
        <v>0</v>
      </c>
      <c r="F1122" s="59" t="s">
        <v>0</v>
      </c>
      <c r="G1122" s="36">
        <f>G1123+G1331</f>
        <v>702346.70000000007</v>
      </c>
      <c r="H1122" s="36">
        <f>H1123+H1331</f>
        <v>916405</v>
      </c>
      <c r="I1122" s="36">
        <f>I1123+I1331</f>
        <v>567406.92394000012</v>
      </c>
      <c r="J1122" s="36">
        <f>J1123+J1331</f>
        <v>566529.48817000026</v>
      </c>
      <c r="K1122" s="36">
        <f>K1123+K1331</f>
        <v>563534.23319000017</v>
      </c>
      <c r="L1122" s="36">
        <f t="shared" si="580"/>
        <v>61.494015548802125</v>
      </c>
      <c r="M1122" s="36">
        <f t="shared" si="581"/>
        <v>99.317475591748433</v>
      </c>
    </row>
    <row r="1123" spans="1:13">
      <c r="A1123" s="60" t="s">
        <v>489</v>
      </c>
      <c r="B1123" s="29" t="s">
        <v>481</v>
      </c>
      <c r="C1123" s="29" t="s">
        <v>19</v>
      </c>
      <c r="D1123" s="29" t="s">
        <v>93</v>
      </c>
      <c r="E1123" s="59" t="s">
        <v>0</v>
      </c>
      <c r="F1123" s="59" t="s">
        <v>0</v>
      </c>
      <c r="G1123" s="36">
        <f>G1124</f>
        <v>699777.70000000007</v>
      </c>
      <c r="H1123" s="36">
        <f t="shared" ref="H1123:K1123" si="582">H1124</f>
        <v>913836</v>
      </c>
      <c r="I1123" s="36">
        <f t="shared" si="582"/>
        <v>566682.92394000012</v>
      </c>
      <c r="J1123" s="36">
        <f t="shared" si="582"/>
        <v>565806.11851000029</v>
      </c>
      <c r="K1123" s="36">
        <f t="shared" si="582"/>
        <v>562810.86353000021</v>
      </c>
      <c r="L1123" s="36">
        <f t="shared" si="580"/>
        <v>61.587731664106059</v>
      </c>
      <c r="M1123" s="36">
        <f t="shared" si="581"/>
        <v>99.316714824742121</v>
      </c>
    </row>
    <row r="1124" spans="1:13" ht="63.75">
      <c r="A1124" s="60" t="s">
        <v>186</v>
      </c>
      <c r="B1124" s="29" t="s">
        <v>481</v>
      </c>
      <c r="C1124" s="29" t="s">
        <v>19</v>
      </c>
      <c r="D1124" s="29" t="s">
        <v>93</v>
      </c>
      <c r="E1124" s="29" t="s">
        <v>187</v>
      </c>
      <c r="F1124" s="59" t="s">
        <v>0</v>
      </c>
      <c r="G1124" s="36">
        <f>G1125+G1296+G1309+G1324</f>
        <v>699777.70000000007</v>
      </c>
      <c r="H1124" s="36">
        <f t="shared" ref="H1124:K1124" si="583">H1125+H1296+H1309+H1324</f>
        <v>913836</v>
      </c>
      <c r="I1124" s="36">
        <f t="shared" si="583"/>
        <v>566682.92394000012</v>
      </c>
      <c r="J1124" s="36">
        <f t="shared" si="583"/>
        <v>565806.11851000029</v>
      </c>
      <c r="K1124" s="36">
        <f t="shared" si="583"/>
        <v>562810.86353000021</v>
      </c>
      <c r="L1124" s="36">
        <f t="shared" si="580"/>
        <v>61.587731664106059</v>
      </c>
      <c r="M1124" s="36">
        <f t="shared" si="581"/>
        <v>99.316714824742121</v>
      </c>
    </row>
    <row r="1125" spans="1:13" ht="25.5">
      <c r="A1125" s="60" t="s">
        <v>188</v>
      </c>
      <c r="B1125" s="29" t="s">
        <v>481</v>
      </c>
      <c r="C1125" s="29" t="s">
        <v>19</v>
      </c>
      <c r="D1125" s="29" t="s">
        <v>93</v>
      </c>
      <c r="E1125" s="29" t="s">
        <v>189</v>
      </c>
      <c r="F1125" s="59" t="s">
        <v>0</v>
      </c>
      <c r="G1125" s="36">
        <f>G1126+G1129+G1138+G1141+G1144+G1147+G1150+G1156+G1174+G1186+G1195+G1198+G1203+G1206+G1209+G1212+G1215+G1218+G1221+G1224+G1227+G1230+G1233+G1236+G1239+G1242+G1245+G1248+G1251+G1254+G1257+G1260+G1263+G1266+G1269+G1272+G1275+G1278+G1281+G1284+G1287+G1290+G1293</f>
        <v>639860</v>
      </c>
      <c r="H1125" s="36">
        <f>H1126+H1129+H1138+H1141+H1144+H1147+H1150+H1156+H1174+H1186+H1195+H1198+H1203+H1206+H1209+H1212+H1215+H1218+H1221+H1224+H1227+H1230+H1233+H1236+H1239+H1242+H1245+H1248+H1251+H1254+H1257+H1260+H1263+H1266+H1269+H1272+H1275+H1278+H1281+H1284+H1287+H1290+H1293+H1132+H1135+H1153+H1159+H1162+H1165+H1168+H1171+H1177+H1180+H1183+H1189+H1192</f>
        <v>812577.29999999993</v>
      </c>
      <c r="I1125" s="36">
        <f t="shared" ref="I1125:K1125" si="584">I1126+I1129+I1138+I1141+I1144+I1147+I1150+I1156+I1174+I1186+I1195+I1198+I1203+I1206+I1209+I1212+I1215+I1218+I1221+I1224+I1227+I1230+I1233+I1236+I1239+I1242+I1245+I1248+I1251+I1254+I1257+I1260+I1263+I1266+I1269+I1272+I1275+I1278+I1281+I1284+I1287+I1290+I1293+I1132+I1135+I1153+I1159+I1162+I1165+I1168+I1171+I1177+I1180+I1183+I1189+I1192</f>
        <v>539435.70166000014</v>
      </c>
      <c r="J1125" s="36">
        <f t="shared" si="584"/>
        <v>538684.69623000023</v>
      </c>
      <c r="K1125" s="36">
        <f t="shared" si="584"/>
        <v>538684.69623000023</v>
      </c>
      <c r="L1125" s="36">
        <f t="shared" si="580"/>
        <v>66.2933478734885</v>
      </c>
      <c r="M1125" s="36">
        <f t="shared" si="581"/>
        <v>99.86077943530826</v>
      </c>
    </row>
    <row r="1126" spans="1:13" ht="25.5">
      <c r="A1126" s="60" t="s">
        <v>490</v>
      </c>
      <c r="B1126" s="29" t="s">
        <v>481</v>
      </c>
      <c r="C1126" s="29" t="s">
        <v>19</v>
      </c>
      <c r="D1126" s="29" t="s">
        <v>93</v>
      </c>
      <c r="E1126" s="29" t="s">
        <v>491</v>
      </c>
      <c r="F1126" s="59" t="s">
        <v>0</v>
      </c>
      <c r="G1126" s="36">
        <f>G1127</f>
        <v>933.1</v>
      </c>
      <c r="H1126" s="36">
        <f t="shared" ref="H1126:K1127" si="585">H1127</f>
        <v>752.1</v>
      </c>
      <c r="I1126" s="36">
        <f t="shared" si="585"/>
        <v>0</v>
      </c>
      <c r="J1126" s="36">
        <f t="shared" si="585"/>
        <v>0</v>
      </c>
      <c r="K1126" s="36">
        <f t="shared" si="585"/>
        <v>0</v>
      </c>
      <c r="L1126" s="36">
        <f t="shared" si="580"/>
        <v>0</v>
      </c>
      <c r="M1126" s="36">
        <v>0</v>
      </c>
    </row>
    <row r="1127" spans="1:13">
      <c r="A1127" s="60" t="s">
        <v>72</v>
      </c>
      <c r="B1127" s="29" t="s">
        <v>481</v>
      </c>
      <c r="C1127" s="29" t="s">
        <v>19</v>
      </c>
      <c r="D1127" s="29" t="s">
        <v>93</v>
      </c>
      <c r="E1127" s="29" t="s">
        <v>491</v>
      </c>
      <c r="F1127" s="29" t="s">
        <v>73</v>
      </c>
      <c r="G1127" s="36">
        <f>G1128</f>
        <v>933.1</v>
      </c>
      <c r="H1127" s="36">
        <f t="shared" si="585"/>
        <v>752.1</v>
      </c>
      <c r="I1127" s="36">
        <f t="shared" si="585"/>
        <v>0</v>
      </c>
      <c r="J1127" s="36">
        <f t="shared" si="585"/>
        <v>0</v>
      </c>
      <c r="K1127" s="36">
        <f t="shared" si="585"/>
        <v>0</v>
      </c>
      <c r="L1127" s="36">
        <f t="shared" si="580"/>
        <v>0</v>
      </c>
      <c r="M1127" s="36">
        <v>0</v>
      </c>
    </row>
    <row r="1128" spans="1:13" ht="51">
      <c r="A1128" s="60" t="s">
        <v>218</v>
      </c>
      <c r="B1128" s="29" t="s">
        <v>481</v>
      </c>
      <c r="C1128" s="29" t="s">
        <v>19</v>
      </c>
      <c r="D1128" s="29" t="s">
        <v>93</v>
      </c>
      <c r="E1128" s="29" t="s">
        <v>491</v>
      </c>
      <c r="F1128" s="29" t="s">
        <v>219</v>
      </c>
      <c r="G1128" s="36">
        <v>933.1</v>
      </c>
      <c r="H1128" s="36">
        <v>752.1</v>
      </c>
      <c r="I1128" s="36">
        <v>0</v>
      </c>
      <c r="J1128" s="36">
        <v>0</v>
      </c>
      <c r="K1128" s="36">
        <v>0</v>
      </c>
      <c r="L1128" s="36">
        <f t="shared" si="580"/>
        <v>0</v>
      </c>
      <c r="M1128" s="36">
        <v>0</v>
      </c>
    </row>
    <row r="1129" spans="1:13" ht="38.25">
      <c r="A1129" s="60" t="s">
        <v>492</v>
      </c>
      <c r="B1129" s="29" t="s">
        <v>481</v>
      </c>
      <c r="C1129" s="29" t="s">
        <v>19</v>
      </c>
      <c r="D1129" s="29" t="s">
        <v>93</v>
      </c>
      <c r="E1129" s="29" t="s">
        <v>493</v>
      </c>
      <c r="F1129" s="59" t="s">
        <v>0</v>
      </c>
      <c r="G1129" s="36">
        <f>G1130</f>
        <v>40010.9</v>
      </c>
      <c r="H1129" s="36">
        <f t="shared" ref="H1129:K1130" si="586">H1130</f>
        <v>40010.9</v>
      </c>
      <c r="I1129" s="36">
        <f t="shared" si="586"/>
        <v>24560.241999999998</v>
      </c>
      <c r="J1129" s="36">
        <f t="shared" si="586"/>
        <v>24560.241999999998</v>
      </c>
      <c r="K1129" s="36">
        <f t="shared" si="586"/>
        <v>24560.241999999998</v>
      </c>
      <c r="L1129" s="36">
        <f t="shared" si="580"/>
        <v>61.383877893274075</v>
      </c>
      <c r="M1129" s="36">
        <f t="shared" si="581"/>
        <v>100</v>
      </c>
    </row>
    <row r="1130" spans="1:13">
      <c r="A1130" s="60" t="s">
        <v>72</v>
      </c>
      <c r="B1130" s="29" t="s">
        <v>481</v>
      </c>
      <c r="C1130" s="29" t="s">
        <v>19</v>
      </c>
      <c r="D1130" s="29" t="s">
        <v>93</v>
      </c>
      <c r="E1130" s="29" t="s">
        <v>493</v>
      </c>
      <c r="F1130" s="29" t="s">
        <v>73</v>
      </c>
      <c r="G1130" s="36">
        <f>G1131</f>
        <v>40010.9</v>
      </c>
      <c r="H1130" s="36">
        <f t="shared" si="586"/>
        <v>40010.9</v>
      </c>
      <c r="I1130" s="36">
        <f t="shared" si="586"/>
        <v>24560.241999999998</v>
      </c>
      <c r="J1130" s="36">
        <f t="shared" si="586"/>
        <v>24560.241999999998</v>
      </c>
      <c r="K1130" s="36">
        <f t="shared" si="586"/>
        <v>24560.241999999998</v>
      </c>
      <c r="L1130" s="36">
        <f t="shared" si="580"/>
        <v>61.383877893274075</v>
      </c>
      <c r="M1130" s="36">
        <f t="shared" si="581"/>
        <v>100</v>
      </c>
    </row>
    <row r="1131" spans="1:13" ht="51">
      <c r="A1131" s="60" t="s">
        <v>218</v>
      </c>
      <c r="B1131" s="29" t="s">
        <v>481</v>
      </c>
      <c r="C1131" s="29" t="s">
        <v>19</v>
      </c>
      <c r="D1131" s="29" t="s">
        <v>93</v>
      </c>
      <c r="E1131" s="29" t="s">
        <v>493</v>
      </c>
      <c r="F1131" s="29" t="s">
        <v>219</v>
      </c>
      <c r="G1131" s="36">
        <v>40010.9</v>
      </c>
      <c r="H1131" s="36">
        <v>40010.9</v>
      </c>
      <c r="I1131" s="36">
        <v>24560.241999999998</v>
      </c>
      <c r="J1131" s="36">
        <v>24560.241999999998</v>
      </c>
      <c r="K1131" s="36">
        <v>24560.241999999998</v>
      </c>
      <c r="L1131" s="36">
        <f t="shared" si="580"/>
        <v>61.383877893274075</v>
      </c>
      <c r="M1131" s="36">
        <f t="shared" si="581"/>
        <v>100</v>
      </c>
    </row>
    <row r="1132" spans="1:13" ht="54.75" customHeight="1">
      <c r="A1132" s="60" t="s">
        <v>1159</v>
      </c>
      <c r="B1132" s="29" t="s">
        <v>481</v>
      </c>
      <c r="C1132" s="29" t="s">
        <v>19</v>
      </c>
      <c r="D1132" s="29" t="s">
        <v>93</v>
      </c>
      <c r="E1132" s="30" t="s">
        <v>1158</v>
      </c>
      <c r="F1132" s="29"/>
      <c r="G1132" s="36"/>
      <c r="H1132" s="36">
        <f>H1133</f>
        <v>2652.5</v>
      </c>
      <c r="I1132" s="36">
        <f t="shared" ref="I1132:K1133" si="587">I1133</f>
        <v>858.86500000000001</v>
      </c>
      <c r="J1132" s="36">
        <f t="shared" si="587"/>
        <v>858.86500000000001</v>
      </c>
      <c r="K1132" s="36">
        <f t="shared" si="587"/>
        <v>858.86500000000001</v>
      </c>
      <c r="L1132" s="36">
        <f t="shared" ref="L1132:L1137" si="588">K1132/H1132*100</f>
        <v>32.379453345900096</v>
      </c>
      <c r="M1132" s="36">
        <f t="shared" ref="M1132:M1137" si="589">K1132/I1132*100</f>
        <v>100</v>
      </c>
    </row>
    <row r="1133" spans="1:13">
      <c r="A1133" s="60" t="s">
        <v>72</v>
      </c>
      <c r="B1133" s="29" t="s">
        <v>481</v>
      </c>
      <c r="C1133" s="29" t="s">
        <v>19</v>
      </c>
      <c r="D1133" s="29" t="s">
        <v>93</v>
      </c>
      <c r="E1133" s="30" t="s">
        <v>1158</v>
      </c>
      <c r="F1133" s="29" t="s">
        <v>73</v>
      </c>
      <c r="G1133" s="36"/>
      <c r="H1133" s="36">
        <f>H1134</f>
        <v>2652.5</v>
      </c>
      <c r="I1133" s="36">
        <f t="shared" si="587"/>
        <v>858.86500000000001</v>
      </c>
      <c r="J1133" s="36">
        <f t="shared" si="587"/>
        <v>858.86500000000001</v>
      </c>
      <c r="K1133" s="36">
        <f t="shared" si="587"/>
        <v>858.86500000000001</v>
      </c>
      <c r="L1133" s="36">
        <f t="shared" si="588"/>
        <v>32.379453345900096</v>
      </c>
      <c r="M1133" s="36">
        <f t="shared" si="589"/>
        <v>100</v>
      </c>
    </row>
    <row r="1134" spans="1:13" ht="51">
      <c r="A1134" s="60" t="s">
        <v>218</v>
      </c>
      <c r="B1134" s="29" t="s">
        <v>481</v>
      </c>
      <c r="C1134" s="29" t="s">
        <v>19</v>
      </c>
      <c r="D1134" s="29" t="s">
        <v>93</v>
      </c>
      <c r="E1134" s="30" t="s">
        <v>1158</v>
      </c>
      <c r="F1134" s="29" t="s">
        <v>219</v>
      </c>
      <c r="G1134" s="36"/>
      <c r="H1134" s="36">
        <v>2652.5</v>
      </c>
      <c r="I1134" s="36">
        <v>858.86500000000001</v>
      </c>
      <c r="J1134" s="36">
        <v>858.86500000000001</v>
      </c>
      <c r="K1134" s="36">
        <v>858.86500000000001</v>
      </c>
      <c r="L1134" s="36">
        <f t="shared" si="588"/>
        <v>32.379453345900096</v>
      </c>
      <c r="M1134" s="36">
        <f t="shared" si="589"/>
        <v>100</v>
      </c>
    </row>
    <row r="1135" spans="1:13" ht="66.75" customHeight="1">
      <c r="A1135" s="60" t="s">
        <v>1161</v>
      </c>
      <c r="B1135" s="29" t="s">
        <v>481</v>
      </c>
      <c r="C1135" s="29" t="s">
        <v>19</v>
      </c>
      <c r="D1135" s="29" t="s">
        <v>93</v>
      </c>
      <c r="E1135" s="30" t="s">
        <v>1160</v>
      </c>
      <c r="F1135" s="29"/>
      <c r="G1135" s="36"/>
      <c r="H1135" s="36">
        <f>H1136</f>
        <v>9549.4</v>
      </c>
      <c r="I1135" s="36">
        <f t="shared" ref="I1135:K1136" si="590">I1136</f>
        <v>3450.7150000000001</v>
      </c>
      <c r="J1135" s="36">
        <f t="shared" si="590"/>
        <v>3450.7150000000001</v>
      </c>
      <c r="K1135" s="36">
        <f t="shared" si="590"/>
        <v>3450.7150000000001</v>
      </c>
      <c r="L1135" s="36">
        <f t="shared" si="588"/>
        <v>36.135411648899414</v>
      </c>
      <c r="M1135" s="36">
        <f t="shared" si="589"/>
        <v>100</v>
      </c>
    </row>
    <row r="1136" spans="1:13">
      <c r="A1136" s="60" t="s">
        <v>72</v>
      </c>
      <c r="B1136" s="29" t="s">
        <v>481</v>
      </c>
      <c r="C1136" s="29" t="s">
        <v>19</v>
      </c>
      <c r="D1136" s="29" t="s">
        <v>93</v>
      </c>
      <c r="E1136" s="30" t="s">
        <v>1160</v>
      </c>
      <c r="F1136" s="29" t="s">
        <v>73</v>
      </c>
      <c r="G1136" s="36"/>
      <c r="H1136" s="36">
        <f>H1137</f>
        <v>9549.4</v>
      </c>
      <c r="I1136" s="36">
        <f t="shared" si="590"/>
        <v>3450.7150000000001</v>
      </c>
      <c r="J1136" s="36">
        <f t="shared" si="590"/>
        <v>3450.7150000000001</v>
      </c>
      <c r="K1136" s="36">
        <f t="shared" si="590"/>
        <v>3450.7150000000001</v>
      </c>
      <c r="L1136" s="36">
        <f t="shared" si="588"/>
        <v>36.135411648899414</v>
      </c>
      <c r="M1136" s="36">
        <f t="shared" si="589"/>
        <v>100</v>
      </c>
    </row>
    <row r="1137" spans="1:13" ht="51">
      <c r="A1137" s="60" t="s">
        <v>218</v>
      </c>
      <c r="B1137" s="29" t="s">
        <v>481</v>
      </c>
      <c r="C1137" s="29" t="s">
        <v>19</v>
      </c>
      <c r="D1137" s="29" t="s">
        <v>93</v>
      </c>
      <c r="E1137" s="30" t="s">
        <v>1160</v>
      </c>
      <c r="F1137" s="29" t="s">
        <v>219</v>
      </c>
      <c r="G1137" s="36"/>
      <c r="H1137" s="36">
        <v>9549.4</v>
      </c>
      <c r="I1137" s="36">
        <v>3450.7150000000001</v>
      </c>
      <c r="J1137" s="36">
        <v>3450.7150000000001</v>
      </c>
      <c r="K1137" s="36">
        <v>3450.7150000000001</v>
      </c>
      <c r="L1137" s="36">
        <f t="shared" si="588"/>
        <v>36.135411648899414</v>
      </c>
      <c r="M1137" s="36">
        <f t="shared" si="589"/>
        <v>100</v>
      </c>
    </row>
    <row r="1138" spans="1:13" ht="51">
      <c r="A1138" s="60" t="s">
        <v>494</v>
      </c>
      <c r="B1138" s="29" t="s">
        <v>481</v>
      </c>
      <c r="C1138" s="29" t="s">
        <v>19</v>
      </c>
      <c r="D1138" s="29" t="s">
        <v>93</v>
      </c>
      <c r="E1138" s="29" t="s">
        <v>495</v>
      </c>
      <c r="F1138" s="59" t="s">
        <v>0</v>
      </c>
      <c r="G1138" s="36">
        <f>G1139</f>
        <v>5081.2</v>
      </c>
      <c r="H1138" s="36">
        <f t="shared" ref="H1138:K1139" si="591">H1139</f>
        <v>0</v>
      </c>
      <c r="I1138" s="36">
        <f t="shared" si="591"/>
        <v>0</v>
      </c>
      <c r="J1138" s="36">
        <f t="shared" si="591"/>
        <v>0</v>
      </c>
      <c r="K1138" s="36">
        <f t="shared" si="591"/>
        <v>0</v>
      </c>
      <c r="L1138" s="36">
        <v>0</v>
      </c>
      <c r="M1138" s="36">
        <v>0</v>
      </c>
    </row>
    <row r="1139" spans="1:13">
      <c r="A1139" s="60" t="s">
        <v>72</v>
      </c>
      <c r="B1139" s="29" t="s">
        <v>481</v>
      </c>
      <c r="C1139" s="29" t="s">
        <v>19</v>
      </c>
      <c r="D1139" s="29" t="s">
        <v>93</v>
      </c>
      <c r="E1139" s="29" t="s">
        <v>495</v>
      </c>
      <c r="F1139" s="29" t="s">
        <v>73</v>
      </c>
      <c r="G1139" s="36">
        <f>G1140</f>
        <v>5081.2</v>
      </c>
      <c r="H1139" s="36">
        <f t="shared" si="591"/>
        <v>0</v>
      </c>
      <c r="I1139" s="36">
        <f t="shared" si="591"/>
        <v>0</v>
      </c>
      <c r="J1139" s="36">
        <f t="shared" si="591"/>
        <v>0</v>
      </c>
      <c r="K1139" s="36">
        <f t="shared" si="591"/>
        <v>0</v>
      </c>
      <c r="L1139" s="36">
        <v>0</v>
      </c>
      <c r="M1139" s="36">
        <v>0</v>
      </c>
    </row>
    <row r="1140" spans="1:13" ht="51">
      <c r="A1140" s="60" t="s">
        <v>218</v>
      </c>
      <c r="B1140" s="29" t="s">
        <v>481</v>
      </c>
      <c r="C1140" s="29" t="s">
        <v>19</v>
      </c>
      <c r="D1140" s="29" t="s">
        <v>93</v>
      </c>
      <c r="E1140" s="29" t="s">
        <v>495</v>
      </c>
      <c r="F1140" s="29" t="s">
        <v>219</v>
      </c>
      <c r="G1140" s="36">
        <v>5081.2</v>
      </c>
      <c r="H1140" s="36">
        <v>0</v>
      </c>
      <c r="I1140" s="36">
        <v>0</v>
      </c>
      <c r="J1140" s="36">
        <v>0</v>
      </c>
      <c r="K1140" s="36">
        <v>0</v>
      </c>
      <c r="L1140" s="36">
        <v>0</v>
      </c>
      <c r="M1140" s="36">
        <v>0</v>
      </c>
    </row>
    <row r="1141" spans="1:13" ht="38.25">
      <c r="A1141" s="60" t="s">
        <v>496</v>
      </c>
      <c r="B1141" s="29" t="s">
        <v>481</v>
      </c>
      <c r="C1141" s="29" t="s">
        <v>19</v>
      </c>
      <c r="D1141" s="29" t="s">
        <v>93</v>
      </c>
      <c r="E1141" s="29" t="s">
        <v>497</v>
      </c>
      <c r="F1141" s="59" t="s">
        <v>0</v>
      </c>
      <c r="G1141" s="36">
        <f>G1142</f>
        <v>16337.4</v>
      </c>
      <c r="H1141" s="36">
        <f t="shared" ref="H1141:K1142" si="592">H1142</f>
        <v>20142.7</v>
      </c>
      <c r="I1141" s="36">
        <f t="shared" si="592"/>
        <v>19135.564999999999</v>
      </c>
      <c r="J1141" s="36">
        <f t="shared" si="592"/>
        <v>19135.564999999999</v>
      </c>
      <c r="K1141" s="36">
        <f t="shared" si="592"/>
        <v>19135.564999999999</v>
      </c>
      <c r="L1141" s="36">
        <f t="shared" si="580"/>
        <v>95</v>
      </c>
      <c r="M1141" s="36">
        <f t="shared" si="581"/>
        <v>100</v>
      </c>
    </row>
    <row r="1142" spans="1:13">
      <c r="A1142" s="60" t="s">
        <v>72</v>
      </c>
      <c r="B1142" s="29" t="s">
        <v>481</v>
      </c>
      <c r="C1142" s="29" t="s">
        <v>19</v>
      </c>
      <c r="D1142" s="29" t="s">
        <v>93</v>
      </c>
      <c r="E1142" s="29" t="s">
        <v>497</v>
      </c>
      <c r="F1142" s="29" t="s">
        <v>73</v>
      </c>
      <c r="G1142" s="36">
        <f>G1143</f>
        <v>16337.4</v>
      </c>
      <c r="H1142" s="36">
        <f t="shared" si="592"/>
        <v>20142.7</v>
      </c>
      <c r="I1142" s="36">
        <f t="shared" si="592"/>
        <v>19135.564999999999</v>
      </c>
      <c r="J1142" s="36">
        <f t="shared" si="592"/>
        <v>19135.564999999999</v>
      </c>
      <c r="K1142" s="36">
        <f t="shared" si="592"/>
        <v>19135.564999999999</v>
      </c>
      <c r="L1142" s="36">
        <f t="shared" si="580"/>
        <v>95</v>
      </c>
      <c r="M1142" s="36">
        <f t="shared" si="581"/>
        <v>100</v>
      </c>
    </row>
    <row r="1143" spans="1:13" ht="51">
      <c r="A1143" s="60" t="s">
        <v>218</v>
      </c>
      <c r="B1143" s="29" t="s">
        <v>481</v>
      </c>
      <c r="C1143" s="29" t="s">
        <v>19</v>
      </c>
      <c r="D1143" s="29" t="s">
        <v>93</v>
      </c>
      <c r="E1143" s="29" t="s">
        <v>497</v>
      </c>
      <c r="F1143" s="29" t="s">
        <v>219</v>
      </c>
      <c r="G1143" s="36">
        <v>16337.4</v>
      </c>
      <c r="H1143" s="36">
        <v>20142.7</v>
      </c>
      <c r="I1143" s="36">
        <v>19135.564999999999</v>
      </c>
      <c r="J1143" s="36">
        <v>19135.564999999999</v>
      </c>
      <c r="K1143" s="36">
        <v>19135.564999999999</v>
      </c>
      <c r="L1143" s="36">
        <f t="shared" si="580"/>
        <v>95</v>
      </c>
      <c r="M1143" s="36">
        <f t="shared" si="581"/>
        <v>100</v>
      </c>
    </row>
    <row r="1144" spans="1:13">
      <c r="A1144" s="60" t="s">
        <v>498</v>
      </c>
      <c r="B1144" s="29" t="s">
        <v>481</v>
      </c>
      <c r="C1144" s="29" t="s">
        <v>19</v>
      </c>
      <c r="D1144" s="29" t="s">
        <v>93</v>
      </c>
      <c r="E1144" s="29" t="s">
        <v>499</v>
      </c>
      <c r="F1144" s="59" t="s">
        <v>0</v>
      </c>
      <c r="G1144" s="36">
        <f>G1145</f>
        <v>310.10000000000002</v>
      </c>
      <c r="H1144" s="36">
        <f t="shared" ref="H1144:K1148" si="593">H1145</f>
        <v>310.10000000000002</v>
      </c>
      <c r="I1144" s="36">
        <f t="shared" si="593"/>
        <v>310.10000000000002</v>
      </c>
      <c r="J1144" s="36">
        <f t="shared" si="593"/>
        <v>310.10000000000002</v>
      </c>
      <c r="K1144" s="36">
        <f t="shared" si="593"/>
        <v>310.10000000000002</v>
      </c>
      <c r="L1144" s="36">
        <f t="shared" si="580"/>
        <v>100</v>
      </c>
      <c r="M1144" s="36">
        <f t="shared" si="581"/>
        <v>100</v>
      </c>
    </row>
    <row r="1145" spans="1:13">
      <c r="A1145" s="60" t="s">
        <v>72</v>
      </c>
      <c r="B1145" s="29" t="s">
        <v>481</v>
      </c>
      <c r="C1145" s="29" t="s">
        <v>19</v>
      </c>
      <c r="D1145" s="29" t="s">
        <v>93</v>
      </c>
      <c r="E1145" s="29" t="s">
        <v>499</v>
      </c>
      <c r="F1145" s="29" t="s">
        <v>73</v>
      </c>
      <c r="G1145" s="36">
        <f>G1146</f>
        <v>310.10000000000002</v>
      </c>
      <c r="H1145" s="36">
        <f t="shared" si="593"/>
        <v>310.10000000000002</v>
      </c>
      <c r="I1145" s="36">
        <f t="shared" si="593"/>
        <v>310.10000000000002</v>
      </c>
      <c r="J1145" s="36">
        <f t="shared" si="593"/>
        <v>310.10000000000002</v>
      </c>
      <c r="K1145" s="36">
        <f>K1146</f>
        <v>310.10000000000002</v>
      </c>
      <c r="L1145" s="36">
        <f t="shared" si="580"/>
        <v>100</v>
      </c>
      <c r="M1145" s="36">
        <f t="shared" si="581"/>
        <v>100</v>
      </c>
    </row>
    <row r="1146" spans="1:13" ht="51">
      <c r="A1146" s="60" t="s">
        <v>218</v>
      </c>
      <c r="B1146" s="29" t="s">
        <v>481</v>
      </c>
      <c r="C1146" s="29" t="s">
        <v>19</v>
      </c>
      <c r="D1146" s="29" t="s">
        <v>93</v>
      </c>
      <c r="E1146" s="29" t="s">
        <v>499</v>
      </c>
      <c r="F1146" s="29" t="s">
        <v>219</v>
      </c>
      <c r="G1146" s="36">
        <v>310.10000000000002</v>
      </c>
      <c r="H1146" s="36">
        <v>310.10000000000002</v>
      </c>
      <c r="I1146" s="36">
        <v>310.10000000000002</v>
      </c>
      <c r="J1146" s="36">
        <v>310.10000000000002</v>
      </c>
      <c r="K1146" s="36">
        <v>310.10000000000002</v>
      </c>
      <c r="L1146" s="36">
        <f t="shared" si="580"/>
        <v>100</v>
      </c>
      <c r="M1146" s="36">
        <f t="shared" si="581"/>
        <v>100</v>
      </c>
    </row>
    <row r="1147" spans="1:13" ht="25.5">
      <c r="A1147" s="60" t="s">
        <v>500</v>
      </c>
      <c r="B1147" s="29" t="s">
        <v>481</v>
      </c>
      <c r="C1147" s="29" t="s">
        <v>19</v>
      </c>
      <c r="D1147" s="29" t="s">
        <v>93</v>
      </c>
      <c r="E1147" s="29" t="s">
        <v>501</v>
      </c>
      <c r="F1147" s="59" t="s">
        <v>0</v>
      </c>
      <c r="G1147" s="36">
        <f>G1148</f>
        <v>89968.2</v>
      </c>
      <c r="H1147" s="36">
        <f t="shared" si="593"/>
        <v>100349.3</v>
      </c>
      <c r="I1147" s="36">
        <f t="shared" si="593"/>
        <v>40292.383609999997</v>
      </c>
      <c r="J1147" s="36">
        <f t="shared" si="593"/>
        <v>40292.383609999997</v>
      </c>
      <c r="K1147" s="36">
        <f t="shared" si="593"/>
        <v>40292.383609999997</v>
      </c>
      <c r="L1147" s="36">
        <f t="shared" si="580"/>
        <v>40.152132212182842</v>
      </c>
      <c r="M1147" s="36">
        <f t="shared" si="581"/>
        <v>100</v>
      </c>
    </row>
    <row r="1148" spans="1:13">
      <c r="A1148" s="60" t="s">
        <v>72</v>
      </c>
      <c r="B1148" s="29" t="s">
        <v>481</v>
      </c>
      <c r="C1148" s="29" t="s">
        <v>19</v>
      </c>
      <c r="D1148" s="29" t="s">
        <v>93</v>
      </c>
      <c r="E1148" s="29" t="s">
        <v>501</v>
      </c>
      <c r="F1148" s="29" t="s">
        <v>73</v>
      </c>
      <c r="G1148" s="36">
        <f>G1149</f>
        <v>89968.2</v>
      </c>
      <c r="H1148" s="36">
        <f t="shared" si="593"/>
        <v>100349.3</v>
      </c>
      <c r="I1148" s="36">
        <f t="shared" si="593"/>
        <v>40292.383609999997</v>
      </c>
      <c r="J1148" s="36">
        <f t="shared" si="593"/>
        <v>40292.383609999997</v>
      </c>
      <c r="K1148" s="36">
        <f t="shared" si="593"/>
        <v>40292.383609999997</v>
      </c>
      <c r="L1148" s="36">
        <f t="shared" si="580"/>
        <v>40.152132212182842</v>
      </c>
      <c r="M1148" s="36">
        <f t="shared" si="581"/>
        <v>100</v>
      </c>
    </row>
    <row r="1149" spans="1:13" ht="51">
      <c r="A1149" s="60" t="s">
        <v>218</v>
      </c>
      <c r="B1149" s="29" t="s">
        <v>481</v>
      </c>
      <c r="C1149" s="29" t="s">
        <v>19</v>
      </c>
      <c r="D1149" s="29" t="s">
        <v>93</v>
      </c>
      <c r="E1149" s="29" t="s">
        <v>501</v>
      </c>
      <c r="F1149" s="29" t="s">
        <v>219</v>
      </c>
      <c r="G1149" s="36">
        <v>89968.2</v>
      </c>
      <c r="H1149" s="36">
        <v>100349.3</v>
      </c>
      <c r="I1149" s="36">
        <v>40292.383609999997</v>
      </c>
      <c r="J1149" s="36">
        <v>40292.383609999997</v>
      </c>
      <c r="K1149" s="36">
        <v>40292.383609999997</v>
      </c>
      <c r="L1149" s="36">
        <f t="shared" si="580"/>
        <v>40.152132212182842</v>
      </c>
      <c r="M1149" s="36">
        <f t="shared" si="581"/>
        <v>100</v>
      </c>
    </row>
    <row r="1150" spans="1:13" ht="25.5">
      <c r="A1150" s="60" t="s">
        <v>502</v>
      </c>
      <c r="B1150" s="29" t="s">
        <v>481</v>
      </c>
      <c r="C1150" s="29" t="s">
        <v>19</v>
      </c>
      <c r="D1150" s="29" t="s">
        <v>93</v>
      </c>
      <c r="E1150" s="29" t="s">
        <v>503</v>
      </c>
      <c r="F1150" s="59" t="s">
        <v>0</v>
      </c>
      <c r="G1150" s="36">
        <f>G1151</f>
        <v>356.8</v>
      </c>
      <c r="H1150" s="36">
        <f t="shared" ref="H1150:K1151" si="594">H1151</f>
        <v>356.8</v>
      </c>
      <c r="I1150" s="36">
        <f t="shared" si="594"/>
        <v>356.8</v>
      </c>
      <c r="J1150" s="36">
        <f t="shared" si="594"/>
        <v>356.8</v>
      </c>
      <c r="K1150" s="36">
        <f t="shared" si="594"/>
        <v>356.8</v>
      </c>
      <c r="L1150" s="36">
        <f t="shared" si="580"/>
        <v>100</v>
      </c>
      <c r="M1150" s="36">
        <f t="shared" si="581"/>
        <v>100</v>
      </c>
    </row>
    <row r="1151" spans="1:13">
      <c r="A1151" s="60" t="s">
        <v>72</v>
      </c>
      <c r="B1151" s="29" t="s">
        <v>481</v>
      </c>
      <c r="C1151" s="29" t="s">
        <v>19</v>
      </c>
      <c r="D1151" s="29" t="s">
        <v>93</v>
      </c>
      <c r="E1151" s="29" t="s">
        <v>503</v>
      </c>
      <c r="F1151" s="29" t="s">
        <v>73</v>
      </c>
      <c r="G1151" s="36">
        <f>G1152</f>
        <v>356.8</v>
      </c>
      <c r="H1151" s="36">
        <f t="shared" si="594"/>
        <v>356.8</v>
      </c>
      <c r="I1151" s="36">
        <f t="shared" si="594"/>
        <v>356.8</v>
      </c>
      <c r="J1151" s="36">
        <f t="shared" si="594"/>
        <v>356.8</v>
      </c>
      <c r="K1151" s="36">
        <f t="shared" si="594"/>
        <v>356.8</v>
      </c>
      <c r="L1151" s="36">
        <f t="shared" si="580"/>
        <v>100</v>
      </c>
      <c r="M1151" s="36">
        <f t="shared" si="581"/>
        <v>100</v>
      </c>
    </row>
    <row r="1152" spans="1:13" ht="51">
      <c r="A1152" s="60" t="s">
        <v>218</v>
      </c>
      <c r="B1152" s="29" t="s">
        <v>481</v>
      </c>
      <c r="C1152" s="29" t="s">
        <v>19</v>
      </c>
      <c r="D1152" s="29" t="s">
        <v>93</v>
      </c>
      <c r="E1152" s="29" t="s">
        <v>503</v>
      </c>
      <c r="F1152" s="29" t="s">
        <v>219</v>
      </c>
      <c r="G1152" s="36">
        <v>356.8</v>
      </c>
      <c r="H1152" s="36">
        <v>356.8</v>
      </c>
      <c r="I1152" s="36">
        <v>356.8</v>
      </c>
      <c r="J1152" s="36">
        <v>356.8</v>
      </c>
      <c r="K1152" s="36">
        <v>356.8</v>
      </c>
      <c r="L1152" s="36">
        <f t="shared" si="580"/>
        <v>100</v>
      </c>
      <c r="M1152" s="36">
        <f t="shared" si="581"/>
        <v>100</v>
      </c>
    </row>
    <row r="1153" spans="1:13" ht="68.25" customHeight="1">
      <c r="A1153" s="60" t="s">
        <v>1163</v>
      </c>
      <c r="B1153" s="29" t="s">
        <v>481</v>
      </c>
      <c r="C1153" s="29" t="s">
        <v>19</v>
      </c>
      <c r="D1153" s="29" t="s">
        <v>93</v>
      </c>
      <c r="E1153" s="30" t="s">
        <v>1162</v>
      </c>
      <c r="F1153" s="29"/>
      <c r="G1153" s="36"/>
      <c r="H1153" s="36">
        <f>H1154</f>
        <v>681.4</v>
      </c>
      <c r="I1153" s="36">
        <f t="shared" ref="I1153:K1154" si="595">I1154</f>
        <v>681.4</v>
      </c>
      <c r="J1153" s="36">
        <f t="shared" si="595"/>
        <v>681.4</v>
      </c>
      <c r="K1153" s="36">
        <f t="shared" si="595"/>
        <v>681.4</v>
      </c>
      <c r="L1153" s="36">
        <f t="shared" ref="L1153:L1155" si="596">K1153/H1153*100</f>
        <v>100</v>
      </c>
      <c r="M1153" s="36">
        <f t="shared" ref="M1153:M1155" si="597">K1153/I1153*100</f>
        <v>100</v>
      </c>
    </row>
    <row r="1154" spans="1:13">
      <c r="A1154" s="60" t="s">
        <v>72</v>
      </c>
      <c r="B1154" s="29" t="s">
        <v>481</v>
      </c>
      <c r="C1154" s="29" t="s">
        <v>19</v>
      </c>
      <c r="D1154" s="29" t="s">
        <v>93</v>
      </c>
      <c r="E1154" s="30" t="s">
        <v>1162</v>
      </c>
      <c r="F1154" s="29" t="s">
        <v>73</v>
      </c>
      <c r="G1154" s="36"/>
      <c r="H1154" s="36">
        <f>H1155</f>
        <v>681.4</v>
      </c>
      <c r="I1154" s="36">
        <f t="shared" si="595"/>
        <v>681.4</v>
      </c>
      <c r="J1154" s="36">
        <f t="shared" si="595"/>
        <v>681.4</v>
      </c>
      <c r="K1154" s="36">
        <f t="shared" si="595"/>
        <v>681.4</v>
      </c>
      <c r="L1154" s="36">
        <f t="shared" si="596"/>
        <v>100</v>
      </c>
      <c r="M1154" s="36">
        <f t="shared" si="597"/>
        <v>100</v>
      </c>
    </row>
    <row r="1155" spans="1:13" ht="51">
      <c r="A1155" s="60" t="s">
        <v>218</v>
      </c>
      <c r="B1155" s="29" t="s">
        <v>481</v>
      </c>
      <c r="C1155" s="29" t="s">
        <v>19</v>
      </c>
      <c r="D1155" s="29" t="s">
        <v>93</v>
      </c>
      <c r="E1155" s="30" t="s">
        <v>1162</v>
      </c>
      <c r="F1155" s="29" t="s">
        <v>219</v>
      </c>
      <c r="G1155" s="36"/>
      <c r="H1155" s="36">
        <v>681.4</v>
      </c>
      <c r="I1155" s="36">
        <v>681.4</v>
      </c>
      <c r="J1155" s="36">
        <v>681.4</v>
      </c>
      <c r="K1155" s="36">
        <v>681.4</v>
      </c>
      <c r="L1155" s="36">
        <f t="shared" si="596"/>
        <v>100</v>
      </c>
      <c r="M1155" s="36">
        <f t="shared" si="597"/>
        <v>100</v>
      </c>
    </row>
    <row r="1156" spans="1:13" ht="51">
      <c r="A1156" s="60" t="s">
        <v>504</v>
      </c>
      <c r="B1156" s="29" t="s">
        <v>481</v>
      </c>
      <c r="C1156" s="29" t="s">
        <v>19</v>
      </c>
      <c r="D1156" s="29" t="s">
        <v>93</v>
      </c>
      <c r="E1156" s="29" t="s">
        <v>505</v>
      </c>
      <c r="F1156" s="59" t="s">
        <v>0</v>
      </c>
      <c r="G1156" s="36">
        <f>G1157</f>
        <v>1999.8</v>
      </c>
      <c r="H1156" s="36">
        <f t="shared" ref="H1156:K1157" si="598">H1157</f>
        <v>0</v>
      </c>
      <c r="I1156" s="36">
        <f t="shared" si="598"/>
        <v>0</v>
      </c>
      <c r="J1156" s="36">
        <f t="shared" si="598"/>
        <v>0</v>
      </c>
      <c r="K1156" s="36">
        <v>0</v>
      </c>
      <c r="L1156" s="36">
        <v>0</v>
      </c>
      <c r="M1156" s="36">
        <v>0</v>
      </c>
    </row>
    <row r="1157" spans="1:13">
      <c r="A1157" s="60" t="s">
        <v>72</v>
      </c>
      <c r="B1157" s="29" t="s">
        <v>481</v>
      </c>
      <c r="C1157" s="29" t="s">
        <v>19</v>
      </c>
      <c r="D1157" s="29" t="s">
        <v>93</v>
      </c>
      <c r="E1157" s="29" t="s">
        <v>505</v>
      </c>
      <c r="F1157" s="29" t="s">
        <v>73</v>
      </c>
      <c r="G1157" s="36">
        <f>G1158</f>
        <v>1999.8</v>
      </c>
      <c r="H1157" s="36">
        <f t="shared" si="598"/>
        <v>0</v>
      </c>
      <c r="I1157" s="36">
        <f t="shared" si="598"/>
        <v>0</v>
      </c>
      <c r="J1157" s="36">
        <f t="shared" si="598"/>
        <v>0</v>
      </c>
      <c r="K1157" s="36">
        <f t="shared" si="598"/>
        <v>0</v>
      </c>
      <c r="L1157" s="36">
        <v>0</v>
      </c>
      <c r="M1157" s="36">
        <v>0</v>
      </c>
    </row>
    <row r="1158" spans="1:13" ht="51">
      <c r="A1158" s="60" t="s">
        <v>218</v>
      </c>
      <c r="B1158" s="29" t="s">
        <v>481</v>
      </c>
      <c r="C1158" s="29" t="s">
        <v>19</v>
      </c>
      <c r="D1158" s="29" t="s">
        <v>93</v>
      </c>
      <c r="E1158" s="29" t="s">
        <v>505</v>
      </c>
      <c r="F1158" s="29" t="s">
        <v>219</v>
      </c>
      <c r="G1158" s="36">
        <v>1999.8</v>
      </c>
      <c r="H1158" s="36">
        <v>0</v>
      </c>
      <c r="I1158" s="36">
        <v>0</v>
      </c>
      <c r="J1158" s="36">
        <v>0</v>
      </c>
      <c r="K1158" s="36">
        <v>0</v>
      </c>
      <c r="L1158" s="36">
        <v>0</v>
      </c>
      <c r="M1158" s="36">
        <v>0</v>
      </c>
    </row>
    <row r="1159" spans="1:13" ht="45.75" customHeight="1">
      <c r="A1159" s="60" t="s">
        <v>1165</v>
      </c>
      <c r="B1159" s="29" t="s">
        <v>481</v>
      </c>
      <c r="C1159" s="29" t="s">
        <v>19</v>
      </c>
      <c r="D1159" s="29" t="s">
        <v>93</v>
      </c>
      <c r="E1159" s="30" t="s">
        <v>1164</v>
      </c>
      <c r="F1159" s="29"/>
      <c r="G1159" s="36"/>
      <c r="H1159" s="36">
        <f>H1160</f>
        <v>1355.7</v>
      </c>
      <c r="I1159" s="36">
        <f t="shared" ref="I1159:K1160" si="599">I1160</f>
        <v>1355.7</v>
      </c>
      <c r="J1159" s="36">
        <f t="shared" si="599"/>
        <v>1355.7</v>
      </c>
      <c r="K1159" s="36">
        <f t="shared" si="599"/>
        <v>1355.7</v>
      </c>
      <c r="L1159" s="36">
        <f t="shared" ref="L1159:L1161" si="600">K1159/H1159*100</f>
        <v>100</v>
      </c>
      <c r="M1159" s="36">
        <f t="shared" ref="M1159:M1161" si="601">K1159/I1159*100</f>
        <v>100</v>
      </c>
    </row>
    <row r="1160" spans="1:13">
      <c r="A1160" s="60" t="s">
        <v>72</v>
      </c>
      <c r="B1160" s="29" t="s">
        <v>481</v>
      </c>
      <c r="C1160" s="29" t="s">
        <v>19</v>
      </c>
      <c r="D1160" s="29" t="s">
        <v>93</v>
      </c>
      <c r="E1160" s="30" t="s">
        <v>1164</v>
      </c>
      <c r="F1160" s="29" t="s">
        <v>73</v>
      </c>
      <c r="G1160" s="36"/>
      <c r="H1160" s="36">
        <f>H1161</f>
        <v>1355.7</v>
      </c>
      <c r="I1160" s="36">
        <f t="shared" si="599"/>
        <v>1355.7</v>
      </c>
      <c r="J1160" s="36">
        <f t="shared" si="599"/>
        <v>1355.7</v>
      </c>
      <c r="K1160" s="36">
        <f t="shared" si="599"/>
        <v>1355.7</v>
      </c>
      <c r="L1160" s="36">
        <f t="shared" si="600"/>
        <v>100</v>
      </c>
      <c r="M1160" s="36">
        <f t="shared" si="601"/>
        <v>100</v>
      </c>
    </row>
    <row r="1161" spans="1:13" ht="51">
      <c r="A1161" s="60" t="s">
        <v>218</v>
      </c>
      <c r="B1161" s="29" t="s">
        <v>481</v>
      </c>
      <c r="C1161" s="29" t="s">
        <v>19</v>
      </c>
      <c r="D1161" s="29" t="s">
        <v>93</v>
      </c>
      <c r="E1161" s="30" t="s">
        <v>1164</v>
      </c>
      <c r="F1161" s="29" t="s">
        <v>219</v>
      </c>
      <c r="G1161" s="36"/>
      <c r="H1161" s="36">
        <v>1355.7</v>
      </c>
      <c r="I1161" s="36">
        <v>1355.7</v>
      </c>
      <c r="J1161" s="36">
        <v>1355.7</v>
      </c>
      <c r="K1161" s="36">
        <v>1355.7</v>
      </c>
      <c r="L1161" s="36">
        <f t="shared" si="600"/>
        <v>100</v>
      </c>
      <c r="M1161" s="36">
        <f t="shared" si="601"/>
        <v>100</v>
      </c>
    </row>
    <row r="1162" spans="1:13">
      <c r="A1162" s="60" t="s">
        <v>1167</v>
      </c>
      <c r="B1162" s="29" t="s">
        <v>481</v>
      </c>
      <c r="C1162" s="29" t="s">
        <v>19</v>
      </c>
      <c r="D1162" s="29" t="s">
        <v>93</v>
      </c>
      <c r="E1162" s="30" t="s">
        <v>1166</v>
      </c>
      <c r="F1162" s="29"/>
      <c r="G1162" s="36"/>
      <c r="H1162" s="36">
        <f>H1163</f>
        <v>35514</v>
      </c>
      <c r="I1162" s="36">
        <f t="shared" ref="I1162:K1163" si="602">I1163</f>
        <v>35514</v>
      </c>
      <c r="J1162" s="36">
        <f t="shared" si="602"/>
        <v>35514</v>
      </c>
      <c r="K1162" s="36">
        <f t="shared" si="602"/>
        <v>35514</v>
      </c>
      <c r="L1162" s="36">
        <f t="shared" ref="L1162:L1164" si="603">K1162/H1162*100</f>
        <v>100</v>
      </c>
      <c r="M1162" s="36">
        <f t="shared" ref="M1162:M1164" si="604">K1162/I1162*100</f>
        <v>100</v>
      </c>
    </row>
    <row r="1163" spans="1:13">
      <c r="A1163" s="60" t="s">
        <v>72</v>
      </c>
      <c r="B1163" s="29" t="s">
        <v>481</v>
      </c>
      <c r="C1163" s="29" t="s">
        <v>19</v>
      </c>
      <c r="D1163" s="29" t="s">
        <v>93</v>
      </c>
      <c r="E1163" s="30" t="s">
        <v>1166</v>
      </c>
      <c r="F1163" s="29" t="s">
        <v>73</v>
      </c>
      <c r="G1163" s="36"/>
      <c r="H1163" s="36">
        <f>H1164</f>
        <v>35514</v>
      </c>
      <c r="I1163" s="36">
        <f t="shared" si="602"/>
        <v>35514</v>
      </c>
      <c r="J1163" s="36">
        <f t="shared" si="602"/>
        <v>35514</v>
      </c>
      <c r="K1163" s="36">
        <f t="shared" si="602"/>
        <v>35514</v>
      </c>
      <c r="L1163" s="36">
        <f t="shared" si="603"/>
        <v>100</v>
      </c>
      <c r="M1163" s="36">
        <f t="shared" si="604"/>
        <v>100</v>
      </c>
    </row>
    <row r="1164" spans="1:13" ht="51">
      <c r="A1164" s="60" t="s">
        <v>218</v>
      </c>
      <c r="B1164" s="29" t="s">
        <v>481</v>
      </c>
      <c r="C1164" s="29" t="s">
        <v>19</v>
      </c>
      <c r="D1164" s="29" t="s">
        <v>93</v>
      </c>
      <c r="E1164" s="30" t="s">
        <v>1166</v>
      </c>
      <c r="F1164" s="29" t="s">
        <v>219</v>
      </c>
      <c r="G1164" s="36"/>
      <c r="H1164" s="36">
        <v>35514</v>
      </c>
      <c r="I1164" s="36">
        <v>35514</v>
      </c>
      <c r="J1164" s="36">
        <v>35514</v>
      </c>
      <c r="K1164" s="36">
        <v>35514</v>
      </c>
      <c r="L1164" s="36">
        <f t="shared" si="603"/>
        <v>100</v>
      </c>
      <c r="M1164" s="36">
        <f t="shared" si="604"/>
        <v>100</v>
      </c>
    </row>
    <row r="1165" spans="1:13">
      <c r="A1165" s="60" t="s">
        <v>1169</v>
      </c>
      <c r="B1165" s="29" t="s">
        <v>481</v>
      </c>
      <c r="C1165" s="29" t="s">
        <v>19</v>
      </c>
      <c r="D1165" s="29" t="s">
        <v>93</v>
      </c>
      <c r="E1165" s="30" t="s">
        <v>1168</v>
      </c>
      <c r="F1165" s="29"/>
      <c r="G1165" s="36"/>
      <c r="H1165" s="36">
        <f>H1166</f>
        <v>27045</v>
      </c>
      <c r="I1165" s="36">
        <f t="shared" ref="I1165:K1166" si="605">I1166</f>
        <v>27045</v>
      </c>
      <c r="J1165" s="36">
        <f t="shared" si="605"/>
        <v>27045</v>
      </c>
      <c r="K1165" s="36">
        <f t="shared" si="605"/>
        <v>27045</v>
      </c>
      <c r="L1165" s="36">
        <f t="shared" ref="L1165:L1173" si="606">K1165/H1165*100</f>
        <v>100</v>
      </c>
      <c r="M1165" s="36">
        <f t="shared" ref="M1165:M1173" si="607">K1165/I1165*100</f>
        <v>100</v>
      </c>
    </row>
    <row r="1166" spans="1:13">
      <c r="A1166" s="60" t="s">
        <v>72</v>
      </c>
      <c r="B1166" s="29" t="s">
        <v>481</v>
      </c>
      <c r="C1166" s="29" t="s">
        <v>19</v>
      </c>
      <c r="D1166" s="29" t="s">
        <v>93</v>
      </c>
      <c r="E1166" s="30" t="s">
        <v>1168</v>
      </c>
      <c r="F1166" s="29" t="s">
        <v>73</v>
      </c>
      <c r="G1166" s="36"/>
      <c r="H1166" s="36">
        <f>H1167</f>
        <v>27045</v>
      </c>
      <c r="I1166" s="36">
        <f t="shared" si="605"/>
        <v>27045</v>
      </c>
      <c r="J1166" s="36">
        <f t="shared" si="605"/>
        <v>27045</v>
      </c>
      <c r="K1166" s="36">
        <f t="shared" si="605"/>
        <v>27045</v>
      </c>
      <c r="L1166" s="36">
        <f t="shared" si="606"/>
        <v>100</v>
      </c>
      <c r="M1166" s="36">
        <f t="shared" si="607"/>
        <v>100</v>
      </c>
    </row>
    <row r="1167" spans="1:13" ht="51">
      <c r="A1167" s="60" t="s">
        <v>218</v>
      </c>
      <c r="B1167" s="29" t="s">
        <v>481</v>
      </c>
      <c r="C1167" s="29" t="s">
        <v>19</v>
      </c>
      <c r="D1167" s="29" t="s">
        <v>93</v>
      </c>
      <c r="E1167" s="30" t="s">
        <v>1168</v>
      </c>
      <c r="F1167" s="29" t="s">
        <v>219</v>
      </c>
      <c r="G1167" s="36"/>
      <c r="H1167" s="36">
        <v>27045</v>
      </c>
      <c r="I1167" s="36">
        <v>27045</v>
      </c>
      <c r="J1167" s="36">
        <v>27045</v>
      </c>
      <c r="K1167" s="36">
        <v>27045</v>
      </c>
      <c r="L1167" s="36">
        <f t="shared" si="606"/>
        <v>100</v>
      </c>
      <c r="M1167" s="36">
        <f t="shared" si="607"/>
        <v>100</v>
      </c>
    </row>
    <row r="1168" spans="1:13" ht="44.25" customHeight="1">
      <c r="A1168" s="60" t="s">
        <v>1172</v>
      </c>
      <c r="B1168" s="29" t="s">
        <v>481</v>
      </c>
      <c r="C1168" s="29" t="s">
        <v>19</v>
      </c>
      <c r="D1168" s="29" t="s">
        <v>93</v>
      </c>
      <c r="E1168" s="30" t="s">
        <v>1170</v>
      </c>
      <c r="F1168" s="29"/>
      <c r="G1168" s="36"/>
      <c r="H1168" s="36">
        <f>H1169</f>
        <v>255.6</v>
      </c>
      <c r="I1168" s="36">
        <f t="shared" ref="I1168:K1169" si="608">I1169</f>
        <v>237.744</v>
      </c>
      <c r="J1168" s="36">
        <f t="shared" si="608"/>
        <v>237.744</v>
      </c>
      <c r="K1168" s="36">
        <f t="shared" si="608"/>
        <v>237.744</v>
      </c>
      <c r="L1168" s="36">
        <f t="shared" si="606"/>
        <v>93.014084507042256</v>
      </c>
      <c r="M1168" s="36">
        <f t="shared" si="607"/>
        <v>100</v>
      </c>
    </row>
    <row r="1169" spans="1:13">
      <c r="A1169" s="60" t="s">
        <v>72</v>
      </c>
      <c r="B1169" s="29" t="s">
        <v>481</v>
      </c>
      <c r="C1169" s="29" t="s">
        <v>19</v>
      </c>
      <c r="D1169" s="29" t="s">
        <v>93</v>
      </c>
      <c r="E1169" s="30" t="s">
        <v>1170</v>
      </c>
      <c r="F1169" s="29" t="s">
        <v>73</v>
      </c>
      <c r="G1169" s="36"/>
      <c r="H1169" s="36">
        <f>H1170</f>
        <v>255.6</v>
      </c>
      <c r="I1169" s="36">
        <f t="shared" si="608"/>
        <v>237.744</v>
      </c>
      <c r="J1169" s="36">
        <f t="shared" si="608"/>
        <v>237.744</v>
      </c>
      <c r="K1169" s="36">
        <f t="shared" si="608"/>
        <v>237.744</v>
      </c>
      <c r="L1169" s="36">
        <f t="shared" si="606"/>
        <v>93.014084507042256</v>
      </c>
      <c r="M1169" s="36">
        <f t="shared" si="607"/>
        <v>100</v>
      </c>
    </row>
    <row r="1170" spans="1:13" ht="51">
      <c r="A1170" s="60" t="s">
        <v>218</v>
      </c>
      <c r="B1170" s="29" t="s">
        <v>481</v>
      </c>
      <c r="C1170" s="29" t="s">
        <v>19</v>
      </c>
      <c r="D1170" s="29" t="s">
        <v>93</v>
      </c>
      <c r="E1170" s="30" t="s">
        <v>1170</v>
      </c>
      <c r="F1170" s="29" t="s">
        <v>219</v>
      </c>
      <c r="G1170" s="36"/>
      <c r="H1170" s="36">
        <v>255.6</v>
      </c>
      <c r="I1170" s="36">
        <v>237.744</v>
      </c>
      <c r="J1170" s="36">
        <v>237.744</v>
      </c>
      <c r="K1170" s="36">
        <v>237.744</v>
      </c>
      <c r="L1170" s="36">
        <f t="shared" si="606"/>
        <v>93.014084507042256</v>
      </c>
      <c r="M1170" s="36">
        <f t="shared" si="607"/>
        <v>100</v>
      </c>
    </row>
    <row r="1171" spans="1:13" ht="41.25" customHeight="1">
      <c r="A1171" s="60" t="s">
        <v>1173</v>
      </c>
      <c r="B1171" s="29" t="s">
        <v>481</v>
      </c>
      <c r="C1171" s="29" t="s">
        <v>19</v>
      </c>
      <c r="D1171" s="29" t="s">
        <v>93</v>
      </c>
      <c r="E1171" s="30" t="s">
        <v>1171</v>
      </c>
      <c r="F1171" s="29"/>
      <c r="G1171" s="36"/>
      <c r="H1171" s="36">
        <f>H1172</f>
        <v>35592</v>
      </c>
      <c r="I1171" s="36">
        <f t="shared" ref="I1171:K1172" si="609">I1172</f>
        <v>7399.8403600000001</v>
      </c>
      <c r="J1171" s="36">
        <f t="shared" si="609"/>
        <v>7187.4003899999998</v>
      </c>
      <c r="K1171" s="36">
        <f t="shared" si="609"/>
        <v>7187.4003899999998</v>
      </c>
      <c r="L1171" s="36">
        <f t="shared" si="606"/>
        <v>20.1938648853675</v>
      </c>
      <c r="M1171" s="36">
        <f t="shared" si="607"/>
        <v>97.129127661343219</v>
      </c>
    </row>
    <row r="1172" spans="1:13">
      <c r="A1172" s="60" t="s">
        <v>72</v>
      </c>
      <c r="B1172" s="29" t="s">
        <v>481</v>
      </c>
      <c r="C1172" s="29" t="s">
        <v>19</v>
      </c>
      <c r="D1172" s="29" t="s">
        <v>93</v>
      </c>
      <c r="E1172" s="30" t="s">
        <v>1171</v>
      </c>
      <c r="F1172" s="29" t="s">
        <v>73</v>
      </c>
      <c r="G1172" s="36"/>
      <c r="H1172" s="36">
        <f>H1173</f>
        <v>35592</v>
      </c>
      <c r="I1172" s="36">
        <f t="shared" si="609"/>
        <v>7399.8403600000001</v>
      </c>
      <c r="J1172" s="36">
        <f t="shared" si="609"/>
        <v>7187.4003899999998</v>
      </c>
      <c r="K1172" s="36">
        <f t="shared" si="609"/>
        <v>7187.4003899999998</v>
      </c>
      <c r="L1172" s="36">
        <f t="shared" si="606"/>
        <v>20.1938648853675</v>
      </c>
      <c r="M1172" s="36">
        <f t="shared" si="607"/>
        <v>97.129127661343219</v>
      </c>
    </row>
    <row r="1173" spans="1:13" ht="51">
      <c r="A1173" s="60" t="s">
        <v>218</v>
      </c>
      <c r="B1173" s="29" t="s">
        <v>481</v>
      </c>
      <c r="C1173" s="29" t="s">
        <v>19</v>
      </c>
      <c r="D1173" s="29" t="s">
        <v>93</v>
      </c>
      <c r="E1173" s="30" t="s">
        <v>1171</v>
      </c>
      <c r="F1173" s="29" t="s">
        <v>219</v>
      </c>
      <c r="G1173" s="36"/>
      <c r="H1173" s="36">
        <v>35592</v>
      </c>
      <c r="I1173" s="36">
        <v>7399.8403600000001</v>
      </c>
      <c r="J1173" s="36">
        <v>7187.4003899999998</v>
      </c>
      <c r="K1173" s="36">
        <v>7187.4003899999998</v>
      </c>
      <c r="L1173" s="36">
        <f t="shared" si="606"/>
        <v>20.1938648853675</v>
      </c>
      <c r="M1173" s="36">
        <f t="shared" si="607"/>
        <v>97.129127661343219</v>
      </c>
    </row>
    <row r="1174" spans="1:13" ht="51">
      <c r="A1174" s="60" t="s">
        <v>506</v>
      </c>
      <c r="B1174" s="29" t="s">
        <v>481</v>
      </c>
      <c r="C1174" s="29" t="s">
        <v>19</v>
      </c>
      <c r="D1174" s="29" t="s">
        <v>93</v>
      </c>
      <c r="E1174" s="29" t="s">
        <v>507</v>
      </c>
      <c r="F1174" s="59" t="s">
        <v>0</v>
      </c>
      <c r="G1174" s="36">
        <f>G1175</f>
        <v>2032.2</v>
      </c>
      <c r="H1174" s="36">
        <f t="shared" ref="H1174:K1175" si="610">H1175</f>
        <v>2032.2</v>
      </c>
      <c r="I1174" s="36">
        <f t="shared" si="610"/>
        <v>0</v>
      </c>
      <c r="J1174" s="36">
        <f t="shared" si="610"/>
        <v>0</v>
      </c>
      <c r="K1174" s="36">
        <f t="shared" si="610"/>
        <v>0</v>
      </c>
      <c r="L1174" s="36">
        <f t="shared" si="580"/>
        <v>0</v>
      </c>
      <c r="M1174" s="36">
        <v>0</v>
      </c>
    </row>
    <row r="1175" spans="1:13">
      <c r="A1175" s="60" t="s">
        <v>72</v>
      </c>
      <c r="B1175" s="29" t="s">
        <v>481</v>
      </c>
      <c r="C1175" s="29" t="s">
        <v>19</v>
      </c>
      <c r="D1175" s="29" t="s">
        <v>93</v>
      </c>
      <c r="E1175" s="29" t="s">
        <v>507</v>
      </c>
      <c r="F1175" s="29" t="s">
        <v>73</v>
      </c>
      <c r="G1175" s="36">
        <f>G1176</f>
        <v>2032.2</v>
      </c>
      <c r="H1175" s="36">
        <f t="shared" si="610"/>
        <v>2032.2</v>
      </c>
      <c r="I1175" s="36">
        <f t="shared" si="610"/>
        <v>0</v>
      </c>
      <c r="J1175" s="36">
        <f t="shared" si="610"/>
        <v>0</v>
      </c>
      <c r="K1175" s="36">
        <f t="shared" si="610"/>
        <v>0</v>
      </c>
      <c r="L1175" s="36">
        <f t="shared" si="580"/>
        <v>0</v>
      </c>
      <c r="M1175" s="36">
        <v>0</v>
      </c>
    </row>
    <row r="1176" spans="1:13" ht="51">
      <c r="A1176" s="60" t="s">
        <v>218</v>
      </c>
      <c r="B1176" s="29" t="s">
        <v>481</v>
      </c>
      <c r="C1176" s="29" t="s">
        <v>19</v>
      </c>
      <c r="D1176" s="29" t="s">
        <v>93</v>
      </c>
      <c r="E1176" s="29" t="s">
        <v>507</v>
      </c>
      <c r="F1176" s="29" t="s">
        <v>219</v>
      </c>
      <c r="G1176" s="36">
        <v>2032.2</v>
      </c>
      <c r="H1176" s="36">
        <v>2032.2</v>
      </c>
      <c r="I1176" s="36">
        <v>0</v>
      </c>
      <c r="J1176" s="36">
        <v>0</v>
      </c>
      <c r="K1176" s="36">
        <v>0</v>
      </c>
      <c r="L1176" s="36">
        <f t="shared" si="580"/>
        <v>0</v>
      </c>
      <c r="M1176" s="36">
        <v>0</v>
      </c>
    </row>
    <row r="1177" spans="1:13" ht="64.5" customHeight="1">
      <c r="A1177" s="60" t="s">
        <v>1175</v>
      </c>
      <c r="B1177" s="29" t="s">
        <v>481</v>
      </c>
      <c r="C1177" s="29" t="s">
        <v>19</v>
      </c>
      <c r="D1177" s="29" t="s">
        <v>93</v>
      </c>
      <c r="E1177" s="30" t="s">
        <v>1174</v>
      </c>
      <c r="F1177" s="29"/>
      <c r="G1177" s="36"/>
      <c r="H1177" s="36">
        <f>H1178</f>
        <v>28013.1</v>
      </c>
      <c r="I1177" s="36">
        <f t="shared" ref="I1177:K1178" si="611">I1178</f>
        <v>20783.330999999998</v>
      </c>
      <c r="J1177" s="36">
        <f t="shared" si="611"/>
        <v>20783.330999999998</v>
      </c>
      <c r="K1177" s="36">
        <f t="shared" si="611"/>
        <v>20783.330999999998</v>
      </c>
      <c r="L1177" s="36">
        <f t="shared" ref="L1177:L1179" si="612">K1177/H1177*100</f>
        <v>74.191471133148411</v>
      </c>
      <c r="M1177" s="36">
        <f t="shared" ref="M1177:M1179" si="613">K1177/I1177*100</f>
        <v>100</v>
      </c>
    </row>
    <row r="1178" spans="1:13">
      <c r="A1178" s="60" t="s">
        <v>72</v>
      </c>
      <c r="B1178" s="29" t="s">
        <v>481</v>
      </c>
      <c r="C1178" s="29" t="s">
        <v>19</v>
      </c>
      <c r="D1178" s="29" t="s">
        <v>93</v>
      </c>
      <c r="E1178" s="30" t="s">
        <v>1174</v>
      </c>
      <c r="F1178" s="29" t="s">
        <v>73</v>
      </c>
      <c r="G1178" s="36"/>
      <c r="H1178" s="36">
        <f>H1179</f>
        <v>28013.1</v>
      </c>
      <c r="I1178" s="36">
        <f t="shared" si="611"/>
        <v>20783.330999999998</v>
      </c>
      <c r="J1178" s="36">
        <f t="shared" si="611"/>
        <v>20783.330999999998</v>
      </c>
      <c r="K1178" s="36">
        <f t="shared" si="611"/>
        <v>20783.330999999998</v>
      </c>
      <c r="L1178" s="36">
        <f t="shared" si="612"/>
        <v>74.191471133148411</v>
      </c>
      <c r="M1178" s="36">
        <f t="shared" si="613"/>
        <v>100</v>
      </c>
    </row>
    <row r="1179" spans="1:13" ht="51">
      <c r="A1179" s="60" t="s">
        <v>218</v>
      </c>
      <c r="B1179" s="29" t="s">
        <v>481</v>
      </c>
      <c r="C1179" s="29" t="s">
        <v>19</v>
      </c>
      <c r="D1179" s="29" t="s">
        <v>93</v>
      </c>
      <c r="E1179" s="30" t="s">
        <v>1174</v>
      </c>
      <c r="F1179" s="29" t="s">
        <v>219</v>
      </c>
      <c r="G1179" s="36"/>
      <c r="H1179" s="36">
        <v>28013.1</v>
      </c>
      <c r="I1179" s="36">
        <v>20783.330999999998</v>
      </c>
      <c r="J1179" s="36">
        <v>20783.330999999998</v>
      </c>
      <c r="K1179" s="36">
        <v>20783.330999999998</v>
      </c>
      <c r="L1179" s="36">
        <f t="shared" si="612"/>
        <v>74.191471133148411</v>
      </c>
      <c r="M1179" s="36">
        <f t="shared" si="613"/>
        <v>100</v>
      </c>
    </row>
    <row r="1180" spans="1:13" ht="48" customHeight="1">
      <c r="A1180" s="60" t="s">
        <v>1178</v>
      </c>
      <c r="B1180" s="29" t="s">
        <v>481</v>
      </c>
      <c r="C1180" s="29" t="s">
        <v>19</v>
      </c>
      <c r="D1180" s="29" t="s">
        <v>93</v>
      </c>
      <c r="E1180" s="30" t="s">
        <v>1176</v>
      </c>
      <c r="F1180" s="29"/>
      <c r="G1180" s="36"/>
      <c r="H1180" s="36">
        <f>H1181</f>
        <v>2764.2</v>
      </c>
      <c r="I1180" s="36">
        <f t="shared" ref="I1180:K1181" si="614">I1181</f>
        <v>1056.3</v>
      </c>
      <c r="J1180" s="36">
        <f t="shared" si="614"/>
        <v>1056.3</v>
      </c>
      <c r="K1180" s="36">
        <f t="shared" si="614"/>
        <v>1056.3</v>
      </c>
      <c r="L1180" s="36">
        <f t="shared" ref="L1180:L1185" si="615">K1180/H1180*100</f>
        <v>38.213588018233125</v>
      </c>
      <c r="M1180" s="36">
        <f t="shared" ref="M1180:M1185" si="616">K1180/I1180*100</f>
        <v>100</v>
      </c>
    </row>
    <row r="1181" spans="1:13">
      <c r="A1181" s="60" t="s">
        <v>72</v>
      </c>
      <c r="B1181" s="29" t="s">
        <v>481</v>
      </c>
      <c r="C1181" s="29" t="s">
        <v>19</v>
      </c>
      <c r="D1181" s="29" t="s">
        <v>93</v>
      </c>
      <c r="E1181" s="30" t="s">
        <v>1176</v>
      </c>
      <c r="F1181" s="29" t="s">
        <v>73</v>
      </c>
      <c r="G1181" s="36"/>
      <c r="H1181" s="36">
        <f>H1182</f>
        <v>2764.2</v>
      </c>
      <c r="I1181" s="36">
        <f t="shared" si="614"/>
        <v>1056.3</v>
      </c>
      <c r="J1181" s="36">
        <f t="shared" si="614"/>
        <v>1056.3</v>
      </c>
      <c r="K1181" s="36">
        <f t="shared" si="614"/>
        <v>1056.3</v>
      </c>
      <c r="L1181" s="36">
        <f t="shared" si="615"/>
        <v>38.213588018233125</v>
      </c>
      <c r="M1181" s="36">
        <f t="shared" si="616"/>
        <v>100</v>
      </c>
    </row>
    <row r="1182" spans="1:13" ht="51">
      <c r="A1182" s="60" t="s">
        <v>218</v>
      </c>
      <c r="B1182" s="29" t="s">
        <v>481</v>
      </c>
      <c r="C1182" s="29" t="s">
        <v>19</v>
      </c>
      <c r="D1182" s="29" t="s">
        <v>93</v>
      </c>
      <c r="E1182" s="30" t="s">
        <v>1176</v>
      </c>
      <c r="F1182" s="29" t="s">
        <v>219</v>
      </c>
      <c r="G1182" s="36"/>
      <c r="H1182" s="36">
        <v>2764.2</v>
      </c>
      <c r="I1182" s="36">
        <v>1056.3</v>
      </c>
      <c r="J1182" s="36">
        <v>1056.3</v>
      </c>
      <c r="K1182" s="36">
        <v>1056.3</v>
      </c>
      <c r="L1182" s="36">
        <f t="shared" si="615"/>
        <v>38.213588018233125</v>
      </c>
      <c r="M1182" s="36">
        <f t="shared" si="616"/>
        <v>100</v>
      </c>
    </row>
    <row r="1183" spans="1:13" ht="52.5" customHeight="1">
      <c r="A1183" s="60" t="s">
        <v>1179</v>
      </c>
      <c r="B1183" s="29" t="s">
        <v>481</v>
      </c>
      <c r="C1183" s="29" t="s">
        <v>19</v>
      </c>
      <c r="D1183" s="29" t="s">
        <v>93</v>
      </c>
      <c r="E1183" s="30" t="s">
        <v>1177</v>
      </c>
      <c r="F1183" s="29"/>
      <c r="G1183" s="36"/>
      <c r="H1183" s="36">
        <f>H1184</f>
        <v>19707.8</v>
      </c>
      <c r="I1183" s="36">
        <f t="shared" ref="I1183:K1184" si="617">I1184</f>
        <v>13010</v>
      </c>
      <c r="J1183" s="36">
        <f t="shared" si="617"/>
        <v>13010</v>
      </c>
      <c r="K1183" s="36">
        <f t="shared" si="617"/>
        <v>13010</v>
      </c>
      <c r="L1183" s="36">
        <f t="shared" si="615"/>
        <v>66.014471427556614</v>
      </c>
      <c r="M1183" s="36">
        <f t="shared" si="616"/>
        <v>100</v>
      </c>
    </row>
    <row r="1184" spans="1:13">
      <c r="A1184" s="60" t="s">
        <v>72</v>
      </c>
      <c r="B1184" s="29" t="s">
        <v>481</v>
      </c>
      <c r="C1184" s="29" t="s">
        <v>19</v>
      </c>
      <c r="D1184" s="29" t="s">
        <v>93</v>
      </c>
      <c r="E1184" s="30" t="s">
        <v>1177</v>
      </c>
      <c r="F1184" s="29" t="s">
        <v>73</v>
      </c>
      <c r="G1184" s="36"/>
      <c r="H1184" s="36">
        <f>H1185</f>
        <v>19707.8</v>
      </c>
      <c r="I1184" s="36">
        <f t="shared" si="617"/>
        <v>13010</v>
      </c>
      <c r="J1184" s="36">
        <f t="shared" si="617"/>
        <v>13010</v>
      </c>
      <c r="K1184" s="36">
        <f t="shared" si="617"/>
        <v>13010</v>
      </c>
      <c r="L1184" s="36">
        <f t="shared" si="615"/>
        <v>66.014471427556614</v>
      </c>
      <c r="M1184" s="36">
        <f t="shared" si="616"/>
        <v>100</v>
      </c>
    </row>
    <row r="1185" spans="1:13" ht="51">
      <c r="A1185" s="60" t="s">
        <v>218</v>
      </c>
      <c r="B1185" s="29" t="s">
        <v>481</v>
      </c>
      <c r="C1185" s="29" t="s">
        <v>19</v>
      </c>
      <c r="D1185" s="29" t="s">
        <v>93</v>
      </c>
      <c r="E1185" s="30" t="s">
        <v>1177</v>
      </c>
      <c r="F1185" s="29" t="s">
        <v>219</v>
      </c>
      <c r="G1185" s="36"/>
      <c r="H1185" s="36">
        <v>19707.8</v>
      </c>
      <c r="I1185" s="36">
        <v>13010</v>
      </c>
      <c r="J1185" s="36">
        <v>13010</v>
      </c>
      <c r="K1185" s="36">
        <v>13010</v>
      </c>
      <c r="L1185" s="36">
        <f t="shared" si="615"/>
        <v>66.014471427556614</v>
      </c>
      <c r="M1185" s="36">
        <f t="shared" si="616"/>
        <v>100</v>
      </c>
    </row>
    <row r="1186" spans="1:13" ht="25.5">
      <c r="A1186" s="60" t="s">
        <v>508</v>
      </c>
      <c r="B1186" s="29" t="s">
        <v>481</v>
      </c>
      <c r="C1186" s="29" t="s">
        <v>19</v>
      </c>
      <c r="D1186" s="29" t="s">
        <v>93</v>
      </c>
      <c r="E1186" s="29" t="s">
        <v>509</v>
      </c>
      <c r="F1186" s="59" t="s">
        <v>0</v>
      </c>
      <c r="G1186" s="36">
        <f>G1187</f>
        <v>29860.3</v>
      </c>
      <c r="H1186" s="36">
        <f t="shared" ref="H1186:K1187" si="618">H1187</f>
        <v>27012</v>
      </c>
      <c r="I1186" s="36">
        <f t="shared" si="618"/>
        <v>25640.240000000002</v>
      </c>
      <c r="J1186" s="36">
        <f t="shared" si="618"/>
        <v>25640.240000000002</v>
      </c>
      <c r="K1186" s="36">
        <f t="shared" si="618"/>
        <v>25640.240000000002</v>
      </c>
      <c r="L1186" s="36">
        <f t="shared" si="580"/>
        <v>94.921664445431659</v>
      </c>
      <c r="M1186" s="36">
        <f t="shared" si="581"/>
        <v>100</v>
      </c>
    </row>
    <row r="1187" spans="1:13">
      <c r="A1187" s="60" t="s">
        <v>72</v>
      </c>
      <c r="B1187" s="29" t="s">
        <v>481</v>
      </c>
      <c r="C1187" s="29" t="s">
        <v>19</v>
      </c>
      <c r="D1187" s="29" t="s">
        <v>93</v>
      </c>
      <c r="E1187" s="29" t="s">
        <v>509</v>
      </c>
      <c r="F1187" s="29" t="s">
        <v>73</v>
      </c>
      <c r="G1187" s="36">
        <f>G1188</f>
        <v>29860.3</v>
      </c>
      <c r="H1187" s="36">
        <f t="shared" si="618"/>
        <v>27012</v>
      </c>
      <c r="I1187" s="36">
        <f t="shared" si="618"/>
        <v>25640.240000000002</v>
      </c>
      <c r="J1187" s="36">
        <f t="shared" si="618"/>
        <v>25640.240000000002</v>
      </c>
      <c r="K1187" s="36">
        <f t="shared" si="618"/>
        <v>25640.240000000002</v>
      </c>
      <c r="L1187" s="36">
        <f t="shared" si="580"/>
        <v>94.921664445431659</v>
      </c>
      <c r="M1187" s="36">
        <f t="shared" si="581"/>
        <v>100</v>
      </c>
    </row>
    <row r="1188" spans="1:13" ht="51">
      <c r="A1188" s="60" t="s">
        <v>218</v>
      </c>
      <c r="B1188" s="29" t="s">
        <v>481</v>
      </c>
      <c r="C1188" s="29" t="s">
        <v>19</v>
      </c>
      <c r="D1188" s="29" t="s">
        <v>93</v>
      </c>
      <c r="E1188" s="29" t="s">
        <v>509</v>
      </c>
      <c r="F1188" s="29" t="s">
        <v>219</v>
      </c>
      <c r="G1188" s="36">
        <v>29860.3</v>
      </c>
      <c r="H1188" s="36">
        <v>27012</v>
      </c>
      <c r="I1188" s="36">
        <v>25640.240000000002</v>
      </c>
      <c r="J1188" s="36">
        <v>25640.240000000002</v>
      </c>
      <c r="K1188" s="36">
        <v>25640.240000000002</v>
      </c>
      <c r="L1188" s="36">
        <f t="shared" si="580"/>
        <v>94.921664445431659</v>
      </c>
      <c r="M1188" s="36">
        <f t="shared" si="581"/>
        <v>100</v>
      </c>
    </row>
    <row r="1189" spans="1:13" ht="62.25" customHeight="1">
      <c r="A1189" s="60" t="s">
        <v>1181</v>
      </c>
      <c r="B1189" s="29" t="s">
        <v>481</v>
      </c>
      <c r="C1189" s="29" t="s">
        <v>19</v>
      </c>
      <c r="D1189" s="29" t="s">
        <v>93</v>
      </c>
      <c r="E1189" s="30" t="s">
        <v>1180</v>
      </c>
      <c r="F1189" s="59" t="s">
        <v>0</v>
      </c>
      <c r="G1189" s="36"/>
      <c r="H1189" s="36">
        <f>H1190</f>
        <v>5510.5</v>
      </c>
      <c r="I1189" s="36">
        <f t="shared" ref="I1189:K1190" si="619">I1190</f>
        <v>2173.1959999999999</v>
      </c>
      <c r="J1189" s="36">
        <f t="shared" si="619"/>
        <v>2173.1959999999999</v>
      </c>
      <c r="K1189" s="36">
        <f t="shared" si="619"/>
        <v>2173.1959999999999</v>
      </c>
      <c r="L1189" s="36">
        <f t="shared" ref="L1189:L1191" si="620">K1189/H1189*100</f>
        <v>39.437365030396514</v>
      </c>
      <c r="M1189" s="36">
        <f t="shared" ref="M1189:M1191" si="621">K1189/I1189*100</f>
        <v>100</v>
      </c>
    </row>
    <row r="1190" spans="1:13">
      <c r="A1190" s="60" t="s">
        <v>72</v>
      </c>
      <c r="B1190" s="29" t="s">
        <v>481</v>
      </c>
      <c r="C1190" s="29" t="s">
        <v>19</v>
      </c>
      <c r="D1190" s="29" t="s">
        <v>93</v>
      </c>
      <c r="E1190" s="30" t="s">
        <v>1180</v>
      </c>
      <c r="F1190" s="29" t="s">
        <v>73</v>
      </c>
      <c r="G1190" s="36"/>
      <c r="H1190" s="36">
        <f>H1191</f>
        <v>5510.5</v>
      </c>
      <c r="I1190" s="36">
        <f t="shared" si="619"/>
        <v>2173.1959999999999</v>
      </c>
      <c r="J1190" s="36">
        <f t="shared" si="619"/>
        <v>2173.1959999999999</v>
      </c>
      <c r="K1190" s="36">
        <f t="shared" si="619"/>
        <v>2173.1959999999999</v>
      </c>
      <c r="L1190" s="36">
        <f t="shared" si="620"/>
        <v>39.437365030396514</v>
      </c>
      <c r="M1190" s="36">
        <f t="shared" si="621"/>
        <v>100</v>
      </c>
    </row>
    <row r="1191" spans="1:13" ht="51">
      <c r="A1191" s="60" t="s">
        <v>218</v>
      </c>
      <c r="B1191" s="29" t="s">
        <v>481</v>
      </c>
      <c r="C1191" s="29" t="s">
        <v>19</v>
      </c>
      <c r="D1191" s="29" t="s">
        <v>93</v>
      </c>
      <c r="E1191" s="30" t="s">
        <v>1180</v>
      </c>
      <c r="F1191" s="29" t="s">
        <v>219</v>
      </c>
      <c r="G1191" s="36"/>
      <c r="H1191" s="36">
        <v>5510.5</v>
      </c>
      <c r="I1191" s="36">
        <v>2173.1959999999999</v>
      </c>
      <c r="J1191" s="36">
        <v>2173.1959999999999</v>
      </c>
      <c r="K1191" s="36">
        <v>2173.1959999999999</v>
      </c>
      <c r="L1191" s="36">
        <f t="shared" si="620"/>
        <v>39.437365030396514</v>
      </c>
      <c r="M1191" s="36">
        <f t="shared" si="621"/>
        <v>100</v>
      </c>
    </row>
    <row r="1192" spans="1:13" ht="82.5" customHeight="1">
      <c r="A1192" s="60" t="s">
        <v>1183</v>
      </c>
      <c r="B1192" s="29" t="s">
        <v>481</v>
      </c>
      <c r="C1192" s="29" t="s">
        <v>19</v>
      </c>
      <c r="D1192" s="29" t="s">
        <v>93</v>
      </c>
      <c r="E1192" s="30" t="s">
        <v>1182</v>
      </c>
      <c r="F1192" s="29"/>
      <c r="G1192" s="36"/>
      <c r="H1192" s="36">
        <f>H1193</f>
        <v>5693.92</v>
      </c>
      <c r="I1192" s="36">
        <f t="shared" ref="I1192:K1193" si="622">I1193</f>
        <v>5693.92</v>
      </c>
      <c r="J1192" s="36">
        <f t="shared" si="622"/>
        <v>5693.92</v>
      </c>
      <c r="K1192" s="36">
        <f t="shared" si="622"/>
        <v>5693.92</v>
      </c>
      <c r="L1192" s="36">
        <f t="shared" ref="L1192:L1194" si="623">K1192/H1192*100</f>
        <v>100</v>
      </c>
      <c r="M1192" s="36">
        <f t="shared" ref="M1192:M1194" si="624">K1192/I1192*100</f>
        <v>100</v>
      </c>
    </row>
    <row r="1193" spans="1:13">
      <c r="A1193" s="60" t="s">
        <v>72</v>
      </c>
      <c r="B1193" s="29" t="s">
        <v>481</v>
      </c>
      <c r="C1193" s="29" t="s">
        <v>19</v>
      </c>
      <c r="D1193" s="29" t="s">
        <v>93</v>
      </c>
      <c r="E1193" s="30" t="s">
        <v>1182</v>
      </c>
      <c r="F1193" s="29">
        <v>800</v>
      </c>
      <c r="G1193" s="36"/>
      <c r="H1193" s="36">
        <f>H1194</f>
        <v>5693.92</v>
      </c>
      <c r="I1193" s="36">
        <f t="shared" si="622"/>
        <v>5693.92</v>
      </c>
      <c r="J1193" s="36">
        <f t="shared" si="622"/>
        <v>5693.92</v>
      </c>
      <c r="K1193" s="36">
        <f t="shared" si="622"/>
        <v>5693.92</v>
      </c>
      <c r="L1193" s="36">
        <f t="shared" si="623"/>
        <v>100</v>
      </c>
      <c r="M1193" s="36">
        <f t="shared" si="624"/>
        <v>100</v>
      </c>
    </row>
    <row r="1194" spans="1:13">
      <c r="A1194" s="60" t="s">
        <v>74</v>
      </c>
      <c r="B1194" s="29" t="s">
        <v>481</v>
      </c>
      <c r="C1194" s="29" t="s">
        <v>19</v>
      </c>
      <c r="D1194" s="29" t="s">
        <v>93</v>
      </c>
      <c r="E1194" s="30" t="s">
        <v>1182</v>
      </c>
      <c r="F1194" s="29">
        <v>850</v>
      </c>
      <c r="G1194" s="36"/>
      <c r="H1194" s="36">
        <v>5693.92</v>
      </c>
      <c r="I1194" s="36">
        <v>5693.92</v>
      </c>
      <c r="J1194" s="36">
        <v>5693.92</v>
      </c>
      <c r="K1194" s="36">
        <v>5693.92</v>
      </c>
      <c r="L1194" s="36">
        <f t="shared" si="623"/>
        <v>100</v>
      </c>
      <c r="M1194" s="36">
        <f t="shared" si="624"/>
        <v>100</v>
      </c>
    </row>
    <row r="1195" spans="1:13">
      <c r="A1195" s="60" t="s">
        <v>510</v>
      </c>
      <c r="B1195" s="29" t="s">
        <v>481</v>
      </c>
      <c r="C1195" s="29" t="s">
        <v>19</v>
      </c>
      <c r="D1195" s="29" t="s">
        <v>93</v>
      </c>
      <c r="E1195" s="29" t="s">
        <v>511</v>
      </c>
      <c r="F1195" s="59" t="s">
        <v>0</v>
      </c>
      <c r="G1195" s="36">
        <f>G1196</f>
        <v>12000</v>
      </c>
      <c r="H1195" s="36">
        <f t="shared" ref="H1195:K1196" si="625">H1196</f>
        <v>12000</v>
      </c>
      <c r="I1195" s="36">
        <f t="shared" si="625"/>
        <v>10472.7942</v>
      </c>
      <c r="J1195" s="36">
        <f t="shared" si="625"/>
        <v>10472.79398</v>
      </c>
      <c r="K1195" s="36">
        <f t="shared" si="625"/>
        <v>10472.79398</v>
      </c>
      <c r="L1195" s="36">
        <f t="shared" si="580"/>
        <v>87.273283166666673</v>
      </c>
      <c r="M1195" s="36">
        <f t="shared" si="581"/>
        <v>99.999997899318984</v>
      </c>
    </row>
    <row r="1196" spans="1:13">
      <c r="A1196" s="60" t="s">
        <v>72</v>
      </c>
      <c r="B1196" s="29" t="s">
        <v>481</v>
      </c>
      <c r="C1196" s="29" t="s">
        <v>19</v>
      </c>
      <c r="D1196" s="29" t="s">
        <v>93</v>
      </c>
      <c r="E1196" s="29" t="s">
        <v>511</v>
      </c>
      <c r="F1196" s="29" t="s">
        <v>73</v>
      </c>
      <c r="G1196" s="36">
        <f>G1197</f>
        <v>12000</v>
      </c>
      <c r="H1196" s="36">
        <f t="shared" si="625"/>
        <v>12000</v>
      </c>
      <c r="I1196" s="36">
        <f t="shared" si="625"/>
        <v>10472.7942</v>
      </c>
      <c r="J1196" s="36">
        <f t="shared" si="625"/>
        <v>10472.79398</v>
      </c>
      <c r="K1196" s="36">
        <f t="shared" si="625"/>
        <v>10472.79398</v>
      </c>
      <c r="L1196" s="36">
        <f t="shared" si="580"/>
        <v>87.273283166666673</v>
      </c>
      <c r="M1196" s="36">
        <f t="shared" si="581"/>
        <v>99.999997899318984</v>
      </c>
    </row>
    <row r="1197" spans="1:13" ht="51">
      <c r="A1197" s="60" t="s">
        <v>218</v>
      </c>
      <c r="B1197" s="29" t="s">
        <v>481</v>
      </c>
      <c r="C1197" s="29" t="s">
        <v>19</v>
      </c>
      <c r="D1197" s="29" t="s">
        <v>93</v>
      </c>
      <c r="E1197" s="29" t="s">
        <v>511</v>
      </c>
      <c r="F1197" s="29" t="s">
        <v>219</v>
      </c>
      <c r="G1197" s="36">
        <v>12000</v>
      </c>
      <c r="H1197" s="36">
        <v>12000</v>
      </c>
      <c r="I1197" s="36">
        <v>10472.7942</v>
      </c>
      <c r="J1197" s="36">
        <v>10472.79398</v>
      </c>
      <c r="K1197" s="36">
        <v>10472.79398</v>
      </c>
      <c r="L1197" s="36">
        <f t="shared" si="580"/>
        <v>87.273283166666673</v>
      </c>
      <c r="M1197" s="36">
        <f t="shared" si="581"/>
        <v>99.999997899318984</v>
      </c>
    </row>
    <row r="1198" spans="1:13" ht="25.5">
      <c r="A1198" s="60" t="s">
        <v>512</v>
      </c>
      <c r="B1198" s="29" t="s">
        <v>481</v>
      </c>
      <c r="C1198" s="29" t="s">
        <v>19</v>
      </c>
      <c r="D1198" s="29" t="s">
        <v>93</v>
      </c>
      <c r="E1198" s="29" t="s">
        <v>513</v>
      </c>
      <c r="F1198" s="59" t="s">
        <v>0</v>
      </c>
      <c r="G1198" s="36">
        <f>G1199+G1201</f>
        <v>4800</v>
      </c>
      <c r="H1198" s="36">
        <f t="shared" ref="H1198:K1198" si="626">H1199+H1201</f>
        <v>4800</v>
      </c>
      <c r="I1198" s="36">
        <f t="shared" si="626"/>
        <v>2399.4227700000001</v>
      </c>
      <c r="J1198" s="36">
        <f t="shared" si="626"/>
        <v>2399.4227700000001</v>
      </c>
      <c r="K1198" s="36">
        <f t="shared" si="626"/>
        <v>2399.4227700000001</v>
      </c>
      <c r="L1198" s="36">
        <f t="shared" si="580"/>
        <v>49.987974375000007</v>
      </c>
      <c r="M1198" s="36">
        <f t="shared" si="581"/>
        <v>100</v>
      </c>
    </row>
    <row r="1199" spans="1:13" ht="25.5">
      <c r="A1199" s="60" t="s">
        <v>64</v>
      </c>
      <c r="B1199" s="29" t="s">
        <v>481</v>
      </c>
      <c r="C1199" s="29" t="s">
        <v>19</v>
      </c>
      <c r="D1199" s="29" t="s">
        <v>93</v>
      </c>
      <c r="E1199" s="29" t="s">
        <v>513</v>
      </c>
      <c r="F1199" s="29" t="s">
        <v>65</v>
      </c>
      <c r="G1199" s="36">
        <f>G1200</f>
        <v>1700</v>
      </c>
      <c r="H1199" s="36">
        <f t="shared" ref="H1199:K1199" si="627">H1200</f>
        <v>1700</v>
      </c>
      <c r="I1199" s="36">
        <f t="shared" si="627"/>
        <v>598</v>
      </c>
      <c r="J1199" s="36">
        <f t="shared" si="627"/>
        <v>598</v>
      </c>
      <c r="K1199" s="36">
        <f t="shared" si="627"/>
        <v>598</v>
      </c>
      <c r="L1199" s="36">
        <f t="shared" si="580"/>
        <v>35.17647058823529</v>
      </c>
      <c r="M1199" s="36">
        <f t="shared" si="581"/>
        <v>100</v>
      </c>
    </row>
    <row r="1200" spans="1:13" ht="25.5">
      <c r="A1200" s="60" t="s">
        <v>66</v>
      </c>
      <c r="B1200" s="29" t="s">
        <v>481</v>
      </c>
      <c r="C1200" s="29" t="s">
        <v>19</v>
      </c>
      <c r="D1200" s="29" t="s">
        <v>93</v>
      </c>
      <c r="E1200" s="29" t="s">
        <v>513</v>
      </c>
      <c r="F1200" s="29" t="s">
        <v>67</v>
      </c>
      <c r="G1200" s="36">
        <v>1700</v>
      </c>
      <c r="H1200" s="36">
        <v>1700</v>
      </c>
      <c r="I1200" s="36">
        <v>598</v>
      </c>
      <c r="J1200" s="36">
        <v>598</v>
      </c>
      <c r="K1200" s="36">
        <v>598</v>
      </c>
      <c r="L1200" s="36">
        <f t="shared" si="580"/>
        <v>35.17647058823529</v>
      </c>
      <c r="M1200" s="36">
        <f t="shared" si="581"/>
        <v>100</v>
      </c>
    </row>
    <row r="1201" spans="1:13">
      <c r="A1201" s="60" t="s">
        <v>72</v>
      </c>
      <c r="B1201" s="29" t="s">
        <v>481</v>
      </c>
      <c r="C1201" s="29" t="s">
        <v>19</v>
      </c>
      <c r="D1201" s="29" t="s">
        <v>93</v>
      </c>
      <c r="E1201" s="29" t="s">
        <v>513</v>
      </c>
      <c r="F1201" s="29" t="s">
        <v>73</v>
      </c>
      <c r="G1201" s="36">
        <f>G1202</f>
        <v>3100</v>
      </c>
      <c r="H1201" s="36">
        <f t="shared" ref="H1201:K1201" si="628">H1202</f>
        <v>3100</v>
      </c>
      <c r="I1201" s="36">
        <f t="shared" si="628"/>
        <v>1801.4227699999999</v>
      </c>
      <c r="J1201" s="36">
        <f t="shared" si="628"/>
        <v>1801.4227699999999</v>
      </c>
      <c r="K1201" s="36">
        <f t="shared" si="628"/>
        <v>1801.4227699999999</v>
      </c>
      <c r="L1201" s="36">
        <f t="shared" si="580"/>
        <v>58.11041193548386</v>
      </c>
      <c r="M1201" s="36">
        <f t="shared" si="581"/>
        <v>100</v>
      </c>
    </row>
    <row r="1202" spans="1:13" ht="51">
      <c r="A1202" s="60" t="s">
        <v>218</v>
      </c>
      <c r="B1202" s="29" t="s">
        <v>481</v>
      </c>
      <c r="C1202" s="29" t="s">
        <v>19</v>
      </c>
      <c r="D1202" s="29" t="s">
        <v>93</v>
      </c>
      <c r="E1202" s="29" t="s">
        <v>513</v>
      </c>
      <c r="F1202" s="29" t="s">
        <v>219</v>
      </c>
      <c r="G1202" s="36">
        <v>3100</v>
      </c>
      <c r="H1202" s="36">
        <v>3100</v>
      </c>
      <c r="I1202" s="36">
        <v>1801.4227699999999</v>
      </c>
      <c r="J1202" s="36">
        <v>1801.4227699999999</v>
      </c>
      <c r="K1202" s="36">
        <v>1801.4227699999999</v>
      </c>
      <c r="L1202" s="36">
        <f t="shared" si="580"/>
        <v>58.11041193548386</v>
      </c>
      <c r="M1202" s="36">
        <f t="shared" si="581"/>
        <v>100</v>
      </c>
    </row>
    <row r="1203" spans="1:13" ht="25.5">
      <c r="A1203" s="60" t="s">
        <v>514</v>
      </c>
      <c r="B1203" s="29" t="s">
        <v>481</v>
      </c>
      <c r="C1203" s="29" t="s">
        <v>19</v>
      </c>
      <c r="D1203" s="29" t="s">
        <v>93</v>
      </c>
      <c r="E1203" s="29" t="s">
        <v>515</v>
      </c>
      <c r="F1203" s="59" t="s">
        <v>0</v>
      </c>
      <c r="G1203" s="36">
        <f>G1204</f>
        <v>5000</v>
      </c>
      <c r="H1203" s="36">
        <f t="shared" ref="H1203:K1204" si="629">H1204</f>
        <v>5000</v>
      </c>
      <c r="I1203" s="36">
        <f t="shared" si="629"/>
        <v>287</v>
      </c>
      <c r="J1203" s="36">
        <f t="shared" si="629"/>
        <v>286.84075999999999</v>
      </c>
      <c r="K1203" s="36">
        <f t="shared" si="629"/>
        <v>286.84075999999999</v>
      </c>
      <c r="L1203" s="36">
        <f t="shared" si="580"/>
        <v>5.7368151999999997</v>
      </c>
      <c r="M1203" s="36">
        <f t="shared" si="581"/>
        <v>99.944515679442503</v>
      </c>
    </row>
    <row r="1204" spans="1:13">
      <c r="A1204" s="60" t="s">
        <v>72</v>
      </c>
      <c r="B1204" s="29" t="s">
        <v>481</v>
      </c>
      <c r="C1204" s="29" t="s">
        <v>19</v>
      </c>
      <c r="D1204" s="29" t="s">
        <v>93</v>
      </c>
      <c r="E1204" s="29" t="s">
        <v>515</v>
      </c>
      <c r="F1204" s="29" t="s">
        <v>73</v>
      </c>
      <c r="G1204" s="36">
        <f>G1205</f>
        <v>5000</v>
      </c>
      <c r="H1204" s="36">
        <f t="shared" si="629"/>
        <v>5000</v>
      </c>
      <c r="I1204" s="36">
        <f t="shared" si="629"/>
        <v>287</v>
      </c>
      <c r="J1204" s="36">
        <f t="shared" si="629"/>
        <v>286.84075999999999</v>
      </c>
      <c r="K1204" s="36">
        <f t="shared" si="629"/>
        <v>286.84075999999999</v>
      </c>
      <c r="L1204" s="36">
        <f t="shared" si="580"/>
        <v>5.7368151999999997</v>
      </c>
      <c r="M1204" s="36">
        <f t="shared" si="581"/>
        <v>99.944515679442503</v>
      </c>
    </row>
    <row r="1205" spans="1:13" ht="51">
      <c r="A1205" s="60" t="s">
        <v>218</v>
      </c>
      <c r="B1205" s="29" t="s">
        <v>481</v>
      </c>
      <c r="C1205" s="29" t="s">
        <v>19</v>
      </c>
      <c r="D1205" s="29" t="s">
        <v>93</v>
      </c>
      <c r="E1205" s="29" t="s">
        <v>515</v>
      </c>
      <c r="F1205" s="29" t="s">
        <v>219</v>
      </c>
      <c r="G1205" s="36">
        <v>5000</v>
      </c>
      <c r="H1205" s="36">
        <v>5000</v>
      </c>
      <c r="I1205" s="36">
        <v>287</v>
      </c>
      <c r="J1205" s="36">
        <v>286.84075999999999</v>
      </c>
      <c r="K1205" s="36">
        <v>286.84075999999999</v>
      </c>
      <c r="L1205" s="36">
        <f t="shared" si="580"/>
        <v>5.7368151999999997</v>
      </c>
      <c r="M1205" s="36">
        <f t="shared" si="581"/>
        <v>99.944515679442503</v>
      </c>
    </row>
    <row r="1206" spans="1:13" ht="25.5">
      <c r="A1206" s="60" t="s">
        <v>516</v>
      </c>
      <c r="B1206" s="29" t="s">
        <v>481</v>
      </c>
      <c r="C1206" s="29" t="s">
        <v>19</v>
      </c>
      <c r="D1206" s="29" t="s">
        <v>93</v>
      </c>
      <c r="E1206" s="29" t="s">
        <v>517</v>
      </c>
      <c r="F1206" s="59" t="s">
        <v>0</v>
      </c>
      <c r="G1206" s="36">
        <f>G1207</f>
        <v>10750</v>
      </c>
      <c r="H1206" s="36">
        <f t="shared" ref="H1206:K1207" si="630">H1207</f>
        <v>10750</v>
      </c>
      <c r="I1206" s="36">
        <f t="shared" si="630"/>
        <v>5300</v>
      </c>
      <c r="J1206" s="36">
        <f t="shared" si="630"/>
        <v>5300</v>
      </c>
      <c r="K1206" s="36">
        <f t="shared" si="630"/>
        <v>5300</v>
      </c>
      <c r="L1206" s="36">
        <f t="shared" si="580"/>
        <v>49.302325581395351</v>
      </c>
      <c r="M1206" s="36">
        <f t="shared" si="581"/>
        <v>100</v>
      </c>
    </row>
    <row r="1207" spans="1:13">
      <c r="A1207" s="60" t="s">
        <v>72</v>
      </c>
      <c r="B1207" s="29" t="s">
        <v>481</v>
      </c>
      <c r="C1207" s="29" t="s">
        <v>19</v>
      </c>
      <c r="D1207" s="29" t="s">
        <v>93</v>
      </c>
      <c r="E1207" s="29" t="s">
        <v>517</v>
      </c>
      <c r="F1207" s="29" t="s">
        <v>73</v>
      </c>
      <c r="G1207" s="36">
        <f>G1208</f>
        <v>10750</v>
      </c>
      <c r="H1207" s="36">
        <f t="shared" si="630"/>
        <v>10750</v>
      </c>
      <c r="I1207" s="36">
        <f t="shared" si="630"/>
        <v>5300</v>
      </c>
      <c r="J1207" s="36">
        <f t="shared" si="630"/>
        <v>5300</v>
      </c>
      <c r="K1207" s="36">
        <f t="shared" si="630"/>
        <v>5300</v>
      </c>
      <c r="L1207" s="36">
        <f t="shared" si="580"/>
        <v>49.302325581395351</v>
      </c>
      <c r="M1207" s="36">
        <f t="shared" si="581"/>
        <v>100</v>
      </c>
    </row>
    <row r="1208" spans="1:13" ht="51">
      <c r="A1208" s="60" t="s">
        <v>218</v>
      </c>
      <c r="B1208" s="29" t="s">
        <v>481</v>
      </c>
      <c r="C1208" s="29" t="s">
        <v>19</v>
      </c>
      <c r="D1208" s="29" t="s">
        <v>93</v>
      </c>
      <c r="E1208" s="29" t="s">
        <v>517</v>
      </c>
      <c r="F1208" s="29" t="s">
        <v>219</v>
      </c>
      <c r="G1208" s="36">
        <v>10750</v>
      </c>
      <c r="H1208" s="36">
        <v>10750</v>
      </c>
      <c r="I1208" s="36">
        <v>5300</v>
      </c>
      <c r="J1208" s="36">
        <v>5300</v>
      </c>
      <c r="K1208" s="36">
        <v>5300</v>
      </c>
      <c r="L1208" s="36">
        <f t="shared" si="580"/>
        <v>49.302325581395351</v>
      </c>
      <c r="M1208" s="36">
        <f t="shared" si="581"/>
        <v>100</v>
      </c>
    </row>
    <row r="1209" spans="1:13" ht="38.25">
      <c r="A1209" s="60" t="s">
        <v>518</v>
      </c>
      <c r="B1209" s="29" t="s">
        <v>481</v>
      </c>
      <c r="C1209" s="29" t="s">
        <v>19</v>
      </c>
      <c r="D1209" s="29" t="s">
        <v>93</v>
      </c>
      <c r="E1209" s="29" t="s">
        <v>519</v>
      </c>
      <c r="F1209" s="59" t="s">
        <v>0</v>
      </c>
      <c r="G1209" s="36">
        <f>G1210</f>
        <v>9500</v>
      </c>
      <c r="H1209" s="36">
        <f t="shared" ref="H1209:K1210" si="631">H1210</f>
        <v>9500</v>
      </c>
      <c r="I1209" s="36">
        <f t="shared" si="631"/>
        <v>5759.2066000000004</v>
      </c>
      <c r="J1209" s="36">
        <f t="shared" si="631"/>
        <v>5759.2066000000004</v>
      </c>
      <c r="K1209" s="36">
        <f t="shared" si="631"/>
        <v>5759.2066000000004</v>
      </c>
      <c r="L1209" s="36">
        <f t="shared" si="580"/>
        <v>60.623227368421063</v>
      </c>
      <c r="M1209" s="36">
        <f t="shared" si="581"/>
        <v>100</v>
      </c>
    </row>
    <row r="1210" spans="1:13">
      <c r="A1210" s="60" t="s">
        <v>72</v>
      </c>
      <c r="B1210" s="29" t="s">
        <v>481</v>
      </c>
      <c r="C1210" s="29" t="s">
        <v>19</v>
      </c>
      <c r="D1210" s="29" t="s">
        <v>93</v>
      </c>
      <c r="E1210" s="29" t="s">
        <v>519</v>
      </c>
      <c r="F1210" s="29" t="s">
        <v>73</v>
      </c>
      <c r="G1210" s="36">
        <f>G1211</f>
        <v>9500</v>
      </c>
      <c r="H1210" s="36">
        <f t="shared" si="631"/>
        <v>9500</v>
      </c>
      <c r="I1210" s="36">
        <f t="shared" si="631"/>
        <v>5759.2066000000004</v>
      </c>
      <c r="J1210" s="36">
        <f t="shared" si="631"/>
        <v>5759.2066000000004</v>
      </c>
      <c r="K1210" s="36">
        <f t="shared" si="631"/>
        <v>5759.2066000000004</v>
      </c>
      <c r="L1210" s="36">
        <f t="shared" si="580"/>
        <v>60.623227368421063</v>
      </c>
      <c r="M1210" s="36">
        <f t="shared" si="581"/>
        <v>100</v>
      </c>
    </row>
    <row r="1211" spans="1:13" ht="51">
      <c r="A1211" s="60" t="s">
        <v>218</v>
      </c>
      <c r="B1211" s="29" t="s">
        <v>481</v>
      </c>
      <c r="C1211" s="29" t="s">
        <v>19</v>
      </c>
      <c r="D1211" s="29" t="s">
        <v>93</v>
      </c>
      <c r="E1211" s="29" t="s">
        <v>519</v>
      </c>
      <c r="F1211" s="29" t="s">
        <v>219</v>
      </c>
      <c r="G1211" s="36">
        <v>9500</v>
      </c>
      <c r="H1211" s="36">
        <v>9500</v>
      </c>
      <c r="I1211" s="36">
        <v>5759.2066000000004</v>
      </c>
      <c r="J1211" s="36">
        <v>5759.2066000000004</v>
      </c>
      <c r="K1211" s="36">
        <v>5759.2066000000004</v>
      </c>
      <c r="L1211" s="36">
        <f t="shared" si="580"/>
        <v>60.623227368421063</v>
      </c>
      <c r="M1211" s="36">
        <f t="shared" si="581"/>
        <v>100</v>
      </c>
    </row>
    <row r="1212" spans="1:13" ht="25.5">
      <c r="A1212" s="60" t="s">
        <v>520</v>
      </c>
      <c r="B1212" s="29" t="s">
        <v>481</v>
      </c>
      <c r="C1212" s="29" t="s">
        <v>19</v>
      </c>
      <c r="D1212" s="29" t="s">
        <v>93</v>
      </c>
      <c r="E1212" s="29" t="s">
        <v>521</v>
      </c>
      <c r="F1212" s="59" t="s">
        <v>0</v>
      </c>
      <c r="G1212" s="36">
        <f>G1213</f>
        <v>500</v>
      </c>
      <c r="H1212" s="36">
        <f t="shared" ref="H1212:K1213" si="632">H1213</f>
        <v>500</v>
      </c>
      <c r="I1212" s="36">
        <f t="shared" si="632"/>
        <v>0</v>
      </c>
      <c r="J1212" s="36">
        <f t="shared" si="632"/>
        <v>0</v>
      </c>
      <c r="K1212" s="36">
        <f t="shared" si="632"/>
        <v>0</v>
      </c>
      <c r="L1212" s="36">
        <f t="shared" si="580"/>
        <v>0</v>
      </c>
      <c r="M1212" s="36">
        <v>0</v>
      </c>
    </row>
    <row r="1213" spans="1:13" ht="25.5">
      <c r="A1213" s="60" t="s">
        <v>64</v>
      </c>
      <c r="B1213" s="29" t="s">
        <v>481</v>
      </c>
      <c r="C1213" s="29" t="s">
        <v>19</v>
      </c>
      <c r="D1213" s="29" t="s">
        <v>93</v>
      </c>
      <c r="E1213" s="29" t="s">
        <v>521</v>
      </c>
      <c r="F1213" s="29" t="s">
        <v>65</v>
      </c>
      <c r="G1213" s="36">
        <f>G1214</f>
        <v>500</v>
      </c>
      <c r="H1213" s="36">
        <f t="shared" si="632"/>
        <v>500</v>
      </c>
      <c r="I1213" s="36">
        <f t="shared" si="632"/>
        <v>0</v>
      </c>
      <c r="J1213" s="36">
        <f t="shared" si="632"/>
        <v>0</v>
      </c>
      <c r="K1213" s="36">
        <f t="shared" si="632"/>
        <v>0</v>
      </c>
      <c r="L1213" s="36">
        <f t="shared" si="580"/>
        <v>0</v>
      </c>
      <c r="M1213" s="36">
        <v>0</v>
      </c>
    </row>
    <row r="1214" spans="1:13" ht="25.5">
      <c r="A1214" s="60" t="s">
        <v>66</v>
      </c>
      <c r="B1214" s="29" t="s">
        <v>481</v>
      </c>
      <c r="C1214" s="29" t="s">
        <v>19</v>
      </c>
      <c r="D1214" s="29" t="s">
        <v>93</v>
      </c>
      <c r="E1214" s="29" t="s">
        <v>521</v>
      </c>
      <c r="F1214" s="29" t="s">
        <v>67</v>
      </c>
      <c r="G1214" s="36">
        <v>500</v>
      </c>
      <c r="H1214" s="36">
        <v>500</v>
      </c>
      <c r="I1214" s="36">
        <v>0</v>
      </c>
      <c r="J1214" s="36">
        <v>0</v>
      </c>
      <c r="K1214" s="36">
        <v>0</v>
      </c>
      <c r="L1214" s="36">
        <f t="shared" si="580"/>
        <v>0</v>
      </c>
      <c r="M1214" s="36">
        <v>0</v>
      </c>
    </row>
    <row r="1215" spans="1:13" ht="25.5">
      <c r="A1215" s="60" t="s">
        <v>522</v>
      </c>
      <c r="B1215" s="29" t="s">
        <v>481</v>
      </c>
      <c r="C1215" s="29" t="s">
        <v>19</v>
      </c>
      <c r="D1215" s="29" t="s">
        <v>93</v>
      </c>
      <c r="E1215" s="29" t="s">
        <v>523</v>
      </c>
      <c r="F1215" s="59" t="s">
        <v>0</v>
      </c>
      <c r="G1215" s="36">
        <f>G1216</f>
        <v>16000</v>
      </c>
      <c r="H1215" s="36">
        <f t="shared" ref="H1215:K1216" si="633">H1216</f>
        <v>16000</v>
      </c>
      <c r="I1215" s="36">
        <f t="shared" si="633"/>
        <v>0</v>
      </c>
      <c r="J1215" s="36">
        <f t="shared" si="633"/>
        <v>0</v>
      </c>
      <c r="K1215" s="36">
        <f t="shared" si="633"/>
        <v>0</v>
      </c>
      <c r="L1215" s="36">
        <f t="shared" si="580"/>
        <v>0</v>
      </c>
      <c r="M1215" s="36">
        <v>0</v>
      </c>
    </row>
    <row r="1216" spans="1:13">
      <c r="A1216" s="60" t="s">
        <v>72</v>
      </c>
      <c r="B1216" s="29" t="s">
        <v>481</v>
      </c>
      <c r="C1216" s="29" t="s">
        <v>19</v>
      </c>
      <c r="D1216" s="29" t="s">
        <v>93</v>
      </c>
      <c r="E1216" s="29" t="s">
        <v>523</v>
      </c>
      <c r="F1216" s="29" t="s">
        <v>73</v>
      </c>
      <c r="G1216" s="36">
        <f>G1217</f>
        <v>16000</v>
      </c>
      <c r="H1216" s="36">
        <f t="shared" si="633"/>
        <v>16000</v>
      </c>
      <c r="I1216" s="36">
        <f t="shared" si="633"/>
        <v>0</v>
      </c>
      <c r="J1216" s="36">
        <f t="shared" si="633"/>
        <v>0</v>
      </c>
      <c r="K1216" s="36">
        <f t="shared" si="633"/>
        <v>0</v>
      </c>
      <c r="L1216" s="36">
        <f t="shared" si="580"/>
        <v>0</v>
      </c>
      <c r="M1216" s="36">
        <v>0</v>
      </c>
    </row>
    <row r="1217" spans="1:13" ht="51">
      <c r="A1217" s="60" t="s">
        <v>218</v>
      </c>
      <c r="B1217" s="29" t="s">
        <v>481</v>
      </c>
      <c r="C1217" s="29" t="s">
        <v>19</v>
      </c>
      <c r="D1217" s="29" t="s">
        <v>93</v>
      </c>
      <c r="E1217" s="29" t="s">
        <v>523</v>
      </c>
      <c r="F1217" s="29" t="s">
        <v>219</v>
      </c>
      <c r="G1217" s="36">
        <v>16000</v>
      </c>
      <c r="H1217" s="36">
        <v>16000</v>
      </c>
      <c r="I1217" s="36">
        <v>0</v>
      </c>
      <c r="J1217" s="36">
        <v>0</v>
      </c>
      <c r="K1217" s="36">
        <v>0</v>
      </c>
      <c r="L1217" s="36">
        <f t="shared" si="580"/>
        <v>0</v>
      </c>
      <c r="M1217" s="36">
        <v>0</v>
      </c>
    </row>
    <row r="1218" spans="1:13" ht="25.5">
      <c r="A1218" s="60" t="s">
        <v>524</v>
      </c>
      <c r="B1218" s="29" t="s">
        <v>481</v>
      </c>
      <c r="C1218" s="29" t="s">
        <v>19</v>
      </c>
      <c r="D1218" s="29" t="s">
        <v>93</v>
      </c>
      <c r="E1218" s="29" t="s">
        <v>525</v>
      </c>
      <c r="F1218" s="59" t="s">
        <v>0</v>
      </c>
      <c r="G1218" s="36">
        <f>G1219</f>
        <v>1000</v>
      </c>
      <c r="H1218" s="36">
        <f t="shared" ref="H1218:K1219" si="634">H1219</f>
        <v>816.08</v>
      </c>
      <c r="I1218" s="36">
        <f t="shared" si="634"/>
        <v>0</v>
      </c>
      <c r="J1218" s="36">
        <f t="shared" si="634"/>
        <v>0</v>
      </c>
      <c r="K1218" s="36">
        <f t="shared" si="634"/>
        <v>0</v>
      </c>
      <c r="L1218" s="36">
        <f t="shared" si="580"/>
        <v>0</v>
      </c>
      <c r="M1218" s="36">
        <v>0</v>
      </c>
    </row>
    <row r="1219" spans="1:13">
      <c r="A1219" s="60" t="s">
        <v>72</v>
      </c>
      <c r="B1219" s="29" t="s">
        <v>481</v>
      </c>
      <c r="C1219" s="29" t="s">
        <v>19</v>
      </c>
      <c r="D1219" s="29" t="s">
        <v>93</v>
      </c>
      <c r="E1219" s="29" t="s">
        <v>525</v>
      </c>
      <c r="F1219" s="29" t="s">
        <v>73</v>
      </c>
      <c r="G1219" s="36">
        <f>G1220</f>
        <v>1000</v>
      </c>
      <c r="H1219" s="36">
        <f t="shared" si="634"/>
        <v>816.08</v>
      </c>
      <c r="I1219" s="36">
        <f t="shared" si="634"/>
        <v>0</v>
      </c>
      <c r="J1219" s="36">
        <f t="shared" si="634"/>
        <v>0</v>
      </c>
      <c r="K1219" s="36">
        <f t="shared" si="634"/>
        <v>0</v>
      </c>
      <c r="L1219" s="36">
        <f t="shared" si="580"/>
        <v>0</v>
      </c>
      <c r="M1219" s="36">
        <v>0</v>
      </c>
    </row>
    <row r="1220" spans="1:13" ht="51">
      <c r="A1220" s="60" t="s">
        <v>218</v>
      </c>
      <c r="B1220" s="29" t="s">
        <v>481</v>
      </c>
      <c r="C1220" s="29" t="s">
        <v>19</v>
      </c>
      <c r="D1220" s="29" t="s">
        <v>93</v>
      </c>
      <c r="E1220" s="29" t="s">
        <v>525</v>
      </c>
      <c r="F1220" s="29" t="s">
        <v>219</v>
      </c>
      <c r="G1220" s="36">
        <v>1000</v>
      </c>
      <c r="H1220" s="36">
        <v>816.08</v>
      </c>
      <c r="I1220" s="36">
        <v>0</v>
      </c>
      <c r="J1220" s="36">
        <v>0</v>
      </c>
      <c r="K1220" s="36">
        <v>0</v>
      </c>
      <c r="L1220" s="36">
        <f t="shared" ref="L1220:L1283" si="635">K1220/H1220*100</f>
        <v>0</v>
      </c>
      <c r="M1220" s="36">
        <v>0</v>
      </c>
    </row>
    <row r="1221" spans="1:13" ht="25.5">
      <c r="A1221" s="60" t="s">
        <v>526</v>
      </c>
      <c r="B1221" s="29" t="s">
        <v>481</v>
      </c>
      <c r="C1221" s="29" t="s">
        <v>19</v>
      </c>
      <c r="D1221" s="29" t="s">
        <v>93</v>
      </c>
      <c r="E1221" s="29" t="s">
        <v>527</v>
      </c>
      <c r="F1221" s="59" t="s">
        <v>0</v>
      </c>
      <c r="G1221" s="36">
        <f>G1222</f>
        <v>9500</v>
      </c>
      <c r="H1221" s="36">
        <f t="shared" ref="H1221:K1222" si="636">H1222</f>
        <v>9500</v>
      </c>
      <c r="I1221" s="36">
        <f t="shared" si="636"/>
        <v>0</v>
      </c>
      <c r="J1221" s="36">
        <f t="shared" si="636"/>
        <v>0</v>
      </c>
      <c r="K1221" s="36">
        <f t="shared" si="636"/>
        <v>0</v>
      </c>
      <c r="L1221" s="36">
        <f t="shared" si="635"/>
        <v>0</v>
      </c>
      <c r="M1221" s="36">
        <v>0</v>
      </c>
    </row>
    <row r="1222" spans="1:13">
      <c r="A1222" s="60" t="s">
        <v>72</v>
      </c>
      <c r="B1222" s="29" t="s">
        <v>481</v>
      </c>
      <c r="C1222" s="29" t="s">
        <v>19</v>
      </c>
      <c r="D1222" s="29" t="s">
        <v>93</v>
      </c>
      <c r="E1222" s="29" t="s">
        <v>527</v>
      </c>
      <c r="F1222" s="29" t="s">
        <v>73</v>
      </c>
      <c r="G1222" s="36">
        <f>G1223</f>
        <v>9500</v>
      </c>
      <c r="H1222" s="36">
        <f t="shared" si="636"/>
        <v>9500</v>
      </c>
      <c r="I1222" s="36">
        <f t="shared" si="636"/>
        <v>0</v>
      </c>
      <c r="J1222" s="36">
        <f t="shared" si="636"/>
        <v>0</v>
      </c>
      <c r="K1222" s="36">
        <f t="shared" si="636"/>
        <v>0</v>
      </c>
      <c r="L1222" s="36">
        <f t="shared" si="635"/>
        <v>0</v>
      </c>
      <c r="M1222" s="36">
        <v>0</v>
      </c>
    </row>
    <row r="1223" spans="1:13" ht="51">
      <c r="A1223" s="60" t="s">
        <v>218</v>
      </c>
      <c r="B1223" s="29" t="s">
        <v>481</v>
      </c>
      <c r="C1223" s="29" t="s">
        <v>19</v>
      </c>
      <c r="D1223" s="29" t="s">
        <v>93</v>
      </c>
      <c r="E1223" s="29" t="s">
        <v>527</v>
      </c>
      <c r="F1223" s="29" t="s">
        <v>219</v>
      </c>
      <c r="G1223" s="36">
        <v>9500</v>
      </c>
      <c r="H1223" s="36">
        <v>9500</v>
      </c>
      <c r="I1223" s="36">
        <v>0</v>
      </c>
      <c r="J1223" s="36">
        <v>0</v>
      </c>
      <c r="K1223" s="36">
        <v>0</v>
      </c>
      <c r="L1223" s="36">
        <f t="shared" si="635"/>
        <v>0</v>
      </c>
      <c r="M1223" s="36">
        <v>0</v>
      </c>
    </row>
    <row r="1224" spans="1:13" ht="38.25">
      <c r="A1224" s="60" t="s">
        <v>528</v>
      </c>
      <c r="B1224" s="29" t="s">
        <v>481</v>
      </c>
      <c r="C1224" s="29" t="s">
        <v>19</v>
      </c>
      <c r="D1224" s="29" t="s">
        <v>93</v>
      </c>
      <c r="E1224" s="29" t="s">
        <v>529</v>
      </c>
      <c r="F1224" s="59" t="s">
        <v>0</v>
      </c>
      <c r="G1224" s="36">
        <f>G1225</f>
        <v>5000</v>
      </c>
      <c r="H1224" s="36">
        <f t="shared" ref="H1224:K1225" si="637">H1225</f>
        <v>5000</v>
      </c>
      <c r="I1224" s="36">
        <f t="shared" si="637"/>
        <v>3079.8009999999999</v>
      </c>
      <c r="J1224" s="36">
        <f t="shared" si="637"/>
        <v>3079.8009999999999</v>
      </c>
      <c r="K1224" s="36">
        <f t="shared" si="637"/>
        <v>3079.8009999999999</v>
      </c>
      <c r="L1224" s="36">
        <f t="shared" si="635"/>
        <v>61.596019999999996</v>
      </c>
      <c r="M1224" s="36">
        <f t="shared" ref="M1224:M1283" si="638">K1224/I1224*100</f>
        <v>100</v>
      </c>
    </row>
    <row r="1225" spans="1:13">
      <c r="A1225" s="60" t="s">
        <v>72</v>
      </c>
      <c r="B1225" s="29" t="s">
        <v>481</v>
      </c>
      <c r="C1225" s="29" t="s">
        <v>19</v>
      </c>
      <c r="D1225" s="29" t="s">
        <v>93</v>
      </c>
      <c r="E1225" s="29" t="s">
        <v>529</v>
      </c>
      <c r="F1225" s="29" t="s">
        <v>73</v>
      </c>
      <c r="G1225" s="36">
        <f>G1226</f>
        <v>5000</v>
      </c>
      <c r="H1225" s="36">
        <f t="shared" si="637"/>
        <v>5000</v>
      </c>
      <c r="I1225" s="36">
        <f t="shared" si="637"/>
        <v>3079.8009999999999</v>
      </c>
      <c r="J1225" s="36">
        <f t="shared" si="637"/>
        <v>3079.8009999999999</v>
      </c>
      <c r="K1225" s="36">
        <f t="shared" si="637"/>
        <v>3079.8009999999999</v>
      </c>
      <c r="L1225" s="36">
        <f t="shared" si="635"/>
        <v>61.596019999999996</v>
      </c>
      <c r="M1225" s="36">
        <f t="shared" si="638"/>
        <v>100</v>
      </c>
    </row>
    <row r="1226" spans="1:13" ht="51">
      <c r="A1226" s="60" t="s">
        <v>218</v>
      </c>
      <c r="B1226" s="29" t="s">
        <v>481</v>
      </c>
      <c r="C1226" s="29" t="s">
        <v>19</v>
      </c>
      <c r="D1226" s="29" t="s">
        <v>93</v>
      </c>
      <c r="E1226" s="29" t="s">
        <v>529</v>
      </c>
      <c r="F1226" s="29" t="s">
        <v>219</v>
      </c>
      <c r="G1226" s="36">
        <v>5000</v>
      </c>
      <c r="H1226" s="36">
        <v>5000</v>
      </c>
      <c r="I1226" s="36">
        <v>3079.8009999999999</v>
      </c>
      <c r="J1226" s="36">
        <v>3079.8009999999999</v>
      </c>
      <c r="K1226" s="36">
        <v>3079.8009999999999</v>
      </c>
      <c r="L1226" s="36">
        <f t="shared" si="635"/>
        <v>61.596019999999996</v>
      </c>
      <c r="M1226" s="36">
        <f t="shared" si="638"/>
        <v>100</v>
      </c>
    </row>
    <row r="1227" spans="1:13" ht="51">
      <c r="A1227" s="60" t="s">
        <v>530</v>
      </c>
      <c r="B1227" s="29" t="s">
        <v>481</v>
      </c>
      <c r="C1227" s="29" t="s">
        <v>19</v>
      </c>
      <c r="D1227" s="29" t="s">
        <v>93</v>
      </c>
      <c r="E1227" s="29" t="s">
        <v>531</v>
      </c>
      <c r="F1227" s="59" t="s">
        <v>0</v>
      </c>
      <c r="G1227" s="36">
        <f>G1228</f>
        <v>600</v>
      </c>
      <c r="H1227" s="36">
        <f t="shared" ref="H1227:K1228" si="639">H1228</f>
        <v>600</v>
      </c>
      <c r="I1227" s="36">
        <f t="shared" si="639"/>
        <v>249.77799999999999</v>
      </c>
      <c r="J1227" s="36">
        <f t="shared" si="639"/>
        <v>249.77799999999999</v>
      </c>
      <c r="K1227" s="36">
        <f t="shared" si="639"/>
        <v>249.77799999999999</v>
      </c>
      <c r="L1227" s="36">
        <f t="shared" si="635"/>
        <v>41.629666666666665</v>
      </c>
      <c r="M1227" s="36">
        <f t="shared" si="638"/>
        <v>100</v>
      </c>
    </row>
    <row r="1228" spans="1:13">
      <c r="A1228" s="60" t="s">
        <v>72</v>
      </c>
      <c r="B1228" s="29" t="s">
        <v>481</v>
      </c>
      <c r="C1228" s="29" t="s">
        <v>19</v>
      </c>
      <c r="D1228" s="29" t="s">
        <v>93</v>
      </c>
      <c r="E1228" s="29" t="s">
        <v>531</v>
      </c>
      <c r="F1228" s="29" t="s">
        <v>73</v>
      </c>
      <c r="G1228" s="36">
        <f>G1229</f>
        <v>600</v>
      </c>
      <c r="H1228" s="36">
        <f t="shared" si="639"/>
        <v>600</v>
      </c>
      <c r="I1228" s="36">
        <f t="shared" si="639"/>
        <v>249.77799999999999</v>
      </c>
      <c r="J1228" s="36">
        <f t="shared" si="639"/>
        <v>249.77799999999999</v>
      </c>
      <c r="K1228" s="36">
        <f t="shared" si="639"/>
        <v>249.77799999999999</v>
      </c>
      <c r="L1228" s="36">
        <f t="shared" si="635"/>
        <v>41.629666666666665</v>
      </c>
      <c r="M1228" s="36">
        <f t="shared" si="638"/>
        <v>100</v>
      </c>
    </row>
    <row r="1229" spans="1:13" ht="51">
      <c r="A1229" s="60" t="s">
        <v>218</v>
      </c>
      <c r="B1229" s="29" t="s">
        <v>481</v>
      </c>
      <c r="C1229" s="29" t="s">
        <v>19</v>
      </c>
      <c r="D1229" s="29" t="s">
        <v>93</v>
      </c>
      <c r="E1229" s="29" t="s">
        <v>531</v>
      </c>
      <c r="F1229" s="29" t="s">
        <v>219</v>
      </c>
      <c r="G1229" s="36">
        <v>600</v>
      </c>
      <c r="H1229" s="36">
        <v>600</v>
      </c>
      <c r="I1229" s="36">
        <v>249.77799999999999</v>
      </c>
      <c r="J1229" s="36">
        <v>249.77799999999999</v>
      </c>
      <c r="K1229" s="36">
        <v>249.77799999999999</v>
      </c>
      <c r="L1229" s="36">
        <f t="shared" si="635"/>
        <v>41.629666666666665</v>
      </c>
      <c r="M1229" s="36">
        <f t="shared" si="638"/>
        <v>100</v>
      </c>
    </row>
    <row r="1230" spans="1:13" ht="76.5">
      <c r="A1230" s="60" t="s">
        <v>532</v>
      </c>
      <c r="B1230" s="29" t="s">
        <v>481</v>
      </c>
      <c r="C1230" s="29" t="s">
        <v>19</v>
      </c>
      <c r="D1230" s="29" t="s">
        <v>93</v>
      </c>
      <c r="E1230" s="29" t="s">
        <v>533</v>
      </c>
      <c r="F1230" s="59" t="s">
        <v>0</v>
      </c>
      <c r="G1230" s="36">
        <f>G1231</f>
        <v>4100</v>
      </c>
      <c r="H1230" s="36">
        <f t="shared" ref="H1230:K1231" si="640">H1231</f>
        <v>4100</v>
      </c>
      <c r="I1230" s="36">
        <f t="shared" si="640"/>
        <v>1474.0229999999999</v>
      </c>
      <c r="J1230" s="36">
        <f t="shared" si="640"/>
        <v>1474.0229999999999</v>
      </c>
      <c r="K1230" s="36">
        <f t="shared" si="640"/>
        <v>1474.0229999999999</v>
      </c>
      <c r="L1230" s="36">
        <f t="shared" si="635"/>
        <v>35.951780487804875</v>
      </c>
      <c r="M1230" s="36">
        <f t="shared" si="638"/>
        <v>100</v>
      </c>
    </row>
    <row r="1231" spans="1:13">
      <c r="A1231" s="60" t="s">
        <v>72</v>
      </c>
      <c r="B1231" s="29" t="s">
        <v>481</v>
      </c>
      <c r="C1231" s="29" t="s">
        <v>19</v>
      </c>
      <c r="D1231" s="29" t="s">
        <v>93</v>
      </c>
      <c r="E1231" s="29" t="s">
        <v>533</v>
      </c>
      <c r="F1231" s="29" t="s">
        <v>73</v>
      </c>
      <c r="G1231" s="36">
        <f>G1232</f>
        <v>4100</v>
      </c>
      <c r="H1231" s="36">
        <f t="shared" si="640"/>
        <v>4100</v>
      </c>
      <c r="I1231" s="36">
        <f t="shared" si="640"/>
        <v>1474.0229999999999</v>
      </c>
      <c r="J1231" s="36">
        <f t="shared" si="640"/>
        <v>1474.0229999999999</v>
      </c>
      <c r="K1231" s="36">
        <f t="shared" si="640"/>
        <v>1474.0229999999999</v>
      </c>
      <c r="L1231" s="36">
        <f t="shared" si="635"/>
        <v>35.951780487804875</v>
      </c>
      <c r="M1231" s="36">
        <f t="shared" si="638"/>
        <v>100</v>
      </c>
    </row>
    <row r="1232" spans="1:13" ht="51">
      <c r="A1232" s="60" t="s">
        <v>218</v>
      </c>
      <c r="B1232" s="29" t="s">
        <v>481</v>
      </c>
      <c r="C1232" s="29" t="s">
        <v>19</v>
      </c>
      <c r="D1232" s="29" t="s">
        <v>93</v>
      </c>
      <c r="E1232" s="29" t="s">
        <v>533</v>
      </c>
      <c r="F1232" s="29" t="s">
        <v>219</v>
      </c>
      <c r="G1232" s="36">
        <v>4100</v>
      </c>
      <c r="H1232" s="36">
        <v>4100</v>
      </c>
      <c r="I1232" s="36">
        <v>1474.0229999999999</v>
      </c>
      <c r="J1232" s="36">
        <v>1474.0229999999999</v>
      </c>
      <c r="K1232" s="36">
        <v>1474.0229999999999</v>
      </c>
      <c r="L1232" s="36">
        <f t="shared" si="635"/>
        <v>35.951780487804875</v>
      </c>
      <c r="M1232" s="36">
        <f t="shared" si="638"/>
        <v>100</v>
      </c>
    </row>
    <row r="1233" spans="1:13" ht="63.75">
      <c r="A1233" s="60" t="s">
        <v>534</v>
      </c>
      <c r="B1233" s="29" t="s">
        <v>481</v>
      </c>
      <c r="C1233" s="29" t="s">
        <v>19</v>
      </c>
      <c r="D1233" s="29" t="s">
        <v>93</v>
      </c>
      <c r="E1233" s="29" t="s">
        <v>535</v>
      </c>
      <c r="F1233" s="59" t="s">
        <v>0</v>
      </c>
      <c r="G1233" s="36">
        <f>G1234</f>
        <v>50</v>
      </c>
      <c r="H1233" s="36">
        <f t="shared" ref="H1233:K1234" si="641">H1234</f>
        <v>50</v>
      </c>
      <c r="I1233" s="36">
        <f t="shared" si="641"/>
        <v>0</v>
      </c>
      <c r="J1233" s="36">
        <f t="shared" si="641"/>
        <v>0</v>
      </c>
      <c r="K1233" s="36">
        <f t="shared" si="641"/>
        <v>0</v>
      </c>
      <c r="L1233" s="36">
        <f t="shared" si="635"/>
        <v>0</v>
      </c>
      <c r="M1233" s="36">
        <v>0</v>
      </c>
    </row>
    <row r="1234" spans="1:13">
      <c r="A1234" s="60" t="s">
        <v>72</v>
      </c>
      <c r="B1234" s="29" t="s">
        <v>481</v>
      </c>
      <c r="C1234" s="29" t="s">
        <v>19</v>
      </c>
      <c r="D1234" s="29" t="s">
        <v>93</v>
      </c>
      <c r="E1234" s="29" t="s">
        <v>535</v>
      </c>
      <c r="F1234" s="29" t="s">
        <v>73</v>
      </c>
      <c r="G1234" s="36">
        <f>G1235</f>
        <v>50</v>
      </c>
      <c r="H1234" s="36">
        <f t="shared" si="641"/>
        <v>50</v>
      </c>
      <c r="I1234" s="36">
        <f t="shared" si="641"/>
        <v>0</v>
      </c>
      <c r="J1234" s="36">
        <f t="shared" si="641"/>
        <v>0</v>
      </c>
      <c r="K1234" s="36">
        <f t="shared" si="641"/>
        <v>0</v>
      </c>
      <c r="L1234" s="36">
        <f t="shared" si="635"/>
        <v>0</v>
      </c>
      <c r="M1234" s="36">
        <v>0</v>
      </c>
    </row>
    <row r="1235" spans="1:13" ht="51">
      <c r="A1235" s="60" t="s">
        <v>218</v>
      </c>
      <c r="B1235" s="29" t="s">
        <v>481</v>
      </c>
      <c r="C1235" s="29" t="s">
        <v>19</v>
      </c>
      <c r="D1235" s="29" t="s">
        <v>93</v>
      </c>
      <c r="E1235" s="29" t="s">
        <v>535</v>
      </c>
      <c r="F1235" s="29" t="s">
        <v>219</v>
      </c>
      <c r="G1235" s="36">
        <v>50</v>
      </c>
      <c r="H1235" s="36">
        <v>50</v>
      </c>
      <c r="I1235" s="36">
        <v>0</v>
      </c>
      <c r="J1235" s="36">
        <v>0</v>
      </c>
      <c r="K1235" s="36">
        <v>0</v>
      </c>
      <c r="L1235" s="36">
        <f t="shared" si="635"/>
        <v>0</v>
      </c>
      <c r="M1235" s="36">
        <v>0</v>
      </c>
    </row>
    <row r="1236" spans="1:13" ht="38.25">
      <c r="A1236" s="60" t="s">
        <v>536</v>
      </c>
      <c r="B1236" s="29" t="s">
        <v>481</v>
      </c>
      <c r="C1236" s="29" t="s">
        <v>19</v>
      </c>
      <c r="D1236" s="29" t="s">
        <v>93</v>
      </c>
      <c r="E1236" s="29" t="s">
        <v>537</v>
      </c>
      <c r="F1236" s="59" t="s">
        <v>0</v>
      </c>
      <c r="G1236" s="36">
        <f>G1237</f>
        <v>7000</v>
      </c>
      <c r="H1236" s="36">
        <f t="shared" ref="H1236:K1237" si="642">H1237</f>
        <v>7000</v>
      </c>
      <c r="I1236" s="36">
        <f t="shared" si="642"/>
        <v>4281.5370000000003</v>
      </c>
      <c r="J1236" s="36">
        <f t="shared" si="642"/>
        <v>4281.5370000000003</v>
      </c>
      <c r="K1236" s="36">
        <f t="shared" si="642"/>
        <v>4281.5370000000003</v>
      </c>
      <c r="L1236" s="36">
        <f t="shared" si="635"/>
        <v>61.164814285714286</v>
      </c>
      <c r="M1236" s="36">
        <f t="shared" si="638"/>
        <v>100</v>
      </c>
    </row>
    <row r="1237" spans="1:13">
      <c r="A1237" s="60" t="s">
        <v>72</v>
      </c>
      <c r="B1237" s="29" t="s">
        <v>481</v>
      </c>
      <c r="C1237" s="29" t="s">
        <v>19</v>
      </c>
      <c r="D1237" s="29" t="s">
        <v>93</v>
      </c>
      <c r="E1237" s="29" t="s">
        <v>537</v>
      </c>
      <c r="F1237" s="29" t="s">
        <v>73</v>
      </c>
      <c r="G1237" s="36">
        <f>G1238</f>
        <v>7000</v>
      </c>
      <c r="H1237" s="36">
        <f t="shared" si="642"/>
        <v>7000</v>
      </c>
      <c r="I1237" s="36">
        <f t="shared" si="642"/>
        <v>4281.5370000000003</v>
      </c>
      <c r="J1237" s="36">
        <f t="shared" si="642"/>
        <v>4281.5370000000003</v>
      </c>
      <c r="K1237" s="36">
        <f t="shared" si="642"/>
        <v>4281.5370000000003</v>
      </c>
      <c r="L1237" s="36">
        <f t="shared" si="635"/>
        <v>61.164814285714286</v>
      </c>
      <c r="M1237" s="36">
        <f t="shared" si="638"/>
        <v>100</v>
      </c>
    </row>
    <row r="1238" spans="1:13" ht="51">
      <c r="A1238" s="60" t="s">
        <v>218</v>
      </c>
      <c r="B1238" s="29" t="s">
        <v>481</v>
      </c>
      <c r="C1238" s="29" t="s">
        <v>19</v>
      </c>
      <c r="D1238" s="29" t="s">
        <v>93</v>
      </c>
      <c r="E1238" s="29" t="s">
        <v>537</v>
      </c>
      <c r="F1238" s="29" t="s">
        <v>219</v>
      </c>
      <c r="G1238" s="36">
        <v>7000</v>
      </c>
      <c r="H1238" s="36">
        <v>7000</v>
      </c>
      <c r="I1238" s="36">
        <v>4281.5370000000003</v>
      </c>
      <c r="J1238" s="36">
        <v>4281.5370000000003</v>
      </c>
      <c r="K1238" s="36">
        <v>4281.5370000000003</v>
      </c>
      <c r="L1238" s="36">
        <f t="shared" si="635"/>
        <v>61.164814285714286</v>
      </c>
      <c r="M1238" s="36">
        <f t="shared" si="638"/>
        <v>100</v>
      </c>
    </row>
    <row r="1239" spans="1:13" ht="25.5">
      <c r="A1239" s="60" t="s">
        <v>538</v>
      </c>
      <c r="B1239" s="29" t="s">
        <v>481</v>
      </c>
      <c r="C1239" s="29" t="s">
        <v>19</v>
      </c>
      <c r="D1239" s="29" t="s">
        <v>93</v>
      </c>
      <c r="E1239" s="29" t="s">
        <v>539</v>
      </c>
      <c r="F1239" s="59" t="s">
        <v>0</v>
      </c>
      <c r="G1239" s="36">
        <f>G1240</f>
        <v>865</v>
      </c>
      <c r="H1239" s="36">
        <f t="shared" ref="H1239:K1240" si="643">H1240</f>
        <v>865</v>
      </c>
      <c r="I1239" s="36">
        <f t="shared" si="643"/>
        <v>722.38419999999996</v>
      </c>
      <c r="J1239" s="36">
        <f t="shared" si="643"/>
        <v>209.4</v>
      </c>
      <c r="K1239" s="36">
        <f t="shared" si="643"/>
        <v>209.4</v>
      </c>
      <c r="L1239" s="36">
        <f t="shared" si="635"/>
        <v>24.208092485549134</v>
      </c>
      <c r="M1239" s="36">
        <f t="shared" si="638"/>
        <v>28.987344961310065</v>
      </c>
    </row>
    <row r="1240" spans="1:13">
      <c r="A1240" s="60" t="s">
        <v>72</v>
      </c>
      <c r="B1240" s="29" t="s">
        <v>481</v>
      </c>
      <c r="C1240" s="29" t="s">
        <v>19</v>
      </c>
      <c r="D1240" s="29" t="s">
        <v>93</v>
      </c>
      <c r="E1240" s="29" t="s">
        <v>539</v>
      </c>
      <c r="F1240" s="29" t="s">
        <v>73</v>
      </c>
      <c r="G1240" s="36">
        <f>G1241</f>
        <v>865</v>
      </c>
      <c r="H1240" s="36">
        <f t="shared" si="643"/>
        <v>865</v>
      </c>
      <c r="I1240" s="36">
        <f t="shared" si="643"/>
        <v>722.38419999999996</v>
      </c>
      <c r="J1240" s="36">
        <f t="shared" si="643"/>
        <v>209.4</v>
      </c>
      <c r="K1240" s="36">
        <f t="shared" si="643"/>
        <v>209.4</v>
      </c>
      <c r="L1240" s="36">
        <f t="shared" si="635"/>
        <v>24.208092485549134</v>
      </c>
      <c r="M1240" s="36">
        <f t="shared" si="638"/>
        <v>28.987344961310065</v>
      </c>
    </row>
    <row r="1241" spans="1:13" ht="51">
      <c r="A1241" s="60" t="s">
        <v>218</v>
      </c>
      <c r="B1241" s="29" t="s">
        <v>481</v>
      </c>
      <c r="C1241" s="29" t="s">
        <v>19</v>
      </c>
      <c r="D1241" s="29" t="s">
        <v>93</v>
      </c>
      <c r="E1241" s="29" t="s">
        <v>539</v>
      </c>
      <c r="F1241" s="29" t="s">
        <v>219</v>
      </c>
      <c r="G1241" s="36">
        <v>865</v>
      </c>
      <c r="H1241" s="36">
        <v>865</v>
      </c>
      <c r="I1241" s="36">
        <v>722.38419999999996</v>
      </c>
      <c r="J1241" s="36">
        <v>209.4</v>
      </c>
      <c r="K1241" s="36">
        <v>209.4</v>
      </c>
      <c r="L1241" s="36">
        <f t="shared" si="635"/>
        <v>24.208092485549134</v>
      </c>
      <c r="M1241" s="36">
        <f t="shared" si="638"/>
        <v>28.987344961310065</v>
      </c>
    </row>
    <row r="1242" spans="1:13" ht="38.25">
      <c r="A1242" s="60" t="s">
        <v>540</v>
      </c>
      <c r="B1242" s="29" t="s">
        <v>481</v>
      </c>
      <c r="C1242" s="29" t="s">
        <v>19</v>
      </c>
      <c r="D1242" s="29" t="s">
        <v>93</v>
      </c>
      <c r="E1242" s="29" t="s">
        <v>541</v>
      </c>
      <c r="F1242" s="59" t="s">
        <v>0</v>
      </c>
      <c r="G1242" s="36">
        <f>G1243</f>
        <v>260000</v>
      </c>
      <c r="H1242" s="36">
        <f t="shared" ref="H1242:K1243" si="644">H1243</f>
        <v>260000</v>
      </c>
      <c r="I1242" s="36">
        <f t="shared" si="644"/>
        <v>230112.08100000001</v>
      </c>
      <c r="J1242" s="36">
        <f t="shared" si="644"/>
        <v>230104.46520000001</v>
      </c>
      <c r="K1242" s="36">
        <f t="shared" si="644"/>
        <v>230104.46520000001</v>
      </c>
      <c r="L1242" s="36">
        <f t="shared" si="635"/>
        <v>88.50171738461539</v>
      </c>
      <c r="M1242" s="36">
        <f t="shared" si="638"/>
        <v>99.996690395407796</v>
      </c>
    </row>
    <row r="1243" spans="1:13">
      <c r="A1243" s="60" t="s">
        <v>72</v>
      </c>
      <c r="B1243" s="29" t="s">
        <v>481</v>
      </c>
      <c r="C1243" s="29" t="s">
        <v>19</v>
      </c>
      <c r="D1243" s="29" t="s">
        <v>93</v>
      </c>
      <c r="E1243" s="29" t="s">
        <v>541</v>
      </c>
      <c r="F1243" s="29" t="s">
        <v>73</v>
      </c>
      <c r="G1243" s="36">
        <f>G1244</f>
        <v>260000</v>
      </c>
      <c r="H1243" s="36">
        <f t="shared" si="644"/>
        <v>260000</v>
      </c>
      <c r="I1243" s="36">
        <f t="shared" si="644"/>
        <v>230112.08100000001</v>
      </c>
      <c r="J1243" s="36">
        <f t="shared" si="644"/>
        <v>230104.46520000001</v>
      </c>
      <c r="K1243" s="36">
        <f t="shared" si="644"/>
        <v>230104.46520000001</v>
      </c>
      <c r="L1243" s="36">
        <f t="shared" si="635"/>
        <v>88.50171738461539</v>
      </c>
      <c r="M1243" s="36">
        <f t="shared" si="638"/>
        <v>99.996690395407796</v>
      </c>
    </row>
    <row r="1244" spans="1:13" ht="51">
      <c r="A1244" s="60" t="s">
        <v>218</v>
      </c>
      <c r="B1244" s="29" t="s">
        <v>481</v>
      </c>
      <c r="C1244" s="29" t="s">
        <v>19</v>
      </c>
      <c r="D1244" s="29" t="s">
        <v>93</v>
      </c>
      <c r="E1244" s="29" t="s">
        <v>541</v>
      </c>
      <c r="F1244" s="29" t="s">
        <v>219</v>
      </c>
      <c r="G1244" s="36">
        <v>260000</v>
      </c>
      <c r="H1244" s="36">
        <v>260000</v>
      </c>
      <c r="I1244" s="36">
        <v>230112.08100000001</v>
      </c>
      <c r="J1244" s="36">
        <v>230104.46520000001</v>
      </c>
      <c r="K1244" s="36">
        <v>230104.46520000001</v>
      </c>
      <c r="L1244" s="36">
        <f t="shared" si="635"/>
        <v>88.50171738461539</v>
      </c>
      <c r="M1244" s="36">
        <f t="shared" si="638"/>
        <v>99.996690395407796</v>
      </c>
    </row>
    <row r="1245" spans="1:13" ht="38.25">
      <c r="A1245" s="60" t="s">
        <v>542</v>
      </c>
      <c r="B1245" s="29" t="s">
        <v>481</v>
      </c>
      <c r="C1245" s="29" t="s">
        <v>19</v>
      </c>
      <c r="D1245" s="29" t="s">
        <v>93</v>
      </c>
      <c r="E1245" s="29" t="s">
        <v>543</v>
      </c>
      <c r="F1245" s="59" t="s">
        <v>0</v>
      </c>
      <c r="G1245" s="36">
        <f>G1246</f>
        <v>270</v>
      </c>
      <c r="H1245" s="36">
        <f t="shared" ref="H1245:K1246" si="645">H1246</f>
        <v>270</v>
      </c>
      <c r="I1245" s="36">
        <f t="shared" si="645"/>
        <v>270</v>
      </c>
      <c r="J1245" s="36">
        <f t="shared" si="645"/>
        <v>270</v>
      </c>
      <c r="K1245" s="36">
        <f t="shared" si="645"/>
        <v>270</v>
      </c>
      <c r="L1245" s="36">
        <f t="shared" si="635"/>
        <v>100</v>
      </c>
      <c r="M1245" s="36">
        <f t="shared" si="638"/>
        <v>100</v>
      </c>
    </row>
    <row r="1246" spans="1:13">
      <c r="A1246" s="60" t="s">
        <v>72</v>
      </c>
      <c r="B1246" s="29" t="s">
        <v>481</v>
      </c>
      <c r="C1246" s="29" t="s">
        <v>19</v>
      </c>
      <c r="D1246" s="29" t="s">
        <v>93</v>
      </c>
      <c r="E1246" s="29" t="s">
        <v>543</v>
      </c>
      <c r="F1246" s="29" t="s">
        <v>73</v>
      </c>
      <c r="G1246" s="36">
        <f>G1247</f>
        <v>270</v>
      </c>
      <c r="H1246" s="36">
        <f t="shared" si="645"/>
        <v>270</v>
      </c>
      <c r="I1246" s="36">
        <f t="shared" si="645"/>
        <v>270</v>
      </c>
      <c r="J1246" s="36">
        <f t="shared" si="645"/>
        <v>270</v>
      </c>
      <c r="K1246" s="36">
        <f t="shared" si="645"/>
        <v>270</v>
      </c>
      <c r="L1246" s="36">
        <f t="shared" si="635"/>
        <v>100</v>
      </c>
      <c r="M1246" s="36">
        <f t="shared" si="638"/>
        <v>100</v>
      </c>
    </row>
    <row r="1247" spans="1:13" ht="51">
      <c r="A1247" s="60" t="s">
        <v>218</v>
      </c>
      <c r="B1247" s="29" t="s">
        <v>481</v>
      </c>
      <c r="C1247" s="29" t="s">
        <v>19</v>
      </c>
      <c r="D1247" s="29" t="s">
        <v>93</v>
      </c>
      <c r="E1247" s="29" t="s">
        <v>543</v>
      </c>
      <c r="F1247" s="29" t="s">
        <v>219</v>
      </c>
      <c r="G1247" s="36">
        <v>270</v>
      </c>
      <c r="H1247" s="36">
        <v>270</v>
      </c>
      <c r="I1247" s="36">
        <v>270</v>
      </c>
      <c r="J1247" s="36">
        <v>270</v>
      </c>
      <c r="K1247" s="36">
        <v>270</v>
      </c>
      <c r="L1247" s="36">
        <f t="shared" si="635"/>
        <v>100</v>
      </c>
      <c r="M1247" s="36">
        <f t="shared" si="638"/>
        <v>100</v>
      </c>
    </row>
    <row r="1248" spans="1:13" ht="51">
      <c r="A1248" s="60" t="s">
        <v>544</v>
      </c>
      <c r="B1248" s="29" t="s">
        <v>481</v>
      </c>
      <c r="C1248" s="29" t="s">
        <v>19</v>
      </c>
      <c r="D1248" s="29" t="s">
        <v>93</v>
      </c>
      <c r="E1248" s="29" t="s">
        <v>545</v>
      </c>
      <c r="F1248" s="59" t="s">
        <v>0</v>
      </c>
      <c r="G1248" s="36">
        <f>G1249</f>
        <v>1000</v>
      </c>
      <c r="H1248" s="36">
        <f t="shared" ref="H1248:K1249" si="646">H1249</f>
        <v>1000</v>
      </c>
      <c r="I1248" s="36">
        <f t="shared" si="646"/>
        <v>0</v>
      </c>
      <c r="J1248" s="36">
        <f t="shared" si="646"/>
        <v>0</v>
      </c>
      <c r="K1248" s="36">
        <f t="shared" si="646"/>
        <v>0</v>
      </c>
      <c r="L1248" s="36">
        <f t="shared" si="635"/>
        <v>0</v>
      </c>
      <c r="M1248" s="36">
        <v>0</v>
      </c>
    </row>
    <row r="1249" spans="1:13">
      <c r="A1249" s="60" t="s">
        <v>72</v>
      </c>
      <c r="B1249" s="29" t="s">
        <v>481</v>
      </c>
      <c r="C1249" s="29" t="s">
        <v>19</v>
      </c>
      <c r="D1249" s="29" t="s">
        <v>93</v>
      </c>
      <c r="E1249" s="29" t="s">
        <v>545</v>
      </c>
      <c r="F1249" s="29" t="s">
        <v>73</v>
      </c>
      <c r="G1249" s="36">
        <f>G1250</f>
        <v>1000</v>
      </c>
      <c r="H1249" s="36">
        <f t="shared" si="646"/>
        <v>1000</v>
      </c>
      <c r="I1249" s="36">
        <f t="shared" si="646"/>
        <v>0</v>
      </c>
      <c r="J1249" s="36">
        <f t="shared" si="646"/>
        <v>0</v>
      </c>
      <c r="K1249" s="36">
        <f t="shared" si="646"/>
        <v>0</v>
      </c>
      <c r="L1249" s="36">
        <f t="shared" si="635"/>
        <v>0</v>
      </c>
      <c r="M1249" s="36">
        <v>0</v>
      </c>
    </row>
    <row r="1250" spans="1:13" ht="51">
      <c r="A1250" s="60" t="s">
        <v>218</v>
      </c>
      <c r="B1250" s="29" t="s">
        <v>481</v>
      </c>
      <c r="C1250" s="29" t="s">
        <v>19</v>
      </c>
      <c r="D1250" s="29" t="s">
        <v>93</v>
      </c>
      <c r="E1250" s="29" t="s">
        <v>545</v>
      </c>
      <c r="F1250" s="29" t="s">
        <v>219</v>
      </c>
      <c r="G1250" s="36">
        <v>1000</v>
      </c>
      <c r="H1250" s="36">
        <v>1000</v>
      </c>
      <c r="I1250" s="36">
        <v>0</v>
      </c>
      <c r="J1250" s="36">
        <v>0</v>
      </c>
      <c r="K1250" s="36">
        <v>0</v>
      </c>
      <c r="L1250" s="36">
        <f t="shared" si="635"/>
        <v>0</v>
      </c>
      <c r="M1250" s="36">
        <v>0</v>
      </c>
    </row>
    <row r="1251" spans="1:13" ht="76.5">
      <c r="A1251" s="60" t="s">
        <v>546</v>
      </c>
      <c r="B1251" s="29" t="s">
        <v>481</v>
      </c>
      <c r="C1251" s="29" t="s">
        <v>19</v>
      </c>
      <c r="D1251" s="29" t="s">
        <v>93</v>
      </c>
      <c r="E1251" s="29" t="s">
        <v>547</v>
      </c>
      <c r="F1251" s="59" t="s">
        <v>0</v>
      </c>
      <c r="G1251" s="36">
        <f>G1252</f>
        <v>10500</v>
      </c>
      <c r="H1251" s="36">
        <f t="shared" ref="H1251:K1252" si="647">H1252</f>
        <v>4990</v>
      </c>
      <c r="I1251" s="36">
        <f t="shared" si="647"/>
        <v>2579.00092</v>
      </c>
      <c r="J1251" s="36">
        <f t="shared" si="647"/>
        <v>2578.0629199999998</v>
      </c>
      <c r="K1251" s="36">
        <f t="shared" si="647"/>
        <v>2578.0629199999998</v>
      </c>
      <c r="L1251" s="36">
        <f t="shared" si="635"/>
        <v>51.6645875751503</v>
      </c>
      <c r="M1251" s="36">
        <f t="shared" si="638"/>
        <v>99.963629326661888</v>
      </c>
    </row>
    <row r="1252" spans="1:13">
      <c r="A1252" s="60" t="s">
        <v>72</v>
      </c>
      <c r="B1252" s="29" t="s">
        <v>481</v>
      </c>
      <c r="C1252" s="29" t="s">
        <v>19</v>
      </c>
      <c r="D1252" s="29" t="s">
        <v>93</v>
      </c>
      <c r="E1252" s="29" t="s">
        <v>547</v>
      </c>
      <c r="F1252" s="29" t="s">
        <v>73</v>
      </c>
      <c r="G1252" s="36">
        <f>G1253</f>
        <v>10500</v>
      </c>
      <c r="H1252" s="36">
        <f t="shared" si="647"/>
        <v>4990</v>
      </c>
      <c r="I1252" s="36">
        <f t="shared" si="647"/>
        <v>2579.00092</v>
      </c>
      <c r="J1252" s="36">
        <f t="shared" si="647"/>
        <v>2578.0629199999998</v>
      </c>
      <c r="K1252" s="36">
        <f t="shared" si="647"/>
        <v>2578.0629199999998</v>
      </c>
      <c r="L1252" s="36">
        <f t="shared" si="635"/>
        <v>51.6645875751503</v>
      </c>
      <c r="M1252" s="36">
        <f t="shared" si="638"/>
        <v>99.963629326661888</v>
      </c>
    </row>
    <row r="1253" spans="1:13" ht="51">
      <c r="A1253" s="60" t="s">
        <v>218</v>
      </c>
      <c r="B1253" s="29" t="s">
        <v>481</v>
      </c>
      <c r="C1253" s="29" t="s">
        <v>19</v>
      </c>
      <c r="D1253" s="29" t="s">
        <v>93</v>
      </c>
      <c r="E1253" s="29" t="s">
        <v>547</v>
      </c>
      <c r="F1253" s="29" t="s">
        <v>219</v>
      </c>
      <c r="G1253" s="36">
        <v>10500</v>
      </c>
      <c r="H1253" s="36">
        <v>4990</v>
      </c>
      <c r="I1253" s="36">
        <v>2579.00092</v>
      </c>
      <c r="J1253" s="36">
        <v>2578.0629199999998</v>
      </c>
      <c r="K1253" s="36">
        <v>2578.0629199999998</v>
      </c>
      <c r="L1253" s="36">
        <f t="shared" si="635"/>
        <v>51.6645875751503</v>
      </c>
      <c r="M1253" s="36">
        <f t="shared" si="638"/>
        <v>99.963629326661888</v>
      </c>
    </row>
    <row r="1254" spans="1:13" ht="63.75">
      <c r="A1254" s="60" t="s">
        <v>548</v>
      </c>
      <c r="B1254" s="29" t="s">
        <v>481</v>
      </c>
      <c r="C1254" s="29" t="s">
        <v>19</v>
      </c>
      <c r="D1254" s="29" t="s">
        <v>93</v>
      </c>
      <c r="E1254" s="29" t="s">
        <v>549</v>
      </c>
      <c r="F1254" s="59" t="s">
        <v>0</v>
      </c>
      <c r="G1254" s="36">
        <f>G1255</f>
        <v>50</v>
      </c>
      <c r="H1254" s="36">
        <f t="shared" ref="H1254:K1255" si="648">H1255</f>
        <v>50</v>
      </c>
      <c r="I1254" s="36">
        <f t="shared" si="648"/>
        <v>0</v>
      </c>
      <c r="J1254" s="36">
        <f t="shared" si="648"/>
        <v>0</v>
      </c>
      <c r="K1254" s="36">
        <f t="shared" si="648"/>
        <v>0</v>
      </c>
      <c r="L1254" s="36">
        <f t="shared" si="635"/>
        <v>0</v>
      </c>
      <c r="M1254" s="36">
        <v>0</v>
      </c>
    </row>
    <row r="1255" spans="1:13">
      <c r="A1255" s="60" t="s">
        <v>72</v>
      </c>
      <c r="B1255" s="29" t="s">
        <v>481</v>
      </c>
      <c r="C1255" s="29" t="s">
        <v>19</v>
      </c>
      <c r="D1255" s="29" t="s">
        <v>93</v>
      </c>
      <c r="E1255" s="29" t="s">
        <v>549</v>
      </c>
      <c r="F1255" s="29" t="s">
        <v>73</v>
      </c>
      <c r="G1255" s="36">
        <f>G1256</f>
        <v>50</v>
      </c>
      <c r="H1255" s="36">
        <f t="shared" si="648"/>
        <v>50</v>
      </c>
      <c r="I1255" s="36">
        <f t="shared" si="648"/>
        <v>0</v>
      </c>
      <c r="J1255" s="36">
        <f t="shared" si="648"/>
        <v>0</v>
      </c>
      <c r="K1255" s="36">
        <f t="shared" si="648"/>
        <v>0</v>
      </c>
      <c r="L1255" s="36">
        <f t="shared" si="635"/>
        <v>0</v>
      </c>
      <c r="M1255" s="36">
        <v>0</v>
      </c>
    </row>
    <row r="1256" spans="1:13" ht="51">
      <c r="A1256" s="60" t="s">
        <v>218</v>
      </c>
      <c r="B1256" s="29" t="s">
        <v>481</v>
      </c>
      <c r="C1256" s="29" t="s">
        <v>19</v>
      </c>
      <c r="D1256" s="29" t="s">
        <v>93</v>
      </c>
      <c r="E1256" s="29" t="s">
        <v>549</v>
      </c>
      <c r="F1256" s="29" t="s">
        <v>219</v>
      </c>
      <c r="G1256" s="36">
        <v>50</v>
      </c>
      <c r="H1256" s="36">
        <v>50</v>
      </c>
      <c r="I1256" s="36">
        <v>0</v>
      </c>
      <c r="J1256" s="36">
        <v>0</v>
      </c>
      <c r="K1256" s="36">
        <v>0</v>
      </c>
      <c r="L1256" s="36">
        <f t="shared" si="635"/>
        <v>0</v>
      </c>
      <c r="M1256" s="36">
        <v>0</v>
      </c>
    </row>
    <row r="1257" spans="1:13" ht="51">
      <c r="A1257" s="60" t="s">
        <v>550</v>
      </c>
      <c r="B1257" s="29" t="s">
        <v>481</v>
      </c>
      <c r="C1257" s="29" t="s">
        <v>19</v>
      </c>
      <c r="D1257" s="29" t="s">
        <v>93</v>
      </c>
      <c r="E1257" s="29" t="s">
        <v>551</v>
      </c>
      <c r="F1257" s="59" t="s">
        <v>0</v>
      </c>
      <c r="G1257" s="36">
        <f>G1258</f>
        <v>500</v>
      </c>
      <c r="H1257" s="36">
        <f t="shared" ref="H1257:K1258" si="649">H1258</f>
        <v>500</v>
      </c>
      <c r="I1257" s="36">
        <f t="shared" si="649"/>
        <v>156.5</v>
      </c>
      <c r="J1257" s="36">
        <f t="shared" si="649"/>
        <v>140.33199999999999</v>
      </c>
      <c r="K1257" s="36">
        <f t="shared" si="649"/>
        <v>140.33199999999999</v>
      </c>
      <c r="L1257" s="36">
        <f t="shared" si="635"/>
        <v>28.066399999999998</v>
      </c>
      <c r="M1257" s="36">
        <f t="shared" si="638"/>
        <v>89.669009584664522</v>
      </c>
    </row>
    <row r="1258" spans="1:13">
      <c r="A1258" s="60" t="s">
        <v>72</v>
      </c>
      <c r="B1258" s="29" t="s">
        <v>481</v>
      </c>
      <c r="C1258" s="29" t="s">
        <v>19</v>
      </c>
      <c r="D1258" s="29" t="s">
        <v>93</v>
      </c>
      <c r="E1258" s="29" t="s">
        <v>551</v>
      </c>
      <c r="F1258" s="29" t="s">
        <v>73</v>
      </c>
      <c r="G1258" s="36">
        <f>G1259</f>
        <v>500</v>
      </c>
      <c r="H1258" s="36">
        <f t="shared" si="649"/>
        <v>500</v>
      </c>
      <c r="I1258" s="36">
        <f t="shared" si="649"/>
        <v>156.5</v>
      </c>
      <c r="J1258" s="36">
        <f t="shared" si="649"/>
        <v>140.33199999999999</v>
      </c>
      <c r="K1258" s="36">
        <f t="shared" si="649"/>
        <v>140.33199999999999</v>
      </c>
      <c r="L1258" s="36">
        <f t="shared" si="635"/>
        <v>28.066399999999998</v>
      </c>
      <c r="M1258" s="36">
        <f t="shared" si="638"/>
        <v>89.669009584664522</v>
      </c>
    </row>
    <row r="1259" spans="1:13" ht="51">
      <c r="A1259" s="60" t="s">
        <v>218</v>
      </c>
      <c r="B1259" s="29" t="s">
        <v>481</v>
      </c>
      <c r="C1259" s="29" t="s">
        <v>19</v>
      </c>
      <c r="D1259" s="29" t="s">
        <v>93</v>
      </c>
      <c r="E1259" s="29" t="s">
        <v>551</v>
      </c>
      <c r="F1259" s="29" t="s">
        <v>219</v>
      </c>
      <c r="G1259" s="36">
        <v>500</v>
      </c>
      <c r="H1259" s="36">
        <v>500</v>
      </c>
      <c r="I1259" s="36">
        <v>156.5</v>
      </c>
      <c r="J1259" s="36">
        <v>140.33199999999999</v>
      </c>
      <c r="K1259" s="36">
        <v>140.33199999999999</v>
      </c>
      <c r="L1259" s="36">
        <f t="shared" si="635"/>
        <v>28.066399999999998</v>
      </c>
      <c r="M1259" s="36">
        <f t="shared" si="638"/>
        <v>89.669009584664522</v>
      </c>
    </row>
    <row r="1260" spans="1:13" ht="25.5">
      <c r="A1260" s="60" t="s">
        <v>552</v>
      </c>
      <c r="B1260" s="29" t="s">
        <v>481</v>
      </c>
      <c r="C1260" s="29" t="s">
        <v>19</v>
      </c>
      <c r="D1260" s="29" t="s">
        <v>93</v>
      </c>
      <c r="E1260" s="29" t="s">
        <v>553</v>
      </c>
      <c r="F1260" s="59" t="s">
        <v>0</v>
      </c>
      <c r="G1260" s="36">
        <f>G1261</f>
        <v>6000</v>
      </c>
      <c r="H1260" s="36">
        <f t="shared" ref="H1260:K1261" si="650">H1261</f>
        <v>6000</v>
      </c>
      <c r="I1260" s="36">
        <f t="shared" si="650"/>
        <v>6000</v>
      </c>
      <c r="J1260" s="36">
        <f t="shared" si="650"/>
        <v>6000</v>
      </c>
      <c r="K1260" s="36">
        <f t="shared" si="650"/>
        <v>6000</v>
      </c>
      <c r="L1260" s="36">
        <f t="shared" si="635"/>
        <v>100</v>
      </c>
      <c r="M1260" s="36">
        <f t="shared" si="638"/>
        <v>100</v>
      </c>
    </row>
    <row r="1261" spans="1:13">
      <c r="A1261" s="60" t="s">
        <v>72</v>
      </c>
      <c r="B1261" s="29" t="s">
        <v>481</v>
      </c>
      <c r="C1261" s="29" t="s">
        <v>19</v>
      </c>
      <c r="D1261" s="29" t="s">
        <v>93</v>
      </c>
      <c r="E1261" s="29" t="s">
        <v>553</v>
      </c>
      <c r="F1261" s="29" t="s">
        <v>73</v>
      </c>
      <c r="G1261" s="36">
        <f>G1262</f>
        <v>6000</v>
      </c>
      <c r="H1261" s="36">
        <f t="shared" si="650"/>
        <v>6000</v>
      </c>
      <c r="I1261" s="36">
        <f t="shared" si="650"/>
        <v>6000</v>
      </c>
      <c r="J1261" s="36">
        <f t="shared" si="650"/>
        <v>6000</v>
      </c>
      <c r="K1261" s="36">
        <f t="shared" si="650"/>
        <v>6000</v>
      </c>
      <c r="L1261" s="36">
        <f t="shared" si="635"/>
        <v>100</v>
      </c>
      <c r="M1261" s="36">
        <f t="shared" si="638"/>
        <v>100</v>
      </c>
    </row>
    <row r="1262" spans="1:13" ht="51">
      <c r="A1262" s="60" t="s">
        <v>218</v>
      </c>
      <c r="B1262" s="29" t="s">
        <v>481</v>
      </c>
      <c r="C1262" s="29" t="s">
        <v>19</v>
      </c>
      <c r="D1262" s="29" t="s">
        <v>93</v>
      </c>
      <c r="E1262" s="29" t="s">
        <v>553</v>
      </c>
      <c r="F1262" s="29" t="s">
        <v>219</v>
      </c>
      <c r="G1262" s="36">
        <v>6000</v>
      </c>
      <c r="H1262" s="36">
        <v>6000</v>
      </c>
      <c r="I1262" s="36">
        <v>6000</v>
      </c>
      <c r="J1262" s="36">
        <v>6000</v>
      </c>
      <c r="K1262" s="36">
        <v>6000</v>
      </c>
      <c r="L1262" s="36">
        <f t="shared" si="635"/>
        <v>100</v>
      </c>
      <c r="M1262" s="36">
        <f t="shared" si="638"/>
        <v>100</v>
      </c>
    </row>
    <row r="1263" spans="1:13" ht="25.5">
      <c r="A1263" s="60" t="s">
        <v>554</v>
      </c>
      <c r="B1263" s="29" t="s">
        <v>481</v>
      </c>
      <c r="C1263" s="29" t="s">
        <v>19</v>
      </c>
      <c r="D1263" s="29" t="s">
        <v>93</v>
      </c>
      <c r="E1263" s="29" t="s">
        <v>555</v>
      </c>
      <c r="F1263" s="59" t="s">
        <v>0</v>
      </c>
      <c r="G1263" s="36">
        <f>G1264</f>
        <v>12000</v>
      </c>
      <c r="H1263" s="36">
        <f t="shared" ref="H1263:K1264" si="651">H1264</f>
        <v>12000</v>
      </c>
      <c r="I1263" s="36">
        <f t="shared" si="651"/>
        <v>2960.9</v>
      </c>
      <c r="J1263" s="36">
        <f t="shared" si="651"/>
        <v>2960.9</v>
      </c>
      <c r="K1263" s="36">
        <f t="shared" si="651"/>
        <v>2960.9</v>
      </c>
      <c r="L1263" s="36">
        <f t="shared" si="635"/>
        <v>24.674166666666668</v>
      </c>
      <c r="M1263" s="36">
        <f t="shared" si="638"/>
        <v>100</v>
      </c>
    </row>
    <row r="1264" spans="1:13">
      <c r="A1264" s="60" t="s">
        <v>72</v>
      </c>
      <c r="B1264" s="29" t="s">
        <v>481</v>
      </c>
      <c r="C1264" s="29" t="s">
        <v>19</v>
      </c>
      <c r="D1264" s="29" t="s">
        <v>93</v>
      </c>
      <c r="E1264" s="29" t="s">
        <v>555</v>
      </c>
      <c r="F1264" s="29" t="s">
        <v>73</v>
      </c>
      <c r="G1264" s="36">
        <f>G1265</f>
        <v>12000</v>
      </c>
      <c r="H1264" s="36">
        <f t="shared" si="651"/>
        <v>12000</v>
      </c>
      <c r="I1264" s="36">
        <f t="shared" si="651"/>
        <v>2960.9</v>
      </c>
      <c r="J1264" s="36">
        <f t="shared" si="651"/>
        <v>2960.9</v>
      </c>
      <c r="K1264" s="36">
        <f t="shared" si="651"/>
        <v>2960.9</v>
      </c>
      <c r="L1264" s="36">
        <f t="shared" si="635"/>
        <v>24.674166666666668</v>
      </c>
      <c r="M1264" s="36">
        <f t="shared" si="638"/>
        <v>100</v>
      </c>
    </row>
    <row r="1265" spans="1:13" ht="51">
      <c r="A1265" s="60" t="s">
        <v>218</v>
      </c>
      <c r="B1265" s="29" t="s">
        <v>481</v>
      </c>
      <c r="C1265" s="29" t="s">
        <v>19</v>
      </c>
      <c r="D1265" s="29" t="s">
        <v>93</v>
      </c>
      <c r="E1265" s="29" t="s">
        <v>555</v>
      </c>
      <c r="F1265" s="29" t="s">
        <v>219</v>
      </c>
      <c r="G1265" s="36">
        <v>12000</v>
      </c>
      <c r="H1265" s="36">
        <v>12000</v>
      </c>
      <c r="I1265" s="36">
        <v>2960.9</v>
      </c>
      <c r="J1265" s="36">
        <v>2960.9</v>
      </c>
      <c r="K1265" s="36">
        <v>2960.9</v>
      </c>
      <c r="L1265" s="36">
        <f t="shared" si="635"/>
        <v>24.674166666666668</v>
      </c>
      <c r="M1265" s="36">
        <f t="shared" si="638"/>
        <v>100</v>
      </c>
    </row>
    <row r="1266" spans="1:13" ht="51">
      <c r="A1266" s="60" t="s">
        <v>556</v>
      </c>
      <c r="B1266" s="29" t="s">
        <v>481</v>
      </c>
      <c r="C1266" s="29" t="s">
        <v>19</v>
      </c>
      <c r="D1266" s="29" t="s">
        <v>93</v>
      </c>
      <c r="E1266" s="29" t="s">
        <v>557</v>
      </c>
      <c r="F1266" s="59" t="s">
        <v>0</v>
      </c>
      <c r="G1266" s="36">
        <f>G1267</f>
        <v>150</v>
      </c>
      <c r="H1266" s="36">
        <f t="shared" ref="H1266:K1267" si="652">H1267</f>
        <v>150</v>
      </c>
      <c r="I1266" s="36">
        <f t="shared" si="652"/>
        <v>22.102</v>
      </c>
      <c r="J1266" s="36">
        <f t="shared" si="652"/>
        <v>21.402000000000001</v>
      </c>
      <c r="K1266" s="36">
        <f t="shared" si="652"/>
        <v>21.402000000000001</v>
      </c>
      <c r="L1266" s="36">
        <f t="shared" si="635"/>
        <v>14.268000000000001</v>
      </c>
      <c r="M1266" s="36">
        <f t="shared" si="638"/>
        <v>96.832865803999653</v>
      </c>
    </row>
    <row r="1267" spans="1:13">
      <c r="A1267" s="60" t="s">
        <v>72</v>
      </c>
      <c r="B1267" s="29" t="s">
        <v>481</v>
      </c>
      <c r="C1267" s="29" t="s">
        <v>19</v>
      </c>
      <c r="D1267" s="29" t="s">
        <v>93</v>
      </c>
      <c r="E1267" s="29" t="s">
        <v>557</v>
      </c>
      <c r="F1267" s="29" t="s">
        <v>73</v>
      </c>
      <c r="G1267" s="36">
        <f>G1268</f>
        <v>150</v>
      </c>
      <c r="H1267" s="36">
        <f t="shared" si="652"/>
        <v>150</v>
      </c>
      <c r="I1267" s="36">
        <f t="shared" si="652"/>
        <v>22.102</v>
      </c>
      <c r="J1267" s="36">
        <f t="shared" si="652"/>
        <v>21.402000000000001</v>
      </c>
      <c r="K1267" s="36">
        <f t="shared" si="652"/>
        <v>21.402000000000001</v>
      </c>
      <c r="L1267" s="36">
        <f t="shared" si="635"/>
        <v>14.268000000000001</v>
      </c>
      <c r="M1267" s="36">
        <f t="shared" si="638"/>
        <v>96.832865803999653</v>
      </c>
    </row>
    <row r="1268" spans="1:13" ht="51">
      <c r="A1268" s="60" t="s">
        <v>218</v>
      </c>
      <c r="B1268" s="29" t="s">
        <v>481</v>
      </c>
      <c r="C1268" s="29" t="s">
        <v>19</v>
      </c>
      <c r="D1268" s="29" t="s">
        <v>93</v>
      </c>
      <c r="E1268" s="29" t="s">
        <v>557</v>
      </c>
      <c r="F1268" s="29" t="s">
        <v>219</v>
      </c>
      <c r="G1268" s="36">
        <v>150</v>
      </c>
      <c r="H1268" s="36">
        <v>150</v>
      </c>
      <c r="I1268" s="36">
        <v>22.102</v>
      </c>
      <c r="J1268" s="36">
        <v>21.402000000000001</v>
      </c>
      <c r="K1268" s="36">
        <v>21.402000000000001</v>
      </c>
      <c r="L1268" s="36">
        <f t="shared" si="635"/>
        <v>14.268000000000001</v>
      </c>
      <c r="M1268" s="36">
        <f t="shared" si="638"/>
        <v>96.832865803999653</v>
      </c>
    </row>
    <row r="1269" spans="1:13" ht="63.75">
      <c r="A1269" s="60" t="s">
        <v>558</v>
      </c>
      <c r="B1269" s="29" t="s">
        <v>481</v>
      </c>
      <c r="C1269" s="29" t="s">
        <v>19</v>
      </c>
      <c r="D1269" s="29" t="s">
        <v>93</v>
      </c>
      <c r="E1269" s="29" t="s">
        <v>559</v>
      </c>
      <c r="F1269" s="59" t="s">
        <v>0</v>
      </c>
      <c r="G1269" s="36">
        <f>G1270</f>
        <v>100</v>
      </c>
      <c r="H1269" s="36">
        <f t="shared" ref="H1269:K1270" si="653">H1270</f>
        <v>100</v>
      </c>
      <c r="I1269" s="36">
        <f t="shared" si="653"/>
        <v>0</v>
      </c>
      <c r="J1269" s="36">
        <f t="shared" si="653"/>
        <v>0</v>
      </c>
      <c r="K1269" s="36">
        <f t="shared" si="653"/>
        <v>0</v>
      </c>
      <c r="L1269" s="36">
        <f t="shared" si="635"/>
        <v>0</v>
      </c>
      <c r="M1269" s="36">
        <v>0</v>
      </c>
    </row>
    <row r="1270" spans="1:13">
      <c r="A1270" s="60" t="s">
        <v>72</v>
      </c>
      <c r="B1270" s="29" t="s">
        <v>481</v>
      </c>
      <c r="C1270" s="29" t="s">
        <v>19</v>
      </c>
      <c r="D1270" s="29" t="s">
        <v>93</v>
      </c>
      <c r="E1270" s="29" t="s">
        <v>559</v>
      </c>
      <c r="F1270" s="29" t="s">
        <v>73</v>
      </c>
      <c r="G1270" s="36">
        <f>G1271</f>
        <v>100</v>
      </c>
      <c r="H1270" s="36">
        <f t="shared" si="653"/>
        <v>100</v>
      </c>
      <c r="I1270" s="36">
        <f t="shared" si="653"/>
        <v>0</v>
      </c>
      <c r="J1270" s="36">
        <f t="shared" si="653"/>
        <v>0</v>
      </c>
      <c r="K1270" s="36">
        <f t="shared" si="653"/>
        <v>0</v>
      </c>
      <c r="L1270" s="36">
        <f t="shared" si="635"/>
        <v>0</v>
      </c>
      <c r="M1270" s="36">
        <v>0</v>
      </c>
    </row>
    <row r="1271" spans="1:13" ht="51">
      <c r="A1271" s="60" t="s">
        <v>218</v>
      </c>
      <c r="B1271" s="29" t="s">
        <v>481</v>
      </c>
      <c r="C1271" s="29" t="s">
        <v>19</v>
      </c>
      <c r="D1271" s="29" t="s">
        <v>93</v>
      </c>
      <c r="E1271" s="29" t="s">
        <v>559</v>
      </c>
      <c r="F1271" s="29" t="s">
        <v>219</v>
      </c>
      <c r="G1271" s="36">
        <v>100</v>
      </c>
      <c r="H1271" s="36">
        <v>100</v>
      </c>
      <c r="I1271" s="36">
        <v>0</v>
      </c>
      <c r="J1271" s="36">
        <v>0</v>
      </c>
      <c r="K1271" s="36">
        <v>0</v>
      </c>
      <c r="L1271" s="36">
        <f t="shared" si="635"/>
        <v>0</v>
      </c>
      <c r="M1271" s="36">
        <v>0</v>
      </c>
    </row>
    <row r="1272" spans="1:13" ht="38.25">
      <c r="A1272" s="60" t="s">
        <v>560</v>
      </c>
      <c r="B1272" s="29" t="s">
        <v>481</v>
      </c>
      <c r="C1272" s="29" t="s">
        <v>19</v>
      </c>
      <c r="D1272" s="29" t="s">
        <v>93</v>
      </c>
      <c r="E1272" s="29" t="s">
        <v>561</v>
      </c>
      <c r="F1272" s="59" t="s">
        <v>0</v>
      </c>
      <c r="G1272" s="36">
        <f>G1273</f>
        <v>3000</v>
      </c>
      <c r="H1272" s="36">
        <f t="shared" ref="H1272:K1273" si="654">H1273</f>
        <v>3000</v>
      </c>
      <c r="I1272" s="36">
        <f t="shared" si="654"/>
        <v>0</v>
      </c>
      <c r="J1272" s="36">
        <f t="shared" si="654"/>
        <v>0</v>
      </c>
      <c r="K1272" s="36">
        <f t="shared" si="654"/>
        <v>0</v>
      </c>
      <c r="L1272" s="36">
        <f t="shared" si="635"/>
        <v>0</v>
      </c>
      <c r="M1272" s="36">
        <v>0</v>
      </c>
    </row>
    <row r="1273" spans="1:13">
      <c r="A1273" s="60" t="s">
        <v>72</v>
      </c>
      <c r="B1273" s="29" t="s">
        <v>481</v>
      </c>
      <c r="C1273" s="29" t="s">
        <v>19</v>
      </c>
      <c r="D1273" s="29" t="s">
        <v>93</v>
      </c>
      <c r="E1273" s="29" t="s">
        <v>561</v>
      </c>
      <c r="F1273" s="29" t="s">
        <v>73</v>
      </c>
      <c r="G1273" s="36">
        <f>G1274</f>
        <v>3000</v>
      </c>
      <c r="H1273" s="36">
        <f t="shared" si="654"/>
        <v>3000</v>
      </c>
      <c r="I1273" s="36">
        <f t="shared" si="654"/>
        <v>0</v>
      </c>
      <c r="J1273" s="36">
        <f t="shared" si="654"/>
        <v>0</v>
      </c>
      <c r="K1273" s="36">
        <f t="shared" si="654"/>
        <v>0</v>
      </c>
      <c r="L1273" s="36">
        <f t="shared" si="635"/>
        <v>0</v>
      </c>
      <c r="M1273" s="36">
        <v>0</v>
      </c>
    </row>
    <row r="1274" spans="1:13" ht="51">
      <c r="A1274" s="60" t="s">
        <v>218</v>
      </c>
      <c r="B1274" s="29" t="s">
        <v>481</v>
      </c>
      <c r="C1274" s="29" t="s">
        <v>19</v>
      </c>
      <c r="D1274" s="29" t="s">
        <v>93</v>
      </c>
      <c r="E1274" s="29" t="s">
        <v>561</v>
      </c>
      <c r="F1274" s="29" t="s">
        <v>219</v>
      </c>
      <c r="G1274" s="36">
        <v>3000</v>
      </c>
      <c r="H1274" s="36">
        <v>3000</v>
      </c>
      <c r="I1274" s="36">
        <v>0</v>
      </c>
      <c r="J1274" s="36">
        <v>0</v>
      </c>
      <c r="K1274" s="36">
        <v>0</v>
      </c>
      <c r="L1274" s="36">
        <f t="shared" si="635"/>
        <v>0</v>
      </c>
      <c r="M1274" s="36">
        <v>0</v>
      </c>
    </row>
    <row r="1275" spans="1:13" ht="51">
      <c r="A1275" s="60" t="s">
        <v>562</v>
      </c>
      <c r="B1275" s="29" t="s">
        <v>481</v>
      </c>
      <c r="C1275" s="29" t="s">
        <v>19</v>
      </c>
      <c r="D1275" s="29" t="s">
        <v>93</v>
      </c>
      <c r="E1275" s="29" t="s">
        <v>563</v>
      </c>
      <c r="F1275" s="59" t="s">
        <v>0</v>
      </c>
      <c r="G1275" s="36">
        <f>G1276</f>
        <v>500</v>
      </c>
      <c r="H1275" s="36">
        <f t="shared" ref="H1275:K1276" si="655">H1276</f>
        <v>500</v>
      </c>
      <c r="I1275" s="36">
        <f t="shared" si="655"/>
        <v>0</v>
      </c>
      <c r="J1275" s="36">
        <f t="shared" si="655"/>
        <v>0</v>
      </c>
      <c r="K1275" s="36">
        <f t="shared" si="655"/>
        <v>0</v>
      </c>
      <c r="L1275" s="36">
        <f t="shared" si="635"/>
        <v>0</v>
      </c>
      <c r="M1275" s="36">
        <v>0</v>
      </c>
    </row>
    <row r="1276" spans="1:13">
      <c r="A1276" s="60" t="s">
        <v>72</v>
      </c>
      <c r="B1276" s="29" t="s">
        <v>481</v>
      </c>
      <c r="C1276" s="29" t="s">
        <v>19</v>
      </c>
      <c r="D1276" s="29" t="s">
        <v>93</v>
      </c>
      <c r="E1276" s="29" t="s">
        <v>563</v>
      </c>
      <c r="F1276" s="29" t="s">
        <v>73</v>
      </c>
      <c r="G1276" s="36">
        <f>G1277</f>
        <v>500</v>
      </c>
      <c r="H1276" s="36">
        <f t="shared" si="655"/>
        <v>500</v>
      </c>
      <c r="I1276" s="36">
        <f t="shared" si="655"/>
        <v>0</v>
      </c>
      <c r="J1276" s="36">
        <f t="shared" si="655"/>
        <v>0</v>
      </c>
      <c r="K1276" s="36">
        <f t="shared" si="655"/>
        <v>0</v>
      </c>
      <c r="L1276" s="36">
        <f t="shared" si="635"/>
        <v>0</v>
      </c>
      <c r="M1276" s="36">
        <v>0</v>
      </c>
    </row>
    <row r="1277" spans="1:13" ht="51">
      <c r="A1277" s="60" t="s">
        <v>218</v>
      </c>
      <c r="B1277" s="29" t="s">
        <v>481</v>
      </c>
      <c r="C1277" s="29" t="s">
        <v>19</v>
      </c>
      <c r="D1277" s="29" t="s">
        <v>93</v>
      </c>
      <c r="E1277" s="29" t="s">
        <v>563</v>
      </c>
      <c r="F1277" s="29" t="s">
        <v>219</v>
      </c>
      <c r="G1277" s="36">
        <v>500</v>
      </c>
      <c r="H1277" s="36">
        <v>500</v>
      </c>
      <c r="I1277" s="36">
        <v>0</v>
      </c>
      <c r="J1277" s="36">
        <v>0</v>
      </c>
      <c r="K1277" s="36">
        <v>0</v>
      </c>
      <c r="L1277" s="36">
        <f t="shared" si="635"/>
        <v>0</v>
      </c>
      <c r="M1277" s="36">
        <v>0</v>
      </c>
    </row>
    <row r="1278" spans="1:13" ht="51">
      <c r="A1278" s="60" t="s">
        <v>564</v>
      </c>
      <c r="B1278" s="29" t="s">
        <v>481</v>
      </c>
      <c r="C1278" s="29" t="s">
        <v>19</v>
      </c>
      <c r="D1278" s="29" t="s">
        <v>93</v>
      </c>
      <c r="E1278" s="29" t="s">
        <v>565</v>
      </c>
      <c r="F1278" s="59" t="s">
        <v>0</v>
      </c>
      <c r="G1278" s="36">
        <f>G1279</f>
        <v>5000</v>
      </c>
      <c r="H1278" s="36">
        <f t="shared" ref="H1278:K1279" si="656">H1279</f>
        <v>5000</v>
      </c>
      <c r="I1278" s="36">
        <f t="shared" si="656"/>
        <v>1093.8599999999999</v>
      </c>
      <c r="J1278" s="36">
        <f t="shared" si="656"/>
        <v>1093.8599999999999</v>
      </c>
      <c r="K1278" s="36">
        <f t="shared" si="656"/>
        <v>1093.8599999999999</v>
      </c>
      <c r="L1278" s="36">
        <f t="shared" si="635"/>
        <v>21.877199999999995</v>
      </c>
      <c r="M1278" s="36">
        <f t="shared" si="638"/>
        <v>100</v>
      </c>
    </row>
    <row r="1279" spans="1:13">
      <c r="A1279" s="60" t="s">
        <v>72</v>
      </c>
      <c r="B1279" s="29" t="s">
        <v>481</v>
      </c>
      <c r="C1279" s="29" t="s">
        <v>19</v>
      </c>
      <c r="D1279" s="29" t="s">
        <v>93</v>
      </c>
      <c r="E1279" s="29" t="s">
        <v>565</v>
      </c>
      <c r="F1279" s="29" t="s">
        <v>73</v>
      </c>
      <c r="G1279" s="36">
        <f>G1280</f>
        <v>5000</v>
      </c>
      <c r="H1279" s="36">
        <f t="shared" si="656"/>
        <v>5000</v>
      </c>
      <c r="I1279" s="36">
        <f t="shared" si="656"/>
        <v>1093.8599999999999</v>
      </c>
      <c r="J1279" s="36">
        <f t="shared" si="656"/>
        <v>1093.8599999999999</v>
      </c>
      <c r="K1279" s="36">
        <f t="shared" si="656"/>
        <v>1093.8599999999999</v>
      </c>
      <c r="L1279" s="36">
        <f t="shared" si="635"/>
        <v>21.877199999999995</v>
      </c>
      <c r="M1279" s="36">
        <f t="shared" si="638"/>
        <v>100</v>
      </c>
    </row>
    <row r="1280" spans="1:13" ht="51">
      <c r="A1280" s="60" t="s">
        <v>218</v>
      </c>
      <c r="B1280" s="29" t="s">
        <v>481</v>
      </c>
      <c r="C1280" s="29" t="s">
        <v>19</v>
      </c>
      <c r="D1280" s="29" t="s">
        <v>93</v>
      </c>
      <c r="E1280" s="29" t="s">
        <v>565</v>
      </c>
      <c r="F1280" s="29" t="s">
        <v>219</v>
      </c>
      <c r="G1280" s="36">
        <v>5000</v>
      </c>
      <c r="H1280" s="36">
        <v>5000</v>
      </c>
      <c r="I1280" s="36">
        <v>1093.8599999999999</v>
      </c>
      <c r="J1280" s="36">
        <v>1093.8599999999999</v>
      </c>
      <c r="K1280" s="36">
        <v>1093.8599999999999</v>
      </c>
      <c r="L1280" s="36">
        <f t="shared" si="635"/>
        <v>21.877199999999995</v>
      </c>
      <c r="M1280" s="36">
        <f t="shared" si="638"/>
        <v>100</v>
      </c>
    </row>
    <row r="1281" spans="1:13" ht="38.25">
      <c r="A1281" s="60" t="s">
        <v>566</v>
      </c>
      <c r="B1281" s="29" t="s">
        <v>481</v>
      </c>
      <c r="C1281" s="29" t="s">
        <v>19</v>
      </c>
      <c r="D1281" s="29" t="s">
        <v>93</v>
      </c>
      <c r="E1281" s="29" t="s">
        <v>567</v>
      </c>
      <c r="F1281" s="59" t="s">
        <v>0</v>
      </c>
      <c r="G1281" s="36">
        <f>G1282</f>
        <v>2100</v>
      </c>
      <c r="H1281" s="36">
        <f t="shared" ref="H1281:K1282" si="657">H1282</f>
        <v>2100</v>
      </c>
      <c r="I1281" s="36">
        <f t="shared" si="657"/>
        <v>273.43900000000002</v>
      </c>
      <c r="J1281" s="36">
        <f t="shared" si="657"/>
        <v>273.43900000000002</v>
      </c>
      <c r="K1281" s="36">
        <f t="shared" si="657"/>
        <v>273.43900000000002</v>
      </c>
      <c r="L1281" s="36">
        <f t="shared" si="635"/>
        <v>13.020904761904765</v>
      </c>
      <c r="M1281" s="36">
        <f t="shared" si="638"/>
        <v>100</v>
      </c>
    </row>
    <row r="1282" spans="1:13">
      <c r="A1282" s="60" t="s">
        <v>72</v>
      </c>
      <c r="B1282" s="29" t="s">
        <v>481</v>
      </c>
      <c r="C1282" s="29" t="s">
        <v>19</v>
      </c>
      <c r="D1282" s="29" t="s">
        <v>93</v>
      </c>
      <c r="E1282" s="29" t="s">
        <v>567</v>
      </c>
      <c r="F1282" s="29" t="s">
        <v>73</v>
      </c>
      <c r="G1282" s="36">
        <f>G1283</f>
        <v>2100</v>
      </c>
      <c r="H1282" s="36">
        <f t="shared" si="657"/>
        <v>2100</v>
      </c>
      <c r="I1282" s="36">
        <f t="shared" si="657"/>
        <v>273.43900000000002</v>
      </c>
      <c r="J1282" s="36">
        <f t="shared" si="657"/>
        <v>273.43900000000002</v>
      </c>
      <c r="K1282" s="36">
        <f t="shared" si="657"/>
        <v>273.43900000000002</v>
      </c>
      <c r="L1282" s="36">
        <f t="shared" si="635"/>
        <v>13.020904761904765</v>
      </c>
      <c r="M1282" s="36">
        <f t="shared" si="638"/>
        <v>100</v>
      </c>
    </row>
    <row r="1283" spans="1:13" ht="51">
      <c r="A1283" s="60" t="s">
        <v>218</v>
      </c>
      <c r="B1283" s="29" t="s">
        <v>481</v>
      </c>
      <c r="C1283" s="29" t="s">
        <v>19</v>
      </c>
      <c r="D1283" s="29" t="s">
        <v>93</v>
      </c>
      <c r="E1283" s="29" t="s">
        <v>567</v>
      </c>
      <c r="F1283" s="29" t="s">
        <v>219</v>
      </c>
      <c r="G1283" s="36">
        <v>2100</v>
      </c>
      <c r="H1283" s="36">
        <v>2100</v>
      </c>
      <c r="I1283" s="36">
        <v>273.43900000000002</v>
      </c>
      <c r="J1283" s="36">
        <v>273.43900000000002</v>
      </c>
      <c r="K1283" s="36">
        <v>273.43900000000002</v>
      </c>
      <c r="L1283" s="36">
        <f t="shared" si="635"/>
        <v>13.020904761904765</v>
      </c>
      <c r="M1283" s="36">
        <f t="shared" si="638"/>
        <v>100</v>
      </c>
    </row>
    <row r="1284" spans="1:13" ht="51">
      <c r="A1284" s="60" t="s">
        <v>568</v>
      </c>
      <c r="B1284" s="29" t="s">
        <v>481</v>
      </c>
      <c r="C1284" s="29" t="s">
        <v>19</v>
      </c>
      <c r="D1284" s="29" t="s">
        <v>93</v>
      </c>
      <c r="E1284" s="29" t="s">
        <v>569</v>
      </c>
      <c r="F1284" s="59" t="s">
        <v>0</v>
      </c>
      <c r="G1284" s="36">
        <f>G1285</f>
        <v>11400</v>
      </c>
      <c r="H1284" s="36">
        <f t="shared" ref="H1284:K1285" si="658">H1285</f>
        <v>11400</v>
      </c>
      <c r="I1284" s="36">
        <f t="shared" si="658"/>
        <v>5880.7860000000001</v>
      </c>
      <c r="J1284" s="36">
        <f t="shared" si="658"/>
        <v>5880.7860000000001</v>
      </c>
      <c r="K1284" s="36">
        <f t="shared" si="658"/>
        <v>5880.7860000000001</v>
      </c>
      <c r="L1284" s="36">
        <f t="shared" ref="L1284:L1355" si="659">K1284/H1284*100</f>
        <v>51.585842105263154</v>
      </c>
      <c r="M1284" s="36">
        <f t="shared" ref="M1284:M1355" si="660">K1284/I1284*100</f>
        <v>100</v>
      </c>
    </row>
    <row r="1285" spans="1:13">
      <c r="A1285" s="60" t="s">
        <v>72</v>
      </c>
      <c r="B1285" s="29" t="s">
        <v>481</v>
      </c>
      <c r="C1285" s="29" t="s">
        <v>19</v>
      </c>
      <c r="D1285" s="29" t="s">
        <v>93</v>
      </c>
      <c r="E1285" s="29" t="s">
        <v>569</v>
      </c>
      <c r="F1285" s="29" t="s">
        <v>73</v>
      </c>
      <c r="G1285" s="36">
        <f>G1286</f>
        <v>11400</v>
      </c>
      <c r="H1285" s="36">
        <f t="shared" si="658"/>
        <v>11400</v>
      </c>
      <c r="I1285" s="36">
        <f t="shared" si="658"/>
        <v>5880.7860000000001</v>
      </c>
      <c r="J1285" s="36">
        <f t="shared" si="658"/>
        <v>5880.7860000000001</v>
      </c>
      <c r="K1285" s="36">
        <f t="shared" si="658"/>
        <v>5880.7860000000001</v>
      </c>
      <c r="L1285" s="36">
        <f t="shared" si="659"/>
        <v>51.585842105263154</v>
      </c>
      <c r="M1285" s="36">
        <f t="shared" si="660"/>
        <v>100</v>
      </c>
    </row>
    <row r="1286" spans="1:13" ht="51">
      <c r="A1286" s="60" t="s">
        <v>218</v>
      </c>
      <c r="B1286" s="29" t="s">
        <v>481</v>
      </c>
      <c r="C1286" s="29" t="s">
        <v>19</v>
      </c>
      <c r="D1286" s="29" t="s">
        <v>93</v>
      </c>
      <c r="E1286" s="29" t="s">
        <v>569</v>
      </c>
      <c r="F1286" s="29" t="s">
        <v>219</v>
      </c>
      <c r="G1286" s="36">
        <v>11400</v>
      </c>
      <c r="H1286" s="36">
        <v>11400</v>
      </c>
      <c r="I1286" s="36">
        <v>5880.7860000000001</v>
      </c>
      <c r="J1286" s="36">
        <v>5880.7860000000001</v>
      </c>
      <c r="K1286" s="36">
        <v>5880.7860000000001</v>
      </c>
      <c r="L1286" s="36">
        <f t="shared" si="659"/>
        <v>51.585842105263154</v>
      </c>
      <c r="M1286" s="36">
        <f t="shared" si="660"/>
        <v>100</v>
      </c>
    </row>
    <row r="1287" spans="1:13" ht="25.5">
      <c r="A1287" s="60" t="s">
        <v>570</v>
      </c>
      <c r="B1287" s="29" t="s">
        <v>481</v>
      </c>
      <c r="C1287" s="29" t="s">
        <v>19</v>
      </c>
      <c r="D1287" s="29" t="s">
        <v>93</v>
      </c>
      <c r="E1287" s="29" t="s">
        <v>571</v>
      </c>
      <c r="F1287" s="59" t="s">
        <v>0</v>
      </c>
      <c r="G1287" s="36">
        <f>G1288</f>
        <v>51635</v>
      </c>
      <c r="H1287" s="36">
        <f t="shared" ref="H1287:K1288" si="661">H1288</f>
        <v>51635</v>
      </c>
      <c r="I1287" s="36">
        <f t="shared" si="661"/>
        <v>25537.379000000001</v>
      </c>
      <c r="J1287" s="36">
        <f t="shared" si="661"/>
        <v>25537.379000000001</v>
      </c>
      <c r="K1287" s="36">
        <f t="shared" si="661"/>
        <v>25537.379000000001</v>
      </c>
      <c r="L1287" s="36">
        <f t="shared" si="659"/>
        <v>49.457497821245283</v>
      </c>
      <c r="M1287" s="36">
        <f t="shared" si="660"/>
        <v>100</v>
      </c>
    </row>
    <row r="1288" spans="1:13">
      <c r="A1288" s="60" t="s">
        <v>72</v>
      </c>
      <c r="B1288" s="29" t="s">
        <v>481</v>
      </c>
      <c r="C1288" s="29" t="s">
        <v>19</v>
      </c>
      <c r="D1288" s="29" t="s">
        <v>93</v>
      </c>
      <c r="E1288" s="29" t="s">
        <v>571</v>
      </c>
      <c r="F1288" s="29" t="s">
        <v>73</v>
      </c>
      <c r="G1288" s="36">
        <f>G1289</f>
        <v>51635</v>
      </c>
      <c r="H1288" s="36">
        <f t="shared" si="661"/>
        <v>51635</v>
      </c>
      <c r="I1288" s="36">
        <f t="shared" si="661"/>
        <v>25537.379000000001</v>
      </c>
      <c r="J1288" s="36">
        <f t="shared" si="661"/>
        <v>25537.379000000001</v>
      </c>
      <c r="K1288" s="36">
        <f t="shared" si="661"/>
        <v>25537.379000000001</v>
      </c>
      <c r="L1288" s="36">
        <f t="shared" si="659"/>
        <v>49.457497821245283</v>
      </c>
      <c r="M1288" s="36">
        <f t="shared" si="660"/>
        <v>100</v>
      </c>
    </row>
    <row r="1289" spans="1:13" ht="51">
      <c r="A1289" s="60" t="s">
        <v>218</v>
      </c>
      <c r="B1289" s="29" t="s">
        <v>481</v>
      </c>
      <c r="C1289" s="29" t="s">
        <v>19</v>
      </c>
      <c r="D1289" s="29" t="s">
        <v>93</v>
      </c>
      <c r="E1289" s="29" t="s">
        <v>571</v>
      </c>
      <c r="F1289" s="29" t="s">
        <v>219</v>
      </c>
      <c r="G1289" s="36">
        <v>51635</v>
      </c>
      <c r="H1289" s="36">
        <v>51635</v>
      </c>
      <c r="I1289" s="36">
        <v>25537.379000000001</v>
      </c>
      <c r="J1289" s="36">
        <v>25537.379000000001</v>
      </c>
      <c r="K1289" s="36">
        <v>25537.379000000001</v>
      </c>
      <c r="L1289" s="36">
        <f t="shared" si="659"/>
        <v>49.457497821245283</v>
      </c>
      <c r="M1289" s="36">
        <f t="shared" si="660"/>
        <v>100</v>
      </c>
    </row>
    <row r="1290" spans="1:13" ht="63.75">
      <c r="A1290" s="60" t="s">
        <v>572</v>
      </c>
      <c r="B1290" s="29" t="s">
        <v>481</v>
      </c>
      <c r="C1290" s="29" t="s">
        <v>19</v>
      </c>
      <c r="D1290" s="29" t="s">
        <v>93</v>
      </c>
      <c r="E1290" s="29" t="s">
        <v>573</v>
      </c>
      <c r="F1290" s="59" t="s">
        <v>0</v>
      </c>
      <c r="G1290" s="36">
        <f>G1291</f>
        <v>50</v>
      </c>
      <c r="H1290" s="36">
        <f t="shared" ref="H1290:K1291" si="662">H1291</f>
        <v>50</v>
      </c>
      <c r="I1290" s="36">
        <f t="shared" si="662"/>
        <v>0</v>
      </c>
      <c r="J1290" s="36">
        <f t="shared" si="662"/>
        <v>0</v>
      </c>
      <c r="K1290" s="36">
        <f t="shared" si="662"/>
        <v>0</v>
      </c>
      <c r="L1290" s="36">
        <f t="shared" si="659"/>
        <v>0</v>
      </c>
      <c r="M1290" s="36">
        <v>0</v>
      </c>
    </row>
    <row r="1291" spans="1:13">
      <c r="A1291" s="60" t="s">
        <v>72</v>
      </c>
      <c r="B1291" s="29" t="s">
        <v>481</v>
      </c>
      <c r="C1291" s="29" t="s">
        <v>19</v>
      </c>
      <c r="D1291" s="29" t="s">
        <v>93</v>
      </c>
      <c r="E1291" s="29" t="s">
        <v>573</v>
      </c>
      <c r="F1291" s="29" t="s">
        <v>73</v>
      </c>
      <c r="G1291" s="36">
        <f>G1292</f>
        <v>50</v>
      </c>
      <c r="H1291" s="36">
        <f t="shared" si="662"/>
        <v>50</v>
      </c>
      <c r="I1291" s="36">
        <f t="shared" si="662"/>
        <v>0</v>
      </c>
      <c r="J1291" s="36">
        <f t="shared" si="662"/>
        <v>0</v>
      </c>
      <c r="K1291" s="36">
        <f t="shared" si="662"/>
        <v>0</v>
      </c>
      <c r="L1291" s="36">
        <f t="shared" si="659"/>
        <v>0</v>
      </c>
      <c r="M1291" s="36">
        <v>0</v>
      </c>
    </row>
    <row r="1292" spans="1:13" ht="51">
      <c r="A1292" s="60" t="s">
        <v>218</v>
      </c>
      <c r="B1292" s="29" t="s">
        <v>481</v>
      </c>
      <c r="C1292" s="29" t="s">
        <v>19</v>
      </c>
      <c r="D1292" s="29" t="s">
        <v>93</v>
      </c>
      <c r="E1292" s="29" t="s">
        <v>573</v>
      </c>
      <c r="F1292" s="29" t="s">
        <v>219</v>
      </c>
      <c r="G1292" s="36">
        <v>50</v>
      </c>
      <c r="H1292" s="36">
        <v>50</v>
      </c>
      <c r="I1292" s="36">
        <v>0</v>
      </c>
      <c r="J1292" s="36">
        <v>0</v>
      </c>
      <c r="K1292" s="36">
        <v>0</v>
      </c>
      <c r="L1292" s="36">
        <f t="shared" si="659"/>
        <v>0</v>
      </c>
      <c r="M1292" s="36">
        <v>0</v>
      </c>
    </row>
    <row r="1293" spans="1:13" ht="51">
      <c r="A1293" s="60" t="s">
        <v>574</v>
      </c>
      <c r="B1293" s="29" t="s">
        <v>481</v>
      </c>
      <c r="C1293" s="29" t="s">
        <v>19</v>
      </c>
      <c r="D1293" s="29" t="s">
        <v>93</v>
      </c>
      <c r="E1293" s="29" t="s">
        <v>575</v>
      </c>
      <c r="F1293" s="59" t="s">
        <v>0</v>
      </c>
      <c r="G1293" s="36">
        <f>G1294</f>
        <v>2050</v>
      </c>
      <c r="H1293" s="36">
        <f t="shared" ref="H1293:K1294" si="663">H1294</f>
        <v>2050</v>
      </c>
      <c r="I1293" s="36">
        <f t="shared" si="663"/>
        <v>968.36500000000001</v>
      </c>
      <c r="J1293" s="36">
        <f t="shared" si="663"/>
        <v>968.36500000000001</v>
      </c>
      <c r="K1293" s="36">
        <f t="shared" si="663"/>
        <v>968.36500000000001</v>
      </c>
      <c r="L1293" s="36">
        <f t="shared" si="659"/>
        <v>47.237317073170729</v>
      </c>
      <c r="M1293" s="36">
        <f t="shared" si="660"/>
        <v>100</v>
      </c>
    </row>
    <row r="1294" spans="1:13">
      <c r="A1294" s="60" t="s">
        <v>72</v>
      </c>
      <c r="B1294" s="29" t="s">
        <v>481</v>
      </c>
      <c r="C1294" s="29" t="s">
        <v>19</v>
      </c>
      <c r="D1294" s="29" t="s">
        <v>93</v>
      </c>
      <c r="E1294" s="29" t="s">
        <v>575</v>
      </c>
      <c r="F1294" s="29" t="s">
        <v>73</v>
      </c>
      <c r="G1294" s="36">
        <f>G1295</f>
        <v>2050</v>
      </c>
      <c r="H1294" s="36">
        <f t="shared" si="663"/>
        <v>2050</v>
      </c>
      <c r="I1294" s="36">
        <f t="shared" si="663"/>
        <v>968.36500000000001</v>
      </c>
      <c r="J1294" s="36">
        <f t="shared" si="663"/>
        <v>968.36500000000001</v>
      </c>
      <c r="K1294" s="36">
        <f t="shared" si="663"/>
        <v>968.36500000000001</v>
      </c>
      <c r="L1294" s="36">
        <f t="shared" si="659"/>
        <v>47.237317073170729</v>
      </c>
      <c r="M1294" s="36">
        <f t="shared" si="660"/>
        <v>100</v>
      </c>
    </row>
    <row r="1295" spans="1:13" ht="51">
      <c r="A1295" s="60" t="s">
        <v>218</v>
      </c>
      <c r="B1295" s="29" t="s">
        <v>481</v>
      </c>
      <c r="C1295" s="29" t="s">
        <v>19</v>
      </c>
      <c r="D1295" s="29" t="s">
        <v>93</v>
      </c>
      <c r="E1295" s="29" t="s">
        <v>575</v>
      </c>
      <c r="F1295" s="29" t="s">
        <v>219</v>
      </c>
      <c r="G1295" s="36">
        <v>2050</v>
      </c>
      <c r="H1295" s="36">
        <v>2050</v>
      </c>
      <c r="I1295" s="36">
        <v>968.36500000000001</v>
      </c>
      <c r="J1295" s="36">
        <v>968.36500000000001</v>
      </c>
      <c r="K1295" s="36">
        <v>968.36500000000001</v>
      </c>
      <c r="L1295" s="36">
        <f t="shared" si="659"/>
        <v>47.237317073170729</v>
      </c>
      <c r="M1295" s="36">
        <f t="shared" si="660"/>
        <v>100</v>
      </c>
    </row>
    <row r="1296" spans="1:13" ht="25.5">
      <c r="A1296" s="60" t="s">
        <v>576</v>
      </c>
      <c r="B1296" s="29" t="s">
        <v>481</v>
      </c>
      <c r="C1296" s="29" t="s">
        <v>19</v>
      </c>
      <c r="D1296" s="29" t="s">
        <v>93</v>
      </c>
      <c r="E1296" s="29" t="s">
        <v>577</v>
      </c>
      <c r="F1296" s="59" t="s">
        <v>0</v>
      </c>
      <c r="G1296" s="36">
        <f>G1297+G1300+G1303+G1306</f>
        <v>3633.8</v>
      </c>
      <c r="H1296" s="36">
        <f t="shared" ref="H1296:K1296" si="664">H1297+H1300+H1303+H1306</f>
        <v>3633.8</v>
      </c>
      <c r="I1296" s="36">
        <f t="shared" si="664"/>
        <v>1000</v>
      </c>
      <c r="J1296" s="36">
        <f t="shared" si="664"/>
        <v>1000</v>
      </c>
      <c r="K1296" s="36">
        <f t="shared" si="664"/>
        <v>1000</v>
      </c>
      <c r="L1296" s="36">
        <f t="shared" si="659"/>
        <v>27.519401177830371</v>
      </c>
      <c r="M1296" s="36">
        <f t="shared" si="660"/>
        <v>100</v>
      </c>
    </row>
    <row r="1297" spans="1:13" ht="89.25">
      <c r="A1297" s="60" t="s">
        <v>578</v>
      </c>
      <c r="B1297" s="29" t="s">
        <v>481</v>
      </c>
      <c r="C1297" s="29" t="s">
        <v>19</v>
      </c>
      <c r="D1297" s="29" t="s">
        <v>93</v>
      </c>
      <c r="E1297" s="29" t="s">
        <v>579</v>
      </c>
      <c r="F1297" s="59" t="s">
        <v>0</v>
      </c>
      <c r="G1297" s="36">
        <f>G1298</f>
        <v>433.8</v>
      </c>
      <c r="H1297" s="36">
        <f t="shared" ref="H1297:K1297" si="665">H1298</f>
        <v>433.8</v>
      </c>
      <c r="I1297" s="36">
        <f t="shared" si="665"/>
        <v>0</v>
      </c>
      <c r="J1297" s="36">
        <f t="shared" si="665"/>
        <v>0</v>
      </c>
      <c r="K1297" s="36">
        <f t="shared" si="665"/>
        <v>0</v>
      </c>
      <c r="L1297" s="36">
        <f t="shared" si="659"/>
        <v>0</v>
      </c>
      <c r="M1297" s="36">
        <v>0</v>
      </c>
    </row>
    <row r="1298" spans="1:13" ht="25.5">
      <c r="A1298" s="60" t="s">
        <v>64</v>
      </c>
      <c r="B1298" s="29" t="s">
        <v>481</v>
      </c>
      <c r="C1298" s="29" t="s">
        <v>19</v>
      </c>
      <c r="D1298" s="29" t="s">
        <v>93</v>
      </c>
      <c r="E1298" s="29" t="s">
        <v>579</v>
      </c>
      <c r="F1298" s="29" t="s">
        <v>65</v>
      </c>
      <c r="G1298" s="36">
        <f>G1299</f>
        <v>433.8</v>
      </c>
      <c r="H1298" s="36">
        <f t="shared" ref="H1298:K1298" si="666">H1299</f>
        <v>433.8</v>
      </c>
      <c r="I1298" s="36">
        <f t="shared" si="666"/>
        <v>0</v>
      </c>
      <c r="J1298" s="36">
        <f t="shared" si="666"/>
        <v>0</v>
      </c>
      <c r="K1298" s="36">
        <f t="shared" si="666"/>
        <v>0</v>
      </c>
      <c r="L1298" s="36">
        <f t="shared" si="659"/>
        <v>0</v>
      </c>
      <c r="M1298" s="36">
        <v>0</v>
      </c>
    </row>
    <row r="1299" spans="1:13" ht="25.5">
      <c r="A1299" s="60" t="s">
        <v>66</v>
      </c>
      <c r="B1299" s="29" t="s">
        <v>481</v>
      </c>
      <c r="C1299" s="29" t="s">
        <v>19</v>
      </c>
      <c r="D1299" s="29" t="s">
        <v>93</v>
      </c>
      <c r="E1299" s="29" t="s">
        <v>579</v>
      </c>
      <c r="F1299" s="29" t="s">
        <v>67</v>
      </c>
      <c r="G1299" s="36">
        <v>433.8</v>
      </c>
      <c r="H1299" s="36">
        <v>433.8</v>
      </c>
      <c r="I1299" s="36">
        <v>0</v>
      </c>
      <c r="J1299" s="36">
        <v>0</v>
      </c>
      <c r="K1299" s="36">
        <v>0</v>
      </c>
      <c r="L1299" s="36">
        <f t="shared" si="659"/>
        <v>0</v>
      </c>
      <c r="M1299" s="36">
        <v>0</v>
      </c>
    </row>
    <row r="1300" spans="1:13" ht="51">
      <c r="A1300" s="60" t="s">
        <v>580</v>
      </c>
      <c r="B1300" s="29" t="s">
        <v>481</v>
      </c>
      <c r="C1300" s="29" t="s">
        <v>19</v>
      </c>
      <c r="D1300" s="29" t="s">
        <v>93</v>
      </c>
      <c r="E1300" s="29" t="s">
        <v>581</v>
      </c>
      <c r="F1300" s="59" t="s">
        <v>0</v>
      </c>
      <c r="G1300" s="36">
        <f>G1301</f>
        <v>3000</v>
      </c>
      <c r="H1300" s="36">
        <f t="shared" ref="H1300:K1301" si="667">H1301</f>
        <v>3000</v>
      </c>
      <c r="I1300" s="36">
        <f t="shared" si="667"/>
        <v>1000</v>
      </c>
      <c r="J1300" s="36">
        <f t="shared" si="667"/>
        <v>1000</v>
      </c>
      <c r="K1300" s="36">
        <f t="shared" si="667"/>
        <v>1000</v>
      </c>
      <c r="L1300" s="36">
        <f t="shared" si="659"/>
        <v>33.333333333333329</v>
      </c>
      <c r="M1300" s="36">
        <f t="shared" si="660"/>
        <v>100</v>
      </c>
    </row>
    <row r="1301" spans="1:13">
      <c r="A1301" s="60" t="s">
        <v>72</v>
      </c>
      <c r="B1301" s="29" t="s">
        <v>481</v>
      </c>
      <c r="C1301" s="29" t="s">
        <v>19</v>
      </c>
      <c r="D1301" s="29" t="s">
        <v>93</v>
      </c>
      <c r="E1301" s="29" t="s">
        <v>581</v>
      </c>
      <c r="F1301" s="29" t="s">
        <v>73</v>
      </c>
      <c r="G1301" s="36">
        <f>G1302</f>
        <v>3000</v>
      </c>
      <c r="H1301" s="36">
        <f>H1302</f>
        <v>3000</v>
      </c>
      <c r="I1301" s="36">
        <f t="shared" si="667"/>
        <v>1000</v>
      </c>
      <c r="J1301" s="36">
        <f t="shared" si="667"/>
        <v>1000</v>
      </c>
      <c r="K1301" s="36">
        <f t="shared" si="667"/>
        <v>1000</v>
      </c>
      <c r="L1301" s="36">
        <f t="shared" si="659"/>
        <v>33.333333333333329</v>
      </c>
      <c r="M1301" s="36">
        <f t="shared" si="660"/>
        <v>100</v>
      </c>
    </row>
    <row r="1302" spans="1:13" ht="51">
      <c r="A1302" s="60" t="s">
        <v>218</v>
      </c>
      <c r="B1302" s="29" t="s">
        <v>481</v>
      </c>
      <c r="C1302" s="29" t="s">
        <v>19</v>
      </c>
      <c r="D1302" s="29" t="s">
        <v>93</v>
      </c>
      <c r="E1302" s="29" t="s">
        <v>581</v>
      </c>
      <c r="F1302" s="29" t="s">
        <v>219</v>
      </c>
      <c r="G1302" s="36">
        <v>3000</v>
      </c>
      <c r="H1302" s="36">
        <v>3000</v>
      </c>
      <c r="I1302" s="36">
        <v>1000</v>
      </c>
      <c r="J1302" s="36">
        <v>1000</v>
      </c>
      <c r="K1302" s="36">
        <v>1000</v>
      </c>
      <c r="L1302" s="36">
        <f t="shared" si="659"/>
        <v>33.333333333333329</v>
      </c>
      <c r="M1302" s="36">
        <f t="shared" si="660"/>
        <v>100</v>
      </c>
    </row>
    <row r="1303" spans="1:13" ht="51">
      <c r="A1303" s="60" t="s">
        <v>582</v>
      </c>
      <c r="B1303" s="29" t="s">
        <v>481</v>
      </c>
      <c r="C1303" s="29" t="s">
        <v>19</v>
      </c>
      <c r="D1303" s="29" t="s">
        <v>93</v>
      </c>
      <c r="E1303" s="29" t="s">
        <v>583</v>
      </c>
      <c r="F1303" s="59" t="s">
        <v>0</v>
      </c>
      <c r="G1303" s="36">
        <f>G1304</f>
        <v>100</v>
      </c>
      <c r="H1303" s="36">
        <f t="shared" ref="H1303:K1304" si="668">H1304</f>
        <v>100</v>
      </c>
      <c r="I1303" s="36">
        <f t="shared" si="668"/>
        <v>0</v>
      </c>
      <c r="J1303" s="36">
        <f t="shared" si="668"/>
        <v>0</v>
      </c>
      <c r="K1303" s="36">
        <f t="shared" si="668"/>
        <v>0</v>
      </c>
      <c r="L1303" s="36">
        <f t="shared" si="659"/>
        <v>0</v>
      </c>
      <c r="M1303" s="36">
        <v>0</v>
      </c>
    </row>
    <row r="1304" spans="1:13">
      <c r="A1304" s="60" t="s">
        <v>72</v>
      </c>
      <c r="B1304" s="29" t="s">
        <v>481</v>
      </c>
      <c r="C1304" s="29" t="s">
        <v>19</v>
      </c>
      <c r="D1304" s="29" t="s">
        <v>93</v>
      </c>
      <c r="E1304" s="29" t="s">
        <v>583</v>
      </c>
      <c r="F1304" s="29" t="s">
        <v>73</v>
      </c>
      <c r="G1304" s="36">
        <f>G1305</f>
        <v>100</v>
      </c>
      <c r="H1304" s="36">
        <f t="shared" si="668"/>
        <v>100</v>
      </c>
      <c r="I1304" s="36">
        <f t="shared" si="668"/>
        <v>0</v>
      </c>
      <c r="J1304" s="36">
        <f t="shared" si="668"/>
        <v>0</v>
      </c>
      <c r="K1304" s="36">
        <f t="shared" si="668"/>
        <v>0</v>
      </c>
      <c r="L1304" s="36">
        <f t="shared" si="659"/>
        <v>0</v>
      </c>
      <c r="M1304" s="36">
        <v>0</v>
      </c>
    </row>
    <row r="1305" spans="1:13" ht="51">
      <c r="A1305" s="60" t="s">
        <v>218</v>
      </c>
      <c r="B1305" s="29" t="s">
        <v>481</v>
      </c>
      <c r="C1305" s="29" t="s">
        <v>19</v>
      </c>
      <c r="D1305" s="29" t="s">
        <v>93</v>
      </c>
      <c r="E1305" s="29" t="s">
        <v>583</v>
      </c>
      <c r="F1305" s="29" t="s">
        <v>219</v>
      </c>
      <c r="G1305" s="36">
        <v>100</v>
      </c>
      <c r="H1305" s="36">
        <v>100</v>
      </c>
      <c r="I1305" s="36">
        <v>0</v>
      </c>
      <c r="J1305" s="36">
        <v>0</v>
      </c>
      <c r="K1305" s="36">
        <v>0</v>
      </c>
      <c r="L1305" s="36">
        <f t="shared" si="659"/>
        <v>0</v>
      </c>
      <c r="M1305" s="36">
        <v>0</v>
      </c>
    </row>
    <row r="1306" spans="1:13" ht="102">
      <c r="A1306" s="60" t="s">
        <v>584</v>
      </c>
      <c r="B1306" s="29" t="s">
        <v>481</v>
      </c>
      <c r="C1306" s="29" t="s">
        <v>19</v>
      </c>
      <c r="D1306" s="29" t="s">
        <v>93</v>
      </c>
      <c r="E1306" s="29" t="s">
        <v>585</v>
      </c>
      <c r="F1306" s="59" t="s">
        <v>0</v>
      </c>
      <c r="G1306" s="36">
        <f>G1307</f>
        <v>100</v>
      </c>
      <c r="H1306" s="36">
        <f t="shared" ref="H1306:K1307" si="669">H1307</f>
        <v>100</v>
      </c>
      <c r="I1306" s="36">
        <f t="shared" si="669"/>
        <v>0</v>
      </c>
      <c r="J1306" s="36">
        <f t="shared" si="669"/>
        <v>0</v>
      </c>
      <c r="K1306" s="36">
        <f t="shared" si="669"/>
        <v>0</v>
      </c>
      <c r="L1306" s="36">
        <f t="shared" si="659"/>
        <v>0</v>
      </c>
      <c r="M1306" s="36">
        <v>0</v>
      </c>
    </row>
    <row r="1307" spans="1:13">
      <c r="A1307" s="60" t="s">
        <v>72</v>
      </c>
      <c r="B1307" s="29" t="s">
        <v>481</v>
      </c>
      <c r="C1307" s="29" t="s">
        <v>19</v>
      </c>
      <c r="D1307" s="29" t="s">
        <v>93</v>
      </c>
      <c r="E1307" s="29" t="s">
        <v>585</v>
      </c>
      <c r="F1307" s="29" t="s">
        <v>73</v>
      </c>
      <c r="G1307" s="36">
        <f>G1308</f>
        <v>100</v>
      </c>
      <c r="H1307" s="36">
        <f t="shared" si="669"/>
        <v>100</v>
      </c>
      <c r="I1307" s="36">
        <f t="shared" si="669"/>
        <v>0</v>
      </c>
      <c r="J1307" s="36">
        <f t="shared" si="669"/>
        <v>0</v>
      </c>
      <c r="K1307" s="36">
        <f t="shared" si="669"/>
        <v>0</v>
      </c>
      <c r="L1307" s="36">
        <f t="shared" si="659"/>
        <v>0</v>
      </c>
      <c r="M1307" s="36">
        <v>0</v>
      </c>
    </row>
    <row r="1308" spans="1:13" ht="51">
      <c r="A1308" s="60" t="s">
        <v>218</v>
      </c>
      <c r="B1308" s="29" t="s">
        <v>481</v>
      </c>
      <c r="C1308" s="29" t="s">
        <v>19</v>
      </c>
      <c r="D1308" s="29" t="s">
        <v>93</v>
      </c>
      <c r="E1308" s="29" t="s">
        <v>585</v>
      </c>
      <c r="F1308" s="29" t="s">
        <v>219</v>
      </c>
      <c r="G1308" s="36">
        <v>100</v>
      </c>
      <c r="H1308" s="36">
        <v>100</v>
      </c>
      <c r="I1308" s="36">
        <v>0</v>
      </c>
      <c r="J1308" s="36">
        <v>0</v>
      </c>
      <c r="K1308" s="36">
        <v>0</v>
      </c>
      <c r="L1308" s="36">
        <f t="shared" si="659"/>
        <v>0</v>
      </c>
      <c r="M1308" s="36">
        <v>0</v>
      </c>
    </row>
    <row r="1309" spans="1:13" ht="25.5">
      <c r="A1309" s="60" t="s">
        <v>22</v>
      </c>
      <c r="B1309" s="29" t="s">
        <v>481</v>
      </c>
      <c r="C1309" s="29" t="s">
        <v>19</v>
      </c>
      <c r="D1309" s="29" t="s">
        <v>93</v>
      </c>
      <c r="E1309" s="29" t="s">
        <v>486</v>
      </c>
      <c r="F1309" s="59" t="s">
        <v>0</v>
      </c>
      <c r="G1309" s="36">
        <f>G1310+G1321</f>
        <v>51283.9</v>
      </c>
      <c r="H1309" s="36">
        <f t="shared" ref="H1309:K1309" si="670">H1310+H1321</f>
        <v>51283.899999999994</v>
      </c>
      <c r="I1309" s="36">
        <f t="shared" si="670"/>
        <v>26247.222280000002</v>
      </c>
      <c r="J1309" s="36">
        <f t="shared" si="670"/>
        <v>26121.422280000003</v>
      </c>
      <c r="K1309" s="36">
        <f t="shared" si="670"/>
        <v>23126.167300000001</v>
      </c>
      <c r="L1309" s="36">
        <f t="shared" si="659"/>
        <v>45.094400581859027</v>
      </c>
      <c r="M1309" s="36">
        <f t="shared" si="660"/>
        <v>88.109008463047161</v>
      </c>
    </row>
    <row r="1310" spans="1:13" ht="25.5">
      <c r="A1310" s="60" t="s">
        <v>58</v>
      </c>
      <c r="B1310" s="29" t="s">
        <v>481</v>
      </c>
      <c r="C1310" s="29" t="s">
        <v>19</v>
      </c>
      <c r="D1310" s="29" t="s">
        <v>93</v>
      </c>
      <c r="E1310" s="29" t="s">
        <v>586</v>
      </c>
      <c r="F1310" s="59" t="s">
        <v>0</v>
      </c>
      <c r="G1310" s="36">
        <f>G1311+G1313+G1315+G1318</f>
        <v>50669.3</v>
      </c>
      <c r="H1310" s="36">
        <f t="shared" ref="H1310:K1310" si="671">H1311+H1313+H1315+H1318</f>
        <v>50669.299999999996</v>
      </c>
      <c r="I1310" s="36">
        <f t="shared" si="671"/>
        <v>25939.922280000003</v>
      </c>
      <c r="J1310" s="36">
        <f t="shared" si="671"/>
        <v>25814.122280000003</v>
      </c>
      <c r="K1310" s="36">
        <f t="shared" si="671"/>
        <v>22818.867300000002</v>
      </c>
      <c r="L1310" s="36">
        <f t="shared" si="659"/>
        <v>45.0348974625661</v>
      </c>
      <c r="M1310" s="36">
        <f t="shared" si="660"/>
        <v>87.968140589201482</v>
      </c>
    </row>
    <row r="1311" spans="1:13" ht="63.75">
      <c r="A1311" s="60" t="s">
        <v>60</v>
      </c>
      <c r="B1311" s="29" t="s">
        <v>481</v>
      </c>
      <c r="C1311" s="29" t="s">
        <v>19</v>
      </c>
      <c r="D1311" s="29" t="s">
        <v>93</v>
      </c>
      <c r="E1311" s="29" t="s">
        <v>586</v>
      </c>
      <c r="F1311" s="29" t="s">
        <v>61</v>
      </c>
      <c r="G1311" s="36">
        <f>G1312</f>
        <v>48849.9</v>
      </c>
      <c r="H1311" s="36">
        <f t="shared" ref="H1311:K1311" si="672">H1312</f>
        <v>48779.988299999997</v>
      </c>
      <c r="I1311" s="36">
        <f t="shared" si="672"/>
        <v>24824.188300000002</v>
      </c>
      <c r="J1311" s="36">
        <f t="shared" si="672"/>
        <v>24824.188300000002</v>
      </c>
      <c r="K1311" s="36">
        <f t="shared" si="672"/>
        <v>21908.506270000002</v>
      </c>
      <c r="L1311" s="36">
        <f t="shared" si="659"/>
        <v>44.912897754836081</v>
      </c>
      <c r="M1311" s="36">
        <f t="shared" si="660"/>
        <v>88.254673245449084</v>
      </c>
    </row>
    <row r="1312" spans="1:13" ht="25.5">
      <c r="A1312" s="60" t="s">
        <v>62</v>
      </c>
      <c r="B1312" s="29" t="s">
        <v>481</v>
      </c>
      <c r="C1312" s="29" t="s">
        <v>19</v>
      </c>
      <c r="D1312" s="29" t="s">
        <v>93</v>
      </c>
      <c r="E1312" s="29" t="s">
        <v>586</v>
      </c>
      <c r="F1312" s="29" t="s">
        <v>63</v>
      </c>
      <c r="G1312" s="36">
        <v>48849.9</v>
      </c>
      <c r="H1312" s="36">
        <v>48779.988299999997</v>
      </c>
      <c r="I1312" s="36">
        <f>17930.0883+1652+5242.1</f>
        <v>24824.188300000002</v>
      </c>
      <c r="J1312" s="36">
        <f>17930.0883+1652+5242.1</f>
        <v>24824.188300000002</v>
      </c>
      <c r="K1312" s="36">
        <f>15644.98938+1639.14216+4624.37473</f>
        <v>21908.506270000002</v>
      </c>
      <c r="L1312" s="36">
        <f t="shared" si="659"/>
        <v>44.912897754836081</v>
      </c>
      <c r="M1312" s="36">
        <f t="shared" si="660"/>
        <v>88.254673245449084</v>
      </c>
    </row>
    <row r="1313" spans="1:13" ht="25.5">
      <c r="A1313" s="60" t="s">
        <v>64</v>
      </c>
      <c r="B1313" s="29" t="s">
        <v>481</v>
      </c>
      <c r="C1313" s="29" t="s">
        <v>19</v>
      </c>
      <c r="D1313" s="29" t="s">
        <v>93</v>
      </c>
      <c r="E1313" s="29" t="s">
        <v>586</v>
      </c>
      <c r="F1313" s="29" t="s">
        <v>65</v>
      </c>
      <c r="G1313" s="36">
        <f>G1314</f>
        <v>1747.4</v>
      </c>
      <c r="H1313" s="36">
        <f t="shared" ref="H1313:K1313" si="673">H1314</f>
        <v>1747.4</v>
      </c>
      <c r="I1313" s="36">
        <f t="shared" si="673"/>
        <v>1035.8</v>
      </c>
      <c r="J1313" s="36">
        <f t="shared" si="673"/>
        <v>910</v>
      </c>
      <c r="K1313" s="36">
        <f t="shared" si="673"/>
        <v>830.43685000000005</v>
      </c>
      <c r="L1313" s="36">
        <f t="shared" si="659"/>
        <v>47.524141581778643</v>
      </c>
      <c r="M1313" s="36">
        <f t="shared" si="660"/>
        <v>80.173474608997878</v>
      </c>
    </row>
    <row r="1314" spans="1:13" ht="25.5">
      <c r="A1314" s="60" t="s">
        <v>66</v>
      </c>
      <c r="B1314" s="29" t="s">
        <v>481</v>
      </c>
      <c r="C1314" s="29" t="s">
        <v>19</v>
      </c>
      <c r="D1314" s="29" t="s">
        <v>93</v>
      </c>
      <c r="E1314" s="29" t="s">
        <v>586</v>
      </c>
      <c r="F1314" s="29" t="s">
        <v>67</v>
      </c>
      <c r="G1314" s="36">
        <v>1747.4</v>
      </c>
      <c r="H1314" s="36">
        <v>1747.4</v>
      </c>
      <c r="I1314" s="36">
        <v>1035.8</v>
      </c>
      <c r="J1314" s="36">
        <v>910</v>
      </c>
      <c r="K1314" s="36">
        <v>830.43685000000005</v>
      </c>
      <c r="L1314" s="36">
        <f t="shared" si="659"/>
        <v>47.524141581778643</v>
      </c>
      <c r="M1314" s="36">
        <f t="shared" si="660"/>
        <v>80.173474608997878</v>
      </c>
    </row>
    <row r="1315" spans="1:13">
      <c r="A1315" s="60" t="s">
        <v>68</v>
      </c>
      <c r="B1315" s="29" t="s">
        <v>481</v>
      </c>
      <c r="C1315" s="29" t="s">
        <v>19</v>
      </c>
      <c r="D1315" s="29" t="s">
        <v>93</v>
      </c>
      <c r="E1315" s="29" t="s">
        <v>586</v>
      </c>
      <c r="F1315" s="29" t="s">
        <v>69</v>
      </c>
      <c r="G1315" s="36">
        <f>G1317</f>
        <v>60</v>
      </c>
      <c r="H1315" s="36">
        <f>H1317+H1316</f>
        <v>129.90438</v>
      </c>
      <c r="I1315" s="36">
        <f t="shared" ref="I1315:K1315" si="674">I1317+I1316</f>
        <v>69.904380000000003</v>
      </c>
      <c r="J1315" s="36">
        <f t="shared" si="674"/>
        <v>69.904380000000003</v>
      </c>
      <c r="K1315" s="36">
        <f t="shared" si="674"/>
        <v>69.904380000000003</v>
      </c>
      <c r="L1315" s="36">
        <f t="shared" si="659"/>
        <v>53.812180928772378</v>
      </c>
      <c r="M1315" s="36">
        <f t="shared" si="660"/>
        <v>100</v>
      </c>
    </row>
    <row r="1316" spans="1:13" ht="25.5">
      <c r="A1316" s="60" t="s">
        <v>151</v>
      </c>
      <c r="B1316" s="29" t="s">
        <v>481</v>
      </c>
      <c r="C1316" s="29" t="s">
        <v>19</v>
      </c>
      <c r="D1316" s="29" t="s">
        <v>93</v>
      </c>
      <c r="E1316" s="29" t="s">
        <v>586</v>
      </c>
      <c r="F1316" s="29">
        <v>320</v>
      </c>
      <c r="G1316" s="36"/>
      <c r="H1316" s="36">
        <v>69.904380000000003</v>
      </c>
      <c r="I1316" s="36">
        <v>69.904380000000003</v>
      </c>
      <c r="J1316" s="36">
        <v>69.904380000000003</v>
      </c>
      <c r="K1316" s="36">
        <v>69.904380000000003</v>
      </c>
      <c r="L1316" s="36"/>
      <c r="M1316" s="36"/>
    </row>
    <row r="1317" spans="1:13">
      <c r="A1317" s="60" t="s">
        <v>70</v>
      </c>
      <c r="B1317" s="29" t="s">
        <v>481</v>
      </c>
      <c r="C1317" s="29" t="s">
        <v>19</v>
      </c>
      <c r="D1317" s="29" t="s">
        <v>93</v>
      </c>
      <c r="E1317" s="29" t="s">
        <v>586</v>
      </c>
      <c r="F1317" s="29" t="s">
        <v>71</v>
      </c>
      <c r="G1317" s="36">
        <v>60</v>
      </c>
      <c r="H1317" s="36">
        <v>60</v>
      </c>
      <c r="I1317" s="36">
        <v>0</v>
      </c>
      <c r="J1317" s="36">
        <v>0</v>
      </c>
      <c r="K1317" s="36">
        <v>0</v>
      </c>
      <c r="L1317" s="36">
        <f t="shared" si="659"/>
        <v>0</v>
      </c>
      <c r="M1317" s="36">
        <v>0</v>
      </c>
    </row>
    <row r="1318" spans="1:13">
      <c r="A1318" s="60" t="s">
        <v>72</v>
      </c>
      <c r="B1318" s="29" t="s">
        <v>481</v>
      </c>
      <c r="C1318" s="29" t="s">
        <v>19</v>
      </c>
      <c r="D1318" s="29" t="s">
        <v>93</v>
      </c>
      <c r="E1318" s="29" t="s">
        <v>586</v>
      </c>
      <c r="F1318" s="29" t="s">
        <v>73</v>
      </c>
      <c r="G1318" s="36">
        <f>G1320</f>
        <v>12</v>
      </c>
      <c r="H1318" s="36">
        <f>H1320+H1319</f>
        <v>12.00732</v>
      </c>
      <c r="I1318" s="36">
        <f t="shared" ref="I1318:K1318" si="675">I1320+I1319</f>
        <v>10.0296</v>
      </c>
      <c r="J1318" s="36">
        <f t="shared" si="675"/>
        <v>10.0296</v>
      </c>
      <c r="K1318" s="36">
        <f t="shared" si="675"/>
        <v>10.0198</v>
      </c>
      <c r="L1318" s="36">
        <f t="shared" si="659"/>
        <v>83.447430400788861</v>
      </c>
      <c r="M1318" s="36">
        <f t="shared" si="660"/>
        <v>99.90228922389727</v>
      </c>
    </row>
    <row r="1319" spans="1:13">
      <c r="A1319" s="63" t="s">
        <v>84</v>
      </c>
      <c r="B1319" s="29" t="s">
        <v>481</v>
      </c>
      <c r="C1319" s="29" t="s">
        <v>19</v>
      </c>
      <c r="D1319" s="29" t="s">
        <v>93</v>
      </c>
      <c r="E1319" s="29" t="s">
        <v>586</v>
      </c>
      <c r="F1319" s="29">
        <v>830</v>
      </c>
      <c r="G1319" s="36"/>
      <c r="H1319" s="36">
        <v>6.00732</v>
      </c>
      <c r="I1319" s="36">
        <v>6.00732</v>
      </c>
      <c r="J1319" s="36">
        <v>6.00732</v>
      </c>
      <c r="K1319" s="36">
        <v>6</v>
      </c>
      <c r="L1319" s="36"/>
      <c r="M1319" s="36"/>
    </row>
    <row r="1320" spans="1:13">
      <c r="A1320" s="60" t="s">
        <v>74</v>
      </c>
      <c r="B1320" s="29" t="s">
        <v>481</v>
      </c>
      <c r="C1320" s="29" t="s">
        <v>19</v>
      </c>
      <c r="D1320" s="29" t="s">
        <v>93</v>
      </c>
      <c r="E1320" s="29" t="s">
        <v>586</v>
      </c>
      <c r="F1320" s="29" t="s">
        <v>75</v>
      </c>
      <c r="G1320" s="36">
        <v>12</v>
      </c>
      <c r="H1320" s="36">
        <f>2.5098+3.4902</f>
        <v>6</v>
      </c>
      <c r="I1320" s="36">
        <f>4.01+0.00248+0.0098</f>
        <v>4.0222800000000003</v>
      </c>
      <c r="J1320" s="36">
        <f>4.01+0.00248+0.0098</f>
        <v>4.0222800000000003</v>
      </c>
      <c r="K1320" s="36">
        <f>4.0198</f>
        <v>4.0198</v>
      </c>
      <c r="L1320" s="36">
        <f t="shared" si="659"/>
        <v>66.99666666666667</v>
      </c>
      <c r="M1320" s="36">
        <f t="shared" si="660"/>
        <v>99.938343427110993</v>
      </c>
    </row>
    <row r="1321" spans="1:13" ht="25.5">
      <c r="A1321" s="60" t="s">
        <v>76</v>
      </c>
      <c r="B1321" s="29" t="s">
        <v>481</v>
      </c>
      <c r="C1321" s="29" t="s">
        <v>19</v>
      </c>
      <c r="D1321" s="29" t="s">
        <v>93</v>
      </c>
      <c r="E1321" s="29" t="s">
        <v>587</v>
      </c>
      <c r="F1321" s="59" t="s">
        <v>0</v>
      </c>
      <c r="G1321" s="36">
        <f>G1322</f>
        <v>614.6</v>
      </c>
      <c r="H1321" s="36">
        <f t="shared" ref="H1321:K1322" si="676">H1322</f>
        <v>614.6</v>
      </c>
      <c r="I1321" s="36">
        <f t="shared" si="676"/>
        <v>307.3</v>
      </c>
      <c r="J1321" s="36">
        <f t="shared" si="676"/>
        <v>307.3</v>
      </c>
      <c r="K1321" s="36">
        <f t="shared" si="676"/>
        <v>307.3</v>
      </c>
      <c r="L1321" s="36">
        <f t="shared" si="659"/>
        <v>50</v>
      </c>
      <c r="M1321" s="36">
        <f t="shared" si="660"/>
        <v>100</v>
      </c>
    </row>
    <row r="1322" spans="1:13" ht="25.5">
      <c r="A1322" s="60" t="s">
        <v>80</v>
      </c>
      <c r="B1322" s="29" t="s">
        <v>481</v>
      </c>
      <c r="C1322" s="29" t="s">
        <v>19</v>
      </c>
      <c r="D1322" s="29" t="s">
        <v>93</v>
      </c>
      <c r="E1322" s="29" t="s">
        <v>587</v>
      </c>
      <c r="F1322" s="29" t="s">
        <v>81</v>
      </c>
      <c r="G1322" s="36">
        <f>G1323</f>
        <v>614.6</v>
      </c>
      <c r="H1322" s="36">
        <f t="shared" si="676"/>
        <v>614.6</v>
      </c>
      <c r="I1322" s="36">
        <f t="shared" si="676"/>
        <v>307.3</v>
      </c>
      <c r="J1322" s="36">
        <f t="shared" si="676"/>
        <v>307.3</v>
      </c>
      <c r="K1322" s="36">
        <f t="shared" si="676"/>
        <v>307.3</v>
      </c>
      <c r="L1322" s="36">
        <f t="shared" si="659"/>
        <v>50</v>
      </c>
      <c r="M1322" s="36">
        <f t="shared" si="660"/>
        <v>100</v>
      </c>
    </row>
    <row r="1323" spans="1:13">
      <c r="A1323" s="60" t="s">
        <v>271</v>
      </c>
      <c r="B1323" s="29" t="s">
        <v>481</v>
      </c>
      <c r="C1323" s="29" t="s">
        <v>19</v>
      </c>
      <c r="D1323" s="29" t="s">
        <v>93</v>
      </c>
      <c r="E1323" s="29" t="s">
        <v>587</v>
      </c>
      <c r="F1323" s="29" t="s">
        <v>272</v>
      </c>
      <c r="G1323" s="36">
        <v>614.6</v>
      </c>
      <c r="H1323" s="36">
        <v>614.6</v>
      </c>
      <c r="I1323" s="36">
        <v>307.3</v>
      </c>
      <c r="J1323" s="36">
        <v>307.3</v>
      </c>
      <c r="K1323" s="36">
        <v>307.3</v>
      </c>
      <c r="L1323" s="36">
        <f t="shared" si="659"/>
        <v>50</v>
      </c>
      <c r="M1323" s="36">
        <f t="shared" si="660"/>
        <v>100</v>
      </c>
    </row>
    <row r="1324" spans="1:13" ht="38.25">
      <c r="A1324" s="60" t="s">
        <v>588</v>
      </c>
      <c r="B1324" s="29" t="s">
        <v>481</v>
      </c>
      <c r="C1324" s="29" t="s">
        <v>19</v>
      </c>
      <c r="D1324" s="29" t="s">
        <v>93</v>
      </c>
      <c r="E1324" s="29" t="s">
        <v>589</v>
      </c>
      <c r="F1324" s="59" t="s">
        <v>0</v>
      </c>
      <c r="G1324" s="36">
        <f>G1328</f>
        <v>5000</v>
      </c>
      <c r="H1324" s="36">
        <f>H1328+H1325</f>
        <v>46341</v>
      </c>
      <c r="I1324" s="36">
        <f t="shared" ref="I1324:K1324" si="677">I1328+I1325</f>
        <v>0</v>
      </c>
      <c r="J1324" s="36">
        <f t="shared" si="677"/>
        <v>0</v>
      </c>
      <c r="K1324" s="36">
        <f t="shared" si="677"/>
        <v>0</v>
      </c>
      <c r="L1324" s="36">
        <f t="shared" si="659"/>
        <v>0</v>
      </c>
      <c r="M1324" s="36">
        <v>0</v>
      </c>
    </row>
    <row r="1325" spans="1:13" ht="54.75" customHeight="1">
      <c r="A1325" s="77" t="s">
        <v>1218</v>
      </c>
      <c r="B1325" s="29" t="s">
        <v>481</v>
      </c>
      <c r="C1325" s="29" t="s">
        <v>19</v>
      </c>
      <c r="D1325" s="29" t="s">
        <v>93</v>
      </c>
      <c r="E1325" s="78" t="s">
        <v>1217</v>
      </c>
      <c r="F1325" s="59"/>
      <c r="G1325" s="36"/>
      <c r="H1325" s="36">
        <f>H1326</f>
        <v>41341</v>
      </c>
      <c r="I1325" s="36">
        <f t="shared" ref="I1325:K1326" si="678">I1326</f>
        <v>0</v>
      </c>
      <c r="J1325" s="36">
        <f t="shared" si="678"/>
        <v>0</v>
      </c>
      <c r="K1325" s="36">
        <f t="shared" si="678"/>
        <v>0</v>
      </c>
      <c r="L1325" s="36">
        <f t="shared" ref="L1325:L1327" si="679">K1325/H1325*100</f>
        <v>0</v>
      </c>
      <c r="M1325" s="36">
        <v>0</v>
      </c>
    </row>
    <row r="1326" spans="1:13">
      <c r="A1326" s="60" t="s">
        <v>72</v>
      </c>
      <c r="B1326" s="29" t="s">
        <v>481</v>
      </c>
      <c r="C1326" s="29" t="s">
        <v>19</v>
      </c>
      <c r="D1326" s="29" t="s">
        <v>93</v>
      </c>
      <c r="E1326" s="78" t="s">
        <v>1217</v>
      </c>
      <c r="F1326" s="29" t="s">
        <v>73</v>
      </c>
      <c r="G1326" s="36"/>
      <c r="H1326" s="36">
        <f>H1327</f>
        <v>41341</v>
      </c>
      <c r="I1326" s="36">
        <f t="shared" si="678"/>
        <v>0</v>
      </c>
      <c r="J1326" s="36">
        <f t="shared" si="678"/>
        <v>0</v>
      </c>
      <c r="K1326" s="36">
        <f t="shared" si="678"/>
        <v>0</v>
      </c>
      <c r="L1326" s="36">
        <f t="shared" si="679"/>
        <v>0</v>
      </c>
      <c r="M1326" s="36">
        <v>0</v>
      </c>
    </row>
    <row r="1327" spans="1:13" ht="51">
      <c r="A1327" s="60" t="s">
        <v>218</v>
      </c>
      <c r="B1327" s="29" t="s">
        <v>481</v>
      </c>
      <c r="C1327" s="29" t="s">
        <v>19</v>
      </c>
      <c r="D1327" s="29" t="s">
        <v>93</v>
      </c>
      <c r="E1327" s="78" t="s">
        <v>1217</v>
      </c>
      <c r="F1327" s="29" t="s">
        <v>219</v>
      </c>
      <c r="G1327" s="36"/>
      <c r="H1327" s="36">
        <v>41341</v>
      </c>
      <c r="I1327" s="36">
        <v>0</v>
      </c>
      <c r="J1327" s="36">
        <v>0</v>
      </c>
      <c r="K1327" s="36">
        <v>0</v>
      </c>
      <c r="L1327" s="36">
        <f t="shared" si="679"/>
        <v>0</v>
      </c>
      <c r="M1327" s="36">
        <v>0</v>
      </c>
    </row>
    <row r="1328" spans="1:13" ht="51">
      <c r="A1328" s="60" t="s">
        <v>590</v>
      </c>
      <c r="B1328" s="29" t="s">
        <v>481</v>
      </c>
      <c r="C1328" s="29" t="s">
        <v>19</v>
      </c>
      <c r="D1328" s="29" t="s">
        <v>93</v>
      </c>
      <c r="E1328" s="29" t="s">
        <v>591</v>
      </c>
      <c r="F1328" s="59" t="s">
        <v>0</v>
      </c>
      <c r="G1328" s="36">
        <f>G1329</f>
        <v>5000</v>
      </c>
      <c r="H1328" s="36">
        <f t="shared" ref="H1328:K1329" si="680">H1329</f>
        <v>5000</v>
      </c>
      <c r="I1328" s="36">
        <f t="shared" si="680"/>
        <v>0</v>
      </c>
      <c r="J1328" s="36">
        <f t="shared" si="680"/>
        <v>0</v>
      </c>
      <c r="K1328" s="36">
        <f t="shared" si="680"/>
        <v>0</v>
      </c>
      <c r="L1328" s="36">
        <f t="shared" si="659"/>
        <v>0</v>
      </c>
      <c r="M1328" s="36">
        <v>0</v>
      </c>
    </row>
    <row r="1329" spans="1:13">
      <c r="A1329" s="60" t="s">
        <v>72</v>
      </c>
      <c r="B1329" s="29" t="s">
        <v>481</v>
      </c>
      <c r="C1329" s="29" t="s">
        <v>19</v>
      </c>
      <c r="D1329" s="29" t="s">
        <v>93</v>
      </c>
      <c r="E1329" s="29" t="s">
        <v>591</v>
      </c>
      <c r="F1329" s="29" t="s">
        <v>73</v>
      </c>
      <c r="G1329" s="36">
        <f>G1330</f>
        <v>5000</v>
      </c>
      <c r="H1329" s="36">
        <f t="shared" si="680"/>
        <v>5000</v>
      </c>
      <c r="I1329" s="36">
        <f t="shared" si="680"/>
        <v>0</v>
      </c>
      <c r="J1329" s="36">
        <f t="shared" si="680"/>
        <v>0</v>
      </c>
      <c r="K1329" s="36">
        <f t="shared" si="680"/>
        <v>0</v>
      </c>
      <c r="L1329" s="36">
        <f t="shared" si="659"/>
        <v>0</v>
      </c>
      <c r="M1329" s="36">
        <v>0</v>
      </c>
    </row>
    <row r="1330" spans="1:13" ht="51">
      <c r="A1330" s="60" t="s">
        <v>218</v>
      </c>
      <c r="B1330" s="29" t="s">
        <v>481</v>
      </c>
      <c r="C1330" s="29" t="s">
        <v>19</v>
      </c>
      <c r="D1330" s="29" t="s">
        <v>93</v>
      </c>
      <c r="E1330" s="29" t="s">
        <v>591</v>
      </c>
      <c r="F1330" s="29" t="s">
        <v>219</v>
      </c>
      <c r="G1330" s="36">
        <v>5000</v>
      </c>
      <c r="H1330" s="36">
        <v>5000</v>
      </c>
      <c r="I1330" s="36">
        <v>0</v>
      </c>
      <c r="J1330" s="36">
        <v>0</v>
      </c>
      <c r="K1330" s="36">
        <v>0</v>
      </c>
      <c r="L1330" s="36">
        <v>0</v>
      </c>
      <c r="M1330" s="36">
        <v>0</v>
      </c>
    </row>
    <row r="1331" spans="1:13">
      <c r="A1331" s="60" t="s">
        <v>50</v>
      </c>
      <c r="B1331" s="29" t="s">
        <v>481</v>
      </c>
      <c r="C1331" s="29" t="s">
        <v>19</v>
      </c>
      <c r="D1331" s="29" t="s">
        <v>51</v>
      </c>
      <c r="E1331" s="59" t="s">
        <v>0</v>
      </c>
      <c r="F1331" s="59" t="s">
        <v>0</v>
      </c>
      <c r="G1331" s="36">
        <f>G1332</f>
        <v>2569</v>
      </c>
      <c r="H1331" s="36">
        <f t="shared" ref="H1331:K1334" si="681">H1332</f>
        <v>2569</v>
      </c>
      <c r="I1331" s="36">
        <f t="shared" si="681"/>
        <v>724</v>
      </c>
      <c r="J1331" s="36">
        <f t="shared" si="681"/>
        <v>723.36965999999995</v>
      </c>
      <c r="K1331" s="36">
        <f t="shared" si="681"/>
        <v>723.36965999999995</v>
      </c>
      <c r="L1331" s="36">
        <f t="shared" si="659"/>
        <v>28.157635655897234</v>
      </c>
      <c r="M1331" s="36">
        <f t="shared" si="660"/>
        <v>99.912936464088389</v>
      </c>
    </row>
    <row r="1332" spans="1:13" ht="38.25">
      <c r="A1332" s="60" t="s">
        <v>482</v>
      </c>
      <c r="B1332" s="29" t="s">
        <v>481</v>
      </c>
      <c r="C1332" s="29" t="s">
        <v>19</v>
      </c>
      <c r="D1332" s="29" t="s">
        <v>51</v>
      </c>
      <c r="E1332" s="29" t="s">
        <v>483</v>
      </c>
      <c r="F1332" s="59" t="s">
        <v>0</v>
      </c>
      <c r="G1332" s="36">
        <f>G1333</f>
        <v>2569</v>
      </c>
      <c r="H1332" s="36">
        <f t="shared" si="681"/>
        <v>2569</v>
      </c>
      <c r="I1332" s="36">
        <f t="shared" si="681"/>
        <v>724</v>
      </c>
      <c r="J1332" s="36">
        <f t="shared" si="681"/>
        <v>723.36965999999995</v>
      </c>
      <c r="K1332" s="36">
        <f t="shared" si="681"/>
        <v>723.36965999999995</v>
      </c>
      <c r="L1332" s="36">
        <f t="shared" si="659"/>
        <v>28.157635655897234</v>
      </c>
      <c r="M1332" s="36">
        <f t="shared" si="660"/>
        <v>99.912936464088389</v>
      </c>
    </row>
    <row r="1333" spans="1:13" ht="25.5">
      <c r="A1333" s="60" t="s">
        <v>592</v>
      </c>
      <c r="B1333" s="29" t="s">
        <v>481</v>
      </c>
      <c r="C1333" s="29" t="s">
        <v>19</v>
      </c>
      <c r="D1333" s="29" t="s">
        <v>51</v>
      </c>
      <c r="E1333" s="29" t="s">
        <v>593</v>
      </c>
      <c r="F1333" s="59" t="s">
        <v>0</v>
      </c>
      <c r="G1333" s="36">
        <f>G1334</f>
        <v>2569</v>
      </c>
      <c r="H1333" s="36">
        <f t="shared" si="681"/>
        <v>2569</v>
      </c>
      <c r="I1333" s="36">
        <f t="shared" si="681"/>
        <v>724</v>
      </c>
      <c r="J1333" s="36">
        <f t="shared" si="681"/>
        <v>723.36965999999995</v>
      </c>
      <c r="K1333" s="36">
        <f t="shared" si="681"/>
        <v>723.36965999999995</v>
      </c>
      <c r="L1333" s="36">
        <f t="shared" si="659"/>
        <v>28.157635655897234</v>
      </c>
      <c r="M1333" s="36">
        <f t="shared" si="660"/>
        <v>99.912936464088389</v>
      </c>
    </row>
    <row r="1334" spans="1:13">
      <c r="A1334" s="60" t="s">
        <v>26</v>
      </c>
      <c r="B1334" s="29" t="s">
        <v>481</v>
      </c>
      <c r="C1334" s="29" t="s">
        <v>19</v>
      </c>
      <c r="D1334" s="29" t="s">
        <v>51</v>
      </c>
      <c r="E1334" s="29" t="s">
        <v>593</v>
      </c>
      <c r="F1334" s="29" t="s">
        <v>27</v>
      </c>
      <c r="G1334" s="36">
        <f>G1335</f>
        <v>2569</v>
      </c>
      <c r="H1334" s="36">
        <f t="shared" si="681"/>
        <v>2569</v>
      </c>
      <c r="I1334" s="36">
        <f t="shared" si="681"/>
        <v>724</v>
      </c>
      <c r="J1334" s="36">
        <f t="shared" si="681"/>
        <v>723.36965999999995</v>
      </c>
      <c r="K1334" s="36">
        <f t="shared" si="681"/>
        <v>723.36965999999995</v>
      </c>
      <c r="L1334" s="36">
        <f t="shared" si="659"/>
        <v>28.157635655897234</v>
      </c>
      <c r="M1334" s="36">
        <f t="shared" si="660"/>
        <v>99.912936464088389</v>
      </c>
    </row>
    <row r="1335" spans="1:13">
      <c r="A1335" s="60" t="s">
        <v>56</v>
      </c>
      <c r="B1335" s="29" t="s">
        <v>481</v>
      </c>
      <c r="C1335" s="29" t="s">
        <v>19</v>
      </c>
      <c r="D1335" s="29" t="s">
        <v>51</v>
      </c>
      <c r="E1335" s="29" t="s">
        <v>593</v>
      </c>
      <c r="F1335" s="29" t="s">
        <v>57</v>
      </c>
      <c r="G1335" s="36">
        <v>2569</v>
      </c>
      <c r="H1335" s="36">
        <v>2569</v>
      </c>
      <c r="I1335" s="36">
        <v>724</v>
      </c>
      <c r="J1335" s="36">
        <v>723.36965999999995</v>
      </c>
      <c r="K1335" s="36">
        <v>723.36965999999995</v>
      </c>
      <c r="L1335" s="36">
        <f t="shared" si="659"/>
        <v>28.157635655897234</v>
      </c>
      <c r="M1335" s="36">
        <f t="shared" si="660"/>
        <v>99.912936464088389</v>
      </c>
    </row>
    <row r="1336" spans="1:13">
      <c r="A1336" s="61" t="s">
        <v>0</v>
      </c>
      <c r="B1336" s="59" t="s">
        <v>0</v>
      </c>
      <c r="C1336" s="59" t="s">
        <v>0</v>
      </c>
      <c r="D1336" s="59" t="s">
        <v>0</v>
      </c>
      <c r="E1336" s="59" t="s">
        <v>0</v>
      </c>
      <c r="F1336" s="59" t="s">
        <v>0</v>
      </c>
      <c r="G1336" s="62" t="s">
        <v>0</v>
      </c>
      <c r="H1336" s="62" t="s">
        <v>0</v>
      </c>
      <c r="I1336" s="62" t="s">
        <v>0</v>
      </c>
      <c r="J1336" s="62" t="s">
        <v>0</v>
      </c>
      <c r="K1336" s="62" t="s">
        <v>0</v>
      </c>
      <c r="L1336" s="62"/>
      <c r="M1336" s="62"/>
    </row>
    <row r="1337" spans="1:13">
      <c r="A1337" s="60" t="s">
        <v>147</v>
      </c>
      <c r="B1337" s="29" t="s">
        <v>481</v>
      </c>
      <c r="C1337" s="29" t="s">
        <v>148</v>
      </c>
      <c r="D1337" s="59" t="s">
        <v>0</v>
      </c>
      <c r="E1337" s="59" t="s">
        <v>0</v>
      </c>
      <c r="F1337" s="59" t="s">
        <v>0</v>
      </c>
      <c r="G1337" s="36">
        <f>G1338</f>
        <v>42000</v>
      </c>
      <c r="H1337" s="36">
        <f t="shared" ref="H1337:K1344" si="682">H1338</f>
        <v>75028.399999999994</v>
      </c>
      <c r="I1337" s="36">
        <f t="shared" si="682"/>
        <v>1360</v>
      </c>
      <c r="J1337" s="36">
        <f t="shared" si="682"/>
        <v>1360</v>
      </c>
      <c r="K1337" s="36">
        <f t="shared" si="682"/>
        <v>1360</v>
      </c>
      <c r="L1337" s="36">
        <f t="shared" si="659"/>
        <v>1.8126469443570703</v>
      </c>
      <c r="M1337" s="36">
        <f t="shared" si="660"/>
        <v>100</v>
      </c>
    </row>
    <row r="1338" spans="1:13">
      <c r="A1338" s="60" t="s">
        <v>149</v>
      </c>
      <c r="B1338" s="29" t="s">
        <v>481</v>
      </c>
      <c r="C1338" s="29" t="s">
        <v>148</v>
      </c>
      <c r="D1338" s="29" t="s">
        <v>150</v>
      </c>
      <c r="E1338" s="59" t="s">
        <v>0</v>
      </c>
      <c r="F1338" s="59" t="s">
        <v>0</v>
      </c>
      <c r="G1338" s="36">
        <f>G1339</f>
        <v>42000</v>
      </c>
      <c r="H1338" s="36">
        <f t="shared" si="682"/>
        <v>75028.399999999994</v>
      </c>
      <c r="I1338" s="36">
        <f t="shared" si="682"/>
        <v>1360</v>
      </c>
      <c r="J1338" s="36">
        <f t="shared" si="682"/>
        <v>1360</v>
      </c>
      <c r="K1338" s="36">
        <f t="shared" si="682"/>
        <v>1360</v>
      </c>
      <c r="L1338" s="36">
        <f t="shared" si="659"/>
        <v>1.8126469443570703</v>
      </c>
      <c r="M1338" s="36">
        <f t="shared" si="660"/>
        <v>100</v>
      </c>
    </row>
    <row r="1339" spans="1:13" ht="38.25">
      <c r="A1339" s="60" t="s">
        <v>122</v>
      </c>
      <c r="B1339" s="29" t="s">
        <v>481</v>
      </c>
      <c r="C1339" s="29" t="s">
        <v>148</v>
      </c>
      <c r="D1339" s="29" t="s">
        <v>150</v>
      </c>
      <c r="E1339" s="29" t="s">
        <v>123</v>
      </c>
      <c r="F1339" s="59" t="s">
        <v>0</v>
      </c>
      <c r="G1339" s="36">
        <f>G1343</f>
        <v>42000</v>
      </c>
      <c r="H1339" s="36">
        <f>H1343+H1340</f>
        <v>75028.399999999994</v>
      </c>
      <c r="I1339" s="36">
        <f t="shared" ref="I1339:K1339" si="683">I1343+I1340</f>
        <v>1360</v>
      </c>
      <c r="J1339" s="36">
        <f t="shared" si="683"/>
        <v>1360</v>
      </c>
      <c r="K1339" s="36">
        <f t="shared" si="683"/>
        <v>1360</v>
      </c>
      <c r="L1339" s="36">
        <f t="shared" si="659"/>
        <v>1.8126469443570703</v>
      </c>
      <c r="M1339" s="36">
        <f t="shared" si="660"/>
        <v>100</v>
      </c>
    </row>
    <row r="1340" spans="1:13" ht="43.5" customHeight="1">
      <c r="A1340" s="60" t="s">
        <v>1120</v>
      </c>
      <c r="B1340" s="29" t="s">
        <v>481</v>
      </c>
      <c r="C1340" s="29" t="s">
        <v>148</v>
      </c>
      <c r="D1340" s="29" t="s">
        <v>150</v>
      </c>
      <c r="E1340" s="30" t="s">
        <v>1121</v>
      </c>
      <c r="F1340" s="59"/>
      <c r="G1340" s="36"/>
      <c r="H1340" s="36">
        <f>H1341</f>
        <v>33028.400000000001</v>
      </c>
      <c r="I1340" s="36">
        <f t="shared" ref="I1340:K1341" si="684">I1341</f>
        <v>1360</v>
      </c>
      <c r="J1340" s="36">
        <f t="shared" si="684"/>
        <v>1360</v>
      </c>
      <c r="K1340" s="36">
        <f t="shared" si="684"/>
        <v>1360</v>
      </c>
      <c r="L1340" s="36">
        <f t="shared" ref="L1340:L1342" si="685">K1340/H1340*100</f>
        <v>4.1176684308050042</v>
      </c>
      <c r="M1340" s="36">
        <f t="shared" ref="M1340:M1342" si="686">K1340/I1340*100</f>
        <v>100</v>
      </c>
    </row>
    <row r="1341" spans="1:13">
      <c r="A1341" s="60" t="s">
        <v>26</v>
      </c>
      <c r="B1341" s="29" t="s">
        <v>481</v>
      </c>
      <c r="C1341" s="29" t="s">
        <v>148</v>
      </c>
      <c r="D1341" s="29" t="s">
        <v>150</v>
      </c>
      <c r="E1341" s="30" t="s">
        <v>1121</v>
      </c>
      <c r="F1341" s="29" t="s">
        <v>27</v>
      </c>
      <c r="G1341" s="36"/>
      <c r="H1341" s="36">
        <f>H1342</f>
        <v>33028.400000000001</v>
      </c>
      <c r="I1341" s="36">
        <f t="shared" si="684"/>
        <v>1360</v>
      </c>
      <c r="J1341" s="36">
        <f t="shared" si="684"/>
        <v>1360</v>
      </c>
      <c r="K1341" s="36">
        <f t="shared" si="684"/>
        <v>1360</v>
      </c>
      <c r="L1341" s="36">
        <f t="shared" si="685"/>
        <v>4.1176684308050042</v>
      </c>
      <c r="M1341" s="36">
        <f t="shared" si="686"/>
        <v>100</v>
      </c>
    </row>
    <row r="1342" spans="1:13">
      <c r="A1342" s="60" t="s">
        <v>56</v>
      </c>
      <c r="B1342" s="29" t="s">
        <v>481</v>
      </c>
      <c r="C1342" s="29" t="s">
        <v>148</v>
      </c>
      <c r="D1342" s="29" t="s">
        <v>150</v>
      </c>
      <c r="E1342" s="30" t="s">
        <v>1121</v>
      </c>
      <c r="F1342" s="29" t="s">
        <v>57</v>
      </c>
      <c r="G1342" s="36"/>
      <c r="H1342" s="36">
        <v>33028.400000000001</v>
      </c>
      <c r="I1342" s="36">
        <v>1360</v>
      </c>
      <c r="J1342" s="36">
        <v>1360</v>
      </c>
      <c r="K1342" s="36">
        <v>1360</v>
      </c>
      <c r="L1342" s="36">
        <f t="shared" si="685"/>
        <v>4.1176684308050042</v>
      </c>
      <c r="M1342" s="36">
        <f t="shared" si="686"/>
        <v>100</v>
      </c>
    </row>
    <row r="1343" spans="1:13" ht="51">
      <c r="A1343" s="60" t="s">
        <v>125</v>
      </c>
      <c r="B1343" s="29" t="s">
        <v>481</v>
      </c>
      <c r="C1343" s="29" t="s">
        <v>148</v>
      </c>
      <c r="D1343" s="29" t="s">
        <v>150</v>
      </c>
      <c r="E1343" s="29" t="s">
        <v>126</v>
      </c>
      <c r="F1343" s="59" t="s">
        <v>0</v>
      </c>
      <c r="G1343" s="36">
        <f>G1344</f>
        <v>42000</v>
      </c>
      <c r="H1343" s="36">
        <f t="shared" si="682"/>
        <v>42000</v>
      </c>
      <c r="I1343" s="36">
        <f t="shared" si="682"/>
        <v>0</v>
      </c>
      <c r="J1343" s="36">
        <f t="shared" si="682"/>
        <v>0</v>
      </c>
      <c r="K1343" s="36">
        <f t="shared" si="682"/>
        <v>0</v>
      </c>
      <c r="L1343" s="36">
        <f t="shared" si="659"/>
        <v>0</v>
      </c>
      <c r="M1343" s="36">
        <v>0</v>
      </c>
    </row>
    <row r="1344" spans="1:13">
      <c r="A1344" s="60" t="s">
        <v>26</v>
      </c>
      <c r="B1344" s="29" t="s">
        <v>481</v>
      </c>
      <c r="C1344" s="29" t="s">
        <v>148</v>
      </c>
      <c r="D1344" s="29" t="s">
        <v>150</v>
      </c>
      <c r="E1344" s="29" t="s">
        <v>126</v>
      </c>
      <c r="F1344" s="29" t="s">
        <v>27</v>
      </c>
      <c r="G1344" s="36">
        <f>G1345</f>
        <v>42000</v>
      </c>
      <c r="H1344" s="36">
        <f t="shared" si="682"/>
        <v>42000</v>
      </c>
      <c r="I1344" s="36">
        <f t="shared" si="682"/>
        <v>0</v>
      </c>
      <c r="J1344" s="36">
        <f t="shared" si="682"/>
        <v>0</v>
      </c>
      <c r="K1344" s="36">
        <f t="shared" si="682"/>
        <v>0</v>
      </c>
      <c r="L1344" s="36">
        <f t="shared" si="659"/>
        <v>0</v>
      </c>
      <c r="M1344" s="36">
        <v>0</v>
      </c>
    </row>
    <row r="1345" spans="1:13">
      <c r="A1345" s="60" t="s">
        <v>56</v>
      </c>
      <c r="B1345" s="29" t="s">
        <v>481</v>
      </c>
      <c r="C1345" s="29" t="s">
        <v>148</v>
      </c>
      <c r="D1345" s="29" t="s">
        <v>150</v>
      </c>
      <c r="E1345" s="29" t="s">
        <v>126</v>
      </c>
      <c r="F1345" s="29" t="s">
        <v>57</v>
      </c>
      <c r="G1345" s="36">
        <v>42000</v>
      </c>
      <c r="H1345" s="36">
        <v>42000</v>
      </c>
      <c r="I1345" s="36">
        <v>0</v>
      </c>
      <c r="J1345" s="36">
        <v>0</v>
      </c>
      <c r="K1345" s="36">
        <v>0</v>
      </c>
      <c r="L1345" s="36">
        <f t="shared" si="659"/>
        <v>0</v>
      </c>
      <c r="M1345" s="36">
        <v>0</v>
      </c>
    </row>
    <row r="1346" spans="1:13">
      <c r="A1346" s="65" t="s">
        <v>0</v>
      </c>
      <c r="B1346" s="66" t="s">
        <v>0</v>
      </c>
      <c r="C1346" s="59" t="s">
        <v>0</v>
      </c>
      <c r="D1346" s="59" t="s">
        <v>0</v>
      </c>
      <c r="E1346" s="59" t="s">
        <v>0</v>
      </c>
      <c r="F1346" s="59" t="s">
        <v>0</v>
      </c>
      <c r="G1346" s="67" t="s">
        <v>0</v>
      </c>
      <c r="H1346" s="67" t="s">
        <v>0</v>
      </c>
      <c r="I1346" s="67" t="s">
        <v>0</v>
      </c>
      <c r="J1346" s="67" t="s">
        <v>0</v>
      </c>
      <c r="K1346" s="67" t="s">
        <v>0</v>
      </c>
      <c r="L1346" s="67" t="s">
        <v>1117</v>
      </c>
      <c r="M1346" s="67"/>
    </row>
    <row r="1347" spans="1:13" ht="25.5">
      <c r="A1347" s="57" t="s">
        <v>594</v>
      </c>
      <c r="B1347" s="58" t="s">
        <v>595</v>
      </c>
      <c r="C1347" s="59" t="s">
        <v>0</v>
      </c>
      <c r="D1347" s="59" t="s">
        <v>0</v>
      </c>
      <c r="E1347" s="59" t="s">
        <v>0</v>
      </c>
      <c r="F1347" s="59" t="s">
        <v>0</v>
      </c>
      <c r="G1347" s="31">
        <f>G1348+G1405+G1413+G1425</f>
        <v>5788049.0999999996</v>
      </c>
      <c r="H1347" s="31">
        <f t="shared" ref="H1347:K1347" si="687">H1348+H1405+H1413+H1425</f>
        <v>5687760.5407699998</v>
      </c>
      <c r="I1347" s="31">
        <f t="shared" si="687"/>
        <v>2359337.7337799999</v>
      </c>
      <c r="J1347" s="31">
        <f t="shared" si="687"/>
        <v>2358056.8637799998</v>
      </c>
      <c r="K1347" s="31">
        <f t="shared" si="687"/>
        <v>2341172.9038</v>
      </c>
      <c r="L1347" s="31">
        <f t="shared" si="659"/>
        <v>41.161594040719862</v>
      </c>
      <c r="M1347" s="31">
        <f t="shared" si="660"/>
        <v>99.230087760648956</v>
      </c>
    </row>
    <row r="1348" spans="1:13">
      <c r="A1348" s="60" t="s">
        <v>16</v>
      </c>
      <c r="B1348" s="29" t="s">
        <v>595</v>
      </c>
      <c r="C1348" s="29" t="s">
        <v>17</v>
      </c>
      <c r="D1348" s="59" t="s">
        <v>0</v>
      </c>
      <c r="E1348" s="59" t="s">
        <v>0</v>
      </c>
      <c r="F1348" s="59" t="s">
        <v>0</v>
      </c>
      <c r="G1348" s="36">
        <f>G1349+G1358+G1364+G1379+G1384</f>
        <v>799172.1</v>
      </c>
      <c r="H1348" s="36">
        <f t="shared" ref="H1348:K1348" si="688">H1349+H1358+H1364+H1379+H1384</f>
        <v>698883.54076999996</v>
      </c>
      <c r="I1348" s="36">
        <f t="shared" si="688"/>
        <v>77273.527889999998</v>
      </c>
      <c r="J1348" s="36">
        <f t="shared" si="688"/>
        <v>76652.777889999998</v>
      </c>
      <c r="K1348" s="36">
        <f t="shared" si="688"/>
        <v>67191.581789999997</v>
      </c>
      <c r="L1348" s="36">
        <f t="shared" si="659"/>
        <v>9.6141313781651228</v>
      </c>
      <c r="M1348" s="36">
        <f t="shared" si="660"/>
        <v>86.95291081526419</v>
      </c>
    </row>
    <row r="1349" spans="1:13" ht="51">
      <c r="A1349" s="60" t="s">
        <v>18</v>
      </c>
      <c r="B1349" s="29" t="s">
        <v>595</v>
      </c>
      <c r="C1349" s="29" t="s">
        <v>17</v>
      </c>
      <c r="D1349" s="29" t="s">
        <v>19</v>
      </c>
      <c r="E1349" s="59" t="s">
        <v>0</v>
      </c>
      <c r="F1349" s="59" t="s">
        <v>0</v>
      </c>
      <c r="G1349" s="36">
        <f>G1350</f>
        <v>55008.1</v>
      </c>
      <c r="H1349" s="36">
        <f t="shared" ref="H1349:K1350" si="689">H1350</f>
        <v>55008.1</v>
      </c>
      <c r="I1349" s="36">
        <f t="shared" si="689"/>
        <v>27602.2</v>
      </c>
      <c r="J1349" s="36">
        <f t="shared" si="689"/>
        <v>27602.2</v>
      </c>
      <c r="K1349" s="36">
        <f t="shared" si="689"/>
        <v>24260.803979999997</v>
      </c>
      <c r="L1349" s="36">
        <f t="shared" si="659"/>
        <v>44.104057366096988</v>
      </c>
      <c r="M1349" s="36">
        <f t="shared" si="660"/>
        <v>87.894457615697291</v>
      </c>
    </row>
    <row r="1350" spans="1:13" ht="51">
      <c r="A1350" s="60" t="s">
        <v>596</v>
      </c>
      <c r="B1350" s="29" t="s">
        <v>595</v>
      </c>
      <c r="C1350" s="29" t="s">
        <v>17</v>
      </c>
      <c r="D1350" s="29" t="s">
        <v>19</v>
      </c>
      <c r="E1350" s="29" t="s">
        <v>597</v>
      </c>
      <c r="F1350" s="59" t="s">
        <v>0</v>
      </c>
      <c r="G1350" s="36">
        <f>G1351</f>
        <v>55008.1</v>
      </c>
      <c r="H1350" s="36">
        <f t="shared" si="689"/>
        <v>55008.1</v>
      </c>
      <c r="I1350" s="36">
        <f t="shared" si="689"/>
        <v>27602.2</v>
      </c>
      <c r="J1350" s="36">
        <f t="shared" si="689"/>
        <v>27602.2</v>
      </c>
      <c r="K1350" s="36">
        <f t="shared" si="689"/>
        <v>24260.803979999997</v>
      </c>
      <c r="L1350" s="36">
        <f t="shared" si="659"/>
        <v>44.104057366096988</v>
      </c>
      <c r="M1350" s="36">
        <f t="shared" si="660"/>
        <v>87.894457615697291</v>
      </c>
    </row>
    <row r="1351" spans="1:13" ht="51">
      <c r="A1351" s="60" t="s">
        <v>598</v>
      </c>
      <c r="B1351" s="29" t="s">
        <v>595</v>
      </c>
      <c r="C1351" s="29" t="s">
        <v>17</v>
      </c>
      <c r="D1351" s="29" t="s">
        <v>19</v>
      </c>
      <c r="E1351" s="29" t="s">
        <v>599</v>
      </c>
      <c r="F1351" s="59" t="s">
        <v>0</v>
      </c>
      <c r="G1351" s="36">
        <f>G1352+G1355</f>
        <v>55008.1</v>
      </c>
      <c r="H1351" s="36">
        <f t="shared" ref="H1351:K1351" si="690">H1352+H1355</f>
        <v>55008.1</v>
      </c>
      <c r="I1351" s="36">
        <f t="shared" si="690"/>
        <v>27602.2</v>
      </c>
      <c r="J1351" s="36">
        <f t="shared" si="690"/>
        <v>27602.2</v>
      </c>
      <c r="K1351" s="36">
        <f t="shared" si="690"/>
        <v>24260.803979999997</v>
      </c>
      <c r="L1351" s="36">
        <f t="shared" si="659"/>
        <v>44.104057366096988</v>
      </c>
      <c r="M1351" s="36">
        <f t="shared" si="660"/>
        <v>87.894457615697291</v>
      </c>
    </row>
    <row r="1352" spans="1:13" ht="38.25">
      <c r="A1352" s="60" t="s">
        <v>600</v>
      </c>
      <c r="B1352" s="29" t="s">
        <v>595</v>
      </c>
      <c r="C1352" s="29" t="s">
        <v>17</v>
      </c>
      <c r="D1352" s="29" t="s">
        <v>19</v>
      </c>
      <c r="E1352" s="29" t="s">
        <v>601</v>
      </c>
      <c r="F1352" s="59" t="s">
        <v>0</v>
      </c>
      <c r="G1352" s="36">
        <f>G1353</f>
        <v>34721.699999999997</v>
      </c>
      <c r="H1352" s="36">
        <f t="shared" ref="H1352:K1353" si="691">H1353</f>
        <v>34721.699999999997</v>
      </c>
      <c r="I1352" s="36">
        <f t="shared" si="691"/>
        <v>17458.400000000001</v>
      </c>
      <c r="J1352" s="36">
        <f t="shared" si="691"/>
        <v>17458.400000000001</v>
      </c>
      <c r="K1352" s="36">
        <f t="shared" si="691"/>
        <v>16046.771049999999</v>
      </c>
      <c r="L1352" s="36">
        <f t="shared" si="659"/>
        <v>46.21539570355138</v>
      </c>
      <c r="M1352" s="36">
        <f t="shared" si="660"/>
        <v>91.914328059845104</v>
      </c>
    </row>
    <row r="1353" spans="1:13">
      <c r="A1353" s="60" t="s">
        <v>26</v>
      </c>
      <c r="B1353" s="29" t="s">
        <v>595</v>
      </c>
      <c r="C1353" s="29" t="s">
        <v>17</v>
      </c>
      <c r="D1353" s="29" t="s">
        <v>19</v>
      </c>
      <c r="E1353" s="29" t="s">
        <v>601</v>
      </c>
      <c r="F1353" s="29" t="s">
        <v>27</v>
      </c>
      <c r="G1353" s="36">
        <f>G1354</f>
        <v>34721.699999999997</v>
      </c>
      <c r="H1353" s="36">
        <f t="shared" si="691"/>
        <v>34721.699999999997</v>
      </c>
      <c r="I1353" s="36">
        <f t="shared" si="691"/>
        <v>17458.400000000001</v>
      </c>
      <c r="J1353" s="36">
        <f t="shared" si="691"/>
        <v>17458.400000000001</v>
      </c>
      <c r="K1353" s="36">
        <f t="shared" si="691"/>
        <v>16046.771049999999</v>
      </c>
      <c r="L1353" s="36">
        <f t="shared" si="659"/>
        <v>46.21539570355138</v>
      </c>
      <c r="M1353" s="36">
        <f t="shared" si="660"/>
        <v>91.914328059845104</v>
      </c>
    </row>
    <row r="1354" spans="1:13">
      <c r="A1354" s="60" t="s">
        <v>28</v>
      </c>
      <c r="B1354" s="29" t="s">
        <v>595</v>
      </c>
      <c r="C1354" s="29" t="s">
        <v>17</v>
      </c>
      <c r="D1354" s="29" t="s">
        <v>19</v>
      </c>
      <c r="E1354" s="29" t="s">
        <v>601</v>
      </c>
      <c r="F1354" s="29" t="s">
        <v>29</v>
      </c>
      <c r="G1354" s="36">
        <v>34721.699999999997</v>
      </c>
      <c r="H1354" s="36">
        <v>34721.699999999997</v>
      </c>
      <c r="I1354" s="36">
        <v>17458.400000000001</v>
      </c>
      <c r="J1354" s="36">
        <v>17458.400000000001</v>
      </c>
      <c r="K1354" s="36">
        <v>16046.771049999999</v>
      </c>
      <c r="L1354" s="36">
        <f t="shared" si="659"/>
        <v>46.21539570355138</v>
      </c>
      <c r="M1354" s="36">
        <f t="shared" si="660"/>
        <v>91.914328059845104</v>
      </c>
    </row>
    <row r="1355" spans="1:13" ht="25.5">
      <c r="A1355" s="60" t="s">
        <v>602</v>
      </c>
      <c r="B1355" s="29" t="s">
        <v>595</v>
      </c>
      <c r="C1355" s="29" t="s">
        <v>17</v>
      </c>
      <c r="D1355" s="29" t="s">
        <v>19</v>
      </c>
      <c r="E1355" s="29" t="s">
        <v>603</v>
      </c>
      <c r="F1355" s="59" t="s">
        <v>0</v>
      </c>
      <c r="G1355" s="36">
        <f>G1356</f>
        <v>20286.400000000001</v>
      </c>
      <c r="H1355" s="36">
        <f t="shared" ref="H1355:K1356" si="692">H1356</f>
        <v>20286.400000000001</v>
      </c>
      <c r="I1355" s="36">
        <f t="shared" si="692"/>
        <v>10143.799999999999</v>
      </c>
      <c r="J1355" s="36">
        <f t="shared" si="692"/>
        <v>10143.799999999999</v>
      </c>
      <c r="K1355" s="36">
        <f t="shared" si="692"/>
        <v>8214.0329299999994</v>
      </c>
      <c r="L1355" s="36">
        <f t="shared" si="659"/>
        <v>40.490342939111912</v>
      </c>
      <c r="M1355" s="36">
        <f t="shared" si="660"/>
        <v>80.975895916717604</v>
      </c>
    </row>
    <row r="1356" spans="1:13">
      <c r="A1356" s="60" t="s">
        <v>26</v>
      </c>
      <c r="B1356" s="29" t="s">
        <v>595</v>
      </c>
      <c r="C1356" s="29" t="s">
        <v>17</v>
      </c>
      <c r="D1356" s="29" t="s">
        <v>19</v>
      </c>
      <c r="E1356" s="29" t="s">
        <v>603</v>
      </c>
      <c r="F1356" s="29" t="s">
        <v>27</v>
      </c>
      <c r="G1356" s="36">
        <f>G1357</f>
        <v>20286.400000000001</v>
      </c>
      <c r="H1356" s="36">
        <f t="shared" si="692"/>
        <v>20286.400000000001</v>
      </c>
      <c r="I1356" s="36">
        <f t="shared" si="692"/>
        <v>10143.799999999999</v>
      </c>
      <c r="J1356" s="36">
        <f t="shared" si="692"/>
        <v>10143.799999999999</v>
      </c>
      <c r="K1356" s="36">
        <f t="shared" si="692"/>
        <v>8214.0329299999994</v>
      </c>
      <c r="L1356" s="36">
        <f t="shared" ref="L1356:L1420" si="693">K1356/H1356*100</f>
        <v>40.490342939111912</v>
      </c>
      <c r="M1356" s="36">
        <f t="shared" ref="M1356:M1419" si="694">K1356/I1356*100</f>
        <v>80.975895916717604</v>
      </c>
    </row>
    <row r="1357" spans="1:13">
      <c r="A1357" s="60" t="s">
        <v>28</v>
      </c>
      <c r="B1357" s="29" t="s">
        <v>595</v>
      </c>
      <c r="C1357" s="29" t="s">
        <v>17</v>
      </c>
      <c r="D1357" s="29" t="s">
        <v>19</v>
      </c>
      <c r="E1357" s="29" t="s">
        <v>603</v>
      </c>
      <c r="F1357" s="29" t="s">
        <v>29</v>
      </c>
      <c r="G1357" s="36">
        <v>20286.400000000001</v>
      </c>
      <c r="H1357" s="36">
        <v>20286.400000000001</v>
      </c>
      <c r="I1357" s="36">
        <v>10143.799999999999</v>
      </c>
      <c r="J1357" s="36">
        <v>10143.799999999999</v>
      </c>
      <c r="K1357" s="36">
        <v>8214.0329299999994</v>
      </c>
      <c r="L1357" s="36">
        <f t="shared" si="693"/>
        <v>40.490342939111912</v>
      </c>
      <c r="M1357" s="36">
        <f t="shared" si="694"/>
        <v>80.975895916717604</v>
      </c>
    </row>
    <row r="1358" spans="1:13">
      <c r="A1358" s="60" t="s">
        <v>604</v>
      </c>
      <c r="B1358" s="29" t="s">
        <v>595</v>
      </c>
      <c r="C1358" s="29" t="s">
        <v>17</v>
      </c>
      <c r="D1358" s="29" t="s">
        <v>93</v>
      </c>
      <c r="E1358" s="59" t="s">
        <v>0</v>
      </c>
      <c r="F1358" s="59" t="s">
        <v>0</v>
      </c>
      <c r="G1358" s="36">
        <f>G1359</f>
        <v>1287.2</v>
      </c>
      <c r="H1358" s="36">
        <f t="shared" ref="H1358:K1362" si="695">H1359</f>
        <v>1287.2</v>
      </c>
      <c r="I1358" s="36">
        <f t="shared" si="695"/>
        <v>0</v>
      </c>
      <c r="J1358" s="36">
        <f t="shared" si="695"/>
        <v>0</v>
      </c>
      <c r="K1358" s="36">
        <f t="shared" si="695"/>
        <v>0</v>
      </c>
      <c r="L1358" s="36">
        <f t="shared" si="693"/>
        <v>0</v>
      </c>
      <c r="M1358" s="36">
        <v>0</v>
      </c>
    </row>
    <row r="1359" spans="1:13" ht="51">
      <c r="A1359" s="60" t="s">
        <v>596</v>
      </c>
      <c r="B1359" s="29" t="s">
        <v>595</v>
      </c>
      <c r="C1359" s="29" t="s">
        <v>17</v>
      </c>
      <c r="D1359" s="29" t="s">
        <v>93</v>
      </c>
      <c r="E1359" s="29" t="s">
        <v>597</v>
      </c>
      <c r="F1359" s="59" t="s">
        <v>0</v>
      </c>
      <c r="G1359" s="36">
        <f>G1360</f>
        <v>1287.2</v>
      </c>
      <c r="H1359" s="36">
        <f t="shared" si="695"/>
        <v>1287.2</v>
      </c>
      <c r="I1359" s="36">
        <f t="shared" si="695"/>
        <v>0</v>
      </c>
      <c r="J1359" s="36">
        <f t="shared" si="695"/>
        <v>0</v>
      </c>
      <c r="K1359" s="36">
        <f t="shared" si="695"/>
        <v>0</v>
      </c>
      <c r="L1359" s="36">
        <f t="shared" si="693"/>
        <v>0</v>
      </c>
      <c r="M1359" s="36">
        <v>0</v>
      </c>
    </row>
    <row r="1360" spans="1:13" ht="51">
      <c r="A1360" s="60" t="s">
        <v>598</v>
      </c>
      <c r="B1360" s="29" t="s">
        <v>595</v>
      </c>
      <c r="C1360" s="29" t="s">
        <v>17</v>
      </c>
      <c r="D1360" s="29" t="s">
        <v>93</v>
      </c>
      <c r="E1360" s="29" t="s">
        <v>599</v>
      </c>
      <c r="F1360" s="59" t="s">
        <v>0</v>
      </c>
      <c r="G1360" s="36">
        <f>G1361</f>
        <v>1287.2</v>
      </c>
      <c r="H1360" s="36">
        <f t="shared" si="695"/>
        <v>1287.2</v>
      </c>
      <c r="I1360" s="36">
        <f t="shared" si="695"/>
        <v>0</v>
      </c>
      <c r="J1360" s="36">
        <f t="shared" si="695"/>
        <v>0</v>
      </c>
      <c r="K1360" s="36">
        <f t="shared" si="695"/>
        <v>0</v>
      </c>
      <c r="L1360" s="36">
        <f t="shared" si="693"/>
        <v>0</v>
      </c>
      <c r="M1360" s="36">
        <v>0</v>
      </c>
    </row>
    <row r="1361" spans="1:13" ht="51">
      <c r="A1361" s="60" t="s">
        <v>605</v>
      </c>
      <c r="B1361" s="29" t="s">
        <v>595</v>
      </c>
      <c r="C1361" s="29" t="s">
        <v>17</v>
      </c>
      <c r="D1361" s="29" t="s">
        <v>93</v>
      </c>
      <c r="E1361" s="29" t="s">
        <v>606</v>
      </c>
      <c r="F1361" s="59" t="s">
        <v>0</v>
      </c>
      <c r="G1361" s="36">
        <f>G1362</f>
        <v>1287.2</v>
      </c>
      <c r="H1361" s="36">
        <f t="shared" si="695"/>
        <v>1287.2</v>
      </c>
      <c r="I1361" s="36">
        <f t="shared" si="695"/>
        <v>0</v>
      </c>
      <c r="J1361" s="36">
        <f t="shared" si="695"/>
        <v>0</v>
      </c>
      <c r="K1361" s="36">
        <f t="shared" si="695"/>
        <v>0</v>
      </c>
      <c r="L1361" s="36">
        <f t="shared" si="693"/>
        <v>0</v>
      </c>
      <c r="M1361" s="36">
        <v>0</v>
      </c>
    </row>
    <row r="1362" spans="1:13">
      <c r="A1362" s="60" t="s">
        <v>26</v>
      </c>
      <c r="B1362" s="29" t="s">
        <v>595</v>
      </c>
      <c r="C1362" s="29" t="s">
        <v>17</v>
      </c>
      <c r="D1362" s="29" t="s">
        <v>93</v>
      </c>
      <c r="E1362" s="29" t="s">
        <v>606</v>
      </c>
      <c r="F1362" s="29" t="s">
        <v>27</v>
      </c>
      <c r="G1362" s="36">
        <f>G1363</f>
        <v>1287.2</v>
      </c>
      <c r="H1362" s="36">
        <f t="shared" si="695"/>
        <v>1287.2</v>
      </c>
      <c r="I1362" s="36">
        <f t="shared" si="695"/>
        <v>0</v>
      </c>
      <c r="J1362" s="36">
        <f t="shared" si="695"/>
        <v>0</v>
      </c>
      <c r="K1362" s="36">
        <f t="shared" si="695"/>
        <v>0</v>
      </c>
      <c r="L1362" s="36">
        <f t="shared" si="693"/>
        <v>0</v>
      </c>
      <c r="M1362" s="36">
        <v>0</v>
      </c>
    </row>
    <row r="1363" spans="1:13">
      <c r="A1363" s="60" t="s">
        <v>28</v>
      </c>
      <c r="B1363" s="29" t="s">
        <v>595</v>
      </c>
      <c r="C1363" s="29" t="s">
        <v>17</v>
      </c>
      <c r="D1363" s="29" t="s">
        <v>93</v>
      </c>
      <c r="E1363" s="29" t="s">
        <v>606</v>
      </c>
      <c r="F1363" s="29" t="s">
        <v>29</v>
      </c>
      <c r="G1363" s="36">
        <v>1287.2</v>
      </c>
      <c r="H1363" s="36">
        <v>1287.2</v>
      </c>
      <c r="I1363" s="36">
        <v>0</v>
      </c>
      <c r="J1363" s="36">
        <v>0</v>
      </c>
      <c r="K1363" s="36">
        <v>0</v>
      </c>
      <c r="L1363" s="36">
        <f t="shared" si="693"/>
        <v>0</v>
      </c>
      <c r="M1363" s="36">
        <v>0</v>
      </c>
    </row>
    <row r="1364" spans="1:13" ht="38.25">
      <c r="A1364" s="60" t="s">
        <v>607</v>
      </c>
      <c r="B1364" s="29" t="s">
        <v>595</v>
      </c>
      <c r="C1364" s="29" t="s">
        <v>17</v>
      </c>
      <c r="D1364" s="29" t="s">
        <v>32</v>
      </c>
      <c r="E1364" s="59" t="s">
        <v>0</v>
      </c>
      <c r="F1364" s="59" t="s">
        <v>0</v>
      </c>
      <c r="G1364" s="36">
        <f>G1365</f>
        <v>73902</v>
      </c>
      <c r="H1364" s="36">
        <f t="shared" ref="H1364:K1365" si="696">H1365</f>
        <v>73902</v>
      </c>
      <c r="I1364" s="36">
        <f t="shared" si="696"/>
        <v>38148.699999999997</v>
      </c>
      <c r="J1364" s="36">
        <f t="shared" si="696"/>
        <v>38148.699999999997</v>
      </c>
      <c r="K1364" s="36">
        <f t="shared" si="696"/>
        <v>32031.389019999995</v>
      </c>
      <c r="L1364" s="36">
        <f t="shared" si="693"/>
        <v>43.343061107953766</v>
      </c>
      <c r="M1364" s="36">
        <f t="shared" si="694"/>
        <v>83.964562409728245</v>
      </c>
    </row>
    <row r="1365" spans="1:13" ht="51">
      <c r="A1365" s="60" t="s">
        <v>596</v>
      </c>
      <c r="B1365" s="29" t="s">
        <v>595</v>
      </c>
      <c r="C1365" s="29" t="s">
        <v>17</v>
      </c>
      <c r="D1365" s="29" t="s">
        <v>32</v>
      </c>
      <c r="E1365" s="29" t="s">
        <v>597</v>
      </c>
      <c r="F1365" s="59" t="s">
        <v>0</v>
      </c>
      <c r="G1365" s="36">
        <f>G1366</f>
        <v>73902</v>
      </c>
      <c r="H1365" s="36">
        <f t="shared" si="696"/>
        <v>73902</v>
      </c>
      <c r="I1365" s="36">
        <f t="shared" si="696"/>
        <v>38148.699999999997</v>
      </c>
      <c r="J1365" s="36">
        <f t="shared" si="696"/>
        <v>38148.699999999997</v>
      </c>
      <c r="K1365" s="36">
        <f t="shared" si="696"/>
        <v>32031.389019999995</v>
      </c>
      <c r="L1365" s="36">
        <f t="shared" si="693"/>
        <v>43.343061107953766</v>
      </c>
      <c r="M1365" s="36">
        <f t="shared" si="694"/>
        <v>83.964562409728245</v>
      </c>
    </row>
    <row r="1366" spans="1:13" ht="51">
      <c r="A1366" s="60" t="s">
        <v>598</v>
      </c>
      <c r="B1366" s="29" t="s">
        <v>595</v>
      </c>
      <c r="C1366" s="29" t="s">
        <v>17</v>
      </c>
      <c r="D1366" s="29" t="s">
        <v>32</v>
      </c>
      <c r="E1366" s="29" t="s">
        <v>599</v>
      </c>
      <c r="F1366" s="59" t="s">
        <v>0</v>
      </c>
      <c r="G1366" s="36">
        <f>G1367+G1376</f>
        <v>73902</v>
      </c>
      <c r="H1366" s="36">
        <f t="shared" ref="H1366:K1366" si="697">H1367+H1376</f>
        <v>73902</v>
      </c>
      <c r="I1366" s="36">
        <f t="shared" si="697"/>
        <v>38148.699999999997</v>
      </c>
      <c r="J1366" s="36">
        <f t="shared" si="697"/>
        <v>38148.699999999997</v>
      </c>
      <c r="K1366" s="36">
        <f t="shared" si="697"/>
        <v>32031.389019999995</v>
      </c>
      <c r="L1366" s="36">
        <f t="shared" si="693"/>
        <v>43.343061107953766</v>
      </c>
      <c r="M1366" s="36">
        <f t="shared" si="694"/>
        <v>83.964562409728245</v>
      </c>
    </row>
    <row r="1367" spans="1:13" ht="25.5">
      <c r="A1367" s="60" t="s">
        <v>58</v>
      </c>
      <c r="B1367" s="29" t="s">
        <v>595</v>
      </c>
      <c r="C1367" s="29" t="s">
        <v>17</v>
      </c>
      <c r="D1367" s="29" t="s">
        <v>32</v>
      </c>
      <c r="E1367" s="29" t="s">
        <v>608</v>
      </c>
      <c r="F1367" s="59" t="s">
        <v>0</v>
      </c>
      <c r="G1367" s="36">
        <f>G1368+G1370+G1372+G1374</f>
        <v>66927.3</v>
      </c>
      <c r="H1367" s="36">
        <f t="shared" ref="H1367:K1367" si="698">H1368+H1370+H1372+H1374</f>
        <v>66927.3</v>
      </c>
      <c r="I1367" s="36">
        <f t="shared" si="698"/>
        <v>34154</v>
      </c>
      <c r="J1367" s="36">
        <f t="shared" si="698"/>
        <v>34154</v>
      </c>
      <c r="K1367" s="36">
        <f t="shared" si="698"/>
        <v>28041.539019999997</v>
      </c>
      <c r="L1367" s="36">
        <f t="shared" si="693"/>
        <v>41.898506319543735</v>
      </c>
      <c r="M1367" s="36">
        <f t="shared" si="694"/>
        <v>82.103235404345014</v>
      </c>
    </row>
    <row r="1368" spans="1:13" ht="63.75">
      <c r="A1368" s="60" t="s">
        <v>60</v>
      </c>
      <c r="B1368" s="29" t="s">
        <v>595</v>
      </c>
      <c r="C1368" s="29" t="s">
        <v>17</v>
      </c>
      <c r="D1368" s="29" t="s">
        <v>32</v>
      </c>
      <c r="E1368" s="29" t="s">
        <v>608</v>
      </c>
      <c r="F1368" s="29" t="s">
        <v>61</v>
      </c>
      <c r="G1368" s="36">
        <f>G1369</f>
        <v>64279.6</v>
      </c>
      <c r="H1368" s="36">
        <f t="shared" ref="H1368:K1368" si="699">H1369</f>
        <v>64279.6</v>
      </c>
      <c r="I1368" s="36">
        <f t="shared" si="699"/>
        <v>33150</v>
      </c>
      <c r="J1368" s="36">
        <f t="shared" si="699"/>
        <v>33150</v>
      </c>
      <c r="K1368" s="36">
        <f t="shared" si="699"/>
        <v>27189.220529999999</v>
      </c>
      <c r="L1368" s="36">
        <f t="shared" si="693"/>
        <v>42.298366091263787</v>
      </c>
      <c r="M1368" s="36">
        <f t="shared" si="694"/>
        <v>82.018764796380083</v>
      </c>
    </row>
    <row r="1369" spans="1:13" ht="25.5">
      <c r="A1369" s="60" t="s">
        <v>62</v>
      </c>
      <c r="B1369" s="29" t="s">
        <v>595</v>
      </c>
      <c r="C1369" s="29" t="s">
        <v>17</v>
      </c>
      <c r="D1369" s="29" t="s">
        <v>32</v>
      </c>
      <c r="E1369" s="29" t="s">
        <v>608</v>
      </c>
      <c r="F1369" s="29" t="s">
        <v>63</v>
      </c>
      <c r="G1369" s="36">
        <v>64279.6</v>
      </c>
      <c r="H1369" s="36">
        <v>64279.6</v>
      </c>
      <c r="I1369" s="36">
        <f>24700+1100+7350</f>
        <v>33150</v>
      </c>
      <c r="J1369" s="36">
        <f>24700+1100+7350</f>
        <v>33150</v>
      </c>
      <c r="K1369" s="36">
        <f>20354.67972+1099.9185+5734.62231</f>
        <v>27189.220529999999</v>
      </c>
      <c r="L1369" s="36">
        <f t="shared" si="693"/>
        <v>42.298366091263787</v>
      </c>
      <c r="M1369" s="36">
        <f t="shared" si="694"/>
        <v>82.018764796380083</v>
      </c>
    </row>
    <row r="1370" spans="1:13" ht="25.5">
      <c r="A1370" s="60" t="s">
        <v>64</v>
      </c>
      <c r="B1370" s="29" t="s">
        <v>595</v>
      </c>
      <c r="C1370" s="29" t="s">
        <v>17</v>
      </c>
      <c r="D1370" s="29" t="s">
        <v>32</v>
      </c>
      <c r="E1370" s="29" t="s">
        <v>608</v>
      </c>
      <c r="F1370" s="29" t="s">
        <v>65</v>
      </c>
      <c r="G1370" s="36">
        <f>G1371</f>
        <v>2537.4</v>
      </c>
      <c r="H1370" s="36">
        <f t="shared" ref="H1370:K1370" si="700">H1371</f>
        <v>2537.4</v>
      </c>
      <c r="I1370" s="36">
        <f t="shared" si="700"/>
        <v>1000</v>
      </c>
      <c r="J1370" s="36">
        <f t="shared" si="700"/>
        <v>1000</v>
      </c>
      <c r="K1370" s="36">
        <f t="shared" si="700"/>
        <v>850.57149000000004</v>
      </c>
      <c r="L1370" s="36">
        <f t="shared" si="693"/>
        <v>33.52137975880823</v>
      </c>
      <c r="M1370" s="36">
        <f t="shared" si="694"/>
        <v>85.057148999999995</v>
      </c>
    </row>
    <row r="1371" spans="1:13" ht="25.5">
      <c r="A1371" s="60" t="s">
        <v>66</v>
      </c>
      <c r="B1371" s="29" t="s">
        <v>595</v>
      </c>
      <c r="C1371" s="29" t="s">
        <v>17</v>
      </c>
      <c r="D1371" s="29" t="s">
        <v>32</v>
      </c>
      <c r="E1371" s="29" t="s">
        <v>608</v>
      </c>
      <c r="F1371" s="29" t="s">
        <v>67</v>
      </c>
      <c r="G1371" s="36">
        <v>2537.4</v>
      </c>
      <c r="H1371" s="36">
        <v>2537.4</v>
      </c>
      <c r="I1371" s="36">
        <v>1000</v>
      </c>
      <c r="J1371" s="36">
        <v>1000</v>
      </c>
      <c r="K1371" s="36">
        <v>850.57149000000004</v>
      </c>
      <c r="L1371" s="36">
        <f t="shared" si="693"/>
        <v>33.52137975880823</v>
      </c>
      <c r="M1371" s="36">
        <f t="shared" si="694"/>
        <v>85.057148999999995</v>
      </c>
    </row>
    <row r="1372" spans="1:13">
      <c r="A1372" s="60" t="s">
        <v>68</v>
      </c>
      <c r="B1372" s="29" t="s">
        <v>595</v>
      </c>
      <c r="C1372" s="29" t="s">
        <v>17</v>
      </c>
      <c r="D1372" s="29" t="s">
        <v>32</v>
      </c>
      <c r="E1372" s="29" t="s">
        <v>608</v>
      </c>
      <c r="F1372" s="29" t="s">
        <v>69</v>
      </c>
      <c r="G1372" s="36">
        <f>G1373</f>
        <v>60</v>
      </c>
      <c r="H1372" s="36">
        <f t="shared" ref="H1372:K1372" si="701">H1373</f>
        <v>60</v>
      </c>
      <c r="I1372" s="36">
        <f t="shared" si="701"/>
        <v>0</v>
      </c>
      <c r="J1372" s="36">
        <f t="shared" si="701"/>
        <v>0</v>
      </c>
      <c r="K1372" s="36">
        <f t="shared" si="701"/>
        <v>0</v>
      </c>
      <c r="L1372" s="36">
        <f t="shared" si="693"/>
        <v>0</v>
      </c>
      <c r="M1372" s="36">
        <v>0</v>
      </c>
    </row>
    <row r="1373" spans="1:13">
      <c r="A1373" s="60" t="s">
        <v>70</v>
      </c>
      <c r="B1373" s="29" t="s">
        <v>595</v>
      </c>
      <c r="C1373" s="29" t="s">
        <v>17</v>
      </c>
      <c r="D1373" s="29" t="s">
        <v>32</v>
      </c>
      <c r="E1373" s="29" t="s">
        <v>608</v>
      </c>
      <c r="F1373" s="29" t="s">
        <v>71</v>
      </c>
      <c r="G1373" s="36">
        <v>60</v>
      </c>
      <c r="H1373" s="36">
        <v>60</v>
      </c>
      <c r="I1373" s="36">
        <v>0</v>
      </c>
      <c r="J1373" s="36">
        <v>0</v>
      </c>
      <c r="K1373" s="36">
        <v>0</v>
      </c>
      <c r="L1373" s="36">
        <f t="shared" si="693"/>
        <v>0</v>
      </c>
      <c r="M1373" s="36">
        <v>0</v>
      </c>
    </row>
    <row r="1374" spans="1:13">
      <c r="A1374" s="60" t="s">
        <v>72</v>
      </c>
      <c r="B1374" s="29" t="s">
        <v>595</v>
      </c>
      <c r="C1374" s="29" t="s">
        <v>17</v>
      </c>
      <c r="D1374" s="29" t="s">
        <v>32</v>
      </c>
      <c r="E1374" s="29" t="s">
        <v>608</v>
      </c>
      <c r="F1374" s="29" t="s">
        <v>73</v>
      </c>
      <c r="G1374" s="36">
        <f>G1375</f>
        <v>50.3</v>
      </c>
      <c r="H1374" s="36">
        <f t="shared" ref="H1374:K1374" si="702">H1375</f>
        <v>50.3</v>
      </c>
      <c r="I1374" s="36">
        <f t="shared" si="702"/>
        <v>4</v>
      </c>
      <c r="J1374" s="36">
        <f t="shared" si="702"/>
        <v>4</v>
      </c>
      <c r="K1374" s="36">
        <f t="shared" si="702"/>
        <v>1.7470000000000001</v>
      </c>
      <c r="L1374" s="36">
        <f t="shared" si="693"/>
        <v>3.4731610337972176</v>
      </c>
      <c r="M1374" s="36">
        <f t="shared" si="694"/>
        <v>43.675000000000004</v>
      </c>
    </row>
    <row r="1375" spans="1:13">
      <c r="A1375" s="60" t="s">
        <v>74</v>
      </c>
      <c r="B1375" s="29" t="s">
        <v>595</v>
      </c>
      <c r="C1375" s="29" t="s">
        <v>17</v>
      </c>
      <c r="D1375" s="29" t="s">
        <v>32</v>
      </c>
      <c r="E1375" s="29" t="s">
        <v>608</v>
      </c>
      <c r="F1375" s="29" t="s">
        <v>75</v>
      </c>
      <c r="G1375" s="36">
        <v>50.3</v>
      </c>
      <c r="H1375" s="36">
        <v>50.3</v>
      </c>
      <c r="I1375" s="36">
        <v>4</v>
      </c>
      <c r="J1375" s="36">
        <v>4</v>
      </c>
      <c r="K1375" s="36">
        <v>1.7470000000000001</v>
      </c>
      <c r="L1375" s="36">
        <f t="shared" si="693"/>
        <v>3.4731610337972176</v>
      </c>
      <c r="M1375" s="36">
        <f t="shared" si="694"/>
        <v>43.675000000000004</v>
      </c>
    </row>
    <row r="1376" spans="1:13">
      <c r="A1376" s="60" t="s">
        <v>609</v>
      </c>
      <c r="B1376" s="29" t="s">
        <v>595</v>
      </c>
      <c r="C1376" s="29" t="s">
        <v>17</v>
      </c>
      <c r="D1376" s="29" t="s">
        <v>32</v>
      </c>
      <c r="E1376" s="29" t="s">
        <v>610</v>
      </c>
      <c r="F1376" s="59" t="s">
        <v>0</v>
      </c>
      <c r="G1376" s="36">
        <f>G1377</f>
        <v>6974.7</v>
      </c>
      <c r="H1376" s="36">
        <f t="shared" ref="H1376:K1377" si="703">H1377</f>
        <v>6974.7</v>
      </c>
      <c r="I1376" s="36">
        <f t="shared" si="703"/>
        <v>3994.7</v>
      </c>
      <c r="J1376" s="36">
        <f t="shared" si="703"/>
        <v>3994.7</v>
      </c>
      <c r="K1376" s="36">
        <f t="shared" si="703"/>
        <v>3989.85</v>
      </c>
      <c r="L1376" s="36">
        <f t="shared" si="693"/>
        <v>57.204610951008647</v>
      </c>
      <c r="M1376" s="36">
        <f t="shared" si="694"/>
        <v>99.878589130598044</v>
      </c>
    </row>
    <row r="1377" spans="1:13" ht="25.5">
      <c r="A1377" s="60" t="s">
        <v>64</v>
      </c>
      <c r="B1377" s="29" t="s">
        <v>595</v>
      </c>
      <c r="C1377" s="29" t="s">
        <v>17</v>
      </c>
      <c r="D1377" s="29" t="s">
        <v>32</v>
      </c>
      <c r="E1377" s="29" t="s">
        <v>610</v>
      </c>
      <c r="F1377" s="29" t="s">
        <v>65</v>
      </c>
      <c r="G1377" s="36">
        <f>G1378</f>
        <v>6974.7</v>
      </c>
      <c r="H1377" s="36">
        <f t="shared" si="703"/>
        <v>6974.7</v>
      </c>
      <c r="I1377" s="36">
        <f t="shared" si="703"/>
        <v>3994.7</v>
      </c>
      <c r="J1377" s="36">
        <f t="shared" si="703"/>
        <v>3994.7</v>
      </c>
      <c r="K1377" s="36">
        <f t="shared" si="703"/>
        <v>3989.85</v>
      </c>
      <c r="L1377" s="36">
        <f t="shared" si="693"/>
        <v>57.204610951008647</v>
      </c>
      <c r="M1377" s="36">
        <f t="shared" si="694"/>
        <v>99.878589130598044</v>
      </c>
    </row>
    <row r="1378" spans="1:13" ht="25.5">
      <c r="A1378" s="60" t="s">
        <v>66</v>
      </c>
      <c r="B1378" s="29" t="s">
        <v>595</v>
      </c>
      <c r="C1378" s="29" t="s">
        <v>17</v>
      </c>
      <c r="D1378" s="29" t="s">
        <v>32</v>
      </c>
      <c r="E1378" s="29" t="s">
        <v>610</v>
      </c>
      <c r="F1378" s="29" t="s">
        <v>67</v>
      </c>
      <c r="G1378" s="36">
        <v>6974.7</v>
      </c>
      <c r="H1378" s="36">
        <v>6974.7</v>
      </c>
      <c r="I1378" s="36">
        <v>3994.7</v>
      </c>
      <c r="J1378" s="36">
        <v>3994.7</v>
      </c>
      <c r="K1378" s="36">
        <v>3989.85</v>
      </c>
      <c r="L1378" s="36">
        <f t="shared" si="693"/>
        <v>57.204610951008647</v>
      </c>
      <c r="M1378" s="36">
        <f t="shared" si="694"/>
        <v>99.878589130598044</v>
      </c>
    </row>
    <row r="1379" spans="1:13">
      <c r="A1379" s="60" t="s">
        <v>611</v>
      </c>
      <c r="B1379" s="29" t="s">
        <v>595</v>
      </c>
      <c r="C1379" s="29" t="s">
        <v>17</v>
      </c>
      <c r="D1379" s="29" t="s">
        <v>154</v>
      </c>
      <c r="E1379" s="59" t="s">
        <v>0</v>
      </c>
      <c r="F1379" s="59" t="s">
        <v>0</v>
      </c>
      <c r="G1379" s="36">
        <f>G1380</f>
        <v>216714.8</v>
      </c>
      <c r="H1379" s="36">
        <f t="shared" ref="H1379:K1382" si="704">H1380</f>
        <v>116426.24077</v>
      </c>
      <c r="I1379" s="36">
        <f t="shared" si="704"/>
        <v>0</v>
      </c>
      <c r="J1379" s="36">
        <f t="shared" si="704"/>
        <v>0</v>
      </c>
      <c r="K1379" s="36">
        <f t="shared" si="704"/>
        <v>0</v>
      </c>
      <c r="L1379" s="36">
        <f t="shared" si="693"/>
        <v>0</v>
      </c>
      <c r="M1379" s="36">
        <v>0</v>
      </c>
    </row>
    <row r="1380" spans="1:13">
      <c r="A1380" s="60" t="s">
        <v>612</v>
      </c>
      <c r="B1380" s="29" t="s">
        <v>595</v>
      </c>
      <c r="C1380" s="29" t="s">
        <v>17</v>
      </c>
      <c r="D1380" s="29" t="s">
        <v>154</v>
      </c>
      <c r="E1380" s="29" t="s">
        <v>613</v>
      </c>
      <c r="F1380" s="59" t="s">
        <v>0</v>
      </c>
      <c r="G1380" s="36">
        <f>G1381</f>
        <v>216714.8</v>
      </c>
      <c r="H1380" s="36">
        <f t="shared" si="704"/>
        <v>116426.24077</v>
      </c>
      <c r="I1380" s="36">
        <f t="shared" si="704"/>
        <v>0</v>
      </c>
      <c r="J1380" s="36">
        <f t="shared" si="704"/>
        <v>0</v>
      </c>
      <c r="K1380" s="36">
        <f t="shared" si="704"/>
        <v>0</v>
      </c>
      <c r="L1380" s="36">
        <f t="shared" si="693"/>
        <v>0</v>
      </c>
      <c r="M1380" s="36">
        <v>0</v>
      </c>
    </row>
    <row r="1381" spans="1:13">
      <c r="A1381" s="60" t="s">
        <v>612</v>
      </c>
      <c r="B1381" s="29" t="s">
        <v>595</v>
      </c>
      <c r="C1381" s="29" t="s">
        <v>17</v>
      </c>
      <c r="D1381" s="29" t="s">
        <v>154</v>
      </c>
      <c r="E1381" s="29" t="s">
        <v>614</v>
      </c>
      <c r="F1381" s="59" t="s">
        <v>0</v>
      </c>
      <c r="G1381" s="36">
        <f>G1382</f>
        <v>216714.8</v>
      </c>
      <c r="H1381" s="36">
        <f t="shared" si="704"/>
        <v>116426.24077</v>
      </c>
      <c r="I1381" s="36">
        <f t="shared" si="704"/>
        <v>0</v>
      </c>
      <c r="J1381" s="36">
        <f t="shared" si="704"/>
        <v>0</v>
      </c>
      <c r="K1381" s="36">
        <f t="shared" si="704"/>
        <v>0</v>
      </c>
      <c r="L1381" s="36">
        <f t="shared" si="693"/>
        <v>0</v>
      </c>
      <c r="M1381" s="36">
        <v>0</v>
      </c>
    </row>
    <row r="1382" spans="1:13">
      <c r="A1382" s="60" t="s">
        <v>72</v>
      </c>
      <c r="B1382" s="29" t="s">
        <v>595</v>
      </c>
      <c r="C1382" s="29" t="s">
        <v>17</v>
      </c>
      <c r="D1382" s="29" t="s">
        <v>154</v>
      </c>
      <c r="E1382" s="29" t="s">
        <v>614</v>
      </c>
      <c r="F1382" s="29" t="s">
        <v>73</v>
      </c>
      <c r="G1382" s="36">
        <f>G1383</f>
        <v>216714.8</v>
      </c>
      <c r="H1382" s="36">
        <f t="shared" si="704"/>
        <v>116426.24077</v>
      </c>
      <c r="I1382" s="36">
        <f t="shared" si="704"/>
        <v>0</v>
      </c>
      <c r="J1382" s="36">
        <f t="shared" si="704"/>
        <v>0</v>
      </c>
      <c r="K1382" s="36">
        <f t="shared" si="704"/>
        <v>0</v>
      </c>
      <c r="L1382" s="36">
        <f t="shared" si="693"/>
        <v>0</v>
      </c>
      <c r="M1382" s="36">
        <v>0</v>
      </c>
    </row>
    <row r="1383" spans="1:13">
      <c r="A1383" s="60" t="s">
        <v>369</v>
      </c>
      <c r="B1383" s="29" t="s">
        <v>595</v>
      </c>
      <c r="C1383" s="29" t="s">
        <v>17</v>
      </c>
      <c r="D1383" s="29" t="s">
        <v>154</v>
      </c>
      <c r="E1383" s="29" t="s">
        <v>614</v>
      </c>
      <c r="F1383" s="29" t="s">
        <v>370</v>
      </c>
      <c r="G1383" s="36">
        <v>216714.8</v>
      </c>
      <c r="H1383" s="36">
        <f>119683.33884-240.87-3016.22807</f>
        <v>116426.24077</v>
      </c>
      <c r="I1383" s="36">
        <v>0</v>
      </c>
      <c r="J1383" s="36">
        <v>0</v>
      </c>
      <c r="K1383" s="36">
        <v>0</v>
      </c>
      <c r="L1383" s="36">
        <f t="shared" si="693"/>
        <v>0</v>
      </c>
      <c r="M1383" s="36">
        <v>0</v>
      </c>
    </row>
    <row r="1384" spans="1:13">
      <c r="A1384" s="60" t="s">
        <v>386</v>
      </c>
      <c r="B1384" s="29" t="s">
        <v>595</v>
      </c>
      <c r="C1384" s="29" t="s">
        <v>17</v>
      </c>
      <c r="D1384" s="29" t="s">
        <v>387</v>
      </c>
      <c r="E1384" s="59" t="s">
        <v>0</v>
      </c>
      <c r="F1384" s="59" t="s">
        <v>0</v>
      </c>
      <c r="G1384" s="36">
        <f>G1385+G1392+G1400</f>
        <v>452260</v>
      </c>
      <c r="H1384" s="36">
        <f t="shared" ref="H1384:J1384" si="705">H1385+H1392+H1400</f>
        <v>452260</v>
      </c>
      <c r="I1384" s="36">
        <f t="shared" si="705"/>
        <v>11522.627890000002</v>
      </c>
      <c r="J1384" s="36">
        <f t="shared" si="705"/>
        <v>10901.877890000002</v>
      </c>
      <c r="K1384" s="36">
        <f>K1385+K1392+K1400</f>
        <v>10899.388790000001</v>
      </c>
      <c r="L1384" s="36">
        <f t="shared" si="693"/>
        <v>2.4099829279617921</v>
      </c>
      <c r="M1384" s="36">
        <f t="shared" si="694"/>
        <v>94.591172205249435</v>
      </c>
    </row>
    <row r="1385" spans="1:13" ht="51">
      <c r="A1385" s="60" t="s">
        <v>596</v>
      </c>
      <c r="B1385" s="29" t="s">
        <v>595</v>
      </c>
      <c r="C1385" s="29" t="s">
        <v>17</v>
      </c>
      <c r="D1385" s="29" t="s">
        <v>387</v>
      </c>
      <c r="E1385" s="29" t="s">
        <v>597</v>
      </c>
      <c r="F1385" s="59" t="s">
        <v>0</v>
      </c>
      <c r="G1385" s="36">
        <f>G1386</f>
        <v>30233</v>
      </c>
      <c r="H1385" s="36">
        <f t="shared" ref="H1385:K1387" si="706">H1386</f>
        <v>30233</v>
      </c>
      <c r="I1385" s="36">
        <f t="shared" si="706"/>
        <v>10653.427890000001</v>
      </c>
      <c r="J1385" s="36">
        <f t="shared" si="706"/>
        <v>10653.427890000001</v>
      </c>
      <c r="K1385" s="36">
        <f t="shared" si="706"/>
        <v>10653.427890000001</v>
      </c>
      <c r="L1385" s="36">
        <f t="shared" si="693"/>
        <v>35.237746469090069</v>
      </c>
      <c r="M1385" s="36">
        <f t="shared" si="694"/>
        <v>100</v>
      </c>
    </row>
    <row r="1386" spans="1:13" ht="51">
      <c r="A1386" s="60" t="s">
        <v>598</v>
      </c>
      <c r="B1386" s="29" t="s">
        <v>595</v>
      </c>
      <c r="C1386" s="29" t="s">
        <v>17</v>
      </c>
      <c r="D1386" s="29" t="s">
        <v>387</v>
      </c>
      <c r="E1386" s="29" t="s">
        <v>599</v>
      </c>
      <c r="F1386" s="59" t="s">
        <v>0</v>
      </c>
      <c r="G1386" s="36">
        <f>G1387</f>
        <v>30233</v>
      </c>
      <c r="H1386" s="36">
        <f t="shared" si="706"/>
        <v>30233</v>
      </c>
      <c r="I1386" s="36">
        <f t="shared" si="706"/>
        <v>10653.427890000001</v>
      </c>
      <c r="J1386" s="36">
        <f t="shared" si="706"/>
        <v>10653.427890000001</v>
      </c>
      <c r="K1386" s="36">
        <f t="shared" si="706"/>
        <v>10653.427890000001</v>
      </c>
      <c r="L1386" s="36">
        <f t="shared" si="693"/>
        <v>35.237746469090069</v>
      </c>
      <c r="M1386" s="36">
        <f t="shared" si="694"/>
        <v>100</v>
      </c>
    </row>
    <row r="1387" spans="1:13">
      <c r="A1387" s="60" t="s">
        <v>609</v>
      </c>
      <c r="B1387" s="29" t="s">
        <v>595</v>
      </c>
      <c r="C1387" s="29" t="s">
        <v>17</v>
      </c>
      <c r="D1387" s="29" t="s">
        <v>387</v>
      </c>
      <c r="E1387" s="29" t="s">
        <v>610</v>
      </c>
      <c r="F1387" s="59" t="s">
        <v>0</v>
      </c>
      <c r="G1387" s="36">
        <f>G1388</f>
        <v>30233</v>
      </c>
      <c r="H1387" s="36">
        <f t="shared" si="706"/>
        <v>30233</v>
      </c>
      <c r="I1387" s="36">
        <f t="shared" si="706"/>
        <v>10653.427890000001</v>
      </c>
      <c r="J1387" s="36">
        <f t="shared" si="706"/>
        <v>10653.427890000001</v>
      </c>
      <c r="K1387" s="36">
        <f t="shared" si="706"/>
        <v>10653.427890000001</v>
      </c>
      <c r="L1387" s="36">
        <f t="shared" si="693"/>
        <v>35.237746469090069</v>
      </c>
      <c r="M1387" s="36">
        <f t="shared" si="694"/>
        <v>100</v>
      </c>
    </row>
    <row r="1388" spans="1:13">
      <c r="A1388" s="60" t="s">
        <v>72</v>
      </c>
      <c r="B1388" s="29" t="s">
        <v>595</v>
      </c>
      <c r="C1388" s="29" t="s">
        <v>17</v>
      </c>
      <c r="D1388" s="29" t="s">
        <v>387</v>
      </c>
      <c r="E1388" s="29" t="s">
        <v>610</v>
      </c>
      <c r="F1388" s="29" t="s">
        <v>73</v>
      </c>
      <c r="G1388" s="36">
        <f>G1389+G1391</f>
        <v>30233</v>
      </c>
      <c r="H1388" s="36">
        <f>H1389+H1391+H1390</f>
        <v>30233</v>
      </c>
      <c r="I1388" s="36">
        <f t="shared" ref="I1388:K1388" si="707">I1389+I1391+I1390</f>
        <v>10653.427890000001</v>
      </c>
      <c r="J1388" s="36">
        <f t="shared" si="707"/>
        <v>10653.427890000001</v>
      </c>
      <c r="K1388" s="36">
        <f t="shared" si="707"/>
        <v>10653.427890000001</v>
      </c>
      <c r="L1388" s="36">
        <f t="shared" si="693"/>
        <v>35.237746469090069</v>
      </c>
      <c r="M1388" s="36">
        <f t="shared" si="694"/>
        <v>100</v>
      </c>
    </row>
    <row r="1389" spans="1:13">
      <c r="A1389" s="60" t="s">
        <v>84</v>
      </c>
      <c r="B1389" s="29" t="s">
        <v>595</v>
      </c>
      <c r="C1389" s="29" t="s">
        <v>17</v>
      </c>
      <c r="D1389" s="29" t="s">
        <v>387</v>
      </c>
      <c r="E1389" s="29" t="s">
        <v>610</v>
      </c>
      <c r="F1389" s="29" t="s">
        <v>85</v>
      </c>
      <c r="G1389" s="36">
        <v>29233</v>
      </c>
      <c r="H1389" s="36">
        <v>29233</v>
      </c>
      <c r="I1389" s="36">
        <v>10153.427890000001</v>
      </c>
      <c r="J1389" s="36">
        <v>10153.427890000001</v>
      </c>
      <c r="K1389" s="36">
        <v>10153.427890000001</v>
      </c>
      <c r="L1389" s="36">
        <f t="shared" si="693"/>
        <v>34.732760544590022</v>
      </c>
      <c r="M1389" s="36">
        <f t="shared" si="694"/>
        <v>100</v>
      </c>
    </row>
    <row r="1390" spans="1:13" s="50" customFormat="1">
      <c r="A1390" s="60" t="s">
        <v>74</v>
      </c>
      <c r="B1390" s="29" t="s">
        <v>595</v>
      </c>
      <c r="C1390" s="29" t="s">
        <v>17</v>
      </c>
      <c r="D1390" s="29" t="s">
        <v>387</v>
      </c>
      <c r="E1390" s="29" t="s">
        <v>610</v>
      </c>
      <c r="F1390" s="29">
        <v>850</v>
      </c>
      <c r="G1390" s="36"/>
      <c r="H1390" s="36">
        <v>1000</v>
      </c>
      <c r="I1390" s="36">
        <v>500</v>
      </c>
      <c r="J1390" s="36">
        <v>500</v>
      </c>
      <c r="K1390" s="36">
        <v>500</v>
      </c>
      <c r="L1390" s="36">
        <f t="shared" ref="L1390" si="708">K1390/H1390*100</f>
        <v>50</v>
      </c>
      <c r="M1390" s="36">
        <f t="shared" ref="M1390" si="709">K1390/I1390*100</f>
        <v>100</v>
      </c>
    </row>
    <row r="1391" spans="1:13">
      <c r="A1391" s="60" t="s">
        <v>615</v>
      </c>
      <c r="B1391" s="29" t="s">
        <v>595</v>
      </c>
      <c r="C1391" s="29" t="s">
        <v>17</v>
      </c>
      <c r="D1391" s="29" t="s">
        <v>387</v>
      </c>
      <c r="E1391" s="29" t="s">
        <v>610</v>
      </c>
      <c r="F1391" s="29" t="s">
        <v>616</v>
      </c>
      <c r="G1391" s="36">
        <v>1000</v>
      </c>
      <c r="H1391" s="36">
        <v>0</v>
      </c>
      <c r="I1391" s="36"/>
      <c r="J1391" s="36"/>
      <c r="K1391" s="36"/>
      <c r="L1391" s="36">
        <v>0</v>
      </c>
      <c r="M1391" s="36">
        <v>0</v>
      </c>
    </row>
    <row r="1392" spans="1:13" ht="51">
      <c r="A1392" s="60" t="s">
        <v>377</v>
      </c>
      <c r="B1392" s="29" t="s">
        <v>595</v>
      </c>
      <c r="C1392" s="29" t="s">
        <v>17</v>
      </c>
      <c r="D1392" s="29" t="s">
        <v>387</v>
      </c>
      <c r="E1392" s="29" t="s">
        <v>378</v>
      </c>
      <c r="F1392" s="59" t="s">
        <v>0</v>
      </c>
      <c r="G1392" s="36">
        <f>G1393</f>
        <v>2400</v>
      </c>
      <c r="H1392" s="36">
        <f t="shared" ref="H1392:K1392" si="710">H1393</f>
        <v>2400</v>
      </c>
      <c r="I1392" s="36">
        <f t="shared" si="710"/>
        <v>869.2</v>
      </c>
      <c r="J1392" s="36">
        <f t="shared" si="710"/>
        <v>248.45</v>
      </c>
      <c r="K1392" s="36">
        <f t="shared" si="710"/>
        <v>245.96090000000001</v>
      </c>
      <c r="L1392" s="36">
        <f t="shared" si="693"/>
        <v>10.248370833333334</v>
      </c>
      <c r="M1392" s="36">
        <f t="shared" si="694"/>
        <v>28.297388403129315</v>
      </c>
    </row>
    <row r="1393" spans="1:13" ht="25.5">
      <c r="A1393" s="60" t="s">
        <v>617</v>
      </c>
      <c r="B1393" s="29" t="s">
        <v>595</v>
      </c>
      <c r="C1393" s="29" t="s">
        <v>17</v>
      </c>
      <c r="D1393" s="29" t="s">
        <v>387</v>
      </c>
      <c r="E1393" s="29" t="s">
        <v>618</v>
      </c>
      <c r="F1393" s="59" t="s">
        <v>0</v>
      </c>
      <c r="G1393" s="36">
        <f>G1394+G1396+G1398</f>
        <v>2400</v>
      </c>
      <c r="H1393" s="36">
        <f t="shared" ref="H1393:K1393" si="711">H1394+H1396+H1398</f>
        <v>2400</v>
      </c>
      <c r="I1393" s="36">
        <f t="shared" si="711"/>
        <v>869.2</v>
      </c>
      <c r="J1393" s="36">
        <f t="shared" si="711"/>
        <v>248.45</v>
      </c>
      <c r="K1393" s="36">
        <f t="shared" si="711"/>
        <v>245.96090000000001</v>
      </c>
      <c r="L1393" s="36">
        <f t="shared" si="693"/>
        <v>10.248370833333334</v>
      </c>
      <c r="M1393" s="36">
        <f t="shared" si="694"/>
        <v>28.297388403129315</v>
      </c>
    </row>
    <row r="1394" spans="1:13" ht="63.75">
      <c r="A1394" s="60" t="s">
        <v>60</v>
      </c>
      <c r="B1394" s="29" t="s">
        <v>595</v>
      </c>
      <c r="C1394" s="29" t="s">
        <v>17</v>
      </c>
      <c r="D1394" s="29" t="s">
        <v>387</v>
      </c>
      <c r="E1394" s="29" t="s">
        <v>618</v>
      </c>
      <c r="F1394" s="29" t="s">
        <v>61</v>
      </c>
      <c r="G1394" s="36">
        <f>G1395</f>
        <v>230</v>
      </c>
      <c r="H1394" s="36">
        <f t="shared" ref="H1394:K1394" si="712">H1395</f>
        <v>230</v>
      </c>
      <c r="I1394" s="36">
        <f t="shared" si="712"/>
        <v>114.2</v>
      </c>
      <c r="J1394" s="36">
        <f t="shared" si="712"/>
        <v>72.3</v>
      </c>
      <c r="K1394" s="36">
        <f t="shared" si="712"/>
        <v>70.72</v>
      </c>
      <c r="L1394" s="36">
        <f t="shared" si="693"/>
        <v>30.747826086956522</v>
      </c>
      <c r="M1394" s="36">
        <f t="shared" si="694"/>
        <v>61.926444833625219</v>
      </c>
    </row>
    <row r="1395" spans="1:13" ht="25.5">
      <c r="A1395" s="60" t="s">
        <v>62</v>
      </c>
      <c r="B1395" s="29" t="s">
        <v>595</v>
      </c>
      <c r="C1395" s="29" t="s">
        <v>17</v>
      </c>
      <c r="D1395" s="29" t="s">
        <v>387</v>
      </c>
      <c r="E1395" s="29" t="s">
        <v>618</v>
      </c>
      <c r="F1395" s="29" t="s">
        <v>63</v>
      </c>
      <c r="G1395" s="36">
        <v>230</v>
      </c>
      <c r="H1395" s="36">
        <v>230</v>
      </c>
      <c r="I1395" s="36">
        <v>114.2</v>
      </c>
      <c r="J1395" s="36">
        <v>72.3</v>
      </c>
      <c r="K1395" s="36">
        <v>70.72</v>
      </c>
      <c r="L1395" s="36">
        <f t="shared" si="693"/>
        <v>30.747826086956522</v>
      </c>
      <c r="M1395" s="36">
        <f t="shared" si="694"/>
        <v>61.926444833625219</v>
      </c>
    </row>
    <row r="1396" spans="1:13" ht="25.5">
      <c r="A1396" s="60" t="s">
        <v>64</v>
      </c>
      <c r="B1396" s="29" t="s">
        <v>595</v>
      </c>
      <c r="C1396" s="29" t="s">
        <v>17</v>
      </c>
      <c r="D1396" s="29" t="s">
        <v>387</v>
      </c>
      <c r="E1396" s="29" t="s">
        <v>618</v>
      </c>
      <c r="F1396" s="29" t="s">
        <v>65</v>
      </c>
      <c r="G1396" s="36">
        <f>G1397</f>
        <v>670</v>
      </c>
      <c r="H1396" s="36">
        <f t="shared" ref="H1396:K1396" si="713">H1397</f>
        <v>670</v>
      </c>
      <c r="I1396" s="36">
        <f t="shared" si="713"/>
        <v>255</v>
      </c>
      <c r="J1396" s="36">
        <f t="shared" si="713"/>
        <v>176.15</v>
      </c>
      <c r="K1396" s="36">
        <f t="shared" si="713"/>
        <v>175.24090000000001</v>
      </c>
      <c r="L1396" s="36">
        <f t="shared" si="693"/>
        <v>26.155358208955228</v>
      </c>
      <c r="M1396" s="36">
        <f t="shared" si="694"/>
        <v>68.721921568627451</v>
      </c>
    </row>
    <row r="1397" spans="1:13" ht="25.5">
      <c r="A1397" s="60" t="s">
        <v>66</v>
      </c>
      <c r="B1397" s="29" t="s">
        <v>595</v>
      </c>
      <c r="C1397" s="29" t="s">
        <v>17</v>
      </c>
      <c r="D1397" s="29" t="s">
        <v>387</v>
      </c>
      <c r="E1397" s="29" t="s">
        <v>618</v>
      </c>
      <c r="F1397" s="29" t="s">
        <v>67</v>
      </c>
      <c r="G1397" s="36">
        <v>670</v>
      </c>
      <c r="H1397" s="36">
        <v>670</v>
      </c>
      <c r="I1397" s="36">
        <v>255</v>
      </c>
      <c r="J1397" s="36">
        <v>176.15</v>
      </c>
      <c r="K1397" s="36">
        <v>175.24090000000001</v>
      </c>
      <c r="L1397" s="36">
        <f t="shared" si="693"/>
        <v>26.155358208955228</v>
      </c>
      <c r="M1397" s="36">
        <f t="shared" si="694"/>
        <v>68.721921568627451</v>
      </c>
    </row>
    <row r="1398" spans="1:13">
      <c r="A1398" s="60" t="s">
        <v>68</v>
      </c>
      <c r="B1398" s="29" t="s">
        <v>595</v>
      </c>
      <c r="C1398" s="29" t="s">
        <v>17</v>
      </c>
      <c r="D1398" s="29" t="s">
        <v>387</v>
      </c>
      <c r="E1398" s="29" t="s">
        <v>618</v>
      </c>
      <c r="F1398" s="29" t="s">
        <v>69</v>
      </c>
      <c r="G1398" s="36">
        <f>G1399</f>
        <v>1500</v>
      </c>
      <c r="H1398" s="36">
        <f t="shared" ref="H1398:K1398" si="714">H1399</f>
        <v>1500</v>
      </c>
      <c r="I1398" s="36">
        <f t="shared" si="714"/>
        <v>500</v>
      </c>
      <c r="J1398" s="36">
        <f t="shared" si="714"/>
        <v>0</v>
      </c>
      <c r="K1398" s="36">
        <f t="shared" si="714"/>
        <v>0</v>
      </c>
      <c r="L1398" s="36">
        <f t="shared" si="693"/>
        <v>0</v>
      </c>
      <c r="M1398" s="36">
        <f t="shared" si="694"/>
        <v>0</v>
      </c>
    </row>
    <row r="1399" spans="1:13">
      <c r="A1399" s="60" t="s">
        <v>373</v>
      </c>
      <c r="B1399" s="29" t="s">
        <v>595</v>
      </c>
      <c r="C1399" s="29" t="s">
        <v>17</v>
      </c>
      <c r="D1399" s="29" t="s">
        <v>387</v>
      </c>
      <c r="E1399" s="29" t="s">
        <v>618</v>
      </c>
      <c r="F1399" s="29" t="s">
        <v>374</v>
      </c>
      <c r="G1399" s="36">
        <v>1500</v>
      </c>
      <c r="H1399" s="36">
        <v>1500</v>
      </c>
      <c r="I1399" s="36">
        <v>500</v>
      </c>
      <c r="J1399" s="36">
        <v>0</v>
      </c>
      <c r="K1399" s="36">
        <v>0</v>
      </c>
      <c r="L1399" s="36">
        <f t="shared" si="693"/>
        <v>0</v>
      </c>
      <c r="M1399" s="36">
        <f t="shared" si="694"/>
        <v>0</v>
      </c>
    </row>
    <row r="1400" spans="1:13" ht="76.5">
      <c r="A1400" s="60" t="s">
        <v>619</v>
      </c>
      <c r="B1400" s="29" t="s">
        <v>595</v>
      </c>
      <c r="C1400" s="29" t="s">
        <v>17</v>
      </c>
      <c r="D1400" s="29" t="s">
        <v>387</v>
      </c>
      <c r="E1400" s="29" t="s">
        <v>620</v>
      </c>
      <c r="F1400" s="59" t="s">
        <v>0</v>
      </c>
      <c r="G1400" s="36">
        <f>G1401</f>
        <v>419627</v>
      </c>
      <c r="H1400" s="36">
        <f t="shared" ref="H1400:K1402" si="715">H1401</f>
        <v>419627</v>
      </c>
      <c r="I1400" s="36">
        <f t="shared" si="715"/>
        <v>0</v>
      </c>
      <c r="J1400" s="36">
        <f t="shared" si="715"/>
        <v>0</v>
      </c>
      <c r="K1400" s="36">
        <f t="shared" si="715"/>
        <v>0</v>
      </c>
      <c r="L1400" s="36">
        <f t="shared" si="693"/>
        <v>0</v>
      </c>
      <c r="M1400" s="36">
        <v>0</v>
      </c>
    </row>
    <row r="1401" spans="1:13" ht="76.5">
      <c r="A1401" s="60" t="s">
        <v>619</v>
      </c>
      <c r="B1401" s="29" t="s">
        <v>595</v>
      </c>
      <c r="C1401" s="29" t="s">
        <v>17</v>
      </c>
      <c r="D1401" s="29" t="s">
        <v>387</v>
      </c>
      <c r="E1401" s="29" t="s">
        <v>621</v>
      </c>
      <c r="F1401" s="59" t="s">
        <v>0</v>
      </c>
      <c r="G1401" s="36">
        <f>G1402</f>
        <v>419627</v>
      </c>
      <c r="H1401" s="36">
        <f t="shared" si="715"/>
        <v>419627</v>
      </c>
      <c r="I1401" s="36">
        <f t="shared" si="715"/>
        <v>0</v>
      </c>
      <c r="J1401" s="36">
        <f t="shared" si="715"/>
        <v>0</v>
      </c>
      <c r="K1401" s="36">
        <f t="shared" si="715"/>
        <v>0</v>
      </c>
      <c r="L1401" s="36">
        <f t="shared" si="693"/>
        <v>0</v>
      </c>
      <c r="M1401" s="36">
        <v>0</v>
      </c>
    </row>
    <row r="1402" spans="1:13">
      <c r="A1402" s="60" t="s">
        <v>72</v>
      </c>
      <c r="B1402" s="29" t="s">
        <v>595</v>
      </c>
      <c r="C1402" s="29" t="s">
        <v>17</v>
      </c>
      <c r="D1402" s="29" t="s">
        <v>387</v>
      </c>
      <c r="E1402" s="29" t="s">
        <v>621</v>
      </c>
      <c r="F1402" s="29" t="s">
        <v>73</v>
      </c>
      <c r="G1402" s="36">
        <f>G1403</f>
        <v>419627</v>
      </c>
      <c r="H1402" s="36">
        <f t="shared" si="715"/>
        <v>419627</v>
      </c>
      <c r="I1402" s="36">
        <f t="shared" si="715"/>
        <v>0</v>
      </c>
      <c r="J1402" s="36">
        <f t="shared" si="715"/>
        <v>0</v>
      </c>
      <c r="K1402" s="36">
        <f t="shared" si="715"/>
        <v>0</v>
      </c>
      <c r="L1402" s="36">
        <f t="shared" si="693"/>
        <v>0</v>
      </c>
      <c r="M1402" s="36">
        <v>0</v>
      </c>
    </row>
    <row r="1403" spans="1:13">
      <c r="A1403" s="60" t="s">
        <v>369</v>
      </c>
      <c r="B1403" s="29" t="s">
        <v>595</v>
      </c>
      <c r="C1403" s="29" t="s">
        <v>17</v>
      </c>
      <c r="D1403" s="29" t="s">
        <v>387</v>
      </c>
      <c r="E1403" s="29" t="s">
        <v>621</v>
      </c>
      <c r="F1403" s="29" t="s">
        <v>370</v>
      </c>
      <c r="G1403" s="36">
        <v>419627</v>
      </c>
      <c r="H1403" s="36">
        <v>419627</v>
      </c>
      <c r="I1403" s="36">
        <v>0</v>
      </c>
      <c r="J1403" s="36">
        <v>0</v>
      </c>
      <c r="K1403" s="36">
        <v>0</v>
      </c>
      <c r="L1403" s="36">
        <f t="shared" si="693"/>
        <v>0</v>
      </c>
      <c r="M1403" s="36">
        <v>0</v>
      </c>
    </row>
    <row r="1404" spans="1:13">
      <c r="A1404" s="61" t="s">
        <v>0</v>
      </c>
      <c r="B1404" s="59" t="s">
        <v>0</v>
      </c>
      <c r="C1404" s="59" t="s">
        <v>0</v>
      </c>
      <c r="D1404" s="59" t="s">
        <v>0</v>
      </c>
      <c r="E1404" s="59" t="s">
        <v>0</v>
      </c>
      <c r="F1404" s="59" t="s">
        <v>0</v>
      </c>
      <c r="G1404" s="62" t="s">
        <v>0</v>
      </c>
      <c r="H1404" s="62" t="s">
        <v>0</v>
      </c>
      <c r="I1404" s="62" t="s">
        <v>0</v>
      </c>
      <c r="J1404" s="62" t="s">
        <v>0</v>
      </c>
      <c r="K1404" s="62" t="s">
        <v>0</v>
      </c>
      <c r="L1404" s="62"/>
      <c r="M1404" s="62"/>
    </row>
    <row r="1405" spans="1:13">
      <c r="A1405" s="60" t="s">
        <v>622</v>
      </c>
      <c r="B1405" s="29" t="s">
        <v>595</v>
      </c>
      <c r="C1405" s="29" t="s">
        <v>106</v>
      </c>
      <c r="D1405" s="59" t="s">
        <v>0</v>
      </c>
      <c r="E1405" s="59" t="s">
        <v>0</v>
      </c>
      <c r="F1405" s="59" t="s">
        <v>0</v>
      </c>
      <c r="G1405" s="36">
        <f t="shared" ref="G1405:G1410" si="716">G1406</f>
        <v>31272.5</v>
      </c>
      <c r="H1405" s="36">
        <f t="shared" ref="H1405:K1410" si="717">H1406</f>
        <v>31272.5</v>
      </c>
      <c r="I1405" s="36">
        <f t="shared" si="717"/>
        <v>26581.599999999999</v>
      </c>
      <c r="J1405" s="36">
        <f t="shared" si="717"/>
        <v>26581.599999999999</v>
      </c>
      <c r="K1405" s="36">
        <f t="shared" si="717"/>
        <v>19158.83612</v>
      </c>
      <c r="L1405" s="36">
        <f t="shared" si="693"/>
        <v>61.264165384922855</v>
      </c>
      <c r="M1405" s="36">
        <f t="shared" si="694"/>
        <v>72.07555647515575</v>
      </c>
    </row>
    <row r="1406" spans="1:13">
      <c r="A1406" s="60" t="s">
        <v>623</v>
      </c>
      <c r="B1406" s="29" t="s">
        <v>595</v>
      </c>
      <c r="C1406" s="29" t="s">
        <v>106</v>
      </c>
      <c r="D1406" s="29" t="s">
        <v>150</v>
      </c>
      <c r="E1406" s="59" t="s">
        <v>0</v>
      </c>
      <c r="F1406" s="59" t="s">
        <v>0</v>
      </c>
      <c r="G1406" s="36">
        <f t="shared" si="716"/>
        <v>31272.5</v>
      </c>
      <c r="H1406" s="36">
        <f t="shared" si="717"/>
        <v>31272.5</v>
      </c>
      <c r="I1406" s="36">
        <f t="shared" si="717"/>
        <v>26581.599999999999</v>
      </c>
      <c r="J1406" s="36">
        <f t="shared" si="717"/>
        <v>26581.599999999999</v>
      </c>
      <c r="K1406" s="36">
        <f t="shared" si="717"/>
        <v>19158.83612</v>
      </c>
      <c r="L1406" s="36">
        <f t="shared" si="693"/>
        <v>61.264165384922855</v>
      </c>
      <c r="M1406" s="36">
        <f t="shared" si="694"/>
        <v>72.07555647515575</v>
      </c>
    </row>
    <row r="1407" spans="1:13" ht="51">
      <c r="A1407" s="60" t="s">
        <v>596</v>
      </c>
      <c r="B1407" s="29" t="s">
        <v>595</v>
      </c>
      <c r="C1407" s="29" t="s">
        <v>106</v>
      </c>
      <c r="D1407" s="29" t="s">
        <v>150</v>
      </c>
      <c r="E1407" s="29" t="s">
        <v>597</v>
      </c>
      <c r="F1407" s="59" t="s">
        <v>0</v>
      </c>
      <c r="G1407" s="36">
        <f t="shared" si="716"/>
        <v>31272.5</v>
      </c>
      <c r="H1407" s="36">
        <f t="shared" si="717"/>
        <v>31272.5</v>
      </c>
      <c r="I1407" s="36">
        <f t="shared" si="717"/>
        <v>26581.599999999999</v>
      </c>
      <c r="J1407" s="36">
        <f t="shared" si="717"/>
        <v>26581.599999999999</v>
      </c>
      <c r="K1407" s="36">
        <f t="shared" si="717"/>
        <v>19158.83612</v>
      </c>
      <c r="L1407" s="36">
        <f t="shared" si="693"/>
        <v>61.264165384922855</v>
      </c>
      <c r="M1407" s="36">
        <f t="shared" si="694"/>
        <v>72.07555647515575</v>
      </c>
    </row>
    <row r="1408" spans="1:13" ht="51">
      <c r="A1408" s="60" t="s">
        <v>598</v>
      </c>
      <c r="B1408" s="29" t="s">
        <v>595</v>
      </c>
      <c r="C1408" s="29" t="s">
        <v>106</v>
      </c>
      <c r="D1408" s="29" t="s">
        <v>150</v>
      </c>
      <c r="E1408" s="29" t="s">
        <v>599</v>
      </c>
      <c r="F1408" s="59" t="s">
        <v>0</v>
      </c>
      <c r="G1408" s="36">
        <f t="shared" si="716"/>
        <v>31272.5</v>
      </c>
      <c r="H1408" s="36">
        <f t="shared" si="717"/>
        <v>31272.5</v>
      </c>
      <c r="I1408" s="36">
        <f t="shared" si="717"/>
        <v>26581.599999999999</v>
      </c>
      <c r="J1408" s="36">
        <f t="shared" si="717"/>
        <v>26581.599999999999</v>
      </c>
      <c r="K1408" s="36">
        <f t="shared" si="717"/>
        <v>19158.83612</v>
      </c>
      <c r="L1408" s="36">
        <f t="shared" si="693"/>
        <v>61.264165384922855</v>
      </c>
      <c r="M1408" s="36">
        <f t="shared" si="694"/>
        <v>72.07555647515575</v>
      </c>
    </row>
    <row r="1409" spans="1:13" ht="25.5">
      <c r="A1409" s="60" t="s">
        <v>624</v>
      </c>
      <c r="B1409" s="29" t="s">
        <v>595</v>
      </c>
      <c r="C1409" s="29" t="s">
        <v>106</v>
      </c>
      <c r="D1409" s="29" t="s">
        <v>150</v>
      </c>
      <c r="E1409" s="29" t="s">
        <v>625</v>
      </c>
      <c r="F1409" s="59" t="s">
        <v>0</v>
      </c>
      <c r="G1409" s="36">
        <f t="shared" si="716"/>
        <v>31272.5</v>
      </c>
      <c r="H1409" s="36">
        <f t="shared" si="717"/>
        <v>31272.5</v>
      </c>
      <c r="I1409" s="36">
        <f t="shared" si="717"/>
        <v>26581.599999999999</v>
      </c>
      <c r="J1409" s="36">
        <f t="shared" si="717"/>
        <v>26581.599999999999</v>
      </c>
      <c r="K1409" s="36">
        <f t="shared" si="717"/>
        <v>19158.83612</v>
      </c>
      <c r="L1409" s="36">
        <f t="shared" si="693"/>
        <v>61.264165384922855</v>
      </c>
      <c r="M1409" s="36">
        <f t="shared" si="694"/>
        <v>72.07555647515575</v>
      </c>
    </row>
    <row r="1410" spans="1:13">
      <c r="A1410" s="60" t="s">
        <v>26</v>
      </c>
      <c r="B1410" s="29" t="s">
        <v>595</v>
      </c>
      <c r="C1410" s="29" t="s">
        <v>106</v>
      </c>
      <c r="D1410" s="29" t="s">
        <v>150</v>
      </c>
      <c r="E1410" s="29" t="s">
        <v>625</v>
      </c>
      <c r="F1410" s="29" t="s">
        <v>27</v>
      </c>
      <c r="G1410" s="36">
        <f t="shared" si="716"/>
        <v>31272.5</v>
      </c>
      <c r="H1410" s="36">
        <f t="shared" si="717"/>
        <v>31272.5</v>
      </c>
      <c r="I1410" s="36">
        <f t="shared" si="717"/>
        <v>26581.599999999999</v>
      </c>
      <c r="J1410" s="36">
        <f t="shared" si="717"/>
        <v>26581.599999999999</v>
      </c>
      <c r="K1410" s="36">
        <f t="shared" si="717"/>
        <v>19158.83612</v>
      </c>
      <c r="L1410" s="36">
        <f t="shared" si="693"/>
        <v>61.264165384922855</v>
      </c>
      <c r="M1410" s="36">
        <f t="shared" si="694"/>
        <v>72.07555647515575</v>
      </c>
    </row>
    <row r="1411" spans="1:13">
      <c r="A1411" s="60" t="s">
        <v>28</v>
      </c>
      <c r="B1411" s="29" t="s">
        <v>595</v>
      </c>
      <c r="C1411" s="29" t="s">
        <v>106</v>
      </c>
      <c r="D1411" s="29" t="s">
        <v>150</v>
      </c>
      <c r="E1411" s="29" t="s">
        <v>625</v>
      </c>
      <c r="F1411" s="29" t="s">
        <v>29</v>
      </c>
      <c r="G1411" s="36">
        <v>31272.5</v>
      </c>
      <c r="H1411" s="36">
        <v>31272.5</v>
      </c>
      <c r="I1411" s="36">
        <v>26581.599999999999</v>
      </c>
      <c r="J1411" s="36">
        <v>26581.599999999999</v>
      </c>
      <c r="K1411" s="36">
        <v>19158.83612</v>
      </c>
      <c r="L1411" s="36">
        <f t="shared" si="693"/>
        <v>61.264165384922855</v>
      </c>
      <c r="M1411" s="36">
        <f t="shared" si="694"/>
        <v>72.07555647515575</v>
      </c>
    </row>
    <row r="1412" spans="1:13">
      <c r="A1412" s="61" t="s">
        <v>0</v>
      </c>
      <c r="B1412" s="59" t="s">
        <v>0</v>
      </c>
      <c r="C1412" s="59" t="s">
        <v>0</v>
      </c>
      <c r="D1412" s="59" t="s">
        <v>0</v>
      </c>
      <c r="E1412" s="59" t="s">
        <v>0</v>
      </c>
      <c r="F1412" s="59" t="s">
        <v>0</v>
      </c>
      <c r="G1412" s="62" t="s">
        <v>0</v>
      </c>
      <c r="H1412" s="62" t="s">
        <v>0</v>
      </c>
      <c r="I1412" s="62" t="s">
        <v>0</v>
      </c>
      <c r="J1412" s="62" t="s">
        <v>0</v>
      </c>
      <c r="K1412" s="62" t="s">
        <v>0</v>
      </c>
      <c r="L1412" s="62"/>
      <c r="M1412" s="62"/>
    </row>
    <row r="1413" spans="1:13" ht="25.5">
      <c r="A1413" s="60" t="s">
        <v>626</v>
      </c>
      <c r="B1413" s="29" t="s">
        <v>595</v>
      </c>
      <c r="C1413" s="29" t="s">
        <v>387</v>
      </c>
      <c r="D1413" s="59" t="s">
        <v>0</v>
      </c>
      <c r="E1413" s="59" t="s">
        <v>0</v>
      </c>
      <c r="F1413" s="59" t="s">
        <v>0</v>
      </c>
      <c r="G1413" s="36">
        <f t="shared" ref="G1413:G1418" si="718">G1414</f>
        <v>1476910</v>
      </c>
      <c r="H1413" s="36">
        <f t="shared" ref="H1413:K1418" si="719">H1414</f>
        <v>1476910</v>
      </c>
      <c r="I1413" s="36">
        <f t="shared" si="719"/>
        <v>564631.60589000001</v>
      </c>
      <c r="J1413" s="36">
        <f t="shared" si="719"/>
        <v>564631.60589000001</v>
      </c>
      <c r="K1413" s="36">
        <f t="shared" si="719"/>
        <v>564631.60589000001</v>
      </c>
      <c r="L1413" s="36">
        <f t="shared" si="693"/>
        <v>38.230603482270418</v>
      </c>
      <c r="M1413" s="36">
        <f t="shared" si="694"/>
        <v>100</v>
      </c>
    </row>
    <row r="1414" spans="1:13" ht="25.5">
      <c r="A1414" s="60" t="s">
        <v>627</v>
      </c>
      <c r="B1414" s="29" t="s">
        <v>595</v>
      </c>
      <c r="C1414" s="29" t="s">
        <v>387</v>
      </c>
      <c r="D1414" s="29" t="s">
        <v>17</v>
      </c>
      <c r="E1414" s="59" t="s">
        <v>0</v>
      </c>
      <c r="F1414" s="59" t="s">
        <v>0</v>
      </c>
      <c r="G1414" s="36">
        <f t="shared" si="718"/>
        <v>1476910</v>
      </c>
      <c r="H1414" s="36">
        <f t="shared" si="719"/>
        <v>1476910</v>
      </c>
      <c r="I1414" s="36">
        <f t="shared" si="719"/>
        <v>564631.60589000001</v>
      </c>
      <c r="J1414" s="36">
        <f t="shared" si="719"/>
        <v>564631.60589000001</v>
      </c>
      <c r="K1414" s="36">
        <f t="shared" si="719"/>
        <v>564631.60589000001</v>
      </c>
      <c r="L1414" s="36">
        <f t="shared" si="693"/>
        <v>38.230603482270418</v>
      </c>
      <c r="M1414" s="36">
        <f t="shared" si="694"/>
        <v>100</v>
      </c>
    </row>
    <row r="1415" spans="1:13" ht="51">
      <c r="A1415" s="60" t="s">
        <v>596</v>
      </c>
      <c r="B1415" s="29" t="s">
        <v>595</v>
      </c>
      <c r="C1415" s="29" t="s">
        <v>387</v>
      </c>
      <c r="D1415" s="29" t="s">
        <v>17</v>
      </c>
      <c r="E1415" s="29" t="s">
        <v>597</v>
      </c>
      <c r="F1415" s="59" t="s">
        <v>0</v>
      </c>
      <c r="G1415" s="36">
        <f t="shared" si="718"/>
        <v>1476910</v>
      </c>
      <c r="H1415" s="36">
        <f t="shared" si="719"/>
        <v>1476910</v>
      </c>
      <c r="I1415" s="36">
        <f t="shared" si="719"/>
        <v>564631.60589000001</v>
      </c>
      <c r="J1415" s="36">
        <f t="shared" si="719"/>
        <v>564631.60589000001</v>
      </c>
      <c r="K1415" s="36">
        <f t="shared" si="719"/>
        <v>564631.60589000001</v>
      </c>
      <c r="L1415" s="36">
        <f t="shared" si="693"/>
        <v>38.230603482270418</v>
      </c>
      <c r="M1415" s="36">
        <f t="shared" si="694"/>
        <v>100</v>
      </c>
    </row>
    <row r="1416" spans="1:13" ht="25.5">
      <c r="A1416" s="60" t="s">
        <v>628</v>
      </c>
      <c r="B1416" s="29" t="s">
        <v>595</v>
      </c>
      <c r="C1416" s="29" t="s">
        <v>387</v>
      </c>
      <c r="D1416" s="29" t="s">
        <v>17</v>
      </c>
      <c r="E1416" s="29" t="s">
        <v>629</v>
      </c>
      <c r="F1416" s="59" t="s">
        <v>0</v>
      </c>
      <c r="G1416" s="36">
        <f t="shared" si="718"/>
        <v>1476910</v>
      </c>
      <c r="H1416" s="36">
        <f t="shared" si="719"/>
        <v>1476910</v>
      </c>
      <c r="I1416" s="36">
        <f t="shared" si="719"/>
        <v>564631.60589000001</v>
      </c>
      <c r="J1416" s="36">
        <f t="shared" si="719"/>
        <v>564631.60589000001</v>
      </c>
      <c r="K1416" s="36">
        <f t="shared" si="719"/>
        <v>564631.60589000001</v>
      </c>
      <c r="L1416" s="36">
        <f t="shared" si="693"/>
        <v>38.230603482270418</v>
      </c>
      <c r="M1416" s="36">
        <f t="shared" si="694"/>
        <v>100</v>
      </c>
    </row>
    <row r="1417" spans="1:13">
      <c r="A1417" s="60" t="s">
        <v>630</v>
      </c>
      <c r="B1417" s="29" t="s">
        <v>595</v>
      </c>
      <c r="C1417" s="29" t="s">
        <v>387</v>
      </c>
      <c r="D1417" s="29" t="s">
        <v>17</v>
      </c>
      <c r="E1417" s="29" t="s">
        <v>631</v>
      </c>
      <c r="F1417" s="59" t="s">
        <v>0</v>
      </c>
      <c r="G1417" s="36">
        <f t="shared" si="718"/>
        <v>1476910</v>
      </c>
      <c r="H1417" s="36">
        <f t="shared" si="719"/>
        <v>1476910</v>
      </c>
      <c r="I1417" s="36">
        <f t="shared" si="719"/>
        <v>564631.60589000001</v>
      </c>
      <c r="J1417" s="36">
        <f t="shared" si="719"/>
        <v>564631.60589000001</v>
      </c>
      <c r="K1417" s="36">
        <f t="shared" si="719"/>
        <v>564631.60589000001</v>
      </c>
      <c r="L1417" s="36">
        <f t="shared" si="693"/>
        <v>38.230603482270418</v>
      </c>
      <c r="M1417" s="36">
        <f t="shared" si="694"/>
        <v>100</v>
      </c>
    </row>
    <row r="1418" spans="1:13" ht="25.5">
      <c r="A1418" s="60" t="s">
        <v>632</v>
      </c>
      <c r="B1418" s="29" t="s">
        <v>595</v>
      </c>
      <c r="C1418" s="29" t="s">
        <v>387</v>
      </c>
      <c r="D1418" s="29" t="s">
        <v>17</v>
      </c>
      <c r="E1418" s="29" t="s">
        <v>631</v>
      </c>
      <c r="F1418" s="29" t="s">
        <v>633</v>
      </c>
      <c r="G1418" s="36">
        <f t="shared" si="718"/>
        <v>1476910</v>
      </c>
      <c r="H1418" s="36">
        <f t="shared" si="719"/>
        <v>1476910</v>
      </c>
      <c r="I1418" s="36">
        <f t="shared" si="719"/>
        <v>564631.60589000001</v>
      </c>
      <c r="J1418" s="36">
        <f t="shared" si="719"/>
        <v>564631.60589000001</v>
      </c>
      <c r="K1418" s="36">
        <f t="shared" si="719"/>
        <v>564631.60589000001</v>
      </c>
      <c r="L1418" s="36">
        <f t="shared" si="693"/>
        <v>38.230603482270418</v>
      </c>
      <c r="M1418" s="36">
        <f t="shared" si="694"/>
        <v>100</v>
      </c>
    </row>
    <row r="1419" spans="1:13" ht="25.5">
      <c r="A1419" s="60" t="s">
        <v>634</v>
      </c>
      <c r="B1419" s="29" t="s">
        <v>595</v>
      </c>
      <c r="C1419" s="29" t="s">
        <v>387</v>
      </c>
      <c r="D1419" s="29" t="s">
        <v>17</v>
      </c>
      <c r="E1419" s="29" t="s">
        <v>631</v>
      </c>
      <c r="F1419" s="29" t="s">
        <v>635</v>
      </c>
      <c r="G1419" s="36">
        <v>1476910</v>
      </c>
      <c r="H1419" s="36">
        <v>1476910</v>
      </c>
      <c r="I1419" s="36">
        <v>564631.60589000001</v>
      </c>
      <c r="J1419" s="36">
        <v>564631.60589000001</v>
      </c>
      <c r="K1419" s="36">
        <v>564631.60589000001</v>
      </c>
      <c r="L1419" s="36">
        <f t="shared" si="693"/>
        <v>38.230603482270418</v>
      </c>
      <c r="M1419" s="36">
        <f t="shared" si="694"/>
        <v>100</v>
      </c>
    </row>
    <row r="1420" spans="1:13" ht="89.25">
      <c r="A1420" s="79" t="s">
        <v>636</v>
      </c>
      <c r="B1420" s="61" t="s">
        <v>0</v>
      </c>
      <c r="C1420" s="61" t="s">
        <v>0</v>
      </c>
      <c r="D1420" s="61" t="s">
        <v>0</v>
      </c>
      <c r="E1420" s="61" t="s">
        <v>0</v>
      </c>
      <c r="F1420" s="61" t="s">
        <v>0</v>
      </c>
      <c r="G1420" s="36">
        <v>711.1</v>
      </c>
      <c r="H1420" s="36">
        <v>711.1</v>
      </c>
      <c r="I1420" s="36">
        <v>0</v>
      </c>
      <c r="J1420" s="36">
        <v>0</v>
      </c>
      <c r="K1420" s="36">
        <v>0</v>
      </c>
      <c r="L1420" s="36">
        <f t="shared" si="693"/>
        <v>0</v>
      </c>
      <c r="M1420" s="36">
        <v>0</v>
      </c>
    </row>
    <row r="1421" spans="1:13" ht="114.75">
      <c r="A1421" s="79" t="s">
        <v>637</v>
      </c>
      <c r="B1421" s="61" t="s">
        <v>0</v>
      </c>
      <c r="C1421" s="61" t="s">
        <v>0</v>
      </c>
      <c r="D1421" s="61" t="s">
        <v>0</v>
      </c>
      <c r="E1421" s="61" t="s">
        <v>0</v>
      </c>
      <c r="F1421" s="61" t="s">
        <v>0</v>
      </c>
      <c r="G1421" s="36">
        <v>2012</v>
      </c>
      <c r="H1421" s="36">
        <v>2012</v>
      </c>
      <c r="I1421" s="36">
        <v>0</v>
      </c>
      <c r="J1421" s="36">
        <v>0</v>
      </c>
      <c r="K1421" s="36">
        <v>0</v>
      </c>
      <c r="L1421" s="36">
        <f t="shared" ref="L1421:L1487" si="720">K1421/H1421*100</f>
        <v>0</v>
      </c>
      <c r="M1421" s="36">
        <v>0</v>
      </c>
    </row>
    <row r="1422" spans="1:13" ht="114.75">
      <c r="A1422" s="79" t="s">
        <v>638</v>
      </c>
      <c r="B1422" s="61" t="s">
        <v>0</v>
      </c>
      <c r="C1422" s="61" t="s">
        <v>0</v>
      </c>
      <c r="D1422" s="61" t="s">
        <v>0</v>
      </c>
      <c r="E1422" s="61" t="s">
        <v>0</v>
      </c>
      <c r="F1422" s="61" t="s">
        <v>0</v>
      </c>
      <c r="G1422" s="36">
        <v>453.3</v>
      </c>
      <c r="H1422" s="36">
        <v>453.3</v>
      </c>
      <c r="I1422" s="36">
        <v>0</v>
      </c>
      <c r="J1422" s="36">
        <v>0</v>
      </c>
      <c r="K1422" s="36">
        <v>0</v>
      </c>
      <c r="L1422" s="36">
        <f t="shared" si="720"/>
        <v>0</v>
      </c>
      <c r="M1422" s="36">
        <v>0</v>
      </c>
    </row>
    <row r="1423" spans="1:13" ht="114.75">
      <c r="A1423" s="79" t="s">
        <v>639</v>
      </c>
      <c r="B1423" s="61" t="s">
        <v>0</v>
      </c>
      <c r="C1423" s="61" t="s">
        <v>0</v>
      </c>
      <c r="D1423" s="61" t="s">
        <v>0</v>
      </c>
      <c r="E1423" s="61" t="s">
        <v>0</v>
      </c>
      <c r="F1423" s="61" t="s">
        <v>0</v>
      </c>
      <c r="G1423" s="36">
        <v>100.7</v>
      </c>
      <c r="H1423" s="36">
        <v>100.7</v>
      </c>
      <c r="I1423" s="36">
        <v>0</v>
      </c>
      <c r="J1423" s="36">
        <v>0</v>
      </c>
      <c r="K1423" s="36">
        <v>0</v>
      </c>
      <c r="L1423" s="36">
        <f t="shared" si="720"/>
        <v>0</v>
      </c>
      <c r="M1423" s="36">
        <v>0</v>
      </c>
    </row>
    <row r="1424" spans="1:13">
      <c r="A1424" s="61" t="s">
        <v>0</v>
      </c>
      <c r="B1424" s="59" t="s">
        <v>0</v>
      </c>
      <c r="C1424" s="59" t="s">
        <v>0</v>
      </c>
      <c r="D1424" s="59" t="s">
        <v>0</v>
      </c>
      <c r="E1424" s="59" t="s">
        <v>0</v>
      </c>
      <c r="F1424" s="59" t="s">
        <v>0</v>
      </c>
      <c r="G1424" s="62" t="s">
        <v>0</v>
      </c>
      <c r="H1424" s="62" t="s">
        <v>0</v>
      </c>
      <c r="I1424" s="62" t="s">
        <v>0</v>
      </c>
      <c r="J1424" s="62" t="s">
        <v>0</v>
      </c>
      <c r="K1424" s="62" t="s">
        <v>0</v>
      </c>
      <c r="L1424" s="62"/>
      <c r="M1424" s="62"/>
    </row>
    <row r="1425" spans="1:13" ht="25.5">
      <c r="A1425" s="60" t="s">
        <v>640</v>
      </c>
      <c r="B1425" s="29" t="s">
        <v>595</v>
      </c>
      <c r="C1425" s="29" t="s">
        <v>641</v>
      </c>
      <c r="D1425" s="59" t="s">
        <v>0</v>
      </c>
      <c r="E1425" s="59" t="s">
        <v>0</v>
      </c>
      <c r="F1425" s="59" t="s">
        <v>0</v>
      </c>
      <c r="G1425" s="36">
        <f>G1426+G1435+G1444</f>
        <v>3480694.5</v>
      </c>
      <c r="H1425" s="36">
        <f t="shared" ref="H1425:K1425" si="721">H1426+H1435+H1444</f>
        <v>3480694.5</v>
      </c>
      <c r="I1425" s="36">
        <f t="shared" si="721"/>
        <v>1690851</v>
      </c>
      <c r="J1425" s="36">
        <f t="shared" si="721"/>
        <v>1690190.88</v>
      </c>
      <c r="K1425" s="36">
        <f t="shared" si="721"/>
        <v>1690190.88</v>
      </c>
      <c r="L1425" s="36">
        <f t="shared" si="720"/>
        <v>48.559012576369454</v>
      </c>
      <c r="M1425" s="36">
        <f t="shared" ref="M1425:M1487" si="722">K1425/I1425*100</f>
        <v>99.960959303924469</v>
      </c>
    </row>
    <row r="1426" spans="1:13" ht="38.25">
      <c r="A1426" s="60" t="s">
        <v>642</v>
      </c>
      <c r="B1426" s="29" t="s">
        <v>595</v>
      </c>
      <c r="C1426" s="29" t="s">
        <v>641</v>
      </c>
      <c r="D1426" s="29" t="s">
        <v>17</v>
      </c>
      <c r="E1426" s="59" t="s">
        <v>0</v>
      </c>
      <c r="F1426" s="59" t="s">
        <v>0</v>
      </c>
      <c r="G1426" s="36">
        <f>G1427</f>
        <v>1220429</v>
      </c>
      <c r="H1426" s="36">
        <f t="shared" ref="H1426:K1427" si="723">H1427</f>
        <v>1220429</v>
      </c>
      <c r="I1426" s="36">
        <f t="shared" si="723"/>
        <v>644157</v>
      </c>
      <c r="J1426" s="36">
        <f t="shared" si="723"/>
        <v>644157</v>
      </c>
      <c r="K1426" s="36">
        <f t="shared" si="723"/>
        <v>644157</v>
      </c>
      <c r="L1426" s="36">
        <f t="shared" si="720"/>
        <v>52.781194153859012</v>
      </c>
      <c r="M1426" s="36">
        <f t="shared" si="722"/>
        <v>100</v>
      </c>
    </row>
    <row r="1427" spans="1:13" ht="51">
      <c r="A1427" s="60" t="s">
        <v>596</v>
      </c>
      <c r="B1427" s="29" t="s">
        <v>595</v>
      </c>
      <c r="C1427" s="29" t="s">
        <v>641</v>
      </c>
      <c r="D1427" s="29" t="s">
        <v>17</v>
      </c>
      <c r="E1427" s="29" t="s">
        <v>597</v>
      </c>
      <c r="F1427" s="59" t="s">
        <v>0</v>
      </c>
      <c r="G1427" s="36">
        <f>G1428</f>
        <v>1220429</v>
      </c>
      <c r="H1427" s="36">
        <f t="shared" si="723"/>
        <v>1220429</v>
      </c>
      <c r="I1427" s="36">
        <f t="shared" si="723"/>
        <v>644157</v>
      </c>
      <c r="J1427" s="36">
        <f t="shared" si="723"/>
        <v>644157</v>
      </c>
      <c r="K1427" s="36">
        <f t="shared" si="723"/>
        <v>644157</v>
      </c>
      <c r="L1427" s="36">
        <f t="shared" si="720"/>
        <v>52.781194153859012</v>
      </c>
      <c r="M1427" s="36">
        <f t="shared" si="722"/>
        <v>100</v>
      </c>
    </row>
    <row r="1428" spans="1:13" ht="38.25">
      <c r="A1428" s="60" t="s">
        <v>643</v>
      </c>
      <c r="B1428" s="29" t="s">
        <v>595</v>
      </c>
      <c r="C1428" s="29" t="s">
        <v>641</v>
      </c>
      <c r="D1428" s="29" t="s">
        <v>17</v>
      </c>
      <c r="E1428" s="29" t="s">
        <v>644</v>
      </c>
      <c r="F1428" s="59" t="s">
        <v>0</v>
      </c>
      <c r="G1428" s="36">
        <f>G1429+G1432</f>
        <v>1220429</v>
      </c>
      <c r="H1428" s="36">
        <f t="shared" ref="H1428:K1428" si="724">H1429+H1432</f>
        <v>1220429</v>
      </c>
      <c r="I1428" s="36">
        <f t="shared" si="724"/>
        <v>644157</v>
      </c>
      <c r="J1428" s="36">
        <f t="shared" si="724"/>
        <v>644157</v>
      </c>
      <c r="K1428" s="36">
        <f t="shared" si="724"/>
        <v>644157</v>
      </c>
      <c r="L1428" s="36">
        <f t="shared" si="720"/>
        <v>52.781194153859012</v>
      </c>
      <c r="M1428" s="36">
        <f t="shared" si="722"/>
        <v>100</v>
      </c>
    </row>
    <row r="1429" spans="1:13">
      <c r="A1429" s="60" t="s">
        <v>645</v>
      </c>
      <c r="B1429" s="29" t="s">
        <v>595</v>
      </c>
      <c r="C1429" s="29" t="s">
        <v>641</v>
      </c>
      <c r="D1429" s="29" t="s">
        <v>17</v>
      </c>
      <c r="E1429" s="29" t="s">
        <v>646</v>
      </c>
      <c r="F1429" s="59" t="s">
        <v>0</v>
      </c>
      <c r="G1429" s="36">
        <f>G1430</f>
        <v>135022.1</v>
      </c>
      <c r="H1429" s="36">
        <f t="shared" ref="H1429:K1430" si="725">H1430</f>
        <v>135022.1</v>
      </c>
      <c r="I1429" s="36">
        <f t="shared" si="725"/>
        <v>67510.100000000006</v>
      </c>
      <c r="J1429" s="36">
        <f t="shared" si="725"/>
        <v>67510.100000000006</v>
      </c>
      <c r="K1429" s="36">
        <f t="shared" si="725"/>
        <v>67510.100000000006</v>
      </c>
      <c r="L1429" s="36">
        <f t="shared" si="720"/>
        <v>49.999296411476344</v>
      </c>
      <c r="M1429" s="36">
        <f t="shared" si="722"/>
        <v>100</v>
      </c>
    </row>
    <row r="1430" spans="1:13">
      <c r="A1430" s="60" t="s">
        <v>26</v>
      </c>
      <c r="B1430" s="29" t="s">
        <v>595</v>
      </c>
      <c r="C1430" s="29" t="s">
        <v>641</v>
      </c>
      <c r="D1430" s="29" t="s">
        <v>17</v>
      </c>
      <c r="E1430" s="29" t="s">
        <v>646</v>
      </c>
      <c r="F1430" s="29" t="s">
        <v>27</v>
      </c>
      <c r="G1430" s="36">
        <f>G1431</f>
        <v>135022.1</v>
      </c>
      <c r="H1430" s="36">
        <f t="shared" si="725"/>
        <v>135022.1</v>
      </c>
      <c r="I1430" s="36">
        <f t="shared" si="725"/>
        <v>67510.100000000006</v>
      </c>
      <c r="J1430" s="36">
        <f t="shared" si="725"/>
        <v>67510.100000000006</v>
      </c>
      <c r="K1430" s="36">
        <f t="shared" si="725"/>
        <v>67510.100000000006</v>
      </c>
      <c r="L1430" s="36">
        <f t="shared" si="720"/>
        <v>49.999296411476344</v>
      </c>
      <c r="M1430" s="36">
        <f t="shared" si="722"/>
        <v>100</v>
      </c>
    </row>
    <row r="1431" spans="1:13">
      <c r="A1431" s="60" t="s">
        <v>647</v>
      </c>
      <c r="B1431" s="29" t="s">
        <v>595</v>
      </c>
      <c r="C1431" s="29" t="s">
        <v>641</v>
      </c>
      <c r="D1431" s="29" t="s">
        <v>17</v>
      </c>
      <c r="E1431" s="29" t="s">
        <v>646</v>
      </c>
      <c r="F1431" s="29" t="s">
        <v>648</v>
      </c>
      <c r="G1431" s="36">
        <v>135022.1</v>
      </c>
      <c r="H1431" s="36">
        <v>135022.1</v>
      </c>
      <c r="I1431" s="36">
        <v>67510.100000000006</v>
      </c>
      <c r="J1431" s="36">
        <v>67510.100000000006</v>
      </c>
      <c r="K1431" s="36">
        <v>67510.100000000006</v>
      </c>
      <c r="L1431" s="36">
        <f t="shared" si="720"/>
        <v>49.999296411476344</v>
      </c>
      <c r="M1431" s="36">
        <f t="shared" si="722"/>
        <v>100</v>
      </c>
    </row>
    <row r="1432" spans="1:13" ht="25.5">
      <c r="A1432" s="60" t="s">
        <v>649</v>
      </c>
      <c r="B1432" s="29" t="s">
        <v>595</v>
      </c>
      <c r="C1432" s="29" t="s">
        <v>641</v>
      </c>
      <c r="D1432" s="29" t="s">
        <v>17</v>
      </c>
      <c r="E1432" s="29" t="s">
        <v>650</v>
      </c>
      <c r="F1432" s="59" t="s">
        <v>0</v>
      </c>
      <c r="G1432" s="36">
        <f>G1433</f>
        <v>1085406.8999999999</v>
      </c>
      <c r="H1432" s="36">
        <f t="shared" ref="H1432:K1433" si="726">H1433</f>
        <v>1085406.8999999999</v>
      </c>
      <c r="I1432" s="36">
        <f t="shared" si="726"/>
        <v>576646.9</v>
      </c>
      <c r="J1432" s="36">
        <f t="shared" si="726"/>
        <v>576646.9</v>
      </c>
      <c r="K1432" s="36">
        <f t="shared" si="726"/>
        <v>576646.9</v>
      </c>
      <c r="L1432" s="36">
        <f t="shared" si="720"/>
        <v>53.127255778455073</v>
      </c>
      <c r="M1432" s="36">
        <f t="shared" si="722"/>
        <v>100</v>
      </c>
    </row>
    <row r="1433" spans="1:13">
      <c r="A1433" s="60" t="s">
        <v>26</v>
      </c>
      <c r="B1433" s="29" t="s">
        <v>595</v>
      </c>
      <c r="C1433" s="29" t="s">
        <v>641</v>
      </c>
      <c r="D1433" s="29" t="s">
        <v>17</v>
      </c>
      <c r="E1433" s="29" t="s">
        <v>650</v>
      </c>
      <c r="F1433" s="29" t="s">
        <v>27</v>
      </c>
      <c r="G1433" s="36">
        <f>G1434</f>
        <v>1085406.8999999999</v>
      </c>
      <c r="H1433" s="36">
        <f t="shared" si="726"/>
        <v>1085406.8999999999</v>
      </c>
      <c r="I1433" s="36">
        <f t="shared" si="726"/>
        <v>576646.9</v>
      </c>
      <c r="J1433" s="36">
        <f t="shared" si="726"/>
        <v>576646.9</v>
      </c>
      <c r="K1433" s="36">
        <f t="shared" si="726"/>
        <v>576646.9</v>
      </c>
      <c r="L1433" s="36">
        <f t="shared" si="720"/>
        <v>53.127255778455073</v>
      </c>
      <c r="M1433" s="36">
        <f t="shared" si="722"/>
        <v>100</v>
      </c>
    </row>
    <row r="1434" spans="1:13">
      <c r="A1434" s="60" t="s">
        <v>647</v>
      </c>
      <c r="B1434" s="29" t="s">
        <v>595</v>
      </c>
      <c r="C1434" s="29" t="s">
        <v>641</v>
      </c>
      <c r="D1434" s="29" t="s">
        <v>17</v>
      </c>
      <c r="E1434" s="29" t="s">
        <v>650</v>
      </c>
      <c r="F1434" s="29" t="s">
        <v>648</v>
      </c>
      <c r="G1434" s="36">
        <v>1085406.8999999999</v>
      </c>
      <c r="H1434" s="36">
        <v>1085406.8999999999</v>
      </c>
      <c r="I1434" s="36">
        <v>576646.9</v>
      </c>
      <c r="J1434" s="36">
        <v>576646.9</v>
      </c>
      <c r="K1434" s="36">
        <v>576646.9</v>
      </c>
      <c r="L1434" s="36">
        <f t="shared" si="720"/>
        <v>53.127255778455073</v>
      </c>
      <c r="M1434" s="36">
        <f t="shared" si="722"/>
        <v>100</v>
      </c>
    </row>
    <row r="1435" spans="1:13">
      <c r="A1435" s="60" t="s">
        <v>651</v>
      </c>
      <c r="B1435" s="29" t="s">
        <v>595</v>
      </c>
      <c r="C1435" s="29" t="s">
        <v>641</v>
      </c>
      <c r="D1435" s="29" t="s">
        <v>106</v>
      </c>
      <c r="E1435" s="59" t="s">
        <v>0</v>
      </c>
      <c r="F1435" s="59" t="s">
        <v>0</v>
      </c>
      <c r="G1435" s="36">
        <f>G1436</f>
        <v>267955.5</v>
      </c>
      <c r="H1435" s="36">
        <f t="shared" ref="H1435:K1435" si="727">H1436</f>
        <v>267955.5</v>
      </c>
      <c r="I1435" s="36">
        <f t="shared" si="727"/>
        <v>67838</v>
      </c>
      <c r="J1435" s="36">
        <f t="shared" si="727"/>
        <v>67838</v>
      </c>
      <c r="K1435" s="36">
        <f t="shared" si="727"/>
        <v>67838</v>
      </c>
      <c r="L1435" s="36">
        <f t="shared" si="720"/>
        <v>25.316890304546835</v>
      </c>
      <c r="M1435" s="36">
        <f t="shared" si="722"/>
        <v>100</v>
      </c>
    </row>
    <row r="1436" spans="1:13" ht="51">
      <c r="A1436" s="60" t="s">
        <v>596</v>
      </c>
      <c r="B1436" s="29" t="s">
        <v>595</v>
      </c>
      <c r="C1436" s="29" t="s">
        <v>641</v>
      </c>
      <c r="D1436" s="29" t="s">
        <v>106</v>
      </c>
      <c r="E1436" s="29" t="s">
        <v>597</v>
      </c>
      <c r="F1436" s="59" t="s">
        <v>0</v>
      </c>
      <c r="G1436" s="36">
        <f>G1437</f>
        <v>267955.5</v>
      </c>
      <c r="H1436" s="36">
        <f t="shared" ref="H1436:K1436" si="728">H1437</f>
        <v>267955.5</v>
      </c>
      <c r="I1436" s="36">
        <f t="shared" si="728"/>
        <v>67838</v>
      </c>
      <c r="J1436" s="36">
        <f t="shared" si="728"/>
        <v>67838</v>
      </c>
      <c r="K1436" s="36">
        <f t="shared" si="728"/>
        <v>67838</v>
      </c>
      <c r="L1436" s="36">
        <f t="shared" si="720"/>
        <v>25.316890304546835</v>
      </c>
      <c r="M1436" s="36">
        <f t="shared" si="722"/>
        <v>100</v>
      </c>
    </row>
    <row r="1437" spans="1:13" ht="38.25">
      <c r="A1437" s="60" t="s">
        <v>643</v>
      </c>
      <c r="B1437" s="29" t="s">
        <v>595</v>
      </c>
      <c r="C1437" s="29" t="s">
        <v>641</v>
      </c>
      <c r="D1437" s="29" t="s">
        <v>106</v>
      </c>
      <c r="E1437" s="29" t="s">
        <v>644</v>
      </c>
      <c r="F1437" s="59" t="s">
        <v>0</v>
      </c>
      <c r="G1437" s="36">
        <f>G1438+G1441</f>
        <v>267955.5</v>
      </c>
      <c r="H1437" s="36">
        <f t="shared" ref="H1437:K1437" si="729">H1438+H1441</f>
        <v>267955.5</v>
      </c>
      <c r="I1437" s="36">
        <f t="shared" si="729"/>
        <v>67838</v>
      </c>
      <c r="J1437" s="36">
        <f t="shared" si="729"/>
        <v>67838</v>
      </c>
      <c r="K1437" s="36">
        <f t="shared" si="729"/>
        <v>67838</v>
      </c>
      <c r="L1437" s="36">
        <f t="shared" si="720"/>
        <v>25.316890304546835</v>
      </c>
      <c r="M1437" s="36">
        <f t="shared" si="722"/>
        <v>100</v>
      </c>
    </row>
    <row r="1438" spans="1:13" ht="38.25">
      <c r="A1438" s="60" t="s">
        <v>652</v>
      </c>
      <c r="B1438" s="29" t="s">
        <v>595</v>
      </c>
      <c r="C1438" s="29" t="s">
        <v>641</v>
      </c>
      <c r="D1438" s="29" t="s">
        <v>106</v>
      </c>
      <c r="E1438" s="29" t="s">
        <v>653</v>
      </c>
      <c r="F1438" s="59" t="s">
        <v>0</v>
      </c>
      <c r="G1438" s="36">
        <f>G1439</f>
        <v>207668</v>
      </c>
      <c r="H1438" s="36">
        <f t="shared" ref="H1438:K1439" si="730">H1439</f>
        <v>207668</v>
      </c>
      <c r="I1438" s="36">
        <f t="shared" si="730"/>
        <v>67838</v>
      </c>
      <c r="J1438" s="36">
        <f t="shared" si="730"/>
        <v>67838</v>
      </c>
      <c r="K1438" s="36">
        <f t="shared" si="730"/>
        <v>67838</v>
      </c>
      <c r="L1438" s="36">
        <f t="shared" si="720"/>
        <v>32.666563938594294</v>
      </c>
      <c r="M1438" s="36">
        <f t="shared" si="722"/>
        <v>100</v>
      </c>
    </row>
    <row r="1439" spans="1:13">
      <c r="A1439" s="60" t="s">
        <v>26</v>
      </c>
      <c r="B1439" s="29" t="s">
        <v>595</v>
      </c>
      <c r="C1439" s="29" t="s">
        <v>641</v>
      </c>
      <c r="D1439" s="29" t="s">
        <v>106</v>
      </c>
      <c r="E1439" s="29" t="s">
        <v>653</v>
      </c>
      <c r="F1439" s="29" t="s">
        <v>27</v>
      </c>
      <c r="G1439" s="36">
        <f>G1440</f>
        <v>207668</v>
      </c>
      <c r="H1439" s="36">
        <f t="shared" si="730"/>
        <v>207668</v>
      </c>
      <c r="I1439" s="36">
        <f t="shared" si="730"/>
        <v>67838</v>
      </c>
      <c r="J1439" s="36">
        <f t="shared" si="730"/>
        <v>67838</v>
      </c>
      <c r="K1439" s="36">
        <f t="shared" si="730"/>
        <v>67838</v>
      </c>
      <c r="L1439" s="36">
        <f t="shared" si="720"/>
        <v>32.666563938594294</v>
      </c>
      <c r="M1439" s="36">
        <f t="shared" si="722"/>
        <v>100</v>
      </c>
    </row>
    <row r="1440" spans="1:13">
      <c r="A1440" s="60" t="s">
        <v>647</v>
      </c>
      <c r="B1440" s="29" t="s">
        <v>595</v>
      </c>
      <c r="C1440" s="29" t="s">
        <v>641</v>
      </c>
      <c r="D1440" s="29" t="s">
        <v>106</v>
      </c>
      <c r="E1440" s="29" t="s">
        <v>653</v>
      </c>
      <c r="F1440" s="29" t="s">
        <v>648</v>
      </c>
      <c r="G1440" s="36">
        <v>207668</v>
      </c>
      <c r="H1440" s="36">
        <v>207668</v>
      </c>
      <c r="I1440" s="36">
        <v>67838</v>
      </c>
      <c r="J1440" s="36">
        <v>67838</v>
      </c>
      <c r="K1440" s="36">
        <v>67838</v>
      </c>
      <c r="L1440" s="36">
        <f t="shared" si="720"/>
        <v>32.666563938594294</v>
      </c>
      <c r="M1440" s="36">
        <f t="shared" si="722"/>
        <v>100</v>
      </c>
    </row>
    <row r="1441" spans="1:13" ht="25.5">
      <c r="A1441" s="60" t="s">
        <v>654</v>
      </c>
      <c r="B1441" s="29" t="s">
        <v>595</v>
      </c>
      <c r="C1441" s="29" t="s">
        <v>641</v>
      </c>
      <c r="D1441" s="29" t="s">
        <v>106</v>
      </c>
      <c r="E1441" s="29" t="s">
        <v>655</v>
      </c>
      <c r="F1441" s="59" t="s">
        <v>0</v>
      </c>
      <c r="G1441" s="36">
        <f>G1442</f>
        <v>60287.5</v>
      </c>
      <c r="H1441" s="36">
        <f t="shared" ref="H1441:K1442" si="731">H1442</f>
        <v>60287.5</v>
      </c>
      <c r="I1441" s="36">
        <f t="shared" si="731"/>
        <v>0</v>
      </c>
      <c r="J1441" s="36">
        <f t="shared" si="731"/>
        <v>0</v>
      </c>
      <c r="K1441" s="36">
        <f t="shared" si="731"/>
        <v>0</v>
      </c>
      <c r="L1441" s="36">
        <f t="shared" si="720"/>
        <v>0</v>
      </c>
      <c r="M1441" s="36">
        <v>0</v>
      </c>
    </row>
    <row r="1442" spans="1:13">
      <c r="A1442" s="60" t="s">
        <v>26</v>
      </c>
      <c r="B1442" s="29" t="s">
        <v>595</v>
      </c>
      <c r="C1442" s="29" t="s">
        <v>641</v>
      </c>
      <c r="D1442" s="29" t="s">
        <v>106</v>
      </c>
      <c r="E1442" s="29" t="s">
        <v>655</v>
      </c>
      <c r="F1442" s="29" t="s">
        <v>27</v>
      </c>
      <c r="G1442" s="36">
        <f>G1443</f>
        <v>60287.5</v>
      </c>
      <c r="H1442" s="36">
        <f t="shared" si="731"/>
        <v>60287.5</v>
      </c>
      <c r="I1442" s="36">
        <f t="shared" si="731"/>
        <v>0</v>
      </c>
      <c r="J1442" s="36">
        <f t="shared" si="731"/>
        <v>0</v>
      </c>
      <c r="K1442" s="36">
        <f t="shared" si="731"/>
        <v>0</v>
      </c>
      <c r="L1442" s="36">
        <f t="shared" si="720"/>
        <v>0</v>
      </c>
      <c r="M1442" s="36">
        <v>0</v>
      </c>
    </row>
    <row r="1443" spans="1:13">
      <c r="A1443" s="60" t="s">
        <v>647</v>
      </c>
      <c r="B1443" s="29" t="s">
        <v>595</v>
      </c>
      <c r="C1443" s="29" t="s">
        <v>641</v>
      </c>
      <c r="D1443" s="29" t="s">
        <v>106</v>
      </c>
      <c r="E1443" s="29" t="s">
        <v>655</v>
      </c>
      <c r="F1443" s="29" t="s">
        <v>648</v>
      </c>
      <c r="G1443" s="36">
        <v>60287.5</v>
      </c>
      <c r="H1443" s="36">
        <v>60287.5</v>
      </c>
      <c r="I1443" s="36">
        <v>0</v>
      </c>
      <c r="J1443" s="36">
        <v>0</v>
      </c>
      <c r="K1443" s="36">
        <v>0</v>
      </c>
      <c r="L1443" s="36">
        <f t="shared" si="720"/>
        <v>0</v>
      </c>
      <c r="M1443" s="36">
        <v>0</v>
      </c>
    </row>
    <row r="1444" spans="1:13">
      <c r="A1444" s="60" t="s">
        <v>656</v>
      </c>
      <c r="B1444" s="29" t="s">
        <v>595</v>
      </c>
      <c r="C1444" s="29" t="s">
        <v>641</v>
      </c>
      <c r="D1444" s="29" t="s">
        <v>150</v>
      </c>
      <c r="E1444" s="59" t="s">
        <v>0</v>
      </c>
      <c r="F1444" s="59" t="s">
        <v>0</v>
      </c>
      <c r="G1444" s="36">
        <f>G1445</f>
        <v>1992310</v>
      </c>
      <c r="H1444" s="36">
        <f t="shared" ref="H1444:K1444" si="732">H1445</f>
        <v>1992310</v>
      </c>
      <c r="I1444" s="36">
        <f t="shared" si="732"/>
        <v>978856</v>
      </c>
      <c r="J1444" s="36">
        <f t="shared" si="732"/>
        <v>978195.88</v>
      </c>
      <c r="K1444" s="36">
        <f t="shared" si="732"/>
        <v>978195.88</v>
      </c>
      <c r="L1444" s="36">
        <f t="shared" si="720"/>
        <v>49.098578032535094</v>
      </c>
      <c r="M1444" s="36">
        <f t="shared" si="722"/>
        <v>99.932562092892113</v>
      </c>
    </row>
    <row r="1445" spans="1:13" ht="51">
      <c r="A1445" s="60" t="s">
        <v>596</v>
      </c>
      <c r="B1445" s="29" t="s">
        <v>595</v>
      </c>
      <c r="C1445" s="29" t="s">
        <v>641</v>
      </c>
      <c r="D1445" s="29" t="s">
        <v>150</v>
      </c>
      <c r="E1445" s="29" t="s">
        <v>597</v>
      </c>
      <c r="F1445" s="59" t="s">
        <v>0</v>
      </c>
      <c r="G1445" s="36">
        <f>G1446+G1453</f>
        <v>1992310</v>
      </c>
      <c r="H1445" s="36">
        <f t="shared" ref="H1445:K1445" si="733">H1446+H1453</f>
        <v>1992310</v>
      </c>
      <c r="I1445" s="36">
        <f t="shared" si="733"/>
        <v>978856</v>
      </c>
      <c r="J1445" s="36">
        <f t="shared" si="733"/>
        <v>978195.88</v>
      </c>
      <c r="K1445" s="36">
        <f t="shared" si="733"/>
        <v>978195.88</v>
      </c>
      <c r="L1445" s="36">
        <f t="shared" si="720"/>
        <v>49.098578032535094</v>
      </c>
      <c r="M1445" s="36">
        <f t="shared" si="722"/>
        <v>99.932562092892113</v>
      </c>
    </row>
    <row r="1446" spans="1:13" ht="51">
      <c r="A1446" s="60" t="s">
        <v>598</v>
      </c>
      <c r="B1446" s="29" t="s">
        <v>595</v>
      </c>
      <c r="C1446" s="29" t="s">
        <v>641</v>
      </c>
      <c r="D1446" s="29" t="s">
        <v>150</v>
      </c>
      <c r="E1446" s="29" t="s">
        <v>599</v>
      </c>
      <c r="F1446" s="59" t="s">
        <v>0</v>
      </c>
      <c r="G1446" s="36">
        <f>G1447+G1450</f>
        <v>5490</v>
      </c>
      <c r="H1446" s="36">
        <f t="shared" ref="H1446:K1446" si="734">H1447+H1450</f>
        <v>5490</v>
      </c>
      <c r="I1446" s="36">
        <f t="shared" si="734"/>
        <v>3285</v>
      </c>
      <c r="J1446" s="36">
        <f t="shared" si="734"/>
        <v>2624.88</v>
      </c>
      <c r="K1446" s="36">
        <f t="shared" si="734"/>
        <v>2624.88</v>
      </c>
      <c r="L1446" s="36">
        <f t="shared" si="720"/>
        <v>47.812021857923497</v>
      </c>
      <c r="M1446" s="36">
        <f t="shared" si="722"/>
        <v>79.905022831050232</v>
      </c>
    </row>
    <row r="1447" spans="1:13" ht="38.25">
      <c r="A1447" s="60" t="s">
        <v>657</v>
      </c>
      <c r="B1447" s="29" t="s">
        <v>595</v>
      </c>
      <c r="C1447" s="29" t="s">
        <v>641</v>
      </c>
      <c r="D1447" s="29" t="s">
        <v>150</v>
      </c>
      <c r="E1447" s="29" t="s">
        <v>658</v>
      </c>
      <c r="F1447" s="59" t="s">
        <v>0</v>
      </c>
      <c r="G1447" s="36">
        <f>G1448</f>
        <v>3990</v>
      </c>
      <c r="H1447" s="36">
        <f t="shared" ref="H1447:K1448" si="735">H1448</f>
        <v>3990</v>
      </c>
      <c r="I1447" s="36">
        <f t="shared" si="735"/>
        <v>1785</v>
      </c>
      <c r="J1447" s="36">
        <f t="shared" si="735"/>
        <v>1124.8800000000001</v>
      </c>
      <c r="K1447" s="36">
        <f t="shared" si="735"/>
        <v>1124.8800000000001</v>
      </c>
      <c r="L1447" s="36">
        <f t="shared" si="720"/>
        <v>28.192481203007517</v>
      </c>
      <c r="M1447" s="36">
        <f t="shared" si="722"/>
        <v>63.018487394957987</v>
      </c>
    </row>
    <row r="1448" spans="1:13">
      <c r="A1448" s="60" t="s">
        <v>26</v>
      </c>
      <c r="B1448" s="29" t="s">
        <v>595</v>
      </c>
      <c r="C1448" s="29" t="s">
        <v>641</v>
      </c>
      <c r="D1448" s="29" t="s">
        <v>150</v>
      </c>
      <c r="E1448" s="29" t="s">
        <v>658</v>
      </c>
      <c r="F1448" s="29" t="s">
        <v>27</v>
      </c>
      <c r="G1448" s="36">
        <f>G1449</f>
        <v>3990</v>
      </c>
      <c r="H1448" s="36">
        <f t="shared" si="735"/>
        <v>3990</v>
      </c>
      <c r="I1448" s="36">
        <f t="shared" si="735"/>
        <v>1785</v>
      </c>
      <c r="J1448" s="36">
        <f t="shared" si="735"/>
        <v>1124.8800000000001</v>
      </c>
      <c r="K1448" s="36">
        <f t="shared" si="735"/>
        <v>1124.8800000000001</v>
      </c>
      <c r="L1448" s="36">
        <f t="shared" si="720"/>
        <v>28.192481203007517</v>
      </c>
      <c r="M1448" s="36">
        <f t="shared" si="722"/>
        <v>63.018487394957987</v>
      </c>
    </row>
    <row r="1449" spans="1:13">
      <c r="A1449" s="60" t="s">
        <v>56</v>
      </c>
      <c r="B1449" s="29" t="s">
        <v>595</v>
      </c>
      <c r="C1449" s="29" t="s">
        <v>641</v>
      </c>
      <c r="D1449" s="29" t="s">
        <v>150</v>
      </c>
      <c r="E1449" s="29" t="s">
        <v>658</v>
      </c>
      <c r="F1449" s="29" t="s">
        <v>57</v>
      </c>
      <c r="G1449" s="36">
        <v>3990</v>
      </c>
      <c r="H1449" s="36">
        <v>3990</v>
      </c>
      <c r="I1449" s="36">
        <v>1785</v>
      </c>
      <c r="J1449" s="36">
        <v>1124.8800000000001</v>
      </c>
      <c r="K1449" s="36">
        <v>1124.8800000000001</v>
      </c>
      <c r="L1449" s="36">
        <f t="shared" si="720"/>
        <v>28.192481203007517</v>
      </c>
      <c r="M1449" s="36">
        <f t="shared" si="722"/>
        <v>63.018487394957987</v>
      </c>
    </row>
    <row r="1450" spans="1:13" ht="89.25">
      <c r="A1450" s="60" t="s">
        <v>659</v>
      </c>
      <c r="B1450" s="29" t="s">
        <v>595</v>
      </c>
      <c r="C1450" s="29" t="s">
        <v>641</v>
      </c>
      <c r="D1450" s="29" t="s">
        <v>150</v>
      </c>
      <c r="E1450" s="29" t="s">
        <v>660</v>
      </c>
      <c r="F1450" s="59" t="s">
        <v>0</v>
      </c>
      <c r="G1450" s="36">
        <f>G1451</f>
        <v>1500</v>
      </c>
      <c r="H1450" s="36">
        <f t="shared" ref="H1450:K1451" si="736">H1451</f>
        <v>1500</v>
      </c>
      <c r="I1450" s="36">
        <f t="shared" si="736"/>
        <v>1500</v>
      </c>
      <c r="J1450" s="36">
        <f t="shared" si="736"/>
        <v>1500</v>
      </c>
      <c r="K1450" s="36">
        <f t="shared" si="736"/>
        <v>1500</v>
      </c>
      <c r="L1450" s="36">
        <f t="shared" si="720"/>
        <v>100</v>
      </c>
      <c r="M1450" s="36">
        <f t="shared" si="722"/>
        <v>100</v>
      </c>
    </row>
    <row r="1451" spans="1:13">
      <c r="A1451" s="60" t="s">
        <v>26</v>
      </c>
      <c r="B1451" s="29" t="s">
        <v>595</v>
      </c>
      <c r="C1451" s="29" t="s">
        <v>641</v>
      </c>
      <c r="D1451" s="29" t="s">
        <v>150</v>
      </c>
      <c r="E1451" s="29" t="s">
        <v>660</v>
      </c>
      <c r="F1451" s="29" t="s">
        <v>27</v>
      </c>
      <c r="G1451" s="36">
        <f>G1452</f>
        <v>1500</v>
      </c>
      <c r="H1451" s="36">
        <f t="shared" si="736"/>
        <v>1500</v>
      </c>
      <c r="I1451" s="36">
        <f t="shared" si="736"/>
        <v>1500</v>
      </c>
      <c r="J1451" s="36">
        <f t="shared" si="736"/>
        <v>1500</v>
      </c>
      <c r="K1451" s="36">
        <f t="shared" si="736"/>
        <v>1500</v>
      </c>
      <c r="L1451" s="36">
        <f t="shared" si="720"/>
        <v>100</v>
      </c>
      <c r="M1451" s="36">
        <f t="shared" si="722"/>
        <v>100</v>
      </c>
    </row>
    <row r="1452" spans="1:13">
      <c r="A1452" s="60" t="s">
        <v>56</v>
      </c>
      <c r="B1452" s="29" t="s">
        <v>595</v>
      </c>
      <c r="C1452" s="29" t="s">
        <v>641</v>
      </c>
      <c r="D1452" s="29" t="s">
        <v>150</v>
      </c>
      <c r="E1452" s="29" t="s">
        <v>660</v>
      </c>
      <c r="F1452" s="29" t="s">
        <v>57</v>
      </c>
      <c r="G1452" s="36">
        <v>1500</v>
      </c>
      <c r="H1452" s="36">
        <v>1500</v>
      </c>
      <c r="I1452" s="36">
        <v>1500</v>
      </c>
      <c r="J1452" s="36">
        <v>1500</v>
      </c>
      <c r="K1452" s="36">
        <v>1500</v>
      </c>
      <c r="L1452" s="36">
        <f t="shared" si="720"/>
        <v>100</v>
      </c>
      <c r="M1452" s="36">
        <f t="shared" si="722"/>
        <v>100</v>
      </c>
    </row>
    <row r="1453" spans="1:13" ht="38.25">
      <c r="A1453" s="60" t="s">
        <v>643</v>
      </c>
      <c r="B1453" s="29" t="s">
        <v>595</v>
      </c>
      <c r="C1453" s="29" t="s">
        <v>641</v>
      </c>
      <c r="D1453" s="29" t="s">
        <v>150</v>
      </c>
      <c r="E1453" s="29" t="s">
        <v>644</v>
      </c>
      <c r="F1453" s="59" t="s">
        <v>0</v>
      </c>
      <c r="G1453" s="36">
        <f>G1454+G1457</f>
        <v>1986820</v>
      </c>
      <c r="H1453" s="36">
        <f t="shared" ref="H1453:K1453" si="737">H1454+H1457</f>
        <v>1986820</v>
      </c>
      <c r="I1453" s="36">
        <f t="shared" si="737"/>
        <v>975571</v>
      </c>
      <c r="J1453" s="36">
        <f t="shared" si="737"/>
        <v>975571</v>
      </c>
      <c r="K1453" s="36">
        <f t="shared" si="737"/>
        <v>975571</v>
      </c>
      <c r="L1453" s="36">
        <f t="shared" si="720"/>
        <v>49.102133056844607</v>
      </c>
      <c r="M1453" s="36">
        <f t="shared" si="722"/>
        <v>100</v>
      </c>
    </row>
    <row r="1454" spans="1:13">
      <c r="A1454" s="60" t="s">
        <v>645</v>
      </c>
      <c r="B1454" s="29" t="s">
        <v>595</v>
      </c>
      <c r="C1454" s="29" t="s">
        <v>641</v>
      </c>
      <c r="D1454" s="29" t="s">
        <v>150</v>
      </c>
      <c r="E1454" s="29" t="s">
        <v>646</v>
      </c>
      <c r="F1454" s="59" t="s">
        <v>0</v>
      </c>
      <c r="G1454" s="36">
        <f>G1455</f>
        <v>88150.9</v>
      </c>
      <c r="H1454" s="36">
        <f t="shared" ref="H1454:K1455" si="738">H1455</f>
        <v>88150.9</v>
      </c>
      <c r="I1454" s="36">
        <f t="shared" si="738"/>
        <v>45787.9</v>
      </c>
      <c r="J1454" s="36">
        <f t="shared" si="738"/>
        <v>45787.9</v>
      </c>
      <c r="K1454" s="36">
        <f t="shared" si="738"/>
        <v>45787.9</v>
      </c>
      <c r="L1454" s="36">
        <f t="shared" si="720"/>
        <v>51.942634732033369</v>
      </c>
      <c r="M1454" s="36">
        <f t="shared" si="722"/>
        <v>100</v>
      </c>
    </row>
    <row r="1455" spans="1:13">
      <c r="A1455" s="60" t="s">
        <v>26</v>
      </c>
      <c r="B1455" s="29" t="s">
        <v>595</v>
      </c>
      <c r="C1455" s="29" t="s">
        <v>641</v>
      </c>
      <c r="D1455" s="29" t="s">
        <v>150</v>
      </c>
      <c r="E1455" s="29" t="s">
        <v>646</v>
      </c>
      <c r="F1455" s="29" t="s">
        <v>27</v>
      </c>
      <c r="G1455" s="36">
        <f>G1456</f>
        <v>88150.9</v>
      </c>
      <c r="H1455" s="36">
        <f t="shared" si="738"/>
        <v>88150.9</v>
      </c>
      <c r="I1455" s="36">
        <f t="shared" si="738"/>
        <v>45787.9</v>
      </c>
      <c r="J1455" s="36">
        <f t="shared" si="738"/>
        <v>45787.9</v>
      </c>
      <c r="K1455" s="36">
        <f t="shared" si="738"/>
        <v>45787.9</v>
      </c>
      <c r="L1455" s="36">
        <f t="shared" si="720"/>
        <v>51.942634732033369</v>
      </c>
      <c r="M1455" s="36">
        <f t="shared" si="722"/>
        <v>100</v>
      </c>
    </row>
    <row r="1456" spans="1:13">
      <c r="A1456" s="60" t="s">
        <v>28</v>
      </c>
      <c r="B1456" s="29" t="s">
        <v>595</v>
      </c>
      <c r="C1456" s="29" t="s">
        <v>641</v>
      </c>
      <c r="D1456" s="29" t="s">
        <v>150</v>
      </c>
      <c r="E1456" s="29" t="s">
        <v>646</v>
      </c>
      <c r="F1456" s="29" t="s">
        <v>29</v>
      </c>
      <c r="G1456" s="36">
        <v>88150.9</v>
      </c>
      <c r="H1456" s="36">
        <v>88150.9</v>
      </c>
      <c r="I1456" s="36">
        <v>45787.9</v>
      </c>
      <c r="J1456" s="36">
        <v>45787.9</v>
      </c>
      <c r="K1456" s="36">
        <v>45787.9</v>
      </c>
      <c r="L1456" s="36">
        <f t="shared" si="720"/>
        <v>51.942634732033369</v>
      </c>
      <c r="M1456" s="36">
        <f t="shared" si="722"/>
        <v>100</v>
      </c>
    </row>
    <row r="1457" spans="1:13">
      <c r="A1457" s="60" t="s">
        <v>661</v>
      </c>
      <c r="B1457" s="29" t="s">
        <v>595</v>
      </c>
      <c r="C1457" s="29" t="s">
        <v>641</v>
      </c>
      <c r="D1457" s="29" t="s">
        <v>150</v>
      </c>
      <c r="E1457" s="29" t="s">
        <v>662</v>
      </c>
      <c r="F1457" s="59" t="s">
        <v>0</v>
      </c>
      <c r="G1457" s="36">
        <f>G1458</f>
        <v>1898669.1</v>
      </c>
      <c r="H1457" s="36">
        <f t="shared" ref="H1457:K1458" si="739">H1458</f>
        <v>1898669.1</v>
      </c>
      <c r="I1457" s="36">
        <f t="shared" si="739"/>
        <v>929783.1</v>
      </c>
      <c r="J1457" s="36">
        <f t="shared" si="739"/>
        <v>929783.1</v>
      </c>
      <c r="K1457" s="36">
        <f t="shared" si="739"/>
        <v>929783.1</v>
      </c>
      <c r="L1457" s="36">
        <f t="shared" si="720"/>
        <v>48.970255006520091</v>
      </c>
      <c r="M1457" s="36">
        <f t="shared" si="722"/>
        <v>100</v>
      </c>
    </row>
    <row r="1458" spans="1:13">
      <c r="A1458" s="60" t="s">
        <v>26</v>
      </c>
      <c r="B1458" s="29" t="s">
        <v>595</v>
      </c>
      <c r="C1458" s="29" t="s">
        <v>641</v>
      </c>
      <c r="D1458" s="29" t="s">
        <v>150</v>
      </c>
      <c r="E1458" s="29" t="s">
        <v>662</v>
      </c>
      <c r="F1458" s="29" t="s">
        <v>27</v>
      </c>
      <c r="G1458" s="36">
        <f>G1459</f>
        <v>1898669.1</v>
      </c>
      <c r="H1458" s="36">
        <f t="shared" si="739"/>
        <v>1898669.1</v>
      </c>
      <c r="I1458" s="36">
        <f t="shared" si="739"/>
        <v>929783.1</v>
      </c>
      <c r="J1458" s="36">
        <f t="shared" si="739"/>
        <v>929783.1</v>
      </c>
      <c r="K1458" s="36">
        <f t="shared" si="739"/>
        <v>929783.1</v>
      </c>
      <c r="L1458" s="36">
        <f t="shared" si="720"/>
        <v>48.970255006520091</v>
      </c>
      <c r="M1458" s="36">
        <f t="shared" si="722"/>
        <v>100</v>
      </c>
    </row>
    <row r="1459" spans="1:13">
      <c r="A1459" s="60" t="s">
        <v>56</v>
      </c>
      <c r="B1459" s="29" t="s">
        <v>595</v>
      </c>
      <c r="C1459" s="29" t="s">
        <v>641</v>
      </c>
      <c r="D1459" s="29" t="s">
        <v>150</v>
      </c>
      <c r="E1459" s="29" t="s">
        <v>662</v>
      </c>
      <c r="F1459" s="29" t="s">
        <v>57</v>
      </c>
      <c r="G1459" s="36">
        <v>1898669.1</v>
      </c>
      <c r="H1459" s="36">
        <v>1898669.1</v>
      </c>
      <c r="I1459" s="37">
        <v>929783.1</v>
      </c>
      <c r="J1459" s="36">
        <v>929783.1</v>
      </c>
      <c r="K1459" s="36">
        <v>929783.1</v>
      </c>
      <c r="L1459" s="36">
        <f t="shared" si="720"/>
        <v>48.970255006520091</v>
      </c>
      <c r="M1459" s="36">
        <f t="shared" si="722"/>
        <v>100</v>
      </c>
    </row>
    <row r="1460" spans="1:13">
      <c r="A1460" s="65" t="s">
        <v>0</v>
      </c>
      <c r="B1460" s="66" t="s">
        <v>0</v>
      </c>
      <c r="C1460" s="59" t="s">
        <v>0</v>
      </c>
      <c r="D1460" s="59" t="s">
        <v>0</v>
      </c>
      <c r="E1460" s="59" t="s">
        <v>0</v>
      </c>
      <c r="F1460" s="59" t="s">
        <v>0</v>
      </c>
      <c r="G1460" s="67" t="s">
        <v>0</v>
      </c>
      <c r="H1460" s="67" t="s">
        <v>0</v>
      </c>
      <c r="I1460" s="67" t="s">
        <v>0</v>
      </c>
      <c r="J1460" s="67" t="s">
        <v>0</v>
      </c>
      <c r="K1460" s="67" t="s">
        <v>0</v>
      </c>
      <c r="L1460" s="67"/>
      <c r="M1460" s="67"/>
    </row>
    <row r="1461" spans="1:13" ht="25.5">
      <c r="A1461" s="57" t="s">
        <v>663</v>
      </c>
      <c r="B1461" s="58" t="s">
        <v>664</v>
      </c>
      <c r="C1461" s="59" t="s">
        <v>0</v>
      </c>
      <c r="D1461" s="59" t="s">
        <v>0</v>
      </c>
      <c r="E1461" s="59" t="s">
        <v>0</v>
      </c>
      <c r="F1461" s="59" t="s">
        <v>0</v>
      </c>
      <c r="G1461" s="31">
        <f>G1462+G1473</f>
        <v>5585995.4999999991</v>
      </c>
      <c r="H1461" s="31">
        <f t="shared" ref="H1461" si="740">H1462+H1473</f>
        <v>7122297.0810699984</v>
      </c>
      <c r="I1461" s="31">
        <f t="shared" ref="I1461:K1461" si="741">I1462+I1473</f>
        <v>2160035.3377499999</v>
      </c>
      <c r="J1461" s="31">
        <f t="shared" si="741"/>
        <v>2155609.0875499998</v>
      </c>
      <c r="K1461" s="31">
        <f t="shared" si="741"/>
        <v>2086302.43074</v>
      </c>
      <c r="L1461" s="31">
        <f t="shared" si="720"/>
        <v>29.292549959549991</v>
      </c>
      <c r="M1461" s="31">
        <f t="shared" si="722"/>
        <v>96.586495335451133</v>
      </c>
    </row>
    <row r="1462" spans="1:13">
      <c r="A1462" s="60" t="s">
        <v>16</v>
      </c>
      <c r="B1462" s="29" t="s">
        <v>664</v>
      </c>
      <c r="C1462" s="29" t="s">
        <v>17</v>
      </c>
      <c r="D1462" s="59" t="s">
        <v>0</v>
      </c>
      <c r="E1462" s="59" t="s">
        <v>0</v>
      </c>
      <c r="F1462" s="59" t="s">
        <v>0</v>
      </c>
      <c r="G1462" s="36">
        <f t="shared" ref="G1462:G1470" si="742">G1463</f>
        <v>25</v>
      </c>
      <c r="H1462" s="36">
        <f t="shared" ref="H1462:K1470" si="743">H1463</f>
        <v>748.26076999999998</v>
      </c>
      <c r="I1462" s="36">
        <f t="shared" si="743"/>
        <v>128.5</v>
      </c>
      <c r="J1462" s="36">
        <f t="shared" si="743"/>
        <v>128.5</v>
      </c>
      <c r="K1462" s="36">
        <f t="shared" si="743"/>
        <v>128.5</v>
      </c>
      <c r="L1462" s="36">
        <f t="shared" si="720"/>
        <v>17.173157427456744</v>
      </c>
      <c r="M1462" s="36">
        <f t="shared" si="722"/>
        <v>100</v>
      </c>
    </row>
    <row r="1463" spans="1:13">
      <c r="A1463" s="60" t="s">
        <v>386</v>
      </c>
      <c r="B1463" s="29" t="s">
        <v>664</v>
      </c>
      <c r="C1463" s="29" t="s">
        <v>17</v>
      </c>
      <c r="D1463" s="29" t="s">
        <v>387</v>
      </c>
      <c r="E1463" s="59" t="s">
        <v>0</v>
      </c>
      <c r="F1463" s="59" t="s">
        <v>0</v>
      </c>
      <c r="G1463" s="36">
        <f t="shared" si="742"/>
        <v>25</v>
      </c>
      <c r="H1463" s="36">
        <f t="shared" si="743"/>
        <v>748.26076999999998</v>
      </c>
      <c r="I1463" s="36">
        <f t="shared" si="743"/>
        <v>128.5</v>
      </c>
      <c r="J1463" s="36">
        <f t="shared" si="743"/>
        <v>128.5</v>
      </c>
      <c r="K1463" s="36">
        <f t="shared" si="743"/>
        <v>128.5</v>
      </c>
      <c r="L1463" s="36">
        <f t="shared" si="720"/>
        <v>17.173157427456744</v>
      </c>
      <c r="M1463" s="36">
        <f t="shared" si="722"/>
        <v>100</v>
      </c>
    </row>
    <row r="1464" spans="1:13" ht="38.25">
      <c r="A1464" s="60" t="s">
        <v>665</v>
      </c>
      <c r="B1464" s="29" t="s">
        <v>664</v>
      </c>
      <c r="C1464" s="29" t="s">
        <v>17</v>
      </c>
      <c r="D1464" s="29" t="s">
        <v>387</v>
      </c>
      <c r="E1464" s="29" t="s">
        <v>666</v>
      </c>
      <c r="F1464" s="59" t="s">
        <v>0</v>
      </c>
      <c r="G1464" s="36">
        <f t="shared" si="742"/>
        <v>25</v>
      </c>
      <c r="H1464" s="36">
        <f t="shared" si="743"/>
        <v>748.26076999999998</v>
      </c>
      <c r="I1464" s="36">
        <f t="shared" si="743"/>
        <v>128.5</v>
      </c>
      <c r="J1464" s="36">
        <f t="shared" si="743"/>
        <v>128.5</v>
      </c>
      <c r="K1464" s="36">
        <f t="shared" si="743"/>
        <v>128.5</v>
      </c>
      <c r="L1464" s="36">
        <f t="shared" si="720"/>
        <v>17.173157427456744</v>
      </c>
      <c r="M1464" s="36">
        <f t="shared" si="722"/>
        <v>100</v>
      </c>
    </row>
    <row r="1465" spans="1:13" ht="38.25">
      <c r="A1465" s="60" t="s">
        <v>667</v>
      </c>
      <c r="B1465" s="29" t="s">
        <v>664</v>
      </c>
      <c r="C1465" s="29" t="s">
        <v>17</v>
      </c>
      <c r="D1465" s="29" t="s">
        <v>387</v>
      </c>
      <c r="E1465" s="29" t="s">
        <v>668</v>
      </c>
      <c r="F1465" s="59" t="s">
        <v>0</v>
      </c>
      <c r="G1465" s="36">
        <f>G1469</f>
        <v>25</v>
      </c>
      <c r="H1465" s="36">
        <f>H1469+H1466</f>
        <v>748.26076999999998</v>
      </c>
      <c r="I1465" s="36">
        <f t="shared" ref="I1465:K1465" si="744">I1469+I1466</f>
        <v>128.5</v>
      </c>
      <c r="J1465" s="36">
        <f t="shared" si="744"/>
        <v>128.5</v>
      </c>
      <c r="K1465" s="36">
        <f t="shared" si="744"/>
        <v>128.5</v>
      </c>
      <c r="L1465" s="36">
        <f t="shared" si="720"/>
        <v>17.173157427456744</v>
      </c>
      <c r="M1465" s="36">
        <f t="shared" si="722"/>
        <v>100</v>
      </c>
    </row>
    <row r="1466" spans="1:13" ht="18.75" customHeight="1">
      <c r="A1466" s="60" t="s">
        <v>609</v>
      </c>
      <c r="B1466" s="29" t="s">
        <v>664</v>
      </c>
      <c r="C1466" s="29" t="s">
        <v>17</v>
      </c>
      <c r="D1466" s="29" t="s">
        <v>387</v>
      </c>
      <c r="E1466" s="30" t="s">
        <v>1184</v>
      </c>
      <c r="F1466" s="59"/>
      <c r="G1466" s="36"/>
      <c r="H1466" s="36">
        <f>H1468</f>
        <v>723.26076999999998</v>
      </c>
      <c r="I1466" s="36">
        <f t="shared" ref="I1466:K1466" si="745">I1468</f>
        <v>128.5</v>
      </c>
      <c r="J1466" s="36">
        <f t="shared" si="745"/>
        <v>128.5</v>
      </c>
      <c r="K1466" s="36">
        <f t="shared" si="745"/>
        <v>128.5</v>
      </c>
      <c r="L1466" s="36">
        <f t="shared" ref="L1466:L1468" si="746">K1466/H1466*100</f>
        <v>17.766759283791931</v>
      </c>
      <c r="M1466" s="36">
        <f t="shared" ref="M1466:M1468" si="747">K1466/I1466*100</f>
        <v>100</v>
      </c>
    </row>
    <row r="1467" spans="1:13">
      <c r="A1467" s="60" t="s">
        <v>72</v>
      </c>
      <c r="B1467" s="29" t="s">
        <v>664</v>
      </c>
      <c r="C1467" s="29" t="s">
        <v>17</v>
      </c>
      <c r="D1467" s="29" t="s">
        <v>387</v>
      </c>
      <c r="E1467" s="30" t="s">
        <v>1184</v>
      </c>
      <c r="F1467" s="59">
        <v>800</v>
      </c>
      <c r="G1467" s="36"/>
      <c r="H1467" s="36">
        <f>H1468</f>
        <v>723.26076999999998</v>
      </c>
      <c r="I1467" s="36">
        <f t="shared" ref="I1467:K1467" si="748">I1468</f>
        <v>128.5</v>
      </c>
      <c r="J1467" s="36">
        <f t="shared" si="748"/>
        <v>128.5</v>
      </c>
      <c r="K1467" s="36">
        <f t="shared" si="748"/>
        <v>128.5</v>
      </c>
      <c r="L1467" s="36">
        <f t="shared" si="746"/>
        <v>17.766759283791931</v>
      </c>
      <c r="M1467" s="36">
        <f t="shared" si="747"/>
        <v>100</v>
      </c>
    </row>
    <row r="1468" spans="1:13">
      <c r="A1468" s="60" t="s">
        <v>84</v>
      </c>
      <c r="B1468" s="29" t="s">
        <v>664</v>
      </c>
      <c r="C1468" s="29" t="s">
        <v>17</v>
      </c>
      <c r="D1468" s="29" t="s">
        <v>387</v>
      </c>
      <c r="E1468" s="30" t="s">
        <v>1184</v>
      </c>
      <c r="F1468" s="59">
        <v>830</v>
      </c>
      <c r="G1468" s="36"/>
      <c r="H1468" s="36">
        <v>723.26076999999998</v>
      </c>
      <c r="I1468" s="36">
        <v>128.5</v>
      </c>
      <c r="J1468" s="36">
        <v>128.5</v>
      </c>
      <c r="K1468" s="36">
        <v>128.5</v>
      </c>
      <c r="L1468" s="36">
        <f t="shared" si="746"/>
        <v>17.766759283791931</v>
      </c>
      <c r="M1468" s="36">
        <f t="shared" si="747"/>
        <v>100</v>
      </c>
    </row>
    <row r="1469" spans="1:13" ht="38.25">
      <c r="A1469" s="60" t="s">
        <v>669</v>
      </c>
      <c r="B1469" s="29" t="s">
        <v>664</v>
      </c>
      <c r="C1469" s="29" t="s">
        <v>17</v>
      </c>
      <c r="D1469" s="29" t="s">
        <v>387</v>
      </c>
      <c r="E1469" s="29" t="s">
        <v>670</v>
      </c>
      <c r="F1469" s="59" t="s">
        <v>0</v>
      </c>
      <c r="G1469" s="36">
        <f t="shared" si="742"/>
        <v>25</v>
      </c>
      <c r="H1469" s="36">
        <f t="shared" si="743"/>
        <v>25</v>
      </c>
      <c r="I1469" s="36">
        <f t="shared" si="743"/>
        <v>0</v>
      </c>
      <c r="J1469" s="36">
        <f t="shared" si="743"/>
        <v>0</v>
      </c>
      <c r="K1469" s="36">
        <f t="shared" si="743"/>
        <v>0</v>
      </c>
      <c r="L1469" s="36">
        <f t="shared" si="720"/>
        <v>0</v>
      </c>
      <c r="M1469" s="36">
        <v>0</v>
      </c>
    </row>
    <row r="1470" spans="1:13">
      <c r="A1470" s="60" t="s">
        <v>72</v>
      </c>
      <c r="B1470" s="29" t="s">
        <v>664</v>
      </c>
      <c r="C1470" s="29" t="s">
        <v>17</v>
      </c>
      <c r="D1470" s="29" t="s">
        <v>387</v>
      </c>
      <c r="E1470" s="29" t="s">
        <v>670</v>
      </c>
      <c r="F1470" s="29" t="s">
        <v>73</v>
      </c>
      <c r="G1470" s="36">
        <f t="shared" si="742"/>
        <v>25</v>
      </c>
      <c r="H1470" s="36">
        <f t="shared" si="743"/>
        <v>25</v>
      </c>
      <c r="I1470" s="36">
        <f t="shared" si="743"/>
        <v>0</v>
      </c>
      <c r="J1470" s="36">
        <f t="shared" si="743"/>
        <v>0</v>
      </c>
      <c r="K1470" s="36">
        <f t="shared" si="743"/>
        <v>0</v>
      </c>
      <c r="L1470" s="36">
        <f t="shared" si="720"/>
        <v>0</v>
      </c>
      <c r="M1470" s="36">
        <v>0</v>
      </c>
    </row>
    <row r="1471" spans="1:13">
      <c r="A1471" s="60" t="s">
        <v>615</v>
      </c>
      <c r="B1471" s="29" t="s">
        <v>664</v>
      </c>
      <c r="C1471" s="29" t="s">
        <v>17</v>
      </c>
      <c r="D1471" s="29" t="s">
        <v>387</v>
      </c>
      <c r="E1471" s="29" t="s">
        <v>670</v>
      </c>
      <c r="F1471" s="29" t="s">
        <v>616</v>
      </c>
      <c r="G1471" s="36">
        <v>25</v>
      </c>
      <c r="H1471" s="36">
        <v>25</v>
      </c>
      <c r="I1471" s="36">
        <v>0</v>
      </c>
      <c r="J1471" s="36">
        <v>0</v>
      </c>
      <c r="K1471" s="36">
        <v>0</v>
      </c>
      <c r="L1471" s="36">
        <f t="shared" si="720"/>
        <v>0</v>
      </c>
      <c r="M1471" s="36">
        <v>0</v>
      </c>
    </row>
    <row r="1472" spans="1:13">
      <c r="A1472" s="61" t="s">
        <v>0</v>
      </c>
      <c r="B1472" s="59" t="s">
        <v>0</v>
      </c>
      <c r="C1472" s="59" t="s">
        <v>0</v>
      </c>
      <c r="D1472" s="59" t="s">
        <v>0</v>
      </c>
      <c r="E1472" s="59" t="s">
        <v>0</v>
      </c>
      <c r="F1472" s="59" t="s">
        <v>0</v>
      </c>
      <c r="G1472" s="62" t="s">
        <v>0</v>
      </c>
      <c r="H1472" s="62" t="s">
        <v>0</v>
      </c>
      <c r="I1472" s="62" t="s">
        <v>0</v>
      </c>
      <c r="J1472" s="62" t="s">
        <v>0</v>
      </c>
      <c r="K1472" s="62" t="s">
        <v>0</v>
      </c>
      <c r="L1472" s="62"/>
      <c r="M1472" s="62"/>
    </row>
    <row r="1473" spans="1:13">
      <c r="A1473" s="60" t="s">
        <v>30</v>
      </c>
      <c r="B1473" s="29" t="s">
        <v>664</v>
      </c>
      <c r="C1473" s="29" t="s">
        <v>19</v>
      </c>
      <c r="D1473" s="59" t="s">
        <v>0</v>
      </c>
      <c r="E1473" s="59" t="s">
        <v>0</v>
      </c>
      <c r="F1473" s="59" t="s">
        <v>0</v>
      </c>
      <c r="G1473" s="36">
        <f>G1474+G1508+G1571</f>
        <v>5585970.4999999991</v>
      </c>
      <c r="H1473" s="36">
        <f t="shared" ref="H1473" si="749">H1474+H1508+H1571</f>
        <v>7121548.8202999989</v>
      </c>
      <c r="I1473" s="36">
        <f t="shared" ref="I1473:K1473" si="750">I1474+I1508+I1571</f>
        <v>2159906.8377499999</v>
      </c>
      <c r="J1473" s="36">
        <f t="shared" si="750"/>
        <v>2155480.5875499998</v>
      </c>
      <c r="K1473" s="36">
        <f t="shared" si="750"/>
        <v>2086173.93074</v>
      </c>
      <c r="L1473" s="36">
        <f t="shared" si="720"/>
        <v>29.29382334350295</v>
      </c>
      <c r="M1473" s="36">
        <f t="shared" si="722"/>
        <v>96.586292254771124</v>
      </c>
    </row>
    <row r="1474" spans="1:13">
      <c r="A1474" s="60" t="s">
        <v>671</v>
      </c>
      <c r="B1474" s="29" t="s">
        <v>664</v>
      </c>
      <c r="C1474" s="29" t="s">
        <v>19</v>
      </c>
      <c r="D1474" s="29" t="s">
        <v>130</v>
      </c>
      <c r="E1474" s="59" t="s">
        <v>0</v>
      </c>
      <c r="F1474" s="59" t="s">
        <v>0</v>
      </c>
      <c r="G1474" s="36">
        <f>G1475+G1480</f>
        <v>505602.60000000003</v>
      </c>
      <c r="H1474" s="36">
        <f t="shared" ref="H1474" si="751">H1475+H1480</f>
        <v>532667.14208000002</v>
      </c>
      <c r="I1474" s="36">
        <f t="shared" ref="I1474:K1474" si="752">I1475+I1480</f>
        <v>261126.69865000001</v>
      </c>
      <c r="J1474" s="36">
        <f t="shared" si="752"/>
        <v>261126.69865000001</v>
      </c>
      <c r="K1474" s="36">
        <f t="shared" si="752"/>
        <v>242382.47878</v>
      </c>
      <c r="L1474" s="36">
        <f t="shared" si="720"/>
        <v>45.50355365144658</v>
      </c>
      <c r="M1474" s="36">
        <f t="shared" si="722"/>
        <v>92.821791120208758</v>
      </c>
    </row>
    <row r="1475" spans="1:13" ht="38.25">
      <c r="A1475" s="60" t="s">
        <v>299</v>
      </c>
      <c r="B1475" s="29" t="s">
        <v>664</v>
      </c>
      <c r="C1475" s="29" t="s">
        <v>19</v>
      </c>
      <c r="D1475" s="29" t="s">
        <v>130</v>
      </c>
      <c r="E1475" s="29" t="s">
        <v>300</v>
      </c>
      <c r="F1475" s="59" t="s">
        <v>0</v>
      </c>
      <c r="G1475" s="36">
        <f>G1476</f>
        <v>1432</v>
      </c>
      <c r="H1475" s="36">
        <f t="shared" ref="H1475:K1478" si="753">H1476</f>
        <v>1432</v>
      </c>
      <c r="I1475" s="36">
        <f t="shared" si="753"/>
        <v>0</v>
      </c>
      <c r="J1475" s="36">
        <f t="shared" si="753"/>
        <v>0</v>
      </c>
      <c r="K1475" s="36">
        <f t="shared" si="753"/>
        <v>0</v>
      </c>
      <c r="L1475" s="36">
        <f t="shared" si="720"/>
        <v>0</v>
      </c>
      <c r="M1475" s="36">
        <v>0</v>
      </c>
    </row>
    <row r="1476" spans="1:13">
      <c r="A1476" s="60" t="s">
        <v>301</v>
      </c>
      <c r="B1476" s="29" t="s">
        <v>664</v>
      </c>
      <c r="C1476" s="29" t="s">
        <v>19</v>
      </c>
      <c r="D1476" s="29" t="s">
        <v>130</v>
      </c>
      <c r="E1476" s="29" t="s">
        <v>302</v>
      </c>
      <c r="F1476" s="59" t="s">
        <v>0</v>
      </c>
      <c r="G1476" s="36">
        <f>G1477</f>
        <v>1432</v>
      </c>
      <c r="H1476" s="36">
        <f t="shared" si="753"/>
        <v>1432</v>
      </c>
      <c r="I1476" s="36">
        <f t="shared" si="753"/>
        <v>0</v>
      </c>
      <c r="J1476" s="36">
        <f t="shared" si="753"/>
        <v>0</v>
      </c>
      <c r="K1476" s="36">
        <f t="shared" si="753"/>
        <v>0</v>
      </c>
      <c r="L1476" s="36">
        <f t="shared" si="720"/>
        <v>0</v>
      </c>
      <c r="M1476" s="36">
        <v>0</v>
      </c>
    </row>
    <row r="1477" spans="1:13" ht="38.25">
      <c r="A1477" s="60" t="s">
        <v>357</v>
      </c>
      <c r="B1477" s="29" t="s">
        <v>664</v>
      </c>
      <c r="C1477" s="29" t="s">
        <v>19</v>
      </c>
      <c r="D1477" s="29" t="s">
        <v>130</v>
      </c>
      <c r="E1477" s="29" t="s">
        <v>358</v>
      </c>
      <c r="F1477" s="59" t="s">
        <v>0</v>
      </c>
      <c r="G1477" s="36">
        <f>G1478</f>
        <v>1432</v>
      </c>
      <c r="H1477" s="36">
        <f t="shared" si="753"/>
        <v>1432</v>
      </c>
      <c r="I1477" s="36">
        <f t="shared" si="753"/>
        <v>0</v>
      </c>
      <c r="J1477" s="36">
        <f t="shared" si="753"/>
        <v>0</v>
      </c>
      <c r="K1477" s="36">
        <f t="shared" si="753"/>
        <v>0</v>
      </c>
      <c r="L1477" s="36">
        <f t="shared" si="720"/>
        <v>0</v>
      </c>
      <c r="M1477" s="36">
        <v>0</v>
      </c>
    </row>
    <row r="1478" spans="1:13">
      <c r="A1478" s="60" t="s">
        <v>26</v>
      </c>
      <c r="B1478" s="29" t="s">
        <v>664</v>
      </c>
      <c r="C1478" s="29" t="s">
        <v>19</v>
      </c>
      <c r="D1478" s="29" t="s">
        <v>130</v>
      </c>
      <c r="E1478" s="29" t="s">
        <v>358</v>
      </c>
      <c r="F1478" s="29" t="s">
        <v>27</v>
      </c>
      <c r="G1478" s="36">
        <f>G1479</f>
        <v>1432</v>
      </c>
      <c r="H1478" s="36">
        <f t="shared" si="753"/>
        <v>1432</v>
      </c>
      <c r="I1478" s="36">
        <f t="shared" si="753"/>
        <v>0</v>
      </c>
      <c r="J1478" s="36">
        <f t="shared" si="753"/>
        <v>0</v>
      </c>
      <c r="K1478" s="36">
        <f t="shared" si="753"/>
        <v>0</v>
      </c>
      <c r="L1478" s="36">
        <f t="shared" si="720"/>
        <v>0</v>
      </c>
      <c r="M1478" s="36">
        <v>0</v>
      </c>
    </row>
    <row r="1479" spans="1:13">
      <c r="A1479" s="60" t="s">
        <v>56</v>
      </c>
      <c r="B1479" s="29" t="s">
        <v>664</v>
      </c>
      <c r="C1479" s="29" t="s">
        <v>19</v>
      </c>
      <c r="D1479" s="29" t="s">
        <v>130</v>
      </c>
      <c r="E1479" s="29" t="s">
        <v>358</v>
      </c>
      <c r="F1479" s="29" t="s">
        <v>57</v>
      </c>
      <c r="G1479" s="36">
        <v>1432</v>
      </c>
      <c r="H1479" s="36">
        <v>1432</v>
      </c>
      <c r="I1479" s="36">
        <v>0</v>
      </c>
      <c r="J1479" s="36">
        <v>0</v>
      </c>
      <c r="K1479" s="36">
        <v>0</v>
      </c>
      <c r="L1479" s="36">
        <f t="shared" si="720"/>
        <v>0</v>
      </c>
      <c r="M1479" s="36">
        <v>0</v>
      </c>
    </row>
    <row r="1480" spans="1:13" ht="38.25">
      <c r="A1480" s="60" t="s">
        <v>665</v>
      </c>
      <c r="B1480" s="29" t="s">
        <v>664</v>
      </c>
      <c r="C1480" s="29" t="s">
        <v>19</v>
      </c>
      <c r="D1480" s="29" t="s">
        <v>130</v>
      </c>
      <c r="E1480" s="29" t="s">
        <v>666</v>
      </c>
      <c r="F1480" s="59" t="s">
        <v>0</v>
      </c>
      <c r="G1480" s="36">
        <f>G1481+G1494+G1498</f>
        <v>504170.60000000003</v>
      </c>
      <c r="H1480" s="36">
        <f t="shared" ref="H1480:K1480" si="754">H1481+H1494+H1498</f>
        <v>531235.14208000002</v>
      </c>
      <c r="I1480" s="36">
        <f t="shared" si="754"/>
        <v>261126.69865000001</v>
      </c>
      <c r="J1480" s="36">
        <f t="shared" si="754"/>
        <v>261126.69865000001</v>
      </c>
      <c r="K1480" s="36">
        <f t="shared" si="754"/>
        <v>242382.47878</v>
      </c>
      <c r="L1480" s="36">
        <f t="shared" si="720"/>
        <v>45.626213249179024</v>
      </c>
      <c r="M1480" s="36">
        <f t="shared" si="722"/>
        <v>92.821791120208758</v>
      </c>
    </row>
    <row r="1481" spans="1:13" ht="25.5">
      <c r="A1481" s="60" t="s">
        <v>672</v>
      </c>
      <c r="B1481" s="29" t="s">
        <v>664</v>
      </c>
      <c r="C1481" s="29" t="s">
        <v>19</v>
      </c>
      <c r="D1481" s="29" t="s">
        <v>130</v>
      </c>
      <c r="E1481" s="29" t="s">
        <v>673</v>
      </c>
      <c r="F1481" s="59" t="s">
        <v>0</v>
      </c>
      <c r="G1481" s="36">
        <f>G1482+G1485+G1488+G1491</f>
        <v>484047.30000000005</v>
      </c>
      <c r="H1481" s="36">
        <f t="shared" ref="H1481:K1481" si="755">H1482+H1485+H1488+H1491</f>
        <v>483324.03922999999</v>
      </c>
      <c r="I1481" s="36">
        <f t="shared" si="755"/>
        <v>236808.9</v>
      </c>
      <c r="J1481" s="36">
        <f t="shared" si="755"/>
        <v>236808.9</v>
      </c>
      <c r="K1481" s="36">
        <f t="shared" si="755"/>
        <v>220173.30752</v>
      </c>
      <c r="L1481" s="36">
        <f t="shared" si="720"/>
        <v>45.553974073121964</v>
      </c>
      <c r="M1481" s="36">
        <f t="shared" si="722"/>
        <v>92.975098283890517</v>
      </c>
    </row>
    <row r="1482" spans="1:13" ht="51">
      <c r="A1482" s="60" t="s">
        <v>674</v>
      </c>
      <c r="B1482" s="29" t="s">
        <v>664</v>
      </c>
      <c r="C1482" s="29" t="s">
        <v>19</v>
      </c>
      <c r="D1482" s="29" t="s">
        <v>130</v>
      </c>
      <c r="E1482" s="29" t="s">
        <v>675</v>
      </c>
      <c r="F1482" s="59" t="s">
        <v>0</v>
      </c>
      <c r="G1482" s="36">
        <f>G1483</f>
        <v>80899.899999999994</v>
      </c>
      <c r="H1482" s="36">
        <f t="shared" ref="H1482:K1483" si="756">H1483</f>
        <v>80899.899999999994</v>
      </c>
      <c r="I1482" s="36">
        <f t="shared" si="756"/>
        <v>26300</v>
      </c>
      <c r="J1482" s="36">
        <f t="shared" si="756"/>
        <v>26300</v>
      </c>
      <c r="K1482" s="36">
        <f t="shared" si="756"/>
        <v>26300</v>
      </c>
      <c r="L1482" s="36">
        <f t="shared" si="720"/>
        <v>32.509310889135833</v>
      </c>
      <c r="M1482" s="36">
        <f t="shared" si="722"/>
        <v>100</v>
      </c>
    </row>
    <row r="1483" spans="1:13">
      <c r="A1483" s="60" t="s">
        <v>72</v>
      </c>
      <c r="B1483" s="29" t="s">
        <v>664</v>
      </c>
      <c r="C1483" s="29" t="s">
        <v>19</v>
      </c>
      <c r="D1483" s="29" t="s">
        <v>130</v>
      </c>
      <c r="E1483" s="29" t="s">
        <v>675</v>
      </c>
      <c r="F1483" s="29" t="s">
        <v>73</v>
      </c>
      <c r="G1483" s="36">
        <f>G1484</f>
        <v>80899.899999999994</v>
      </c>
      <c r="H1483" s="36">
        <f t="shared" si="756"/>
        <v>80899.899999999994</v>
      </c>
      <c r="I1483" s="36">
        <f t="shared" si="756"/>
        <v>26300</v>
      </c>
      <c r="J1483" s="36">
        <f t="shared" si="756"/>
        <v>26300</v>
      </c>
      <c r="K1483" s="36">
        <f t="shared" si="756"/>
        <v>26300</v>
      </c>
      <c r="L1483" s="36">
        <f t="shared" si="720"/>
        <v>32.509310889135833</v>
      </c>
      <c r="M1483" s="36">
        <f t="shared" si="722"/>
        <v>100</v>
      </c>
    </row>
    <row r="1484" spans="1:13" ht="51">
      <c r="A1484" s="60" t="s">
        <v>218</v>
      </c>
      <c r="B1484" s="29" t="s">
        <v>664</v>
      </c>
      <c r="C1484" s="29" t="s">
        <v>19</v>
      </c>
      <c r="D1484" s="29" t="s">
        <v>130</v>
      </c>
      <c r="E1484" s="29" t="s">
        <v>675</v>
      </c>
      <c r="F1484" s="29" t="s">
        <v>219</v>
      </c>
      <c r="G1484" s="36">
        <v>80899.899999999994</v>
      </c>
      <c r="H1484" s="36">
        <v>80899.899999999994</v>
      </c>
      <c r="I1484" s="36">
        <v>26300</v>
      </c>
      <c r="J1484" s="36">
        <v>26300</v>
      </c>
      <c r="K1484" s="36">
        <v>26300</v>
      </c>
      <c r="L1484" s="36">
        <f t="shared" si="720"/>
        <v>32.509310889135833</v>
      </c>
      <c r="M1484" s="36">
        <f t="shared" si="722"/>
        <v>100</v>
      </c>
    </row>
    <row r="1485" spans="1:13" ht="51">
      <c r="A1485" s="60" t="s">
        <v>676</v>
      </c>
      <c r="B1485" s="29" t="s">
        <v>664</v>
      </c>
      <c r="C1485" s="29" t="s">
        <v>19</v>
      </c>
      <c r="D1485" s="29" t="s">
        <v>130</v>
      </c>
      <c r="E1485" s="29" t="s">
        <v>677</v>
      </c>
      <c r="F1485" s="59" t="s">
        <v>0</v>
      </c>
      <c r="G1485" s="37">
        <f>G1486</f>
        <v>99183.5</v>
      </c>
      <c r="H1485" s="37">
        <f t="shared" ref="H1485:K1486" si="757">H1486</f>
        <v>98460.239230000007</v>
      </c>
      <c r="I1485" s="37">
        <f t="shared" si="757"/>
        <v>44000</v>
      </c>
      <c r="J1485" s="37">
        <f t="shared" si="757"/>
        <v>44000</v>
      </c>
      <c r="K1485" s="37">
        <f t="shared" si="757"/>
        <v>41941.192009999999</v>
      </c>
      <c r="L1485" s="36">
        <f t="shared" si="720"/>
        <v>42.597085217340066</v>
      </c>
      <c r="M1485" s="36">
        <f t="shared" si="722"/>
        <v>95.320890931818184</v>
      </c>
    </row>
    <row r="1486" spans="1:13">
      <c r="A1486" s="60" t="s">
        <v>72</v>
      </c>
      <c r="B1486" s="29" t="s">
        <v>664</v>
      </c>
      <c r="C1486" s="29" t="s">
        <v>19</v>
      </c>
      <c r="D1486" s="29" t="s">
        <v>130</v>
      </c>
      <c r="E1486" s="29" t="s">
        <v>677</v>
      </c>
      <c r="F1486" s="29" t="s">
        <v>73</v>
      </c>
      <c r="G1486" s="36">
        <f>G1487</f>
        <v>99183.5</v>
      </c>
      <c r="H1486" s="36">
        <f t="shared" si="757"/>
        <v>98460.239230000007</v>
      </c>
      <c r="I1486" s="36">
        <f t="shared" si="757"/>
        <v>44000</v>
      </c>
      <c r="J1486" s="36">
        <f t="shared" si="757"/>
        <v>44000</v>
      </c>
      <c r="K1486" s="36">
        <f t="shared" si="757"/>
        <v>41941.192009999999</v>
      </c>
      <c r="L1486" s="36">
        <f t="shared" si="720"/>
        <v>42.597085217340066</v>
      </c>
      <c r="M1486" s="36">
        <f t="shared" si="722"/>
        <v>95.320890931818184</v>
      </c>
    </row>
    <row r="1487" spans="1:13" ht="51">
      <c r="A1487" s="60" t="s">
        <v>218</v>
      </c>
      <c r="B1487" s="29" t="s">
        <v>664</v>
      </c>
      <c r="C1487" s="29" t="s">
        <v>19</v>
      </c>
      <c r="D1487" s="29" t="s">
        <v>130</v>
      </c>
      <c r="E1487" s="29" t="s">
        <v>677</v>
      </c>
      <c r="F1487" s="29" t="s">
        <v>219</v>
      </c>
      <c r="G1487" s="36">
        <v>99183.5</v>
      </c>
      <c r="H1487" s="36">
        <v>98460.239230000007</v>
      </c>
      <c r="I1487" s="36">
        <v>44000</v>
      </c>
      <c r="J1487" s="36">
        <v>44000</v>
      </c>
      <c r="K1487" s="36">
        <v>41941.192009999999</v>
      </c>
      <c r="L1487" s="36">
        <f t="shared" si="720"/>
        <v>42.597085217340066</v>
      </c>
      <c r="M1487" s="36">
        <f t="shared" si="722"/>
        <v>95.320890931818184</v>
      </c>
    </row>
    <row r="1488" spans="1:13" ht="76.5">
      <c r="A1488" s="60" t="s">
        <v>678</v>
      </c>
      <c r="B1488" s="29" t="s">
        <v>664</v>
      </c>
      <c r="C1488" s="29" t="s">
        <v>19</v>
      </c>
      <c r="D1488" s="29" t="s">
        <v>130</v>
      </c>
      <c r="E1488" s="29" t="s">
        <v>679</v>
      </c>
      <c r="F1488" s="59" t="s">
        <v>0</v>
      </c>
      <c r="G1488" s="36">
        <f>G1489</f>
        <v>298069</v>
      </c>
      <c r="H1488" s="36">
        <f t="shared" ref="H1488:K1489" si="758">H1489</f>
        <v>298069</v>
      </c>
      <c r="I1488" s="36">
        <f t="shared" si="758"/>
        <v>162858.9</v>
      </c>
      <c r="J1488" s="36">
        <f t="shared" si="758"/>
        <v>162858.9</v>
      </c>
      <c r="K1488" s="36">
        <f t="shared" si="758"/>
        <v>148543.89451000001</v>
      </c>
      <c r="L1488" s="36">
        <f t="shared" ref="L1488:L1567" si="759">K1488/H1488*100</f>
        <v>49.835405396066015</v>
      </c>
      <c r="M1488" s="36">
        <f t="shared" ref="M1488:M1563" si="760">K1488/I1488*100</f>
        <v>91.210179185785989</v>
      </c>
    </row>
    <row r="1489" spans="1:13">
      <c r="A1489" s="60" t="s">
        <v>72</v>
      </c>
      <c r="B1489" s="29" t="s">
        <v>664</v>
      </c>
      <c r="C1489" s="29" t="s">
        <v>19</v>
      </c>
      <c r="D1489" s="29" t="s">
        <v>130</v>
      </c>
      <c r="E1489" s="29" t="s">
        <v>679</v>
      </c>
      <c r="F1489" s="29" t="s">
        <v>73</v>
      </c>
      <c r="G1489" s="36">
        <f>G1490</f>
        <v>298069</v>
      </c>
      <c r="H1489" s="36">
        <f t="shared" si="758"/>
        <v>298069</v>
      </c>
      <c r="I1489" s="36">
        <f t="shared" si="758"/>
        <v>162858.9</v>
      </c>
      <c r="J1489" s="36">
        <f t="shared" si="758"/>
        <v>162858.9</v>
      </c>
      <c r="K1489" s="36">
        <f t="shared" si="758"/>
        <v>148543.89451000001</v>
      </c>
      <c r="L1489" s="36">
        <f t="shared" si="759"/>
        <v>49.835405396066015</v>
      </c>
      <c r="M1489" s="36">
        <f t="shared" si="760"/>
        <v>91.210179185785989</v>
      </c>
    </row>
    <row r="1490" spans="1:13" ht="51">
      <c r="A1490" s="60" t="s">
        <v>218</v>
      </c>
      <c r="B1490" s="29" t="s">
        <v>664</v>
      </c>
      <c r="C1490" s="29" t="s">
        <v>19</v>
      </c>
      <c r="D1490" s="29" t="s">
        <v>130</v>
      </c>
      <c r="E1490" s="29" t="s">
        <v>679</v>
      </c>
      <c r="F1490" s="29" t="s">
        <v>219</v>
      </c>
      <c r="G1490" s="36">
        <v>298069</v>
      </c>
      <c r="H1490" s="36">
        <v>298069</v>
      </c>
      <c r="I1490" s="36">
        <v>162858.9</v>
      </c>
      <c r="J1490" s="36">
        <v>162858.9</v>
      </c>
      <c r="K1490" s="36">
        <v>148543.89451000001</v>
      </c>
      <c r="L1490" s="36">
        <f t="shared" si="759"/>
        <v>49.835405396066015</v>
      </c>
      <c r="M1490" s="36">
        <f t="shared" si="760"/>
        <v>91.210179185785989</v>
      </c>
    </row>
    <row r="1491" spans="1:13" ht="127.5">
      <c r="A1491" s="60" t="s">
        <v>680</v>
      </c>
      <c r="B1491" s="29" t="s">
        <v>664</v>
      </c>
      <c r="C1491" s="29" t="s">
        <v>19</v>
      </c>
      <c r="D1491" s="29" t="s">
        <v>130</v>
      </c>
      <c r="E1491" s="29" t="s">
        <v>681</v>
      </c>
      <c r="F1491" s="59" t="s">
        <v>0</v>
      </c>
      <c r="G1491" s="36">
        <f>G1492</f>
        <v>5894.9</v>
      </c>
      <c r="H1491" s="36">
        <f t="shared" ref="H1491:K1492" si="761">H1492</f>
        <v>5894.9</v>
      </c>
      <c r="I1491" s="36">
        <f t="shared" si="761"/>
        <v>3650</v>
      </c>
      <c r="J1491" s="36">
        <f t="shared" si="761"/>
        <v>3650</v>
      </c>
      <c r="K1491" s="36">
        <f t="shared" si="761"/>
        <v>3388.221</v>
      </c>
      <c r="L1491" s="36">
        <f t="shared" si="759"/>
        <v>57.477158221513513</v>
      </c>
      <c r="M1491" s="36">
        <f t="shared" si="760"/>
        <v>92.827972602739734</v>
      </c>
    </row>
    <row r="1492" spans="1:13">
      <c r="A1492" s="60" t="s">
        <v>72</v>
      </c>
      <c r="B1492" s="29" t="s">
        <v>664</v>
      </c>
      <c r="C1492" s="29" t="s">
        <v>19</v>
      </c>
      <c r="D1492" s="29" t="s">
        <v>130</v>
      </c>
      <c r="E1492" s="29" t="s">
        <v>681</v>
      </c>
      <c r="F1492" s="29" t="s">
        <v>73</v>
      </c>
      <c r="G1492" s="36">
        <f>G1493</f>
        <v>5894.9</v>
      </c>
      <c r="H1492" s="36">
        <f t="shared" si="761"/>
        <v>5894.9</v>
      </c>
      <c r="I1492" s="36">
        <f t="shared" si="761"/>
        <v>3650</v>
      </c>
      <c r="J1492" s="36">
        <f t="shared" si="761"/>
        <v>3650</v>
      </c>
      <c r="K1492" s="36">
        <f t="shared" si="761"/>
        <v>3388.221</v>
      </c>
      <c r="L1492" s="36">
        <f t="shared" si="759"/>
        <v>57.477158221513513</v>
      </c>
      <c r="M1492" s="36">
        <f t="shared" si="760"/>
        <v>92.827972602739734</v>
      </c>
    </row>
    <row r="1493" spans="1:13" ht="51">
      <c r="A1493" s="60" t="s">
        <v>218</v>
      </c>
      <c r="B1493" s="29" t="s">
        <v>664</v>
      </c>
      <c r="C1493" s="29" t="s">
        <v>19</v>
      </c>
      <c r="D1493" s="29" t="s">
        <v>130</v>
      </c>
      <c r="E1493" s="29" t="s">
        <v>681</v>
      </c>
      <c r="F1493" s="29" t="s">
        <v>219</v>
      </c>
      <c r="G1493" s="36">
        <v>5894.9</v>
      </c>
      <c r="H1493" s="36">
        <v>5894.9</v>
      </c>
      <c r="I1493" s="36">
        <v>3650</v>
      </c>
      <c r="J1493" s="36">
        <v>3650</v>
      </c>
      <c r="K1493" s="36">
        <v>3388.221</v>
      </c>
      <c r="L1493" s="36">
        <f t="shared" si="759"/>
        <v>57.477158221513513</v>
      </c>
      <c r="M1493" s="36">
        <f t="shared" si="760"/>
        <v>92.827972602739734</v>
      </c>
    </row>
    <row r="1494" spans="1:13" ht="38.25">
      <c r="A1494" s="60" t="s">
        <v>682</v>
      </c>
      <c r="B1494" s="29" t="s">
        <v>664</v>
      </c>
      <c r="C1494" s="29" t="s">
        <v>19</v>
      </c>
      <c r="D1494" s="29" t="s">
        <v>130</v>
      </c>
      <c r="E1494" s="29" t="s">
        <v>683</v>
      </c>
      <c r="F1494" s="59" t="s">
        <v>0</v>
      </c>
      <c r="G1494" s="36">
        <f>G1495</f>
        <v>3101.6</v>
      </c>
      <c r="H1494" s="36">
        <f t="shared" ref="H1494:K1496" si="762">H1495</f>
        <v>3101.6</v>
      </c>
      <c r="I1494" s="36">
        <f t="shared" si="762"/>
        <v>0</v>
      </c>
      <c r="J1494" s="36">
        <f t="shared" si="762"/>
        <v>0</v>
      </c>
      <c r="K1494" s="36">
        <f t="shared" si="762"/>
        <v>0</v>
      </c>
      <c r="L1494" s="36">
        <f t="shared" si="759"/>
        <v>0</v>
      </c>
      <c r="M1494" s="36">
        <v>0</v>
      </c>
    </row>
    <row r="1495" spans="1:13" ht="25.5">
      <c r="A1495" s="60" t="s">
        <v>684</v>
      </c>
      <c r="B1495" s="29" t="s">
        <v>664</v>
      </c>
      <c r="C1495" s="29" t="s">
        <v>19</v>
      </c>
      <c r="D1495" s="29" t="s">
        <v>130</v>
      </c>
      <c r="E1495" s="29" t="s">
        <v>685</v>
      </c>
      <c r="F1495" s="59" t="s">
        <v>0</v>
      </c>
      <c r="G1495" s="36">
        <f>G1496</f>
        <v>3101.6</v>
      </c>
      <c r="H1495" s="36">
        <f t="shared" si="762"/>
        <v>3101.6</v>
      </c>
      <c r="I1495" s="36">
        <f t="shared" si="762"/>
        <v>0</v>
      </c>
      <c r="J1495" s="36">
        <f t="shared" si="762"/>
        <v>0</v>
      </c>
      <c r="K1495" s="36">
        <f t="shared" si="762"/>
        <v>0</v>
      </c>
      <c r="L1495" s="36">
        <f t="shared" si="759"/>
        <v>0</v>
      </c>
      <c r="M1495" s="36">
        <v>0</v>
      </c>
    </row>
    <row r="1496" spans="1:13">
      <c r="A1496" s="60" t="s">
        <v>26</v>
      </c>
      <c r="B1496" s="29" t="s">
        <v>664</v>
      </c>
      <c r="C1496" s="29" t="s">
        <v>19</v>
      </c>
      <c r="D1496" s="29" t="s">
        <v>130</v>
      </c>
      <c r="E1496" s="29" t="s">
        <v>685</v>
      </c>
      <c r="F1496" s="29" t="s">
        <v>27</v>
      </c>
      <c r="G1496" s="36">
        <f>G1497</f>
        <v>3101.6</v>
      </c>
      <c r="H1496" s="36">
        <f t="shared" si="762"/>
        <v>3101.6</v>
      </c>
      <c r="I1496" s="36">
        <f t="shared" si="762"/>
        <v>0</v>
      </c>
      <c r="J1496" s="36">
        <f t="shared" si="762"/>
        <v>0</v>
      </c>
      <c r="K1496" s="36">
        <f t="shared" si="762"/>
        <v>0</v>
      </c>
      <c r="L1496" s="36">
        <f t="shared" si="759"/>
        <v>0</v>
      </c>
      <c r="M1496" s="36">
        <v>0</v>
      </c>
    </row>
    <row r="1497" spans="1:13">
      <c r="A1497" s="60" t="s">
        <v>56</v>
      </c>
      <c r="B1497" s="29" t="s">
        <v>664</v>
      </c>
      <c r="C1497" s="29" t="s">
        <v>19</v>
      </c>
      <c r="D1497" s="29" t="s">
        <v>130</v>
      </c>
      <c r="E1497" s="29" t="s">
        <v>685</v>
      </c>
      <c r="F1497" s="29" t="s">
        <v>57</v>
      </c>
      <c r="G1497" s="36">
        <v>3101.6</v>
      </c>
      <c r="H1497" s="36">
        <v>3101.6</v>
      </c>
      <c r="I1497" s="36">
        <v>0</v>
      </c>
      <c r="J1497" s="36">
        <v>0</v>
      </c>
      <c r="K1497" s="36">
        <v>0</v>
      </c>
      <c r="L1497" s="36">
        <f t="shared" si="759"/>
        <v>0</v>
      </c>
      <c r="M1497" s="36">
        <v>0</v>
      </c>
    </row>
    <row r="1498" spans="1:13" ht="38.25">
      <c r="A1498" s="60" t="s">
        <v>667</v>
      </c>
      <c r="B1498" s="29" t="s">
        <v>664</v>
      </c>
      <c r="C1498" s="29" t="s">
        <v>19</v>
      </c>
      <c r="D1498" s="29" t="s">
        <v>130</v>
      </c>
      <c r="E1498" s="29" t="s">
        <v>668</v>
      </c>
      <c r="F1498" s="59" t="s">
        <v>0</v>
      </c>
      <c r="G1498" s="36">
        <f>G1499</f>
        <v>17021.7</v>
      </c>
      <c r="H1498" s="36">
        <f t="shared" ref="H1498:K1498" si="763">H1499</f>
        <v>44809.502849999997</v>
      </c>
      <c r="I1498" s="36">
        <f t="shared" si="763"/>
        <v>24317.798650000001</v>
      </c>
      <c r="J1498" s="36">
        <f t="shared" si="763"/>
        <v>24317.798650000001</v>
      </c>
      <c r="K1498" s="36">
        <f t="shared" si="763"/>
        <v>22209.171259999996</v>
      </c>
      <c r="L1498" s="36">
        <f t="shared" si="759"/>
        <v>49.563529714545801</v>
      </c>
      <c r="M1498" s="36">
        <f t="shared" si="760"/>
        <v>91.328872237372508</v>
      </c>
    </row>
    <row r="1499" spans="1:13" ht="25.5">
      <c r="A1499" s="60" t="s">
        <v>58</v>
      </c>
      <c r="B1499" s="29" t="s">
        <v>664</v>
      </c>
      <c r="C1499" s="29" t="s">
        <v>19</v>
      </c>
      <c r="D1499" s="29" t="s">
        <v>130</v>
      </c>
      <c r="E1499" s="29" t="s">
        <v>686</v>
      </c>
      <c r="F1499" s="59" t="s">
        <v>0</v>
      </c>
      <c r="G1499" s="36">
        <f>G1500+G1502+G1504+G1506</f>
        <v>17021.7</v>
      </c>
      <c r="H1499" s="36">
        <f t="shared" ref="H1499:K1499" si="764">H1500+H1502+H1504+H1506</f>
        <v>44809.502849999997</v>
      </c>
      <c r="I1499" s="36">
        <f t="shared" si="764"/>
        <v>24317.798650000001</v>
      </c>
      <c r="J1499" s="36">
        <f t="shared" si="764"/>
        <v>24317.798650000001</v>
      </c>
      <c r="K1499" s="36">
        <f t="shared" si="764"/>
        <v>22209.171259999996</v>
      </c>
      <c r="L1499" s="36">
        <f t="shared" si="759"/>
        <v>49.563529714545801</v>
      </c>
      <c r="M1499" s="36">
        <f t="shared" si="760"/>
        <v>91.328872237372508</v>
      </c>
    </row>
    <row r="1500" spans="1:13" ht="63.75">
      <c r="A1500" s="60" t="s">
        <v>60</v>
      </c>
      <c r="B1500" s="29" t="s">
        <v>664</v>
      </c>
      <c r="C1500" s="29" t="s">
        <v>19</v>
      </c>
      <c r="D1500" s="29" t="s">
        <v>130</v>
      </c>
      <c r="E1500" s="29" t="s">
        <v>686</v>
      </c>
      <c r="F1500" s="29" t="s">
        <v>61</v>
      </c>
      <c r="G1500" s="36">
        <f>G1501</f>
        <v>16417.2</v>
      </c>
      <c r="H1500" s="36">
        <f t="shared" ref="H1500:K1500" si="765">H1501</f>
        <v>40827.09996</v>
      </c>
      <c r="I1500" s="36">
        <f t="shared" si="765"/>
        <v>21721.57936</v>
      </c>
      <c r="J1500" s="36">
        <f t="shared" si="765"/>
        <v>21721.57936</v>
      </c>
      <c r="K1500" s="36">
        <f t="shared" si="765"/>
        <v>20464.368329999998</v>
      </c>
      <c r="L1500" s="36">
        <f t="shared" si="759"/>
        <v>50.124472103210337</v>
      </c>
      <c r="M1500" s="36">
        <f t="shared" si="760"/>
        <v>94.212156449750879</v>
      </c>
    </row>
    <row r="1501" spans="1:13" ht="25.5">
      <c r="A1501" s="60" t="s">
        <v>62</v>
      </c>
      <c r="B1501" s="29" t="s">
        <v>664</v>
      </c>
      <c r="C1501" s="29" t="s">
        <v>19</v>
      </c>
      <c r="D1501" s="29" t="s">
        <v>130</v>
      </c>
      <c r="E1501" s="29" t="s">
        <v>686</v>
      </c>
      <c r="F1501" s="29" t="s">
        <v>63</v>
      </c>
      <c r="G1501" s="36">
        <v>16417.2</v>
      </c>
      <c r="H1501" s="36">
        <v>40827.09996</v>
      </c>
      <c r="I1501" s="36">
        <f>16139.98867+786.5+4795.09069</f>
        <v>21721.57936</v>
      </c>
      <c r="J1501" s="36">
        <f>16139.98867+786.5+4795.09069</f>
        <v>21721.57936</v>
      </c>
      <c r="K1501" s="36">
        <f>16139.98867+786.5+3537.87966</f>
        <v>20464.368329999998</v>
      </c>
      <c r="L1501" s="36">
        <f t="shared" si="759"/>
        <v>50.124472103210337</v>
      </c>
      <c r="M1501" s="36">
        <f t="shared" si="760"/>
        <v>94.212156449750879</v>
      </c>
    </row>
    <row r="1502" spans="1:13" ht="25.5">
      <c r="A1502" s="60" t="s">
        <v>64</v>
      </c>
      <c r="B1502" s="29" t="s">
        <v>664</v>
      </c>
      <c r="C1502" s="29" t="s">
        <v>19</v>
      </c>
      <c r="D1502" s="29" t="s">
        <v>130</v>
      </c>
      <c r="E1502" s="29" t="s">
        <v>686</v>
      </c>
      <c r="F1502" s="29" t="s">
        <v>65</v>
      </c>
      <c r="G1502" s="36">
        <f>G1503</f>
        <v>421.1</v>
      </c>
      <c r="H1502" s="36">
        <f t="shared" ref="H1502:K1502" si="766">H1503</f>
        <v>3765.47289</v>
      </c>
      <c r="I1502" s="36">
        <f t="shared" si="766"/>
        <v>2572.4342900000001</v>
      </c>
      <c r="J1502" s="36">
        <f t="shared" si="766"/>
        <v>2572.4342900000001</v>
      </c>
      <c r="K1502" s="36">
        <f t="shared" si="766"/>
        <v>1735.7834499999999</v>
      </c>
      <c r="L1502" s="36">
        <f t="shared" si="759"/>
        <v>46.097356180939066</v>
      </c>
      <c r="M1502" s="36">
        <f t="shared" si="760"/>
        <v>67.476298879533275</v>
      </c>
    </row>
    <row r="1503" spans="1:13" ht="25.5">
      <c r="A1503" s="60" t="s">
        <v>66</v>
      </c>
      <c r="B1503" s="29" t="s">
        <v>664</v>
      </c>
      <c r="C1503" s="29" t="s">
        <v>19</v>
      </c>
      <c r="D1503" s="29" t="s">
        <v>130</v>
      </c>
      <c r="E1503" s="29" t="s">
        <v>686</v>
      </c>
      <c r="F1503" s="29" t="s">
        <v>67</v>
      </c>
      <c r="G1503" s="36">
        <v>421.1</v>
      </c>
      <c r="H1503" s="36">
        <v>3765.47289</v>
      </c>
      <c r="I1503" s="36">
        <v>2572.4342900000001</v>
      </c>
      <c r="J1503" s="36">
        <v>2572.4342900000001</v>
      </c>
      <c r="K1503" s="36">
        <v>1735.7834499999999</v>
      </c>
      <c r="L1503" s="36">
        <f t="shared" si="759"/>
        <v>46.097356180939066</v>
      </c>
      <c r="M1503" s="36">
        <f t="shared" si="760"/>
        <v>67.476298879533275</v>
      </c>
    </row>
    <row r="1504" spans="1:13">
      <c r="A1504" s="60" t="s">
        <v>68</v>
      </c>
      <c r="B1504" s="29" t="s">
        <v>664</v>
      </c>
      <c r="C1504" s="29" t="s">
        <v>19</v>
      </c>
      <c r="D1504" s="29" t="s">
        <v>130</v>
      </c>
      <c r="E1504" s="29" t="s">
        <v>686</v>
      </c>
      <c r="F1504" s="29" t="s">
        <v>69</v>
      </c>
      <c r="G1504" s="36">
        <f>G1505</f>
        <v>180</v>
      </c>
      <c r="H1504" s="36">
        <f t="shared" ref="H1504:K1504" si="767">H1505</f>
        <v>180</v>
      </c>
      <c r="I1504" s="36">
        <f t="shared" si="767"/>
        <v>0</v>
      </c>
      <c r="J1504" s="36">
        <f t="shared" si="767"/>
        <v>0</v>
      </c>
      <c r="K1504" s="36">
        <f t="shared" si="767"/>
        <v>0</v>
      </c>
      <c r="L1504" s="36">
        <f t="shared" si="759"/>
        <v>0</v>
      </c>
      <c r="M1504" s="36">
        <v>0</v>
      </c>
    </row>
    <row r="1505" spans="1:13">
      <c r="A1505" s="60" t="s">
        <v>70</v>
      </c>
      <c r="B1505" s="29" t="s">
        <v>664</v>
      </c>
      <c r="C1505" s="29" t="s">
        <v>19</v>
      </c>
      <c r="D1505" s="29" t="s">
        <v>130</v>
      </c>
      <c r="E1505" s="29" t="s">
        <v>686</v>
      </c>
      <c r="F1505" s="29" t="s">
        <v>71</v>
      </c>
      <c r="G1505" s="36">
        <v>180</v>
      </c>
      <c r="H1505" s="36">
        <v>180</v>
      </c>
      <c r="I1505" s="36">
        <v>0</v>
      </c>
      <c r="J1505" s="36">
        <v>0</v>
      </c>
      <c r="K1505" s="36">
        <v>0</v>
      </c>
      <c r="L1505" s="36">
        <f t="shared" si="759"/>
        <v>0</v>
      </c>
      <c r="M1505" s="36">
        <v>0</v>
      </c>
    </row>
    <row r="1506" spans="1:13">
      <c r="A1506" s="60" t="s">
        <v>72</v>
      </c>
      <c r="B1506" s="29" t="s">
        <v>664</v>
      </c>
      <c r="C1506" s="29" t="s">
        <v>19</v>
      </c>
      <c r="D1506" s="29" t="s">
        <v>130</v>
      </c>
      <c r="E1506" s="29" t="s">
        <v>686</v>
      </c>
      <c r="F1506" s="29" t="s">
        <v>73</v>
      </c>
      <c r="G1506" s="36">
        <f>G1507</f>
        <v>3.4</v>
      </c>
      <c r="H1506" s="36">
        <f t="shared" ref="H1506:K1506" si="768">H1507</f>
        <v>36.93</v>
      </c>
      <c r="I1506" s="36">
        <f t="shared" si="768"/>
        <v>23.785</v>
      </c>
      <c r="J1506" s="36">
        <f t="shared" si="768"/>
        <v>23.785</v>
      </c>
      <c r="K1506" s="36">
        <f t="shared" si="768"/>
        <v>9.0194799999999997</v>
      </c>
      <c r="L1506" s="36">
        <f t="shared" si="759"/>
        <v>24.423178987273218</v>
      </c>
      <c r="M1506" s="36">
        <f t="shared" si="760"/>
        <v>37.920874500735756</v>
      </c>
    </row>
    <row r="1507" spans="1:13">
      <c r="A1507" s="60" t="s">
        <v>74</v>
      </c>
      <c r="B1507" s="29" t="s">
        <v>664</v>
      </c>
      <c r="C1507" s="29" t="s">
        <v>19</v>
      </c>
      <c r="D1507" s="29" t="s">
        <v>130</v>
      </c>
      <c r="E1507" s="29" t="s">
        <v>686</v>
      </c>
      <c r="F1507" s="29" t="s">
        <v>75</v>
      </c>
      <c r="G1507" s="36">
        <v>3.4</v>
      </c>
      <c r="H1507" s="36">
        <v>36.93</v>
      </c>
      <c r="I1507" s="36">
        <f>5.285+18.5</f>
        <v>23.785</v>
      </c>
      <c r="J1507" s="36">
        <f>5.285+18.5</f>
        <v>23.785</v>
      </c>
      <c r="K1507" s="36">
        <f>9.01948</f>
        <v>9.0194799999999997</v>
      </c>
      <c r="L1507" s="36">
        <f t="shared" si="759"/>
        <v>24.423178987273218</v>
      </c>
      <c r="M1507" s="36">
        <f t="shared" si="760"/>
        <v>37.920874500735756</v>
      </c>
    </row>
    <row r="1508" spans="1:13">
      <c r="A1508" s="60" t="s">
        <v>45</v>
      </c>
      <c r="B1508" s="29" t="s">
        <v>664</v>
      </c>
      <c r="C1508" s="29" t="s">
        <v>19</v>
      </c>
      <c r="D1508" s="29" t="s">
        <v>46</v>
      </c>
      <c r="E1508" s="59" t="s">
        <v>0</v>
      </c>
      <c r="F1508" s="59" t="s">
        <v>0</v>
      </c>
      <c r="G1508" s="36">
        <f>G1509+G1554+G1562</f>
        <v>5072446.1999999993</v>
      </c>
      <c r="H1508" s="36">
        <f>H1509+H1554+H1562+H1558</f>
        <v>6588881.6782199992</v>
      </c>
      <c r="I1508" s="36">
        <f t="shared" ref="I1508:K1508" si="769">I1509+I1554+I1562+I1558</f>
        <v>1898780.1391</v>
      </c>
      <c r="J1508" s="36">
        <f t="shared" si="769"/>
        <v>1894353.8888999999</v>
      </c>
      <c r="K1508" s="36">
        <f t="shared" si="769"/>
        <v>1843791.45196</v>
      </c>
      <c r="L1508" s="36">
        <f t="shared" si="759"/>
        <v>27.983374751663536</v>
      </c>
      <c r="M1508" s="36">
        <f t="shared" si="760"/>
        <v>97.103999246270604</v>
      </c>
    </row>
    <row r="1509" spans="1:13" ht="38.25">
      <c r="A1509" s="60" t="s">
        <v>665</v>
      </c>
      <c r="B1509" s="29" t="s">
        <v>664</v>
      </c>
      <c r="C1509" s="29" t="s">
        <v>19</v>
      </c>
      <c r="D1509" s="29" t="s">
        <v>46</v>
      </c>
      <c r="E1509" s="29" t="s">
        <v>666</v>
      </c>
      <c r="F1509" s="59" t="s">
        <v>0</v>
      </c>
      <c r="G1509" s="36">
        <f>G1510+G1517+G1524+G1531++G1548</f>
        <v>4757642.8999999994</v>
      </c>
      <c r="H1509" s="36">
        <f t="shared" ref="H1509" si="770">H1510+H1517+H1524+H1531++H1548</f>
        <v>6270067.7299999986</v>
      </c>
      <c r="I1509" s="36">
        <f t="shared" ref="I1509:K1509" si="771">I1510+I1517+I1524+I1531++I1548</f>
        <v>1729607.9408799999</v>
      </c>
      <c r="J1509" s="36">
        <f t="shared" si="771"/>
        <v>1727627.9406799998</v>
      </c>
      <c r="K1509" s="36">
        <f t="shared" si="771"/>
        <v>1724831.2661600001</v>
      </c>
      <c r="L1509" s="36">
        <f t="shared" si="759"/>
        <v>27.508973434326851</v>
      </c>
      <c r="M1509" s="36">
        <f t="shared" si="760"/>
        <v>99.723829047780072</v>
      </c>
    </row>
    <row r="1510" spans="1:13" ht="38.25">
      <c r="A1510" s="60" t="s">
        <v>682</v>
      </c>
      <c r="B1510" s="29" t="s">
        <v>664</v>
      </c>
      <c r="C1510" s="29" t="s">
        <v>19</v>
      </c>
      <c r="D1510" s="29" t="s">
        <v>46</v>
      </c>
      <c r="E1510" s="29" t="s">
        <v>683</v>
      </c>
      <c r="F1510" s="59" t="s">
        <v>0</v>
      </c>
      <c r="G1510" s="36">
        <f>G1514</f>
        <v>333400</v>
      </c>
      <c r="H1510" s="36">
        <f>H1514+H1511</f>
        <v>433400</v>
      </c>
      <c r="I1510" s="36">
        <f t="shared" ref="I1510:K1510" si="772">I1514+I1511</f>
        <v>0</v>
      </c>
      <c r="J1510" s="36">
        <f t="shared" si="772"/>
        <v>0</v>
      </c>
      <c r="K1510" s="36">
        <f t="shared" si="772"/>
        <v>0</v>
      </c>
      <c r="L1510" s="36">
        <f t="shared" si="759"/>
        <v>0</v>
      </c>
      <c r="M1510" s="36">
        <v>0</v>
      </c>
    </row>
    <row r="1511" spans="1:13" ht="89.25" customHeight="1">
      <c r="A1511" s="60" t="s">
        <v>1186</v>
      </c>
      <c r="B1511" s="29" t="s">
        <v>664</v>
      </c>
      <c r="C1511" s="29" t="s">
        <v>19</v>
      </c>
      <c r="D1511" s="29" t="s">
        <v>46</v>
      </c>
      <c r="E1511" s="30" t="s">
        <v>1185</v>
      </c>
      <c r="F1511" s="59"/>
      <c r="G1511" s="36"/>
      <c r="H1511" s="36">
        <f>H1512</f>
        <v>100000</v>
      </c>
      <c r="I1511" s="36">
        <f t="shared" ref="I1511:K1512" si="773">I1512</f>
        <v>0</v>
      </c>
      <c r="J1511" s="36">
        <f t="shared" si="773"/>
        <v>0</v>
      </c>
      <c r="K1511" s="36">
        <f t="shared" si="773"/>
        <v>0</v>
      </c>
      <c r="L1511" s="36">
        <f t="shared" ref="L1511:L1513" si="774">K1511/H1511*100</f>
        <v>0</v>
      </c>
      <c r="M1511" s="36">
        <v>0</v>
      </c>
    </row>
    <row r="1512" spans="1:13">
      <c r="A1512" s="60" t="s">
        <v>26</v>
      </c>
      <c r="B1512" s="29" t="s">
        <v>664</v>
      </c>
      <c r="C1512" s="29" t="s">
        <v>19</v>
      </c>
      <c r="D1512" s="29" t="s">
        <v>46</v>
      </c>
      <c r="E1512" s="30" t="s">
        <v>1185</v>
      </c>
      <c r="F1512" s="59">
        <v>500</v>
      </c>
      <c r="G1512" s="36"/>
      <c r="H1512" s="36">
        <f>H1513</f>
        <v>100000</v>
      </c>
      <c r="I1512" s="36">
        <f t="shared" si="773"/>
        <v>0</v>
      </c>
      <c r="J1512" s="36">
        <f t="shared" si="773"/>
        <v>0</v>
      </c>
      <c r="K1512" s="36">
        <f t="shared" si="773"/>
        <v>0</v>
      </c>
      <c r="L1512" s="36">
        <f t="shared" si="774"/>
        <v>0</v>
      </c>
      <c r="M1512" s="36">
        <v>0</v>
      </c>
    </row>
    <row r="1513" spans="1:13">
      <c r="A1513" s="63" t="s">
        <v>352</v>
      </c>
      <c r="B1513" s="29" t="s">
        <v>664</v>
      </c>
      <c r="C1513" s="29" t="s">
        <v>19</v>
      </c>
      <c r="D1513" s="29" t="s">
        <v>46</v>
      </c>
      <c r="E1513" s="30" t="s">
        <v>1185</v>
      </c>
      <c r="F1513" s="59">
        <v>540</v>
      </c>
      <c r="G1513" s="36"/>
      <c r="H1513" s="36">
        <v>100000</v>
      </c>
      <c r="I1513" s="36"/>
      <c r="J1513" s="36"/>
      <c r="K1513" s="36"/>
      <c r="L1513" s="36">
        <f t="shared" si="774"/>
        <v>0</v>
      </c>
      <c r="M1513" s="36">
        <v>0</v>
      </c>
    </row>
    <row r="1514" spans="1:13" ht="25.5">
      <c r="A1514" s="60" t="s">
        <v>684</v>
      </c>
      <c r="B1514" s="29" t="s">
        <v>664</v>
      </c>
      <c r="C1514" s="29" t="s">
        <v>19</v>
      </c>
      <c r="D1514" s="29" t="s">
        <v>46</v>
      </c>
      <c r="E1514" s="29" t="s">
        <v>685</v>
      </c>
      <c r="F1514" s="59" t="s">
        <v>0</v>
      </c>
      <c r="G1514" s="36">
        <f>G1515</f>
        <v>333400</v>
      </c>
      <c r="H1514" s="36">
        <f t="shared" ref="H1514:K1515" si="775">H1515</f>
        <v>333400</v>
      </c>
      <c r="I1514" s="36">
        <f t="shared" si="775"/>
        <v>0</v>
      </c>
      <c r="J1514" s="36">
        <f t="shared" si="775"/>
        <v>0</v>
      </c>
      <c r="K1514" s="36">
        <f t="shared" si="775"/>
        <v>0</v>
      </c>
      <c r="L1514" s="36">
        <f t="shared" si="759"/>
        <v>0</v>
      </c>
      <c r="M1514" s="36">
        <v>0</v>
      </c>
    </row>
    <row r="1515" spans="1:13">
      <c r="A1515" s="60" t="s">
        <v>26</v>
      </c>
      <c r="B1515" s="29" t="s">
        <v>664</v>
      </c>
      <c r="C1515" s="29" t="s">
        <v>19</v>
      </c>
      <c r="D1515" s="29" t="s">
        <v>46</v>
      </c>
      <c r="E1515" s="29" t="s">
        <v>685</v>
      </c>
      <c r="F1515" s="29" t="s">
        <v>27</v>
      </c>
      <c r="G1515" s="36">
        <f>G1516</f>
        <v>333400</v>
      </c>
      <c r="H1515" s="36">
        <f t="shared" si="775"/>
        <v>333400</v>
      </c>
      <c r="I1515" s="36">
        <f t="shared" si="775"/>
        <v>0</v>
      </c>
      <c r="J1515" s="36">
        <f t="shared" si="775"/>
        <v>0</v>
      </c>
      <c r="K1515" s="36">
        <f t="shared" si="775"/>
        <v>0</v>
      </c>
      <c r="L1515" s="36">
        <f t="shared" si="759"/>
        <v>0</v>
      </c>
      <c r="M1515" s="36">
        <v>0</v>
      </c>
    </row>
    <row r="1516" spans="1:13">
      <c r="A1516" s="60" t="s">
        <v>56</v>
      </c>
      <c r="B1516" s="29" t="s">
        <v>664</v>
      </c>
      <c r="C1516" s="29" t="s">
        <v>19</v>
      </c>
      <c r="D1516" s="29" t="s">
        <v>46</v>
      </c>
      <c r="E1516" s="29" t="s">
        <v>685</v>
      </c>
      <c r="F1516" s="29" t="s">
        <v>57</v>
      </c>
      <c r="G1516" s="36">
        <v>333400</v>
      </c>
      <c r="H1516" s="36">
        <v>333400</v>
      </c>
      <c r="I1516" s="36"/>
      <c r="J1516" s="36"/>
      <c r="K1516" s="36"/>
      <c r="L1516" s="36">
        <f t="shared" si="759"/>
        <v>0</v>
      </c>
      <c r="M1516" s="36">
        <v>0</v>
      </c>
    </row>
    <row r="1517" spans="1:13" ht="38.25">
      <c r="A1517" s="60" t="s">
        <v>687</v>
      </c>
      <c r="B1517" s="29" t="s">
        <v>664</v>
      </c>
      <c r="C1517" s="29" t="s">
        <v>19</v>
      </c>
      <c r="D1517" s="29" t="s">
        <v>46</v>
      </c>
      <c r="E1517" s="29" t="s">
        <v>688</v>
      </c>
      <c r="F1517" s="59" t="s">
        <v>0</v>
      </c>
      <c r="G1517" s="36">
        <f>G1521</f>
        <v>224540.4</v>
      </c>
      <c r="H1517" s="36">
        <f>H1521+H1518</f>
        <v>1236965.25</v>
      </c>
      <c r="I1517" s="36">
        <f t="shared" ref="I1517:K1517" si="776">I1521+I1518</f>
        <v>406619.73095999996</v>
      </c>
      <c r="J1517" s="36">
        <f t="shared" si="776"/>
        <v>406619.73095999996</v>
      </c>
      <c r="K1517" s="36">
        <f t="shared" si="776"/>
        <v>406619.69927999994</v>
      </c>
      <c r="L1517" s="36">
        <f t="shared" si="759"/>
        <v>32.872362362645184</v>
      </c>
      <c r="M1517" s="36">
        <f t="shared" si="760"/>
        <v>99.999992208936845</v>
      </c>
    </row>
    <row r="1518" spans="1:13" ht="89.25">
      <c r="A1518" s="60" t="s">
        <v>1186</v>
      </c>
      <c r="B1518" s="29" t="s">
        <v>664</v>
      </c>
      <c r="C1518" s="29" t="s">
        <v>19</v>
      </c>
      <c r="D1518" s="29" t="s">
        <v>46</v>
      </c>
      <c r="E1518" s="30" t="s">
        <v>1187</v>
      </c>
      <c r="F1518" s="59"/>
      <c r="G1518" s="36"/>
      <c r="H1518" s="36">
        <f>H1519</f>
        <v>1012424.85</v>
      </c>
      <c r="I1518" s="36">
        <f t="shared" ref="I1518:K1519" si="777">I1519</f>
        <v>339767.99599999998</v>
      </c>
      <c r="J1518" s="36">
        <f t="shared" si="777"/>
        <v>339767.99599999998</v>
      </c>
      <c r="K1518" s="36">
        <f t="shared" si="777"/>
        <v>339767.98599999998</v>
      </c>
      <c r="L1518" s="36">
        <f t="shared" ref="L1518:L1520" si="778">K1518/H1518*100</f>
        <v>33.559822835245498</v>
      </c>
      <c r="M1518" s="36">
        <f t="shared" ref="M1518:M1520" si="779">K1518/I1518*100</f>
        <v>99.999997056815204</v>
      </c>
    </row>
    <row r="1519" spans="1:13" ht="25.5">
      <c r="A1519" s="60" t="s">
        <v>39</v>
      </c>
      <c r="B1519" s="29" t="s">
        <v>664</v>
      </c>
      <c r="C1519" s="29" t="s">
        <v>19</v>
      </c>
      <c r="D1519" s="29" t="s">
        <v>46</v>
      </c>
      <c r="E1519" s="30" t="s">
        <v>1187</v>
      </c>
      <c r="F1519" s="29">
        <v>400</v>
      </c>
      <c r="G1519" s="36"/>
      <c r="H1519" s="36">
        <f>H1520</f>
        <v>1012424.85</v>
      </c>
      <c r="I1519" s="36">
        <f t="shared" si="777"/>
        <v>339767.99599999998</v>
      </c>
      <c r="J1519" s="36">
        <f t="shared" si="777"/>
        <v>339767.99599999998</v>
      </c>
      <c r="K1519" s="36">
        <f t="shared" si="777"/>
        <v>339767.98599999998</v>
      </c>
      <c r="L1519" s="36">
        <f t="shared" si="778"/>
        <v>33.559822835245498</v>
      </c>
      <c r="M1519" s="36">
        <f t="shared" si="779"/>
        <v>99.999997056815204</v>
      </c>
    </row>
    <row r="1520" spans="1:13">
      <c r="A1520" s="60" t="s">
        <v>41</v>
      </c>
      <c r="B1520" s="29" t="s">
        <v>664</v>
      </c>
      <c r="C1520" s="29" t="s">
        <v>19</v>
      </c>
      <c r="D1520" s="29" t="s">
        <v>46</v>
      </c>
      <c r="E1520" s="30" t="s">
        <v>1187</v>
      </c>
      <c r="F1520" s="59">
        <v>410</v>
      </c>
      <c r="G1520" s="36"/>
      <c r="H1520" s="36">
        <v>1012424.85</v>
      </c>
      <c r="I1520" s="36">
        <v>339767.99599999998</v>
      </c>
      <c r="J1520" s="36">
        <v>339767.99599999998</v>
      </c>
      <c r="K1520" s="36">
        <v>339767.98599999998</v>
      </c>
      <c r="L1520" s="36">
        <f t="shared" si="778"/>
        <v>33.559822835245498</v>
      </c>
      <c r="M1520" s="36">
        <f t="shared" si="779"/>
        <v>99.999997056815204</v>
      </c>
    </row>
    <row r="1521" spans="1:13" ht="38.25">
      <c r="A1521" s="60" t="s">
        <v>37</v>
      </c>
      <c r="B1521" s="29" t="s">
        <v>664</v>
      </c>
      <c r="C1521" s="29" t="s">
        <v>19</v>
      </c>
      <c r="D1521" s="29" t="s">
        <v>46</v>
      </c>
      <c r="E1521" s="29" t="s">
        <v>689</v>
      </c>
      <c r="F1521" s="59" t="s">
        <v>0</v>
      </c>
      <c r="G1521" s="36">
        <f>G1522</f>
        <v>224540.4</v>
      </c>
      <c r="H1521" s="36">
        <f t="shared" ref="H1521:K1522" si="780">H1522</f>
        <v>224540.4</v>
      </c>
      <c r="I1521" s="36">
        <f t="shared" si="780"/>
        <v>66851.734960000002</v>
      </c>
      <c r="J1521" s="36">
        <f t="shared" si="780"/>
        <v>66851.734960000002</v>
      </c>
      <c r="K1521" s="36">
        <f t="shared" si="780"/>
        <v>66851.713279999996</v>
      </c>
      <c r="L1521" s="36">
        <f t="shared" si="759"/>
        <v>29.772688246747574</v>
      </c>
      <c r="M1521" s="36">
        <f t="shared" si="760"/>
        <v>99.999967570026399</v>
      </c>
    </row>
    <row r="1522" spans="1:13" ht="25.5">
      <c r="A1522" s="60" t="s">
        <v>39</v>
      </c>
      <c r="B1522" s="29" t="s">
        <v>664</v>
      </c>
      <c r="C1522" s="29" t="s">
        <v>19</v>
      </c>
      <c r="D1522" s="29" t="s">
        <v>46</v>
      </c>
      <c r="E1522" s="29" t="s">
        <v>689</v>
      </c>
      <c r="F1522" s="29" t="s">
        <v>40</v>
      </c>
      <c r="G1522" s="36">
        <f>G1523</f>
        <v>224540.4</v>
      </c>
      <c r="H1522" s="36">
        <f t="shared" si="780"/>
        <v>224540.4</v>
      </c>
      <c r="I1522" s="36">
        <f t="shared" si="780"/>
        <v>66851.734960000002</v>
      </c>
      <c r="J1522" s="36">
        <f t="shared" si="780"/>
        <v>66851.734960000002</v>
      </c>
      <c r="K1522" s="36">
        <f t="shared" si="780"/>
        <v>66851.713279999996</v>
      </c>
      <c r="L1522" s="36">
        <f t="shared" si="759"/>
        <v>29.772688246747574</v>
      </c>
      <c r="M1522" s="36">
        <f t="shared" si="760"/>
        <v>99.999967570026399</v>
      </c>
    </row>
    <row r="1523" spans="1:13">
      <c r="A1523" s="60" t="s">
        <v>41</v>
      </c>
      <c r="B1523" s="29" t="s">
        <v>664</v>
      </c>
      <c r="C1523" s="29" t="s">
        <v>19</v>
      </c>
      <c r="D1523" s="29" t="s">
        <v>46</v>
      </c>
      <c r="E1523" s="29" t="s">
        <v>689</v>
      </c>
      <c r="F1523" s="29" t="s">
        <v>42</v>
      </c>
      <c r="G1523" s="36">
        <v>224540.4</v>
      </c>
      <c r="H1523" s="36">
        <v>224540.4</v>
      </c>
      <c r="I1523" s="36">
        <v>66851.734960000002</v>
      </c>
      <c r="J1523" s="36">
        <v>66851.734960000002</v>
      </c>
      <c r="K1523" s="36">
        <v>66851.713279999996</v>
      </c>
      <c r="L1523" s="36">
        <f t="shared" si="759"/>
        <v>29.772688246747574</v>
      </c>
      <c r="M1523" s="36">
        <f t="shared" si="760"/>
        <v>99.999967570026399</v>
      </c>
    </row>
    <row r="1524" spans="1:13" ht="51">
      <c r="A1524" s="60" t="s">
        <v>690</v>
      </c>
      <c r="B1524" s="29" t="s">
        <v>664</v>
      </c>
      <c r="C1524" s="29" t="s">
        <v>19</v>
      </c>
      <c r="D1524" s="29" t="s">
        <v>46</v>
      </c>
      <c r="E1524" s="29" t="s">
        <v>691</v>
      </c>
      <c r="F1524" s="59" t="s">
        <v>0</v>
      </c>
      <c r="G1524" s="36">
        <f>G1528</f>
        <v>3573245.3</v>
      </c>
      <c r="H1524" s="36">
        <f>H1528+H1525</f>
        <v>3973245.28</v>
      </c>
      <c r="I1524" s="36">
        <f t="shared" ref="I1524:K1524" si="781">I1528+I1525</f>
        <v>1011725.40822</v>
      </c>
      <c r="J1524" s="36">
        <f t="shared" si="781"/>
        <v>1011725.40802</v>
      </c>
      <c r="K1524" s="36">
        <f t="shared" si="781"/>
        <v>1011693.91361</v>
      </c>
      <c r="L1524" s="36">
        <f t="shared" si="759"/>
        <v>25.462659421066501</v>
      </c>
      <c r="M1524" s="36">
        <f t="shared" si="760"/>
        <v>99.996887039729941</v>
      </c>
    </row>
    <row r="1525" spans="1:13" ht="89.25">
      <c r="A1525" s="60" t="s">
        <v>1186</v>
      </c>
      <c r="B1525" s="29" t="s">
        <v>664</v>
      </c>
      <c r="C1525" s="29" t="s">
        <v>19</v>
      </c>
      <c r="D1525" s="29" t="s">
        <v>46</v>
      </c>
      <c r="E1525" s="30" t="s">
        <v>1188</v>
      </c>
      <c r="F1525" s="59"/>
      <c r="G1525" s="36"/>
      <c r="H1525" s="36">
        <f>H1526</f>
        <v>400000</v>
      </c>
      <c r="I1525" s="36">
        <f t="shared" ref="I1525:K1526" si="782">I1526</f>
        <v>0</v>
      </c>
      <c r="J1525" s="36">
        <f t="shared" si="782"/>
        <v>0</v>
      </c>
      <c r="K1525" s="36">
        <f t="shared" si="782"/>
        <v>0</v>
      </c>
      <c r="L1525" s="36">
        <f t="shared" ref="L1525:L1527" si="783">K1525/H1525*100</f>
        <v>0</v>
      </c>
      <c r="M1525" s="36">
        <v>0</v>
      </c>
    </row>
    <row r="1526" spans="1:13" ht="25.5">
      <c r="A1526" s="60" t="s">
        <v>64</v>
      </c>
      <c r="B1526" s="29" t="s">
        <v>664</v>
      </c>
      <c r="C1526" s="29" t="s">
        <v>19</v>
      </c>
      <c r="D1526" s="29" t="s">
        <v>46</v>
      </c>
      <c r="E1526" s="30" t="s">
        <v>1188</v>
      </c>
      <c r="F1526" s="29">
        <v>200</v>
      </c>
      <c r="G1526" s="36"/>
      <c r="H1526" s="36">
        <f>H1527</f>
        <v>400000</v>
      </c>
      <c r="I1526" s="36">
        <f t="shared" si="782"/>
        <v>0</v>
      </c>
      <c r="J1526" s="36">
        <f t="shared" si="782"/>
        <v>0</v>
      </c>
      <c r="K1526" s="36">
        <f t="shared" si="782"/>
        <v>0</v>
      </c>
      <c r="L1526" s="36">
        <f t="shared" si="783"/>
        <v>0</v>
      </c>
      <c r="M1526" s="36">
        <v>0</v>
      </c>
    </row>
    <row r="1527" spans="1:13" ht="25.5">
      <c r="A1527" s="60" t="s">
        <v>66</v>
      </c>
      <c r="B1527" s="29" t="s">
        <v>664</v>
      </c>
      <c r="C1527" s="29" t="s">
        <v>19</v>
      </c>
      <c r="D1527" s="29" t="s">
        <v>46</v>
      </c>
      <c r="E1527" s="30" t="s">
        <v>1188</v>
      </c>
      <c r="F1527" s="29">
        <v>240</v>
      </c>
      <c r="G1527" s="36"/>
      <c r="H1527" s="36">
        <v>400000</v>
      </c>
      <c r="I1527" s="36">
        <v>0</v>
      </c>
      <c r="J1527" s="36">
        <v>0</v>
      </c>
      <c r="K1527" s="36">
        <v>0</v>
      </c>
      <c r="L1527" s="36">
        <f t="shared" si="783"/>
        <v>0</v>
      </c>
      <c r="M1527" s="36">
        <v>0</v>
      </c>
    </row>
    <row r="1528" spans="1:13" ht="25.5">
      <c r="A1528" s="60" t="s">
        <v>692</v>
      </c>
      <c r="B1528" s="29" t="s">
        <v>664</v>
      </c>
      <c r="C1528" s="29" t="s">
        <v>19</v>
      </c>
      <c r="D1528" s="29" t="s">
        <v>46</v>
      </c>
      <c r="E1528" s="29" t="s">
        <v>693</v>
      </c>
      <c r="F1528" s="59" t="s">
        <v>0</v>
      </c>
      <c r="G1528" s="36">
        <f>G1529</f>
        <v>3573245.3</v>
      </c>
      <c r="H1528" s="36">
        <f t="shared" ref="H1528:K1529" si="784">H1529</f>
        <v>3573245.28</v>
      </c>
      <c r="I1528" s="36">
        <f t="shared" si="784"/>
        <v>1011725.40822</v>
      </c>
      <c r="J1528" s="36">
        <f t="shared" si="784"/>
        <v>1011725.40802</v>
      </c>
      <c r="K1528" s="36">
        <f t="shared" si="784"/>
        <v>1011693.91361</v>
      </c>
      <c r="L1528" s="36">
        <f t="shared" si="759"/>
        <v>28.313027355625586</v>
      </c>
      <c r="M1528" s="36">
        <f t="shared" si="760"/>
        <v>99.996887039729941</v>
      </c>
    </row>
    <row r="1529" spans="1:13" ht="25.5">
      <c r="A1529" s="60" t="s">
        <v>64</v>
      </c>
      <c r="B1529" s="29" t="s">
        <v>664</v>
      </c>
      <c r="C1529" s="29" t="s">
        <v>19</v>
      </c>
      <c r="D1529" s="29" t="s">
        <v>46</v>
      </c>
      <c r="E1529" s="29" t="s">
        <v>693</v>
      </c>
      <c r="F1529" s="29" t="s">
        <v>65</v>
      </c>
      <c r="G1529" s="36">
        <f>G1530</f>
        <v>3573245.3</v>
      </c>
      <c r="H1529" s="36">
        <f t="shared" si="784"/>
        <v>3573245.28</v>
      </c>
      <c r="I1529" s="36">
        <f t="shared" si="784"/>
        <v>1011725.40822</v>
      </c>
      <c r="J1529" s="36">
        <f t="shared" si="784"/>
        <v>1011725.40802</v>
      </c>
      <c r="K1529" s="36">
        <f t="shared" si="784"/>
        <v>1011693.91361</v>
      </c>
      <c r="L1529" s="36">
        <f t="shared" si="759"/>
        <v>28.313027355625586</v>
      </c>
      <c r="M1529" s="36">
        <f t="shared" si="760"/>
        <v>99.996887039729941</v>
      </c>
    </row>
    <row r="1530" spans="1:13" ht="25.5">
      <c r="A1530" s="60" t="s">
        <v>66</v>
      </c>
      <c r="B1530" s="29" t="s">
        <v>664</v>
      </c>
      <c r="C1530" s="29" t="s">
        <v>19</v>
      </c>
      <c r="D1530" s="29" t="s">
        <v>46</v>
      </c>
      <c r="E1530" s="29" t="s">
        <v>693</v>
      </c>
      <c r="F1530" s="29" t="s">
        <v>67</v>
      </c>
      <c r="G1530" s="36">
        <v>3573245.3</v>
      </c>
      <c r="H1530" s="36">
        <v>3573245.28</v>
      </c>
      <c r="I1530" s="36">
        <v>1011725.40822</v>
      </c>
      <c r="J1530" s="36">
        <v>1011725.40802</v>
      </c>
      <c r="K1530" s="36">
        <v>1011693.91361</v>
      </c>
      <c r="L1530" s="36">
        <f t="shared" si="759"/>
        <v>28.313027355625586</v>
      </c>
      <c r="M1530" s="36">
        <f t="shared" si="760"/>
        <v>99.996887039729941</v>
      </c>
    </row>
    <row r="1531" spans="1:13" ht="38.25">
      <c r="A1531" s="60" t="s">
        <v>667</v>
      </c>
      <c r="B1531" s="29" t="s">
        <v>664</v>
      </c>
      <c r="C1531" s="29" t="s">
        <v>19</v>
      </c>
      <c r="D1531" s="29" t="s">
        <v>46</v>
      </c>
      <c r="E1531" s="29" t="s">
        <v>668</v>
      </c>
      <c r="F1531" s="59" t="s">
        <v>0</v>
      </c>
      <c r="G1531" s="36">
        <f>G1532+G1542+G1545</f>
        <v>577828.1</v>
      </c>
      <c r="H1531" s="36">
        <f t="shared" ref="H1531:K1531" si="785">H1532+H1542+H1545</f>
        <v>577828.1</v>
      </c>
      <c r="I1531" s="36">
        <f t="shared" si="785"/>
        <v>273432.80170000001</v>
      </c>
      <c r="J1531" s="36">
        <f t="shared" si="785"/>
        <v>273432.80170000001</v>
      </c>
      <c r="K1531" s="36">
        <f t="shared" si="785"/>
        <v>270667.65327000001</v>
      </c>
      <c r="L1531" s="36">
        <f t="shared" si="759"/>
        <v>46.8422448250613</v>
      </c>
      <c r="M1531" s="36">
        <f t="shared" si="760"/>
        <v>98.988728341000638</v>
      </c>
    </row>
    <row r="1532" spans="1:13" ht="25.5">
      <c r="A1532" s="60" t="s">
        <v>76</v>
      </c>
      <c r="B1532" s="29" t="s">
        <v>664</v>
      </c>
      <c r="C1532" s="29" t="s">
        <v>19</v>
      </c>
      <c r="D1532" s="29" t="s">
        <v>46</v>
      </c>
      <c r="E1532" s="29" t="s">
        <v>694</v>
      </c>
      <c r="F1532" s="59" t="s">
        <v>0</v>
      </c>
      <c r="G1532" s="36">
        <f>G1533+G1535+G1537+G1539</f>
        <v>129587.5</v>
      </c>
      <c r="H1532" s="36">
        <f t="shared" ref="H1532:K1532" si="786">H1533+H1535+H1537+H1539</f>
        <v>129587.5</v>
      </c>
      <c r="I1532" s="36">
        <f t="shared" si="786"/>
        <v>60409.663699999997</v>
      </c>
      <c r="J1532" s="36">
        <f t="shared" si="786"/>
        <v>60409.663699999997</v>
      </c>
      <c r="K1532" s="36">
        <f t="shared" si="786"/>
        <v>57644.514569999999</v>
      </c>
      <c r="L1532" s="36">
        <f t="shared" si="759"/>
        <v>44.483082527249927</v>
      </c>
      <c r="M1532" s="36">
        <f t="shared" si="760"/>
        <v>95.422670876414756</v>
      </c>
    </row>
    <row r="1533" spans="1:13" ht="63.75">
      <c r="A1533" s="60" t="s">
        <v>60</v>
      </c>
      <c r="B1533" s="29" t="s">
        <v>664</v>
      </c>
      <c r="C1533" s="29" t="s">
        <v>19</v>
      </c>
      <c r="D1533" s="29" t="s">
        <v>46</v>
      </c>
      <c r="E1533" s="29" t="s">
        <v>694</v>
      </c>
      <c r="F1533" s="29" t="s">
        <v>61</v>
      </c>
      <c r="G1533" s="36">
        <f>G1534</f>
        <v>73093.7</v>
      </c>
      <c r="H1533" s="36">
        <f t="shared" ref="H1533:K1533" si="787">H1534</f>
        <v>73093.7</v>
      </c>
      <c r="I1533" s="36">
        <f t="shared" si="787"/>
        <v>34842.699999999997</v>
      </c>
      <c r="J1533" s="36">
        <f t="shared" si="787"/>
        <v>34842.699999999997</v>
      </c>
      <c r="K1533" s="36">
        <f t="shared" si="787"/>
        <v>33286.771529999998</v>
      </c>
      <c r="L1533" s="36">
        <f t="shared" si="759"/>
        <v>45.53986394176242</v>
      </c>
      <c r="M1533" s="36">
        <f t="shared" si="760"/>
        <v>95.534420495541397</v>
      </c>
    </row>
    <row r="1534" spans="1:13">
      <c r="A1534" s="60" t="s">
        <v>78</v>
      </c>
      <c r="B1534" s="29" t="s">
        <v>664</v>
      </c>
      <c r="C1534" s="29" t="s">
        <v>19</v>
      </c>
      <c r="D1534" s="29" t="s">
        <v>46</v>
      </c>
      <c r="E1534" s="29" t="s">
        <v>694</v>
      </c>
      <c r="F1534" s="29" t="s">
        <v>79</v>
      </c>
      <c r="G1534" s="36">
        <v>73093.7</v>
      </c>
      <c r="H1534" s="36">
        <v>73093.7</v>
      </c>
      <c r="I1534" s="36">
        <f>25812.5+1707.2+7323</f>
        <v>34842.699999999997</v>
      </c>
      <c r="J1534" s="36">
        <f>25812.5+1707.2+7323</f>
        <v>34842.699999999997</v>
      </c>
      <c r="K1534" s="36">
        <f>25006.71057+1515.95045+6764.11051</f>
        <v>33286.771529999998</v>
      </c>
      <c r="L1534" s="36">
        <f t="shared" si="759"/>
        <v>45.53986394176242</v>
      </c>
      <c r="M1534" s="36">
        <f t="shared" si="760"/>
        <v>95.534420495541397</v>
      </c>
    </row>
    <row r="1535" spans="1:13" ht="25.5">
      <c r="A1535" s="60" t="s">
        <v>64</v>
      </c>
      <c r="B1535" s="29" t="s">
        <v>664</v>
      </c>
      <c r="C1535" s="29" t="s">
        <v>19</v>
      </c>
      <c r="D1535" s="29" t="s">
        <v>46</v>
      </c>
      <c r="E1535" s="29" t="s">
        <v>694</v>
      </c>
      <c r="F1535" s="29" t="s">
        <v>65</v>
      </c>
      <c r="G1535" s="36">
        <f>G1536</f>
        <v>18115.2</v>
      </c>
      <c r="H1535" s="36">
        <f t="shared" ref="H1535:K1535" si="788">H1536</f>
        <v>18115.2</v>
      </c>
      <c r="I1535" s="36">
        <f t="shared" si="788"/>
        <v>7095.3</v>
      </c>
      <c r="J1535" s="36">
        <f t="shared" si="788"/>
        <v>7095.3</v>
      </c>
      <c r="K1535" s="36">
        <f t="shared" si="788"/>
        <v>6273.4304499999998</v>
      </c>
      <c r="L1535" s="36">
        <f t="shared" si="759"/>
        <v>34.630754559706759</v>
      </c>
      <c r="M1535" s="36">
        <f t="shared" si="760"/>
        <v>88.416704720025933</v>
      </c>
    </row>
    <row r="1536" spans="1:13" ht="25.5">
      <c r="A1536" s="60" t="s">
        <v>66</v>
      </c>
      <c r="B1536" s="29" t="s">
        <v>664</v>
      </c>
      <c r="C1536" s="29" t="s">
        <v>19</v>
      </c>
      <c r="D1536" s="29" t="s">
        <v>46</v>
      </c>
      <c r="E1536" s="29" t="s">
        <v>694</v>
      </c>
      <c r="F1536" s="29" t="s">
        <v>67</v>
      </c>
      <c r="G1536" s="36">
        <v>18115.2</v>
      </c>
      <c r="H1536" s="36">
        <v>18115.2</v>
      </c>
      <c r="I1536" s="36">
        <v>7095.3</v>
      </c>
      <c r="J1536" s="36">
        <v>7095.3</v>
      </c>
      <c r="K1536" s="36">
        <v>6273.4304499999998</v>
      </c>
      <c r="L1536" s="36">
        <f t="shared" si="759"/>
        <v>34.630754559706759</v>
      </c>
      <c r="M1536" s="36">
        <f t="shared" si="760"/>
        <v>88.416704720025933</v>
      </c>
    </row>
    <row r="1537" spans="1:13" ht="25.5">
      <c r="A1537" s="60" t="s">
        <v>80</v>
      </c>
      <c r="B1537" s="29" t="s">
        <v>664</v>
      </c>
      <c r="C1537" s="29" t="s">
        <v>19</v>
      </c>
      <c r="D1537" s="29" t="s">
        <v>46</v>
      </c>
      <c r="E1537" s="29" t="s">
        <v>694</v>
      </c>
      <c r="F1537" s="29" t="s">
        <v>81</v>
      </c>
      <c r="G1537" s="36">
        <f>G1538</f>
        <v>35643.599999999999</v>
      </c>
      <c r="H1537" s="36">
        <f t="shared" ref="H1537:K1537" si="789">H1538</f>
        <v>35643.599999999999</v>
      </c>
      <c r="I1537" s="36">
        <f t="shared" si="789"/>
        <v>16957.349999999999</v>
      </c>
      <c r="J1537" s="36">
        <f t="shared" si="789"/>
        <v>16957.349999999999</v>
      </c>
      <c r="K1537" s="36">
        <f t="shared" si="789"/>
        <v>16957.349999999999</v>
      </c>
      <c r="L1537" s="36">
        <f t="shared" si="759"/>
        <v>47.574739925260076</v>
      </c>
      <c r="M1537" s="36">
        <f t="shared" si="760"/>
        <v>100</v>
      </c>
    </row>
    <row r="1538" spans="1:13">
      <c r="A1538" s="60" t="s">
        <v>271</v>
      </c>
      <c r="B1538" s="29" t="s">
        <v>664</v>
      </c>
      <c r="C1538" s="29" t="s">
        <v>19</v>
      </c>
      <c r="D1538" s="29" t="s">
        <v>46</v>
      </c>
      <c r="E1538" s="29" t="s">
        <v>694</v>
      </c>
      <c r="F1538" s="29" t="s">
        <v>272</v>
      </c>
      <c r="G1538" s="36">
        <v>35643.599999999999</v>
      </c>
      <c r="H1538" s="36">
        <v>35643.599999999999</v>
      </c>
      <c r="I1538" s="36">
        <f>16866.85+90.5</f>
        <v>16957.349999999999</v>
      </c>
      <c r="J1538" s="36">
        <f t="shared" ref="J1538:K1538" si="790">16866.85+90.5</f>
        <v>16957.349999999999</v>
      </c>
      <c r="K1538" s="36">
        <f t="shared" si="790"/>
        <v>16957.349999999999</v>
      </c>
      <c r="L1538" s="36">
        <f t="shared" si="759"/>
        <v>47.574739925260076</v>
      </c>
      <c r="M1538" s="36">
        <f t="shared" si="760"/>
        <v>100</v>
      </c>
    </row>
    <row r="1539" spans="1:13">
      <c r="A1539" s="60" t="s">
        <v>72</v>
      </c>
      <c r="B1539" s="29" t="s">
        <v>664</v>
      </c>
      <c r="C1539" s="29" t="s">
        <v>19</v>
      </c>
      <c r="D1539" s="29" t="s">
        <v>46</v>
      </c>
      <c r="E1539" s="29" t="s">
        <v>694</v>
      </c>
      <c r="F1539" s="29" t="s">
        <v>73</v>
      </c>
      <c r="G1539" s="36">
        <f>G1541</f>
        <v>2735</v>
      </c>
      <c r="H1539" s="36">
        <f>H1541+H1540</f>
        <v>2735</v>
      </c>
      <c r="I1539" s="36">
        <f t="shared" ref="I1539:K1539" si="791">I1541+I1540</f>
        <v>1514.3137000000002</v>
      </c>
      <c r="J1539" s="36">
        <f t="shared" si="791"/>
        <v>1514.3137000000002</v>
      </c>
      <c r="K1539" s="36">
        <f t="shared" si="791"/>
        <v>1126.9625900000001</v>
      </c>
      <c r="L1539" s="36">
        <f t="shared" si="759"/>
        <v>41.20521352833638</v>
      </c>
      <c r="M1539" s="36">
        <f t="shared" si="760"/>
        <v>74.420682451727131</v>
      </c>
    </row>
    <row r="1540" spans="1:13">
      <c r="A1540" s="60"/>
      <c r="B1540" s="29" t="s">
        <v>664</v>
      </c>
      <c r="C1540" s="29" t="s">
        <v>19</v>
      </c>
      <c r="D1540" s="29" t="s">
        <v>46</v>
      </c>
      <c r="E1540" s="29" t="s">
        <v>694</v>
      </c>
      <c r="F1540" s="29">
        <v>830</v>
      </c>
      <c r="G1540" s="36"/>
      <c r="H1540" s="36">
        <v>57.40569</v>
      </c>
      <c r="I1540" s="36">
        <v>57.40569</v>
      </c>
      <c r="J1540" s="36">
        <v>57.40569</v>
      </c>
      <c r="K1540" s="36">
        <v>22.5137</v>
      </c>
      <c r="L1540" s="36">
        <f t="shared" ref="L1540" si="792">K1540/H1540*100</f>
        <v>39.218586171510175</v>
      </c>
      <c r="M1540" s="36">
        <f t="shared" ref="M1540" si="793">K1540/I1540*100</f>
        <v>39.218586171510175</v>
      </c>
    </row>
    <row r="1541" spans="1:13">
      <c r="A1541" s="60" t="s">
        <v>74</v>
      </c>
      <c r="B1541" s="29" t="s">
        <v>664</v>
      </c>
      <c r="C1541" s="29" t="s">
        <v>19</v>
      </c>
      <c r="D1541" s="29" t="s">
        <v>46</v>
      </c>
      <c r="E1541" s="29" t="s">
        <v>694</v>
      </c>
      <c r="F1541" s="29" t="s">
        <v>75</v>
      </c>
      <c r="G1541" s="36">
        <v>2735</v>
      </c>
      <c r="H1541" s="36">
        <f>737.8+264.3+1675.49431</f>
        <v>2677.59431</v>
      </c>
      <c r="I1541" s="36">
        <f>306.6+157.6+992.70801</f>
        <v>1456.9080100000001</v>
      </c>
      <c r="J1541" s="36">
        <f>306.6+157.6+992.70801</f>
        <v>1456.9080100000001</v>
      </c>
      <c r="K1541" s="36">
        <f>306.6+117.02895+680.81994</f>
        <v>1104.4488900000001</v>
      </c>
      <c r="L1541" s="36">
        <f t="shared" si="759"/>
        <v>41.247805385424506</v>
      </c>
      <c r="M1541" s="36">
        <f t="shared" si="760"/>
        <v>75.807729960932818</v>
      </c>
    </row>
    <row r="1542" spans="1:13">
      <c r="A1542" s="60" t="s">
        <v>695</v>
      </c>
      <c r="B1542" s="29" t="s">
        <v>664</v>
      </c>
      <c r="C1542" s="29" t="s">
        <v>19</v>
      </c>
      <c r="D1542" s="29" t="s">
        <v>46</v>
      </c>
      <c r="E1542" s="29" t="s">
        <v>696</v>
      </c>
      <c r="F1542" s="59" t="s">
        <v>0</v>
      </c>
      <c r="G1542" s="36">
        <f>G1543</f>
        <v>1264.8</v>
      </c>
      <c r="H1542" s="36">
        <f t="shared" ref="H1542:K1543" si="794">H1543</f>
        <v>1264.8</v>
      </c>
      <c r="I1542" s="36">
        <f t="shared" si="794"/>
        <v>99</v>
      </c>
      <c r="J1542" s="36">
        <f t="shared" si="794"/>
        <v>99</v>
      </c>
      <c r="K1542" s="36">
        <f t="shared" si="794"/>
        <v>99</v>
      </c>
      <c r="L1542" s="36">
        <f t="shared" si="759"/>
        <v>7.8273244781783688</v>
      </c>
      <c r="M1542" s="36">
        <f t="shared" si="760"/>
        <v>100</v>
      </c>
    </row>
    <row r="1543" spans="1:13" ht="25.5">
      <c r="A1543" s="60" t="s">
        <v>64</v>
      </c>
      <c r="B1543" s="29" t="s">
        <v>664</v>
      </c>
      <c r="C1543" s="29" t="s">
        <v>19</v>
      </c>
      <c r="D1543" s="29" t="s">
        <v>46</v>
      </c>
      <c r="E1543" s="29" t="s">
        <v>696</v>
      </c>
      <c r="F1543" s="29" t="s">
        <v>65</v>
      </c>
      <c r="G1543" s="36">
        <f>G1544</f>
        <v>1264.8</v>
      </c>
      <c r="H1543" s="36">
        <f t="shared" si="794"/>
        <v>1264.8</v>
      </c>
      <c r="I1543" s="36">
        <f t="shared" si="794"/>
        <v>99</v>
      </c>
      <c r="J1543" s="36">
        <f t="shared" si="794"/>
        <v>99</v>
      </c>
      <c r="K1543" s="36">
        <f t="shared" si="794"/>
        <v>99</v>
      </c>
      <c r="L1543" s="36">
        <f t="shared" si="759"/>
        <v>7.8273244781783688</v>
      </c>
      <c r="M1543" s="36">
        <f t="shared" si="760"/>
        <v>100</v>
      </c>
    </row>
    <row r="1544" spans="1:13" ht="25.5">
      <c r="A1544" s="60" t="s">
        <v>66</v>
      </c>
      <c r="B1544" s="29" t="s">
        <v>664</v>
      </c>
      <c r="C1544" s="29" t="s">
        <v>19</v>
      </c>
      <c r="D1544" s="29" t="s">
        <v>46</v>
      </c>
      <c r="E1544" s="29" t="s">
        <v>696</v>
      </c>
      <c r="F1544" s="29" t="s">
        <v>67</v>
      </c>
      <c r="G1544" s="36">
        <v>1264.8</v>
      </c>
      <c r="H1544" s="36">
        <v>1264.8</v>
      </c>
      <c r="I1544" s="36">
        <v>99</v>
      </c>
      <c r="J1544" s="36">
        <v>99</v>
      </c>
      <c r="K1544" s="36">
        <v>99</v>
      </c>
      <c r="L1544" s="36">
        <f t="shared" si="759"/>
        <v>7.8273244781783688</v>
      </c>
      <c r="M1544" s="36">
        <f t="shared" si="760"/>
        <v>100</v>
      </c>
    </row>
    <row r="1545" spans="1:13" ht="38.25">
      <c r="A1545" s="60" t="s">
        <v>697</v>
      </c>
      <c r="B1545" s="29" t="s">
        <v>664</v>
      </c>
      <c r="C1545" s="29" t="s">
        <v>19</v>
      </c>
      <c r="D1545" s="29" t="s">
        <v>46</v>
      </c>
      <c r="E1545" s="29" t="s">
        <v>698</v>
      </c>
      <c r="F1545" s="59" t="s">
        <v>0</v>
      </c>
      <c r="G1545" s="36">
        <f>G1546</f>
        <v>446975.8</v>
      </c>
      <c r="H1545" s="36">
        <f t="shared" ref="H1545:K1546" si="795">H1546</f>
        <v>446975.8</v>
      </c>
      <c r="I1545" s="36">
        <f t="shared" si="795"/>
        <v>212924.13800000001</v>
      </c>
      <c r="J1545" s="36">
        <f t="shared" si="795"/>
        <v>212924.13800000001</v>
      </c>
      <c r="K1545" s="36">
        <f t="shared" si="795"/>
        <v>212924.13870000001</v>
      </c>
      <c r="L1545" s="36">
        <f t="shared" si="759"/>
        <v>47.636614487853706</v>
      </c>
      <c r="M1545" s="36">
        <f t="shared" si="760"/>
        <v>100.00000032875558</v>
      </c>
    </row>
    <row r="1546" spans="1:13">
      <c r="A1546" s="60" t="s">
        <v>72</v>
      </c>
      <c r="B1546" s="29" t="s">
        <v>664</v>
      </c>
      <c r="C1546" s="29" t="s">
        <v>19</v>
      </c>
      <c r="D1546" s="29" t="s">
        <v>46</v>
      </c>
      <c r="E1546" s="29" t="s">
        <v>698</v>
      </c>
      <c r="F1546" s="29" t="s">
        <v>73</v>
      </c>
      <c r="G1546" s="36">
        <f>G1547</f>
        <v>446975.8</v>
      </c>
      <c r="H1546" s="36">
        <f t="shared" si="795"/>
        <v>446975.8</v>
      </c>
      <c r="I1546" s="36">
        <f t="shared" si="795"/>
        <v>212924.13800000001</v>
      </c>
      <c r="J1546" s="36">
        <f t="shared" si="795"/>
        <v>212924.13800000001</v>
      </c>
      <c r="K1546" s="36">
        <f t="shared" si="795"/>
        <v>212924.13870000001</v>
      </c>
      <c r="L1546" s="36">
        <f t="shared" si="759"/>
        <v>47.636614487853706</v>
      </c>
      <c r="M1546" s="36">
        <f t="shared" si="760"/>
        <v>100.00000032875558</v>
      </c>
    </row>
    <row r="1547" spans="1:13">
      <c r="A1547" s="60" t="s">
        <v>74</v>
      </c>
      <c r="B1547" s="29" t="s">
        <v>664</v>
      </c>
      <c r="C1547" s="29" t="s">
        <v>19</v>
      </c>
      <c r="D1547" s="29" t="s">
        <v>46</v>
      </c>
      <c r="E1547" s="29" t="s">
        <v>698</v>
      </c>
      <c r="F1547" s="29" t="s">
        <v>75</v>
      </c>
      <c r="G1547" s="36">
        <v>446975.8</v>
      </c>
      <c r="H1547" s="36">
        <v>446975.8</v>
      </c>
      <c r="I1547" s="36">
        <v>212924.13800000001</v>
      </c>
      <c r="J1547" s="36">
        <v>212924.13800000001</v>
      </c>
      <c r="K1547" s="36">
        <v>212924.13870000001</v>
      </c>
      <c r="L1547" s="36">
        <f t="shared" si="759"/>
        <v>47.636614487853706</v>
      </c>
      <c r="M1547" s="36">
        <f t="shared" si="760"/>
        <v>100.00000032875558</v>
      </c>
    </row>
    <row r="1548" spans="1:13" ht="25.5">
      <c r="A1548" s="60" t="s">
        <v>699</v>
      </c>
      <c r="B1548" s="29" t="s">
        <v>664</v>
      </c>
      <c r="C1548" s="29" t="s">
        <v>19</v>
      </c>
      <c r="D1548" s="29" t="s">
        <v>46</v>
      </c>
      <c r="E1548" s="29" t="s">
        <v>700</v>
      </c>
      <c r="F1548" s="59" t="s">
        <v>0</v>
      </c>
      <c r="G1548" s="36">
        <f>G1549</f>
        <v>48629.1</v>
      </c>
      <c r="H1548" s="36">
        <f t="shared" ref="H1548:K1548" si="796">H1549</f>
        <v>48629.1</v>
      </c>
      <c r="I1548" s="36">
        <f t="shared" si="796"/>
        <v>37830</v>
      </c>
      <c r="J1548" s="36">
        <f t="shared" si="796"/>
        <v>35850</v>
      </c>
      <c r="K1548" s="36">
        <f t="shared" si="796"/>
        <v>35850</v>
      </c>
      <c r="L1548" s="36">
        <f t="shared" si="759"/>
        <v>73.721290338501021</v>
      </c>
      <c r="M1548" s="36">
        <f t="shared" si="760"/>
        <v>94.766058683584447</v>
      </c>
    </row>
    <row r="1549" spans="1:13" ht="38.25">
      <c r="A1549" s="60" t="s">
        <v>701</v>
      </c>
      <c r="B1549" s="29" t="s">
        <v>664</v>
      </c>
      <c r="C1549" s="29" t="s">
        <v>19</v>
      </c>
      <c r="D1549" s="29" t="s">
        <v>46</v>
      </c>
      <c r="E1549" s="29" t="s">
        <v>702</v>
      </c>
      <c r="F1549" s="59" t="s">
        <v>0</v>
      </c>
      <c r="G1549" s="36">
        <f>G1550+G1552</f>
        <v>48629.1</v>
      </c>
      <c r="H1549" s="36">
        <f t="shared" ref="H1549:K1549" si="797">H1550+H1552</f>
        <v>48629.1</v>
      </c>
      <c r="I1549" s="36">
        <f t="shared" si="797"/>
        <v>37830</v>
      </c>
      <c r="J1549" s="36">
        <f t="shared" si="797"/>
        <v>35850</v>
      </c>
      <c r="K1549" s="36">
        <f t="shared" si="797"/>
        <v>35850</v>
      </c>
      <c r="L1549" s="36">
        <f t="shared" si="759"/>
        <v>73.721290338501021</v>
      </c>
      <c r="M1549" s="36">
        <f t="shared" si="760"/>
        <v>94.766058683584447</v>
      </c>
    </row>
    <row r="1550" spans="1:13" ht="25.5">
      <c r="A1550" s="60" t="s">
        <v>64</v>
      </c>
      <c r="B1550" s="29" t="s">
        <v>664</v>
      </c>
      <c r="C1550" s="29" t="s">
        <v>19</v>
      </c>
      <c r="D1550" s="29" t="s">
        <v>46</v>
      </c>
      <c r="E1550" s="29" t="s">
        <v>702</v>
      </c>
      <c r="F1550" s="29" t="s">
        <v>65</v>
      </c>
      <c r="G1550" s="36">
        <f>G1551</f>
        <v>5000</v>
      </c>
      <c r="H1550" s="36">
        <f t="shared" ref="H1550:K1550" si="798">H1551</f>
        <v>5000</v>
      </c>
      <c r="I1550" s="36">
        <f t="shared" si="798"/>
        <v>160</v>
      </c>
      <c r="J1550" s="36">
        <f t="shared" si="798"/>
        <v>160</v>
      </c>
      <c r="K1550" s="36">
        <f t="shared" si="798"/>
        <v>160</v>
      </c>
      <c r="L1550" s="36">
        <f t="shared" si="759"/>
        <v>3.2</v>
      </c>
      <c r="M1550" s="36">
        <f t="shared" si="760"/>
        <v>100</v>
      </c>
    </row>
    <row r="1551" spans="1:13" ht="25.5">
      <c r="A1551" s="60" t="s">
        <v>66</v>
      </c>
      <c r="B1551" s="29" t="s">
        <v>664</v>
      </c>
      <c r="C1551" s="29" t="s">
        <v>19</v>
      </c>
      <c r="D1551" s="29" t="s">
        <v>46</v>
      </c>
      <c r="E1551" s="29" t="s">
        <v>702</v>
      </c>
      <c r="F1551" s="29" t="s">
        <v>67</v>
      </c>
      <c r="G1551" s="36">
        <v>5000</v>
      </c>
      <c r="H1551" s="36">
        <v>5000</v>
      </c>
      <c r="I1551" s="36">
        <v>160</v>
      </c>
      <c r="J1551" s="36">
        <v>160</v>
      </c>
      <c r="K1551" s="36">
        <v>160</v>
      </c>
      <c r="L1551" s="36">
        <f t="shared" si="759"/>
        <v>3.2</v>
      </c>
      <c r="M1551" s="36">
        <f t="shared" si="760"/>
        <v>100</v>
      </c>
    </row>
    <row r="1552" spans="1:13" ht="25.5">
      <c r="A1552" s="60" t="s">
        <v>80</v>
      </c>
      <c r="B1552" s="29" t="s">
        <v>664</v>
      </c>
      <c r="C1552" s="29" t="s">
        <v>19</v>
      </c>
      <c r="D1552" s="29" t="s">
        <v>46</v>
      </c>
      <c r="E1552" s="29" t="s">
        <v>702</v>
      </c>
      <c r="F1552" s="29" t="s">
        <v>81</v>
      </c>
      <c r="G1552" s="36">
        <f>G1553</f>
        <v>43629.1</v>
      </c>
      <c r="H1552" s="36">
        <f t="shared" ref="H1552:K1552" si="799">H1553</f>
        <v>43629.1</v>
      </c>
      <c r="I1552" s="36">
        <f t="shared" si="799"/>
        <v>37670</v>
      </c>
      <c r="J1552" s="36">
        <f t="shared" si="799"/>
        <v>35690</v>
      </c>
      <c r="K1552" s="36">
        <f t="shared" si="799"/>
        <v>35690</v>
      </c>
      <c r="L1552" s="36">
        <f t="shared" si="759"/>
        <v>81.803200157692928</v>
      </c>
      <c r="M1552" s="36">
        <f t="shared" si="760"/>
        <v>94.743827979824786</v>
      </c>
    </row>
    <row r="1553" spans="1:13">
      <c r="A1553" s="60" t="s">
        <v>271</v>
      </c>
      <c r="B1553" s="29" t="s">
        <v>664</v>
      </c>
      <c r="C1553" s="29" t="s">
        <v>19</v>
      </c>
      <c r="D1553" s="29" t="s">
        <v>46</v>
      </c>
      <c r="E1553" s="29" t="s">
        <v>702</v>
      </c>
      <c r="F1553" s="29" t="s">
        <v>272</v>
      </c>
      <c r="G1553" s="36">
        <v>43629.1</v>
      </c>
      <c r="H1553" s="36">
        <v>43629.1</v>
      </c>
      <c r="I1553" s="36">
        <v>37670</v>
      </c>
      <c r="J1553" s="36">
        <v>35690</v>
      </c>
      <c r="K1553" s="36">
        <v>35690</v>
      </c>
      <c r="L1553" s="36">
        <f t="shared" si="759"/>
        <v>81.803200157692928</v>
      </c>
      <c r="M1553" s="36">
        <f t="shared" si="760"/>
        <v>94.743827979824786</v>
      </c>
    </row>
    <row r="1554" spans="1:13" ht="38.25">
      <c r="A1554" s="60" t="s">
        <v>122</v>
      </c>
      <c r="B1554" s="29" t="s">
        <v>664</v>
      </c>
      <c r="C1554" s="29" t="s">
        <v>19</v>
      </c>
      <c r="D1554" s="29" t="s">
        <v>46</v>
      </c>
      <c r="E1554" s="29" t="s">
        <v>123</v>
      </c>
      <c r="F1554" s="59" t="s">
        <v>0</v>
      </c>
      <c r="G1554" s="36">
        <f>G1555</f>
        <v>4500</v>
      </c>
      <c r="H1554" s="36">
        <f t="shared" ref="H1554:K1556" si="800">H1555</f>
        <v>4500</v>
      </c>
      <c r="I1554" s="36">
        <f t="shared" si="800"/>
        <v>913.4</v>
      </c>
      <c r="J1554" s="36">
        <f t="shared" si="800"/>
        <v>913.4</v>
      </c>
      <c r="K1554" s="36">
        <f t="shared" si="800"/>
        <v>913.4</v>
      </c>
      <c r="L1554" s="36">
        <f t="shared" si="759"/>
        <v>20.297777777777778</v>
      </c>
      <c r="M1554" s="36">
        <f t="shared" si="760"/>
        <v>100</v>
      </c>
    </row>
    <row r="1555" spans="1:13" ht="38.25">
      <c r="A1555" s="60" t="s">
        <v>37</v>
      </c>
      <c r="B1555" s="29" t="s">
        <v>664</v>
      </c>
      <c r="C1555" s="29" t="s">
        <v>19</v>
      </c>
      <c r="D1555" s="29" t="s">
        <v>46</v>
      </c>
      <c r="E1555" s="29" t="s">
        <v>703</v>
      </c>
      <c r="F1555" s="59" t="s">
        <v>0</v>
      </c>
      <c r="G1555" s="36">
        <f>G1556</f>
        <v>4500</v>
      </c>
      <c r="H1555" s="36">
        <f t="shared" si="800"/>
        <v>4500</v>
      </c>
      <c r="I1555" s="36">
        <f t="shared" si="800"/>
        <v>913.4</v>
      </c>
      <c r="J1555" s="36">
        <f t="shared" si="800"/>
        <v>913.4</v>
      </c>
      <c r="K1555" s="36">
        <f t="shared" si="800"/>
        <v>913.4</v>
      </c>
      <c r="L1555" s="36">
        <f t="shared" si="759"/>
        <v>20.297777777777778</v>
      </c>
      <c r="M1555" s="36">
        <f t="shared" si="760"/>
        <v>100</v>
      </c>
    </row>
    <row r="1556" spans="1:13" ht="25.5">
      <c r="A1556" s="60" t="s">
        <v>39</v>
      </c>
      <c r="B1556" s="29" t="s">
        <v>664</v>
      </c>
      <c r="C1556" s="29" t="s">
        <v>19</v>
      </c>
      <c r="D1556" s="29" t="s">
        <v>46</v>
      </c>
      <c r="E1556" s="29" t="s">
        <v>703</v>
      </c>
      <c r="F1556" s="29" t="s">
        <v>40</v>
      </c>
      <c r="G1556" s="36">
        <f>G1557</f>
        <v>4500</v>
      </c>
      <c r="H1556" s="36">
        <f t="shared" si="800"/>
        <v>4500</v>
      </c>
      <c r="I1556" s="36">
        <f t="shared" si="800"/>
        <v>913.4</v>
      </c>
      <c r="J1556" s="36">
        <f t="shared" si="800"/>
        <v>913.4</v>
      </c>
      <c r="K1556" s="36">
        <f t="shared" si="800"/>
        <v>913.4</v>
      </c>
      <c r="L1556" s="36">
        <f t="shared" si="759"/>
        <v>20.297777777777778</v>
      </c>
      <c r="M1556" s="36">
        <f t="shared" si="760"/>
        <v>100</v>
      </c>
    </row>
    <row r="1557" spans="1:13">
      <c r="A1557" s="60" t="s">
        <v>41</v>
      </c>
      <c r="B1557" s="29" t="s">
        <v>664</v>
      </c>
      <c r="C1557" s="29" t="s">
        <v>19</v>
      </c>
      <c r="D1557" s="29" t="s">
        <v>46</v>
      </c>
      <c r="E1557" s="29" t="s">
        <v>703</v>
      </c>
      <c r="F1557" s="29" t="s">
        <v>42</v>
      </c>
      <c r="G1557" s="36">
        <v>4500</v>
      </c>
      <c r="H1557" s="36">
        <v>4500</v>
      </c>
      <c r="I1557" s="36">
        <v>913.4</v>
      </c>
      <c r="J1557" s="36">
        <v>913.4</v>
      </c>
      <c r="K1557" s="36">
        <v>913.4</v>
      </c>
      <c r="L1557" s="36">
        <f t="shared" si="759"/>
        <v>20.297777777777778</v>
      </c>
      <c r="M1557" s="36">
        <f t="shared" si="760"/>
        <v>100</v>
      </c>
    </row>
    <row r="1558" spans="1:13">
      <c r="A1558" s="63" t="s">
        <v>612</v>
      </c>
      <c r="B1558" s="29" t="s">
        <v>664</v>
      </c>
      <c r="C1558" s="29" t="s">
        <v>19</v>
      </c>
      <c r="D1558" s="29" t="s">
        <v>46</v>
      </c>
      <c r="E1558" s="30" t="s">
        <v>613</v>
      </c>
      <c r="F1558" s="29"/>
      <c r="G1558" s="36"/>
      <c r="H1558" s="36">
        <f>H1559</f>
        <v>4010.6852199999998</v>
      </c>
      <c r="I1558" s="36">
        <f t="shared" ref="I1558:K1560" si="801">I1559</f>
        <v>4010.6852199999998</v>
      </c>
      <c r="J1558" s="36">
        <f t="shared" si="801"/>
        <v>4010.6852199999998</v>
      </c>
      <c r="K1558" s="36">
        <f t="shared" si="801"/>
        <v>0</v>
      </c>
      <c r="L1558" s="36">
        <f t="shared" ref="L1558:L1561" si="802">K1558/H1558*100</f>
        <v>0</v>
      </c>
      <c r="M1558" s="36">
        <f t="shared" ref="M1558:M1561" si="803">K1558/I1558*100</f>
        <v>0</v>
      </c>
    </row>
    <row r="1559" spans="1:13">
      <c r="A1559" s="63" t="s">
        <v>612</v>
      </c>
      <c r="B1559" s="29" t="s">
        <v>664</v>
      </c>
      <c r="C1559" s="29" t="s">
        <v>19</v>
      </c>
      <c r="D1559" s="29" t="s">
        <v>46</v>
      </c>
      <c r="E1559" s="30" t="s">
        <v>614</v>
      </c>
      <c r="F1559" s="29"/>
      <c r="G1559" s="36"/>
      <c r="H1559" s="36">
        <f>H1560</f>
        <v>4010.6852199999998</v>
      </c>
      <c r="I1559" s="36">
        <f t="shared" si="801"/>
        <v>4010.6852199999998</v>
      </c>
      <c r="J1559" s="36">
        <f t="shared" si="801"/>
        <v>4010.6852199999998</v>
      </c>
      <c r="K1559" s="36">
        <f t="shared" si="801"/>
        <v>0</v>
      </c>
      <c r="L1559" s="36">
        <f t="shared" si="802"/>
        <v>0</v>
      </c>
      <c r="M1559" s="36">
        <f t="shared" si="803"/>
        <v>0</v>
      </c>
    </row>
    <row r="1560" spans="1:13">
      <c r="A1560" s="63" t="s">
        <v>26</v>
      </c>
      <c r="B1560" s="29" t="s">
        <v>664</v>
      </c>
      <c r="C1560" s="29" t="s">
        <v>19</v>
      </c>
      <c r="D1560" s="29" t="s">
        <v>46</v>
      </c>
      <c r="E1560" s="30" t="s">
        <v>614</v>
      </c>
      <c r="F1560" s="29">
        <v>500</v>
      </c>
      <c r="G1560" s="36"/>
      <c r="H1560" s="36">
        <f>H1561</f>
        <v>4010.6852199999998</v>
      </c>
      <c r="I1560" s="36">
        <f t="shared" si="801"/>
        <v>4010.6852199999998</v>
      </c>
      <c r="J1560" s="36">
        <f t="shared" si="801"/>
        <v>4010.6852199999998</v>
      </c>
      <c r="K1560" s="36">
        <f t="shared" si="801"/>
        <v>0</v>
      </c>
      <c r="L1560" s="36">
        <f t="shared" si="802"/>
        <v>0</v>
      </c>
      <c r="M1560" s="36">
        <f t="shared" si="803"/>
        <v>0</v>
      </c>
    </row>
    <row r="1561" spans="1:13">
      <c r="A1561" s="63" t="s">
        <v>352</v>
      </c>
      <c r="B1561" s="29" t="s">
        <v>664</v>
      </c>
      <c r="C1561" s="29" t="s">
        <v>19</v>
      </c>
      <c r="D1561" s="29" t="s">
        <v>46</v>
      </c>
      <c r="E1561" s="30" t="s">
        <v>614</v>
      </c>
      <c r="F1561" s="29">
        <v>540</v>
      </c>
      <c r="G1561" s="36"/>
      <c r="H1561" s="36">
        <v>4010.6852199999998</v>
      </c>
      <c r="I1561" s="36">
        <v>4010.6852199999998</v>
      </c>
      <c r="J1561" s="36">
        <v>4010.6852199999998</v>
      </c>
      <c r="K1561" s="36">
        <v>0</v>
      </c>
      <c r="L1561" s="36">
        <f t="shared" si="802"/>
        <v>0</v>
      </c>
      <c r="M1561" s="36">
        <f t="shared" si="803"/>
        <v>0</v>
      </c>
    </row>
    <row r="1562" spans="1:13" ht="25.5">
      <c r="A1562" s="60" t="s">
        <v>704</v>
      </c>
      <c r="B1562" s="29" t="s">
        <v>664</v>
      </c>
      <c r="C1562" s="29" t="s">
        <v>19</v>
      </c>
      <c r="D1562" s="29" t="s">
        <v>46</v>
      </c>
      <c r="E1562" s="29" t="s">
        <v>705</v>
      </c>
      <c r="F1562" s="59" t="s">
        <v>0</v>
      </c>
      <c r="G1562" s="36">
        <f>G1563+G1568</f>
        <v>310303.3</v>
      </c>
      <c r="H1562" s="36">
        <f t="shared" ref="H1562:K1562" si="804">H1563+H1568</f>
        <v>310303.26299999998</v>
      </c>
      <c r="I1562" s="36">
        <f t="shared" si="804"/>
        <v>164248.11300000001</v>
      </c>
      <c r="J1562" s="36">
        <f t="shared" si="804"/>
        <v>161801.86300000001</v>
      </c>
      <c r="K1562" s="36">
        <f t="shared" si="804"/>
        <v>118046.7858</v>
      </c>
      <c r="L1562" s="36">
        <f t="shared" si="759"/>
        <v>38.042392676998702</v>
      </c>
      <c r="M1562" s="36">
        <f t="shared" si="760"/>
        <v>71.871014919970492</v>
      </c>
    </row>
    <row r="1563" spans="1:13" ht="51">
      <c r="A1563" s="60" t="s">
        <v>706</v>
      </c>
      <c r="B1563" s="29" t="s">
        <v>664</v>
      </c>
      <c r="C1563" s="29" t="s">
        <v>19</v>
      </c>
      <c r="D1563" s="29" t="s">
        <v>46</v>
      </c>
      <c r="E1563" s="29" t="s">
        <v>707</v>
      </c>
      <c r="F1563" s="59" t="s">
        <v>0</v>
      </c>
      <c r="G1563" s="36">
        <f>G1566</f>
        <v>61462.400000000001</v>
      </c>
      <c r="H1563" s="36">
        <f>H1566+H1564</f>
        <v>61462.362999999998</v>
      </c>
      <c r="I1563" s="36">
        <f t="shared" ref="I1563:K1563" si="805">I1566+I1564</f>
        <v>39827.663</v>
      </c>
      <c r="J1563" s="36">
        <f t="shared" si="805"/>
        <v>39827.663</v>
      </c>
      <c r="K1563" s="36">
        <f t="shared" si="805"/>
        <v>39827.663</v>
      </c>
      <c r="L1563" s="36">
        <f t="shared" si="759"/>
        <v>64.8000842401715</v>
      </c>
      <c r="M1563" s="36">
        <f t="shared" si="760"/>
        <v>100</v>
      </c>
    </row>
    <row r="1564" spans="1:13" ht="25.5">
      <c r="A1564" s="60" t="s">
        <v>64</v>
      </c>
      <c r="B1564" s="29" t="s">
        <v>664</v>
      </c>
      <c r="C1564" s="29" t="s">
        <v>19</v>
      </c>
      <c r="D1564" s="29" t="s">
        <v>46</v>
      </c>
      <c r="E1564" s="29" t="s">
        <v>707</v>
      </c>
      <c r="F1564" s="29">
        <v>200</v>
      </c>
      <c r="G1564" s="36"/>
      <c r="H1564" s="36">
        <f>H1565</f>
        <v>39827.663</v>
      </c>
      <c r="I1564" s="36">
        <f t="shared" ref="I1564:K1564" si="806">I1565</f>
        <v>39827.663</v>
      </c>
      <c r="J1564" s="36">
        <f t="shared" si="806"/>
        <v>39827.663</v>
      </c>
      <c r="K1564" s="36">
        <f t="shared" si="806"/>
        <v>39827.663</v>
      </c>
      <c r="L1564" s="36">
        <f t="shared" ref="L1564:L1565" si="807">K1564/H1564*100</f>
        <v>100</v>
      </c>
      <c r="M1564" s="36">
        <f t="shared" ref="M1564:M1565" si="808">K1564/I1564*100</f>
        <v>100</v>
      </c>
    </row>
    <row r="1565" spans="1:13" ht="25.5">
      <c r="A1565" s="60" t="s">
        <v>66</v>
      </c>
      <c r="B1565" s="29" t="s">
        <v>664</v>
      </c>
      <c r="C1565" s="29" t="s">
        <v>19</v>
      </c>
      <c r="D1565" s="29" t="s">
        <v>46</v>
      </c>
      <c r="E1565" s="29" t="s">
        <v>707</v>
      </c>
      <c r="F1565" s="29">
        <v>240</v>
      </c>
      <c r="G1565" s="36"/>
      <c r="H1565" s="36">
        <v>39827.663</v>
      </c>
      <c r="I1565" s="36">
        <v>39827.663</v>
      </c>
      <c r="J1565" s="36">
        <v>39827.663</v>
      </c>
      <c r="K1565" s="36">
        <v>39827.663</v>
      </c>
      <c r="L1565" s="36">
        <f t="shared" si="807"/>
        <v>100</v>
      </c>
      <c r="M1565" s="36">
        <f t="shared" si="808"/>
        <v>100</v>
      </c>
    </row>
    <row r="1566" spans="1:13">
      <c r="A1566" s="60" t="s">
        <v>72</v>
      </c>
      <c r="B1566" s="29" t="s">
        <v>664</v>
      </c>
      <c r="C1566" s="29" t="s">
        <v>19</v>
      </c>
      <c r="D1566" s="29" t="s">
        <v>46</v>
      </c>
      <c r="E1566" s="29" t="s">
        <v>707</v>
      </c>
      <c r="F1566" s="29" t="s">
        <v>73</v>
      </c>
      <c r="G1566" s="36">
        <f>G1567</f>
        <v>61462.400000000001</v>
      </c>
      <c r="H1566" s="36">
        <f t="shared" ref="H1566:K1566" si="809">H1567</f>
        <v>21634.7</v>
      </c>
      <c r="I1566" s="36">
        <f t="shared" si="809"/>
        <v>0</v>
      </c>
      <c r="J1566" s="36">
        <f t="shared" si="809"/>
        <v>0</v>
      </c>
      <c r="K1566" s="36">
        <f t="shared" si="809"/>
        <v>0</v>
      </c>
      <c r="L1566" s="36">
        <f t="shared" si="759"/>
        <v>0</v>
      </c>
      <c r="M1566" s="36">
        <v>0</v>
      </c>
    </row>
    <row r="1567" spans="1:13">
      <c r="A1567" s="60" t="s">
        <v>369</v>
      </c>
      <c r="B1567" s="29" t="s">
        <v>664</v>
      </c>
      <c r="C1567" s="29" t="s">
        <v>19</v>
      </c>
      <c r="D1567" s="29" t="s">
        <v>46</v>
      </c>
      <c r="E1567" s="29" t="s">
        <v>707</v>
      </c>
      <c r="F1567" s="29" t="s">
        <v>370</v>
      </c>
      <c r="G1567" s="36">
        <v>61462.400000000001</v>
      </c>
      <c r="H1567" s="36">
        <v>21634.7</v>
      </c>
      <c r="I1567" s="36">
        <v>0</v>
      </c>
      <c r="J1567" s="36">
        <v>0</v>
      </c>
      <c r="K1567" s="36">
        <v>0</v>
      </c>
      <c r="L1567" s="36">
        <f t="shared" si="759"/>
        <v>0</v>
      </c>
      <c r="M1567" s="36">
        <v>0</v>
      </c>
    </row>
    <row r="1568" spans="1:13" ht="102">
      <c r="A1568" s="60" t="s">
        <v>708</v>
      </c>
      <c r="B1568" s="29" t="s">
        <v>664</v>
      </c>
      <c r="C1568" s="29" t="s">
        <v>19</v>
      </c>
      <c r="D1568" s="29" t="s">
        <v>46</v>
      </c>
      <c r="E1568" s="29" t="s">
        <v>709</v>
      </c>
      <c r="F1568" s="59" t="s">
        <v>0</v>
      </c>
      <c r="G1568" s="36">
        <f>G1569</f>
        <v>248840.9</v>
      </c>
      <c r="H1568" s="36">
        <f t="shared" ref="H1568:K1569" si="810">H1569</f>
        <v>248840.9</v>
      </c>
      <c r="I1568" s="36">
        <f t="shared" si="810"/>
        <v>124420.45</v>
      </c>
      <c r="J1568" s="36">
        <f t="shared" si="810"/>
        <v>121974.2</v>
      </c>
      <c r="K1568" s="36">
        <f t="shared" si="810"/>
        <v>78219.122799999997</v>
      </c>
      <c r="L1568" s="36">
        <f t="shared" ref="L1568:L1620" si="811">K1568/H1568*100</f>
        <v>31.433386874906816</v>
      </c>
      <c r="M1568" s="36">
        <f t="shared" ref="M1568:M1620" si="812">K1568/I1568*100</f>
        <v>62.866773749813632</v>
      </c>
    </row>
    <row r="1569" spans="1:13">
      <c r="A1569" s="60" t="s">
        <v>26</v>
      </c>
      <c r="B1569" s="29" t="s">
        <v>664</v>
      </c>
      <c r="C1569" s="29" t="s">
        <v>19</v>
      </c>
      <c r="D1569" s="29" t="s">
        <v>46</v>
      </c>
      <c r="E1569" s="29" t="s">
        <v>709</v>
      </c>
      <c r="F1569" s="29" t="s">
        <v>27</v>
      </c>
      <c r="G1569" s="36">
        <f>G1570</f>
        <v>248840.9</v>
      </c>
      <c r="H1569" s="36">
        <f t="shared" si="810"/>
        <v>248840.9</v>
      </c>
      <c r="I1569" s="36">
        <f t="shared" si="810"/>
        <v>124420.45</v>
      </c>
      <c r="J1569" s="36">
        <f t="shared" si="810"/>
        <v>121974.2</v>
      </c>
      <c r="K1569" s="36">
        <f t="shared" si="810"/>
        <v>78219.122799999997</v>
      </c>
      <c r="L1569" s="36">
        <f t="shared" si="811"/>
        <v>31.433386874906816</v>
      </c>
      <c r="M1569" s="36">
        <f t="shared" si="812"/>
        <v>62.866773749813632</v>
      </c>
    </row>
    <row r="1570" spans="1:13">
      <c r="A1570" s="60" t="s">
        <v>56</v>
      </c>
      <c r="B1570" s="29" t="s">
        <v>664</v>
      </c>
      <c r="C1570" s="29" t="s">
        <v>19</v>
      </c>
      <c r="D1570" s="29" t="s">
        <v>46</v>
      </c>
      <c r="E1570" s="29" t="s">
        <v>709</v>
      </c>
      <c r="F1570" s="29" t="s">
        <v>57</v>
      </c>
      <c r="G1570" s="36">
        <v>248840.9</v>
      </c>
      <c r="H1570" s="36">
        <v>248840.9</v>
      </c>
      <c r="I1570" s="36">
        <v>124420.45</v>
      </c>
      <c r="J1570" s="36">
        <v>121974.2</v>
      </c>
      <c r="K1570" s="36">
        <v>78219.122799999997</v>
      </c>
      <c r="L1570" s="36">
        <f t="shared" si="811"/>
        <v>31.433386874906816</v>
      </c>
      <c r="M1570" s="36">
        <f t="shared" si="812"/>
        <v>62.866773749813632</v>
      </c>
    </row>
    <row r="1571" spans="1:13">
      <c r="A1571" s="60" t="s">
        <v>710</v>
      </c>
      <c r="B1571" s="29" t="s">
        <v>664</v>
      </c>
      <c r="C1571" s="29" t="s">
        <v>19</v>
      </c>
      <c r="D1571" s="29" t="s">
        <v>148</v>
      </c>
      <c r="E1571" s="59" t="s">
        <v>0</v>
      </c>
      <c r="F1571" s="59" t="s">
        <v>0</v>
      </c>
      <c r="G1571" s="36">
        <f>G1572</f>
        <v>7921.7</v>
      </c>
      <c r="H1571" s="36">
        <f t="shared" ref="H1571:K1575" si="813">H1572</f>
        <v>0</v>
      </c>
      <c r="I1571" s="36">
        <f t="shared" si="813"/>
        <v>0</v>
      </c>
      <c r="J1571" s="36">
        <f t="shared" si="813"/>
        <v>0</v>
      </c>
      <c r="K1571" s="36">
        <f t="shared" si="813"/>
        <v>0</v>
      </c>
      <c r="L1571" s="36">
        <v>0</v>
      </c>
      <c r="M1571" s="36">
        <v>0</v>
      </c>
    </row>
    <row r="1572" spans="1:13" ht="38.25">
      <c r="A1572" s="60" t="s">
        <v>665</v>
      </c>
      <c r="B1572" s="29" t="s">
        <v>664</v>
      </c>
      <c r="C1572" s="29" t="s">
        <v>19</v>
      </c>
      <c r="D1572" s="29" t="s">
        <v>148</v>
      </c>
      <c r="E1572" s="29" t="s">
        <v>666</v>
      </c>
      <c r="F1572" s="59" t="s">
        <v>0</v>
      </c>
      <c r="G1572" s="36">
        <f>G1573</f>
        <v>7921.7</v>
      </c>
      <c r="H1572" s="36">
        <f t="shared" si="813"/>
        <v>0</v>
      </c>
      <c r="I1572" s="36">
        <f t="shared" si="813"/>
        <v>0</v>
      </c>
      <c r="J1572" s="36">
        <f t="shared" si="813"/>
        <v>0</v>
      </c>
      <c r="K1572" s="36">
        <f t="shared" si="813"/>
        <v>0</v>
      </c>
      <c r="L1572" s="36">
        <v>0</v>
      </c>
      <c r="M1572" s="36">
        <v>0</v>
      </c>
    </row>
    <row r="1573" spans="1:13" ht="38.25">
      <c r="A1573" s="60" t="s">
        <v>667</v>
      </c>
      <c r="B1573" s="29" t="s">
        <v>664</v>
      </c>
      <c r="C1573" s="29" t="s">
        <v>19</v>
      </c>
      <c r="D1573" s="29" t="s">
        <v>148</v>
      </c>
      <c r="E1573" s="29" t="s">
        <v>668</v>
      </c>
      <c r="F1573" s="59" t="s">
        <v>0</v>
      </c>
      <c r="G1573" s="36">
        <f>G1574</f>
        <v>7921.7</v>
      </c>
      <c r="H1573" s="36">
        <f t="shared" si="813"/>
        <v>0</v>
      </c>
      <c r="I1573" s="36">
        <f t="shared" si="813"/>
        <v>0</v>
      </c>
      <c r="J1573" s="36">
        <f t="shared" si="813"/>
        <v>0</v>
      </c>
      <c r="K1573" s="36">
        <f t="shared" si="813"/>
        <v>0</v>
      </c>
      <c r="L1573" s="36">
        <v>0</v>
      </c>
      <c r="M1573" s="36">
        <v>0</v>
      </c>
    </row>
    <row r="1574" spans="1:13" ht="25.5">
      <c r="A1574" s="60" t="s">
        <v>76</v>
      </c>
      <c r="B1574" s="29" t="s">
        <v>664</v>
      </c>
      <c r="C1574" s="29" t="s">
        <v>19</v>
      </c>
      <c r="D1574" s="29" t="s">
        <v>148</v>
      </c>
      <c r="E1574" s="29" t="s">
        <v>694</v>
      </c>
      <c r="F1574" s="59" t="s">
        <v>0</v>
      </c>
      <c r="G1574" s="36">
        <f>G1575</f>
        <v>7921.7</v>
      </c>
      <c r="H1574" s="36">
        <f t="shared" si="813"/>
        <v>0</v>
      </c>
      <c r="I1574" s="36">
        <f t="shared" si="813"/>
        <v>0</v>
      </c>
      <c r="J1574" s="36">
        <f t="shared" si="813"/>
        <v>0</v>
      </c>
      <c r="K1574" s="36">
        <f t="shared" si="813"/>
        <v>0</v>
      </c>
      <c r="L1574" s="36">
        <v>0</v>
      </c>
      <c r="M1574" s="36">
        <v>0</v>
      </c>
    </row>
    <row r="1575" spans="1:13" ht="25.5">
      <c r="A1575" s="60" t="s">
        <v>80</v>
      </c>
      <c r="B1575" s="29" t="s">
        <v>664</v>
      </c>
      <c r="C1575" s="29" t="s">
        <v>19</v>
      </c>
      <c r="D1575" s="29" t="s">
        <v>148</v>
      </c>
      <c r="E1575" s="29" t="s">
        <v>694</v>
      </c>
      <c r="F1575" s="29" t="s">
        <v>81</v>
      </c>
      <c r="G1575" s="36">
        <f>G1576</f>
        <v>7921.7</v>
      </c>
      <c r="H1575" s="36">
        <f t="shared" si="813"/>
        <v>0</v>
      </c>
      <c r="I1575" s="36">
        <f t="shared" si="813"/>
        <v>0</v>
      </c>
      <c r="J1575" s="36">
        <f t="shared" si="813"/>
        <v>0</v>
      </c>
      <c r="K1575" s="36">
        <f t="shared" si="813"/>
        <v>0</v>
      </c>
      <c r="L1575" s="36">
        <v>0</v>
      </c>
      <c r="M1575" s="36">
        <v>0</v>
      </c>
    </row>
    <row r="1576" spans="1:13">
      <c r="A1576" s="60" t="s">
        <v>271</v>
      </c>
      <c r="B1576" s="29" t="s">
        <v>664</v>
      </c>
      <c r="C1576" s="29" t="s">
        <v>19</v>
      </c>
      <c r="D1576" s="29" t="s">
        <v>148</v>
      </c>
      <c r="E1576" s="29" t="s">
        <v>694</v>
      </c>
      <c r="F1576" s="29" t="s">
        <v>272</v>
      </c>
      <c r="G1576" s="36">
        <v>7921.7</v>
      </c>
      <c r="H1576" s="36">
        <v>0</v>
      </c>
      <c r="I1576" s="36">
        <v>0</v>
      </c>
      <c r="J1576" s="36">
        <v>0</v>
      </c>
      <c r="K1576" s="36">
        <v>0</v>
      </c>
      <c r="L1576" s="36">
        <v>0</v>
      </c>
      <c r="M1576" s="36">
        <v>0</v>
      </c>
    </row>
    <row r="1577" spans="1:13">
      <c r="A1577" s="65" t="s">
        <v>0</v>
      </c>
      <c r="B1577" s="66" t="s">
        <v>0</v>
      </c>
      <c r="C1577" s="59" t="s">
        <v>0</v>
      </c>
      <c r="D1577" s="59" t="s">
        <v>0</v>
      </c>
      <c r="E1577" s="59" t="s">
        <v>0</v>
      </c>
      <c r="F1577" s="59" t="s">
        <v>0</v>
      </c>
      <c r="G1577" s="67" t="s">
        <v>0</v>
      </c>
      <c r="H1577" s="67" t="s">
        <v>0</v>
      </c>
      <c r="I1577" s="67" t="s">
        <v>0</v>
      </c>
      <c r="J1577" s="67" t="s">
        <v>0</v>
      </c>
      <c r="K1577" s="67" t="s">
        <v>0</v>
      </c>
      <c r="L1577" s="67"/>
      <c r="M1577" s="67"/>
    </row>
    <row r="1578" spans="1:13" ht="25.5">
      <c r="A1578" s="57" t="s">
        <v>711</v>
      </c>
      <c r="B1578" s="58" t="s">
        <v>712</v>
      </c>
      <c r="C1578" s="59" t="s">
        <v>0</v>
      </c>
      <c r="D1578" s="59" t="s">
        <v>0</v>
      </c>
      <c r="E1578" s="59" t="s">
        <v>0</v>
      </c>
      <c r="F1578" s="59" t="s">
        <v>0</v>
      </c>
      <c r="G1578" s="31">
        <f>G1579+G1594</f>
        <v>114680.5</v>
      </c>
      <c r="H1578" s="31">
        <f t="shared" ref="H1578:K1578" si="814">H1579+H1594</f>
        <v>107488.35699999999</v>
      </c>
      <c r="I1578" s="31">
        <f t="shared" si="814"/>
        <v>33334.66835</v>
      </c>
      <c r="J1578" s="31">
        <f t="shared" si="814"/>
        <v>32946.628499999999</v>
      </c>
      <c r="K1578" s="31">
        <f t="shared" si="814"/>
        <v>32434.347839999999</v>
      </c>
      <c r="L1578" s="31">
        <f t="shared" si="811"/>
        <v>30.174754499224509</v>
      </c>
      <c r="M1578" s="31">
        <f t="shared" si="812"/>
        <v>97.299146640527468</v>
      </c>
    </row>
    <row r="1579" spans="1:13">
      <c r="A1579" s="60" t="s">
        <v>16</v>
      </c>
      <c r="B1579" s="29" t="s">
        <v>712</v>
      </c>
      <c r="C1579" s="29" t="s">
        <v>17</v>
      </c>
      <c r="D1579" s="59" t="s">
        <v>0</v>
      </c>
      <c r="E1579" s="59" t="s">
        <v>0</v>
      </c>
      <c r="F1579" s="59" t="s">
        <v>0</v>
      </c>
      <c r="G1579" s="36">
        <f>G1580</f>
        <v>55129.8</v>
      </c>
      <c r="H1579" s="36">
        <f t="shared" ref="H1579:K1581" si="815">H1580</f>
        <v>50137.656999999999</v>
      </c>
      <c r="I1579" s="36">
        <f t="shared" si="815"/>
        <v>23227.54535</v>
      </c>
      <c r="J1579" s="36">
        <f t="shared" si="815"/>
        <v>22839.505499999999</v>
      </c>
      <c r="K1579" s="36">
        <f t="shared" si="815"/>
        <v>22327.224839999999</v>
      </c>
      <c r="L1579" s="36">
        <f t="shared" si="811"/>
        <v>44.531847270007049</v>
      </c>
      <c r="M1579" s="36">
        <f t="shared" si="812"/>
        <v>96.123910226269345</v>
      </c>
    </row>
    <row r="1580" spans="1:13">
      <c r="A1580" s="60" t="s">
        <v>386</v>
      </c>
      <c r="B1580" s="29" t="s">
        <v>712</v>
      </c>
      <c r="C1580" s="29" t="s">
        <v>17</v>
      </c>
      <c r="D1580" s="29" t="s">
        <v>387</v>
      </c>
      <c r="E1580" s="59" t="s">
        <v>0</v>
      </c>
      <c r="F1580" s="59" t="s">
        <v>0</v>
      </c>
      <c r="G1580" s="36">
        <f>G1581</f>
        <v>55129.8</v>
      </c>
      <c r="H1580" s="36">
        <f t="shared" si="815"/>
        <v>50137.656999999999</v>
      </c>
      <c r="I1580" s="36">
        <f t="shared" si="815"/>
        <v>23227.54535</v>
      </c>
      <c r="J1580" s="36">
        <f t="shared" si="815"/>
        <v>22839.505499999999</v>
      </c>
      <c r="K1580" s="36">
        <f t="shared" si="815"/>
        <v>22327.224839999999</v>
      </c>
      <c r="L1580" s="36">
        <f t="shared" si="811"/>
        <v>44.531847270007049</v>
      </c>
      <c r="M1580" s="36">
        <f t="shared" si="812"/>
        <v>96.123910226269345</v>
      </c>
    </row>
    <row r="1581" spans="1:13" ht="51">
      <c r="A1581" s="60" t="s">
        <v>713</v>
      </c>
      <c r="B1581" s="29" t="s">
        <v>712</v>
      </c>
      <c r="C1581" s="29" t="s">
        <v>17</v>
      </c>
      <c r="D1581" s="29" t="s">
        <v>387</v>
      </c>
      <c r="E1581" s="29" t="s">
        <v>714</v>
      </c>
      <c r="F1581" s="59" t="s">
        <v>0</v>
      </c>
      <c r="G1581" s="36">
        <f>G1582</f>
        <v>55129.8</v>
      </c>
      <c r="H1581" s="36">
        <f t="shared" si="815"/>
        <v>50137.656999999999</v>
      </c>
      <c r="I1581" s="36">
        <f t="shared" si="815"/>
        <v>23227.54535</v>
      </c>
      <c r="J1581" s="36">
        <f t="shared" si="815"/>
        <v>22839.505499999999</v>
      </c>
      <c r="K1581" s="36">
        <f t="shared" si="815"/>
        <v>22327.224839999999</v>
      </c>
      <c r="L1581" s="36">
        <f t="shared" si="811"/>
        <v>44.531847270007049</v>
      </c>
      <c r="M1581" s="36">
        <f t="shared" si="812"/>
        <v>96.123910226269345</v>
      </c>
    </row>
    <row r="1582" spans="1:13" ht="38.25">
      <c r="A1582" s="60" t="s">
        <v>715</v>
      </c>
      <c r="B1582" s="29" t="s">
        <v>712</v>
      </c>
      <c r="C1582" s="29" t="s">
        <v>17</v>
      </c>
      <c r="D1582" s="29" t="s">
        <v>387</v>
      </c>
      <c r="E1582" s="29" t="s">
        <v>716</v>
      </c>
      <c r="F1582" s="59" t="s">
        <v>0</v>
      </c>
      <c r="G1582" s="36">
        <f>G1583+G1590</f>
        <v>55129.8</v>
      </c>
      <c r="H1582" s="36">
        <f t="shared" ref="H1582:K1582" si="816">H1583+H1590</f>
        <v>50137.656999999999</v>
      </c>
      <c r="I1582" s="36">
        <f t="shared" si="816"/>
        <v>23227.54535</v>
      </c>
      <c r="J1582" s="36">
        <f t="shared" si="816"/>
        <v>22839.505499999999</v>
      </c>
      <c r="K1582" s="36">
        <f t="shared" si="816"/>
        <v>22327.224839999999</v>
      </c>
      <c r="L1582" s="36">
        <f t="shared" si="811"/>
        <v>44.531847270007049</v>
      </c>
      <c r="M1582" s="36">
        <f t="shared" si="812"/>
        <v>96.123910226269345</v>
      </c>
    </row>
    <row r="1583" spans="1:13" ht="25.5">
      <c r="A1583" s="60" t="s">
        <v>58</v>
      </c>
      <c r="B1583" s="29" t="s">
        <v>712</v>
      </c>
      <c r="C1583" s="29" t="s">
        <v>17</v>
      </c>
      <c r="D1583" s="29" t="s">
        <v>387</v>
      </c>
      <c r="E1583" s="29" t="s">
        <v>717</v>
      </c>
      <c r="F1583" s="59" t="s">
        <v>0</v>
      </c>
      <c r="G1583" s="36">
        <f>G1584+G1586+G1588</f>
        <v>48823.3</v>
      </c>
      <c r="H1583" s="36">
        <f t="shared" ref="H1583:K1583" si="817">H1584+H1586+H1588</f>
        <v>43831.156999999999</v>
      </c>
      <c r="I1583" s="36">
        <f t="shared" si="817"/>
        <v>21722.055349999999</v>
      </c>
      <c r="J1583" s="36">
        <f t="shared" si="817"/>
        <v>21351.745719999999</v>
      </c>
      <c r="K1583" s="36">
        <f t="shared" si="817"/>
        <v>21142.48156</v>
      </c>
      <c r="L1583" s="36">
        <f t="shared" si="811"/>
        <v>48.236193171902805</v>
      </c>
      <c r="M1583" s="36">
        <f t="shared" si="812"/>
        <v>97.331864868855519</v>
      </c>
    </row>
    <row r="1584" spans="1:13" ht="63.75">
      <c r="A1584" s="60" t="s">
        <v>60</v>
      </c>
      <c r="B1584" s="29" t="s">
        <v>712</v>
      </c>
      <c r="C1584" s="29" t="s">
        <v>17</v>
      </c>
      <c r="D1584" s="29" t="s">
        <v>387</v>
      </c>
      <c r="E1584" s="29" t="s">
        <v>717</v>
      </c>
      <c r="F1584" s="29" t="s">
        <v>61</v>
      </c>
      <c r="G1584" s="36">
        <f>G1585</f>
        <v>47149.3</v>
      </c>
      <c r="H1584" s="36">
        <f t="shared" ref="H1584:K1584" si="818">H1585</f>
        <v>42361.156999999999</v>
      </c>
      <c r="I1584" s="36">
        <f t="shared" si="818"/>
        <v>20870</v>
      </c>
      <c r="J1584" s="36">
        <f t="shared" si="818"/>
        <v>20870</v>
      </c>
      <c r="K1584" s="36">
        <f t="shared" si="818"/>
        <v>20664.220499999999</v>
      </c>
      <c r="L1584" s="36">
        <f t="shared" si="811"/>
        <v>48.781057845044224</v>
      </c>
      <c r="M1584" s="36">
        <f t="shared" si="812"/>
        <v>99.013993770963111</v>
      </c>
    </row>
    <row r="1585" spans="1:13" ht="25.5">
      <c r="A1585" s="60" t="s">
        <v>62</v>
      </c>
      <c r="B1585" s="29" t="s">
        <v>712</v>
      </c>
      <c r="C1585" s="29" t="s">
        <v>17</v>
      </c>
      <c r="D1585" s="29" t="s">
        <v>387</v>
      </c>
      <c r="E1585" s="29" t="s">
        <v>717</v>
      </c>
      <c r="F1585" s="29" t="s">
        <v>63</v>
      </c>
      <c r="G1585" s="36">
        <v>47149.3</v>
      </c>
      <c r="H1585" s="36">
        <v>42361.156999999999</v>
      </c>
      <c r="I1585" s="36">
        <f>16070+4800</f>
        <v>20870</v>
      </c>
      <c r="J1585" s="36">
        <f>16070+4800</f>
        <v>20870</v>
      </c>
      <c r="K1585" s="36">
        <f>14869.03803+1064.46222+4730.72025</f>
        <v>20664.220499999999</v>
      </c>
      <c r="L1585" s="36">
        <f t="shared" si="811"/>
        <v>48.781057845044224</v>
      </c>
      <c r="M1585" s="36">
        <f t="shared" si="812"/>
        <v>99.013993770963111</v>
      </c>
    </row>
    <row r="1586" spans="1:13" ht="25.5">
      <c r="A1586" s="60" t="s">
        <v>64</v>
      </c>
      <c r="B1586" s="29" t="s">
        <v>712</v>
      </c>
      <c r="C1586" s="29" t="s">
        <v>17</v>
      </c>
      <c r="D1586" s="29" t="s">
        <v>387</v>
      </c>
      <c r="E1586" s="29" t="s">
        <v>717</v>
      </c>
      <c r="F1586" s="29" t="s">
        <v>65</v>
      </c>
      <c r="G1586" s="36">
        <f>G1587</f>
        <v>1654</v>
      </c>
      <c r="H1586" s="36">
        <f t="shared" ref="H1586:K1586" si="819">H1587</f>
        <v>1450</v>
      </c>
      <c r="I1586" s="36">
        <f t="shared" si="819"/>
        <v>840</v>
      </c>
      <c r="J1586" s="36">
        <f t="shared" si="819"/>
        <v>470</v>
      </c>
      <c r="K1586" s="36">
        <f t="shared" si="819"/>
        <v>466.51533999999998</v>
      </c>
      <c r="L1586" s="36">
        <f t="shared" si="811"/>
        <v>32.173471724137933</v>
      </c>
      <c r="M1586" s="36">
        <f t="shared" si="812"/>
        <v>55.537540476190472</v>
      </c>
    </row>
    <row r="1587" spans="1:13" ht="25.5">
      <c r="A1587" s="60" t="s">
        <v>66</v>
      </c>
      <c r="B1587" s="29" t="s">
        <v>712</v>
      </c>
      <c r="C1587" s="29" t="s">
        <v>17</v>
      </c>
      <c r="D1587" s="29" t="s">
        <v>387</v>
      </c>
      <c r="E1587" s="29" t="s">
        <v>717</v>
      </c>
      <c r="F1587" s="29" t="s">
        <v>67</v>
      </c>
      <c r="G1587" s="36">
        <v>1654</v>
      </c>
      <c r="H1587" s="36">
        <v>1450</v>
      </c>
      <c r="I1587" s="36">
        <v>840</v>
      </c>
      <c r="J1587" s="36">
        <v>470</v>
      </c>
      <c r="K1587" s="36">
        <v>466.51533999999998</v>
      </c>
      <c r="L1587" s="36">
        <f t="shared" si="811"/>
        <v>32.173471724137933</v>
      </c>
      <c r="M1587" s="36">
        <f t="shared" si="812"/>
        <v>55.537540476190472</v>
      </c>
    </row>
    <row r="1588" spans="1:13">
      <c r="A1588" s="60" t="s">
        <v>72</v>
      </c>
      <c r="B1588" s="29" t="s">
        <v>712</v>
      </c>
      <c r="C1588" s="29" t="s">
        <v>17</v>
      </c>
      <c r="D1588" s="29" t="s">
        <v>387</v>
      </c>
      <c r="E1588" s="29" t="s">
        <v>717</v>
      </c>
      <c r="F1588" s="29" t="s">
        <v>73</v>
      </c>
      <c r="G1588" s="36">
        <f>G1589</f>
        <v>20</v>
      </c>
      <c r="H1588" s="36">
        <f t="shared" ref="H1588:K1588" si="820">H1589</f>
        <v>20</v>
      </c>
      <c r="I1588" s="36">
        <f t="shared" si="820"/>
        <v>12.055350000000001</v>
      </c>
      <c r="J1588" s="36">
        <f t="shared" si="820"/>
        <v>11.74572</v>
      </c>
      <c r="K1588" s="36">
        <f t="shared" si="820"/>
        <v>11.74572</v>
      </c>
      <c r="L1588" s="36">
        <f t="shared" si="811"/>
        <v>58.7286</v>
      </c>
      <c r="M1588" s="36">
        <f t="shared" si="812"/>
        <v>97.431596759944753</v>
      </c>
    </row>
    <row r="1589" spans="1:13">
      <c r="A1589" s="60" t="s">
        <v>74</v>
      </c>
      <c r="B1589" s="29" t="s">
        <v>712</v>
      </c>
      <c r="C1589" s="29" t="s">
        <v>17</v>
      </c>
      <c r="D1589" s="29" t="s">
        <v>387</v>
      </c>
      <c r="E1589" s="29" t="s">
        <v>717</v>
      </c>
      <c r="F1589" s="29" t="s">
        <v>75</v>
      </c>
      <c r="G1589" s="36">
        <v>20</v>
      </c>
      <c r="H1589" s="36">
        <v>20</v>
      </c>
      <c r="I1589" s="36">
        <v>12.055350000000001</v>
      </c>
      <c r="J1589" s="36">
        <f>9.69017+2.05555</f>
        <v>11.74572</v>
      </c>
      <c r="K1589" s="36">
        <f>9.69017+2.05555</f>
        <v>11.74572</v>
      </c>
      <c r="L1589" s="36">
        <f t="shared" si="811"/>
        <v>58.7286</v>
      </c>
      <c r="M1589" s="36">
        <f t="shared" si="812"/>
        <v>97.431596759944753</v>
      </c>
    </row>
    <row r="1590" spans="1:13">
      <c r="A1590" s="60" t="s">
        <v>609</v>
      </c>
      <c r="B1590" s="29" t="s">
        <v>712</v>
      </c>
      <c r="C1590" s="29" t="s">
        <v>17</v>
      </c>
      <c r="D1590" s="29" t="s">
        <v>387</v>
      </c>
      <c r="E1590" s="29" t="s">
        <v>718</v>
      </c>
      <c r="F1590" s="59" t="s">
        <v>0</v>
      </c>
      <c r="G1590" s="36">
        <f>G1591</f>
        <v>6306.5</v>
      </c>
      <c r="H1590" s="36">
        <f t="shared" ref="H1590:K1591" si="821">H1591</f>
        <v>6306.5</v>
      </c>
      <c r="I1590" s="36">
        <f t="shared" si="821"/>
        <v>1505.49</v>
      </c>
      <c r="J1590" s="36">
        <f t="shared" si="821"/>
        <v>1487.7597800000001</v>
      </c>
      <c r="K1590" s="36">
        <f t="shared" si="821"/>
        <v>1184.7432799999999</v>
      </c>
      <c r="L1590" s="36">
        <f t="shared" si="811"/>
        <v>18.786066439387934</v>
      </c>
      <c r="M1590" s="36">
        <f t="shared" si="812"/>
        <v>78.694862137908586</v>
      </c>
    </row>
    <row r="1591" spans="1:13" ht="25.5">
      <c r="A1591" s="60" t="s">
        <v>64</v>
      </c>
      <c r="B1591" s="29" t="s">
        <v>712</v>
      </c>
      <c r="C1591" s="29" t="s">
        <v>17</v>
      </c>
      <c r="D1591" s="29" t="s">
        <v>387</v>
      </c>
      <c r="E1591" s="29" t="s">
        <v>718</v>
      </c>
      <c r="F1591" s="29" t="s">
        <v>65</v>
      </c>
      <c r="G1591" s="36">
        <f>G1592</f>
        <v>6306.5</v>
      </c>
      <c r="H1591" s="36">
        <f t="shared" si="821"/>
        <v>6306.5</v>
      </c>
      <c r="I1591" s="36">
        <f t="shared" si="821"/>
        <v>1505.49</v>
      </c>
      <c r="J1591" s="36">
        <f t="shared" si="821"/>
        <v>1487.7597800000001</v>
      </c>
      <c r="K1591" s="36">
        <f t="shared" si="821"/>
        <v>1184.7432799999999</v>
      </c>
      <c r="L1591" s="36">
        <f t="shared" si="811"/>
        <v>18.786066439387934</v>
      </c>
      <c r="M1591" s="36">
        <f t="shared" si="812"/>
        <v>78.694862137908586</v>
      </c>
    </row>
    <row r="1592" spans="1:13" ht="25.5">
      <c r="A1592" s="60" t="s">
        <v>66</v>
      </c>
      <c r="B1592" s="29" t="s">
        <v>712</v>
      </c>
      <c r="C1592" s="29" t="s">
        <v>17</v>
      </c>
      <c r="D1592" s="29" t="s">
        <v>387</v>
      </c>
      <c r="E1592" s="29" t="s">
        <v>718</v>
      </c>
      <c r="F1592" s="29" t="s">
        <v>67</v>
      </c>
      <c r="G1592" s="36">
        <v>6306.5</v>
      </c>
      <c r="H1592" s="36">
        <v>6306.5</v>
      </c>
      <c r="I1592" s="36">
        <v>1505.49</v>
      </c>
      <c r="J1592" s="36">
        <v>1487.7597800000001</v>
      </c>
      <c r="K1592" s="36">
        <v>1184.7432799999999</v>
      </c>
      <c r="L1592" s="36">
        <f t="shared" si="811"/>
        <v>18.786066439387934</v>
      </c>
      <c r="M1592" s="36">
        <f t="shared" si="812"/>
        <v>78.694862137908586</v>
      </c>
    </row>
    <row r="1593" spans="1:13">
      <c r="A1593" s="61" t="s">
        <v>0</v>
      </c>
      <c r="B1593" s="59" t="s">
        <v>0</v>
      </c>
      <c r="C1593" s="59" t="s">
        <v>0</v>
      </c>
      <c r="D1593" s="59" t="s">
        <v>0</v>
      </c>
      <c r="E1593" s="59" t="s">
        <v>0</v>
      </c>
      <c r="F1593" s="59" t="s">
        <v>0</v>
      </c>
      <c r="G1593" s="62" t="s">
        <v>0</v>
      </c>
      <c r="H1593" s="62" t="s">
        <v>0</v>
      </c>
      <c r="I1593" s="62" t="s">
        <v>0</v>
      </c>
      <c r="J1593" s="62" t="s">
        <v>0</v>
      </c>
      <c r="K1593" s="62" t="s">
        <v>0</v>
      </c>
      <c r="L1593" s="62"/>
      <c r="M1593" s="62"/>
    </row>
    <row r="1594" spans="1:13">
      <c r="A1594" s="60" t="s">
        <v>30</v>
      </c>
      <c r="B1594" s="29" t="s">
        <v>712</v>
      </c>
      <c r="C1594" s="29" t="s">
        <v>19</v>
      </c>
      <c r="D1594" s="59" t="s">
        <v>0</v>
      </c>
      <c r="E1594" s="59" t="s">
        <v>0</v>
      </c>
      <c r="F1594" s="59" t="s">
        <v>0</v>
      </c>
      <c r="G1594" s="36">
        <f>G1595</f>
        <v>59550.7</v>
      </c>
      <c r="H1594" s="36">
        <f t="shared" ref="H1594:K1595" si="822">H1595</f>
        <v>57350.7</v>
      </c>
      <c r="I1594" s="36">
        <f t="shared" si="822"/>
        <v>10107.123</v>
      </c>
      <c r="J1594" s="36">
        <f t="shared" si="822"/>
        <v>10107.123</v>
      </c>
      <c r="K1594" s="36">
        <f t="shared" si="822"/>
        <v>10107.123</v>
      </c>
      <c r="L1594" s="36">
        <f t="shared" si="811"/>
        <v>17.623364666865442</v>
      </c>
      <c r="M1594" s="36">
        <f t="shared" si="812"/>
        <v>100</v>
      </c>
    </row>
    <row r="1595" spans="1:13">
      <c r="A1595" s="60" t="s">
        <v>50</v>
      </c>
      <c r="B1595" s="29" t="s">
        <v>712</v>
      </c>
      <c r="C1595" s="29" t="s">
        <v>19</v>
      </c>
      <c r="D1595" s="29" t="s">
        <v>51</v>
      </c>
      <c r="E1595" s="59" t="s">
        <v>0</v>
      </c>
      <c r="F1595" s="59" t="s">
        <v>0</v>
      </c>
      <c r="G1595" s="36">
        <f>G1596</f>
        <v>59550.7</v>
      </c>
      <c r="H1595" s="36">
        <f t="shared" si="822"/>
        <v>57350.7</v>
      </c>
      <c r="I1595" s="36">
        <f t="shared" si="822"/>
        <v>10107.123</v>
      </c>
      <c r="J1595" s="36">
        <f t="shared" si="822"/>
        <v>10107.123</v>
      </c>
      <c r="K1595" s="36">
        <f t="shared" si="822"/>
        <v>10107.123</v>
      </c>
      <c r="L1595" s="36">
        <f t="shared" si="811"/>
        <v>17.623364666865442</v>
      </c>
      <c r="M1595" s="36">
        <f t="shared" si="812"/>
        <v>100</v>
      </c>
    </row>
    <row r="1596" spans="1:13" ht="51">
      <c r="A1596" s="60" t="s">
        <v>713</v>
      </c>
      <c r="B1596" s="29" t="s">
        <v>712</v>
      </c>
      <c r="C1596" s="29" t="s">
        <v>19</v>
      </c>
      <c r="D1596" s="29" t="s">
        <v>51</v>
      </c>
      <c r="E1596" s="29" t="s">
        <v>714</v>
      </c>
      <c r="F1596" s="59" t="s">
        <v>0</v>
      </c>
      <c r="G1596" s="36">
        <f>G1597+G1606</f>
        <v>59550.7</v>
      </c>
      <c r="H1596" s="36">
        <f>H1597+H1606</f>
        <v>57350.7</v>
      </c>
      <c r="I1596" s="36">
        <f>I1597+I1606</f>
        <v>10107.123</v>
      </c>
      <c r="J1596" s="36">
        <f t="shared" ref="J1596:K1596" si="823">J1597+J1606</f>
        <v>10107.123</v>
      </c>
      <c r="K1596" s="36">
        <f t="shared" si="823"/>
        <v>10107.123</v>
      </c>
      <c r="L1596" s="36">
        <f t="shared" si="811"/>
        <v>17.623364666865442</v>
      </c>
      <c r="M1596" s="36">
        <f t="shared" si="812"/>
        <v>100</v>
      </c>
    </row>
    <row r="1597" spans="1:13" ht="25.5">
      <c r="A1597" s="60" t="s">
        <v>719</v>
      </c>
      <c r="B1597" s="29" t="s">
        <v>712</v>
      </c>
      <c r="C1597" s="29" t="s">
        <v>19</v>
      </c>
      <c r="D1597" s="29" t="s">
        <v>51</v>
      </c>
      <c r="E1597" s="29" t="s">
        <v>720</v>
      </c>
      <c r="F1597" s="59" t="s">
        <v>0</v>
      </c>
      <c r="G1597" s="36">
        <f>G1598++++G1603</f>
        <v>11607.5</v>
      </c>
      <c r="H1597" s="36">
        <f>H1598+H1603</f>
        <v>9407.5</v>
      </c>
      <c r="I1597" s="36">
        <f t="shared" ref="I1597:K1597" si="824">I1598+I1603</f>
        <v>0</v>
      </c>
      <c r="J1597" s="36">
        <f t="shared" si="824"/>
        <v>0</v>
      </c>
      <c r="K1597" s="36">
        <f t="shared" si="824"/>
        <v>0</v>
      </c>
      <c r="L1597" s="36">
        <f t="shared" si="811"/>
        <v>0</v>
      </c>
      <c r="M1597" s="36">
        <v>0</v>
      </c>
    </row>
    <row r="1598" spans="1:13" ht="25.5">
      <c r="A1598" s="60" t="s">
        <v>721</v>
      </c>
      <c r="B1598" s="29" t="s">
        <v>712</v>
      </c>
      <c r="C1598" s="29" t="s">
        <v>19</v>
      </c>
      <c r="D1598" s="29" t="s">
        <v>51</v>
      </c>
      <c r="E1598" s="29" t="s">
        <v>722</v>
      </c>
      <c r="F1598" s="59" t="s">
        <v>0</v>
      </c>
      <c r="G1598" s="36">
        <f>G1599+G1601</f>
        <v>4700</v>
      </c>
      <c r="H1598" s="36">
        <f>H1599+H1601</f>
        <v>2500</v>
      </c>
      <c r="I1598" s="36">
        <f t="shared" ref="I1598:K1598" si="825">I1599+I1601</f>
        <v>0</v>
      </c>
      <c r="J1598" s="36">
        <f t="shared" si="825"/>
        <v>0</v>
      </c>
      <c r="K1598" s="36">
        <f t="shared" si="825"/>
        <v>0</v>
      </c>
      <c r="L1598" s="36">
        <f t="shared" si="811"/>
        <v>0</v>
      </c>
      <c r="M1598" s="36">
        <v>0</v>
      </c>
    </row>
    <row r="1599" spans="1:13" ht="25.5">
      <c r="A1599" s="60" t="s">
        <v>64</v>
      </c>
      <c r="B1599" s="29" t="s">
        <v>712</v>
      </c>
      <c r="C1599" s="29" t="s">
        <v>19</v>
      </c>
      <c r="D1599" s="29" t="s">
        <v>51</v>
      </c>
      <c r="E1599" s="29" t="s">
        <v>722</v>
      </c>
      <c r="F1599" s="29" t="s">
        <v>65</v>
      </c>
      <c r="G1599" s="36">
        <f>G1600</f>
        <v>2700</v>
      </c>
      <c r="H1599" s="36">
        <f t="shared" ref="H1599:K1599" si="826">H1600</f>
        <v>500</v>
      </c>
      <c r="I1599" s="36">
        <f t="shared" si="826"/>
        <v>0</v>
      </c>
      <c r="J1599" s="36">
        <f t="shared" si="826"/>
        <v>0</v>
      </c>
      <c r="K1599" s="36">
        <f t="shared" si="826"/>
        <v>0</v>
      </c>
      <c r="L1599" s="36">
        <f t="shared" si="811"/>
        <v>0</v>
      </c>
      <c r="M1599" s="36">
        <v>0</v>
      </c>
    </row>
    <row r="1600" spans="1:13" ht="25.5">
      <c r="A1600" s="60" t="s">
        <v>66</v>
      </c>
      <c r="B1600" s="29" t="s">
        <v>712</v>
      </c>
      <c r="C1600" s="29" t="s">
        <v>19</v>
      </c>
      <c r="D1600" s="29" t="s">
        <v>51</v>
      </c>
      <c r="E1600" s="29" t="s">
        <v>722</v>
      </c>
      <c r="F1600" s="29" t="s">
        <v>67</v>
      </c>
      <c r="G1600" s="36">
        <v>2700</v>
      </c>
      <c r="H1600" s="36">
        <v>500</v>
      </c>
      <c r="I1600" s="36"/>
      <c r="J1600" s="36"/>
      <c r="K1600" s="36"/>
      <c r="L1600" s="36">
        <f t="shared" si="811"/>
        <v>0</v>
      </c>
      <c r="M1600" s="36">
        <v>0</v>
      </c>
    </row>
    <row r="1601" spans="1:13">
      <c r="A1601" s="60" t="s">
        <v>72</v>
      </c>
      <c r="B1601" s="29" t="s">
        <v>712</v>
      </c>
      <c r="C1601" s="29" t="s">
        <v>19</v>
      </c>
      <c r="D1601" s="29" t="s">
        <v>51</v>
      </c>
      <c r="E1601" s="29" t="s">
        <v>722</v>
      </c>
      <c r="F1601" s="29" t="s">
        <v>73</v>
      </c>
      <c r="G1601" s="36">
        <f>G1602</f>
        <v>2000</v>
      </c>
      <c r="H1601" s="36">
        <f t="shared" ref="H1601:K1601" si="827">H1602</f>
        <v>2000</v>
      </c>
      <c r="I1601" s="36">
        <f t="shared" si="827"/>
        <v>0</v>
      </c>
      <c r="J1601" s="36">
        <f t="shared" si="827"/>
        <v>0</v>
      </c>
      <c r="K1601" s="36">
        <f t="shared" si="827"/>
        <v>0</v>
      </c>
      <c r="L1601" s="36">
        <f t="shared" si="811"/>
        <v>0</v>
      </c>
      <c r="M1601" s="36">
        <v>0</v>
      </c>
    </row>
    <row r="1602" spans="1:13" ht="51">
      <c r="A1602" s="60" t="s">
        <v>218</v>
      </c>
      <c r="B1602" s="29" t="s">
        <v>712</v>
      </c>
      <c r="C1602" s="29" t="s">
        <v>19</v>
      </c>
      <c r="D1602" s="29" t="s">
        <v>51</v>
      </c>
      <c r="E1602" s="29" t="s">
        <v>722</v>
      </c>
      <c r="F1602" s="29" t="s">
        <v>219</v>
      </c>
      <c r="G1602" s="36">
        <v>2000</v>
      </c>
      <c r="H1602" s="36">
        <v>2000</v>
      </c>
      <c r="I1602" s="36"/>
      <c r="J1602" s="36"/>
      <c r="K1602" s="36"/>
      <c r="L1602" s="36">
        <f t="shared" si="811"/>
        <v>0</v>
      </c>
      <c r="M1602" s="36">
        <v>0</v>
      </c>
    </row>
    <row r="1603" spans="1:13" ht="38.25">
      <c r="A1603" s="60" t="s">
        <v>723</v>
      </c>
      <c r="B1603" s="29" t="s">
        <v>712</v>
      </c>
      <c r="C1603" s="29" t="s">
        <v>19</v>
      </c>
      <c r="D1603" s="29" t="s">
        <v>51</v>
      </c>
      <c r="E1603" s="29" t="s">
        <v>724</v>
      </c>
      <c r="F1603" s="59" t="s">
        <v>0</v>
      </c>
      <c r="G1603" s="36">
        <f>G1604</f>
        <v>6907.5</v>
      </c>
      <c r="H1603" s="36">
        <f t="shared" ref="H1603:K1604" si="828">H1604</f>
        <v>6907.5</v>
      </c>
      <c r="I1603" s="36">
        <f t="shared" si="828"/>
        <v>0</v>
      </c>
      <c r="J1603" s="36">
        <f t="shared" si="828"/>
        <v>0</v>
      </c>
      <c r="K1603" s="36">
        <f t="shared" si="828"/>
        <v>0</v>
      </c>
      <c r="L1603" s="36">
        <f t="shared" si="811"/>
        <v>0</v>
      </c>
      <c r="M1603" s="36">
        <v>0</v>
      </c>
    </row>
    <row r="1604" spans="1:13" ht="25.5">
      <c r="A1604" s="60" t="s">
        <v>64</v>
      </c>
      <c r="B1604" s="29" t="s">
        <v>712</v>
      </c>
      <c r="C1604" s="29" t="s">
        <v>19</v>
      </c>
      <c r="D1604" s="29" t="s">
        <v>51</v>
      </c>
      <c r="E1604" s="29" t="s">
        <v>724</v>
      </c>
      <c r="F1604" s="29" t="s">
        <v>65</v>
      </c>
      <c r="G1604" s="36">
        <f>G1605</f>
        <v>6907.5</v>
      </c>
      <c r="H1604" s="36">
        <f t="shared" si="828"/>
        <v>6907.5</v>
      </c>
      <c r="I1604" s="36">
        <f t="shared" si="828"/>
        <v>0</v>
      </c>
      <c r="J1604" s="36">
        <f t="shared" si="828"/>
        <v>0</v>
      </c>
      <c r="K1604" s="36">
        <f t="shared" si="828"/>
        <v>0</v>
      </c>
      <c r="L1604" s="36">
        <f t="shared" si="811"/>
        <v>0</v>
      </c>
      <c r="M1604" s="36">
        <v>0</v>
      </c>
    </row>
    <row r="1605" spans="1:13" ht="25.5">
      <c r="A1605" s="60" t="s">
        <v>66</v>
      </c>
      <c r="B1605" s="29" t="s">
        <v>712</v>
      </c>
      <c r="C1605" s="29" t="s">
        <v>19</v>
      </c>
      <c r="D1605" s="29" t="s">
        <v>51</v>
      </c>
      <c r="E1605" s="29" t="s">
        <v>724</v>
      </c>
      <c r="F1605" s="29" t="s">
        <v>67</v>
      </c>
      <c r="G1605" s="36">
        <v>6907.5</v>
      </c>
      <c r="H1605" s="36">
        <v>6907.5</v>
      </c>
      <c r="I1605" s="36"/>
      <c r="J1605" s="36"/>
      <c r="K1605" s="36"/>
      <c r="L1605" s="36">
        <f t="shared" si="811"/>
        <v>0</v>
      </c>
      <c r="M1605" s="36">
        <v>0</v>
      </c>
    </row>
    <row r="1606" spans="1:13" ht="25.5">
      <c r="A1606" s="60" t="s">
        <v>725</v>
      </c>
      <c r="B1606" s="29" t="s">
        <v>712</v>
      </c>
      <c r="C1606" s="29" t="s">
        <v>19</v>
      </c>
      <c r="D1606" s="29" t="s">
        <v>51</v>
      </c>
      <c r="E1606" s="29" t="s">
        <v>726</v>
      </c>
      <c r="F1606" s="59" t="s">
        <v>0</v>
      </c>
      <c r="G1606" s="36">
        <f>G1607+G1610+G1613</f>
        <v>47943.199999999997</v>
      </c>
      <c r="H1606" s="36">
        <f>H1607+H1610+H1613</f>
        <v>47943.199999999997</v>
      </c>
      <c r="I1606" s="36">
        <f>I1607+I1610+I1613</f>
        <v>10107.123</v>
      </c>
      <c r="J1606" s="36">
        <f t="shared" ref="J1606:K1606" si="829">J1607+J1610+J1613</f>
        <v>10107.123</v>
      </c>
      <c r="K1606" s="36">
        <f t="shared" si="829"/>
        <v>10107.123</v>
      </c>
      <c r="L1606" s="36">
        <f t="shared" si="811"/>
        <v>21.081452635618817</v>
      </c>
      <c r="M1606" s="36">
        <f t="shared" si="812"/>
        <v>100</v>
      </c>
    </row>
    <row r="1607" spans="1:13" ht="25.5">
      <c r="A1607" s="60" t="s">
        <v>76</v>
      </c>
      <c r="B1607" s="29" t="s">
        <v>712</v>
      </c>
      <c r="C1607" s="29" t="s">
        <v>19</v>
      </c>
      <c r="D1607" s="29" t="s">
        <v>51</v>
      </c>
      <c r="E1607" s="29" t="s">
        <v>727</v>
      </c>
      <c r="F1607" s="59" t="s">
        <v>0</v>
      </c>
      <c r="G1607" s="36">
        <f>G1608</f>
        <v>5727</v>
      </c>
      <c r="H1607" s="36">
        <f>H1608</f>
        <v>5727</v>
      </c>
      <c r="I1607" s="36">
        <f t="shared" ref="H1607:K1608" si="830">I1608</f>
        <v>2550.1840000000002</v>
      </c>
      <c r="J1607" s="36">
        <f t="shared" si="830"/>
        <v>2550.1840000000002</v>
      </c>
      <c r="K1607" s="36">
        <f t="shared" si="830"/>
        <v>2550.1840000000002</v>
      </c>
      <c r="L1607" s="36">
        <f t="shared" si="811"/>
        <v>44.529142657586874</v>
      </c>
      <c r="M1607" s="36">
        <f t="shared" si="812"/>
        <v>100</v>
      </c>
    </row>
    <row r="1608" spans="1:13" ht="25.5">
      <c r="A1608" s="60" t="s">
        <v>80</v>
      </c>
      <c r="B1608" s="29" t="s">
        <v>712</v>
      </c>
      <c r="C1608" s="29" t="s">
        <v>19</v>
      </c>
      <c r="D1608" s="29" t="s">
        <v>51</v>
      </c>
      <c r="E1608" s="29" t="s">
        <v>727</v>
      </c>
      <c r="F1608" s="29" t="s">
        <v>81</v>
      </c>
      <c r="G1608" s="36">
        <f>G1609</f>
        <v>5727</v>
      </c>
      <c r="H1608" s="36">
        <f t="shared" si="830"/>
        <v>5727</v>
      </c>
      <c r="I1608" s="36">
        <f t="shared" si="830"/>
        <v>2550.1840000000002</v>
      </c>
      <c r="J1608" s="36">
        <f t="shared" si="830"/>
        <v>2550.1840000000002</v>
      </c>
      <c r="K1608" s="36">
        <f t="shared" si="830"/>
        <v>2550.1840000000002</v>
      </c>
      <c r="L1608" s="36">
        <f t="shared" si="811"/>
        <v>44.529142657586874</v>
      </c>
      <c r="M1608" s="36">
        <f t="shared" si="812"/>
        <v>100</v>
      </c>
    </row>
    <row r="1609" spans="1:13">
      <c r="A1609" s="60" t="s">
        <v>82</v>
      </c>
      <c r="B1609" s="29" t="s">
        <v>712</v>
      </c>
      <c r="C1609" s="29" t="s">
        <v>19</v>
      </c>
      <c r="D1609" s="29" t="s">
        <v>51</v>
      </c>
      <c r="E1609" s="29" t="s">
        <v>727</v>
      </c>
      <c r="F1609" s="29" t="s">
        <v>83</v>
      </c>
      <c r="G1609" s="36">
        <v>5727</v>
      </c>
      <c r="H1609" s="36">
        <v>5727</v>
      </c>
      <c r="I1609" s="36">
        <v>2550.1840000000002</v>
      </c>
      <c r="J1609" s="36">
        <v>2550.1840000000002</v>
      </c>
      <c r="K1609" s="36">
        <v>2550.1840000000002</v>
      </c>
      <c r="L1609" s="36">
        <f t="shared" si="811"/>
        <v>44.529142657586874</v>
      </c>
      <c r="M1609" s="36">
        <f t="shared" si="812"/>
        <v>100</v>
      </c>
    </row>
    <row r="1610" spans="1:13" ht="25.5">
      <c r="A1610" s="60" t="s">
        <v>728</v>
      </c>
      <c r="B1610" s="29" t="s">
        <v>712</v>
      </c>
      <c r="C1610" s="29" t="s">
        <v>19</v>
      </c>
      <c r="D1610" s="29" t="s">
        <v>51</v>
      </c>
      <c r="E1610" s="29" t="s">
        <v>729</v>
      </c>
      <c r="F1610" s="59" t="s">
        <v>0</v>
      </c>
      <c r="G1610" s="36">
        <f>G1611</f>
        <v>4000</v>
      </c>
      <c r="H1610" s="36">
        <f t="shared" ref="H1610:K1611" si="831">H1611</f>
        <v>4000</v>
      </c>
      <c r="I1610" s="36">
        <f t="shared" si="831"/>
        <v>805</v>
      </c>
      <c r="J1610" s="36">
        <f t="shared" si="831"/>
        <v>805</v>
      </c>
      <c r="K1610" s="36">
        <f t="shared" si="831"/>
        <v>805</v>
      </c>
      <c r="L1610" s="36">
        <f t="shared" si="811"/>
        <v>20.125</v>
      </c>
      <c r="M1610" s="36">
        <f t="shared" si="812"/>
        <v>100</v>
      </c>
    </row>
    <row r="1611" spans="1:13" ht="25.5">
      <c r="A1611" s="60" t="s">
        <v>64</v>
      </c>
      <c r="B1611" s="29" t="s">
        <v>712</v>
      </c>
      <c r="C1611" s="29" t="s">
        <v>19</v>
      </c>
      <c r="D1611" s="29" t="s">
        <v>51</v>
      </c>
      <c r="E1611" s="29" t="s">
        <v>729</v>
      </c>
      <c r="F1611" s="29" t="s">
        <v>65</v>
      </c>
      <c r="G1611" s="36">
        <f>G1612</f>
        <v>4000</v>
      </c>
      <c r="H1611" s="36">
        <f t="shared" si="831"/>
        <v>4000</v>
      </c>
      <c r="I1611" s="36">
        <f t="shared" si="831"/>
        <v>805</v>
      </c>
      <c r="J1611" s="36">
        <f t="shared" si="831"/>
        <v>805</v>
      </c>
      <c r="K1611" s="36">
        <f t="shared" si="831"/>
        <v>805</v>
      </c>
      <c r="L1611" s="36">
        <f t="shared" si="811"/>
        <v>20.125</v>
      </c>
      <c r="M1611" s="36">
        <f t="shared" si="812"/>
        <v>100</v>
      </c>
    </row>
    <row r="1612" spans="1:13" ht="25.5">
      <c r="A1612" s="60" t="s">
        <v>66</v>
      </c>
      <c r="B1612" s="29" t="s">
        <v>712</v>
      </c>
      <c r="C1612" s="29" t="s">
        <v>19</v>
      </c>
      <c r="D1612" s="29" t="s">
        <v>51</v>
      </c>
      <c r="E1612" s="29" t="s">
        <v>729</v>
      </c>
      <c r="F1612" s="29" t="s">
        <v>67</v>
      </c>
      <c r="G1612" s="36">
        <v>4000</v>
      </c>
      <c r="H1612" s="36">
        <v>4000</v>
      </c>
      <c r="I1612" s="36">
        <v>805</v>
      </c>
      <c r="J1612" s="36">
        <v>805</v>
      </c>
      <c r="K1612" s="36">
        <v>805</v>
      </c>
      <c r="L1612" s="36">
        <f t="shared" si="811"/>
        <v>20.125</v>
      </c>
      <c r="M1612" s="36">
        <f t="shared" si="812"/>
        <v>100</v>
      </c>
    </row>
    <row r="1613" spans="1:13" ht="38.25">
      <c r="A1613" s="60" t="s">
        <v>730</v>
      </c>
      <c r="B1613" s="29" t="s">
        <v>712</v>
      </c>
      <c r="C1613" s="29" t="s">
        <v>19</v>
      </c>
      <c r="D1613" s="29" t="s">
        <v>51</v>
      </c>
      <c r="E1613" s="29" t="s">
        <v>731</v>
      </c>
      <c r="F1613" s="59" t="s">
        <v>0</v>
      </c>
      <c r="G1613" s="36">
        <f>G1614+G1616+G1619</f>
        <v>38216.199999999997</v>
      </c>
      <c r="H1613" s="36">
        <f t="shared" ref="H1613:K1613" si="832">H1614+H1616+H1619</f>
        <v>38216.199999999997</v>
      </c>
      <c r="I1613" s="36">
        <f t="shared" si="832"/>
        <v>6751.9390000000003</v>
      </c>
      <c r="J1613" s="36">
        <f t="shared" si="832"/>
        <v>6751.9390000000003</v>
      </c>
      <c r="K1613" s="36">
        <f t="shared" si="832"/>
        <v>6751.9390000000003</v>
      </c>
      <c r="L1613" s="36">
        <f t="shared" si="811"/>
        <v>17.667740382350942</v>
      </c>
      <c r="M1613" s="36">
        <f t="shared" si="812"/>
        <v>100</v>
      </c>
    </row>
    <row r="1614" spans="1:13">
      <c r="A1614" s="60" t="s">
        <v>26</v>
      </c>
      <c r="B1614" s="29" t="s">
        <v>712</v>
      </c>
      <c r="C1614" s="29" t="s">
        <v>19</v>
      </c>
      <c r="D1614" s="29" t="s">
        <v>51</v>
      </c>
      <c r="E1614" s="29" t="s">
        <v>731</v>
      </c>
      <c r="F1614" s="29" t="s">
        <v>27</v>
      </c>
      <c r="G1614" s="36">
        <f>G1615</f>
        <v>14211</v>
      </c>
      <c r="H1614" s="36">
        <f t="shared" ref="H1614:K1614" si="833">H1615</f>
        <v>14211</v>
      </c>
      <c r="I1614" s="36">
        <f t="shared" si="833"/>
        <v>0</v>
      </c>
      <c r="J1614" s="36">
        <f t="shared" si="833"/>
        <v>0</v>
      </c>
      <c r="K1614" s="36">
        <f t="shared" si="833"/>
        <v>0</v>
      </c>
      <c r="L1614" s="36">
        <f t="shared" si="811"/>
        <v>0</v>
      </c>
      <c r="M1614" s="36">
        <v>0</v>
      </c>
    </row>
    <row r="1615" spans="1:13">
      <c r="A1615" s="60" t="s">
        <v>56</v>
      </c>
      <c r="B1615" s="29" t="s">
        <v>712</v>
      </c>
      <c r="C1615" s="29" t="s">
        <v>19</v>
      </c>
      <c r="D1615" s="29" t="s">
        <v>51</v>
      </c>
      <c r="E1615" s="29" t="s">
        <v>731</v>
      </c>
      <c r="F1615" s="29" t="s">
        <v>57</v>
      </c>
      <c r="G1615" s="36">
        <v>14211</v>
      </c>
      <c r="H1615" s="36">
        <v>14211</v>
      </c>
      <c r="I1615" s="36">
        <v>0</v>
      </c>
      <c r="J1615" s="36">
        <v>0</v>
      </c>
      <c r="K1615" s="36">
        <v>0</v>
      </c>
      <c r="L1615" s="36">
        <f t="shared" si="811"/>
        <v>0</v>
      </c>
      <c r="M1615" s="36">
        <v>0</v>
      </c>
    </row>
    <row r="1616" spans="1:13" ht="25.5">
      <c r="A1616" s="60" t="s">
        <v>80</v>
      </c>
      <c r="B1616" s="29" t="s">
        <v>712</v>
      </c>
      <c r="C1616" s="29" t="s">
        <v>19</v>
      </c>
      <c r="D1616" s="29" t="s">
        <v>51</v>
      </c>
      <c r="E1616" s="29" t="s">
        <v>731</v>
      </c>
      <c r="F1616" s="29" t="s">
        <v>81</v>
      </c>
      <c r="G1616" s="36">
        <f>G1617+G1618</f>
        <v>6505.2</v>
      </c>
      <c r="H1616" s="36">
        <f t="shared" ref="H1616:K1616" si="834">H1617+H1618</f>
        <v>6505.2</v>
      </c>
      <c r="I1616" s="36">
        <f t="shared" si="834"/>
        <v>5752.58</v>
      </c>
      <c r="J1616" s="36">
        <f t="shared" si="834"/>
        <v>5752.58</v>
      </c>
      <c r="K1616" s="36">
        <f t="shared" si="834"/>
        <v>5752.58</v>
      </c>
      <c r="L1616" s="36">
        <f t="shared" si="811"/>
        <v>88.430486380126666</v>
      </c>
      <c r="M1616" s="36">
        <f t="shared" si="812"/>
        <v>100</v>
      </c>
    </row>
    <row r="1617" spans="1:13">
      <c r="A1617" s="60" t="s">
        <v>82</v>
      </c>
      <c r="B1617" s="29" t="s">
        <v>712</v>
      </c>
      <c r="C1617" s="29" t="s">
        <v>19</v>
      </c>
      <c r="D1617" s="29" t="s">
        <v>51</v>
      </c>
      <c r="E1617" s="29" t="s">
        <v>731</v>
      </c>
      <c r="F1617" s="29" t="s">
        <v>83</v>
      </c>
      <c r="G1617" s="36">
        <v>1505.2</v>
      </c>
      <c r="H1617" s="36">
        <v>1505.2</v>
      </c>
      <c r="I1617" s="36">
        <v>752.58</v>
      </c>
      <c r="J1617" s="36">
        <v>752.58</v>
      </c>
      <c r="K1617" s="36">
        <v>752.58</v>
      </c>
      <c r="L1617" s="36">
        <f t="shared" si="811"/>
        <v>49.998671272920539</v>
      </c>
      <c r="M1617" s="36">
        <f t="shared" si="812"/>
        <v>100</v>
      </c>
    </row>
    <row r="1618" spans="1:13" ht="38.25">
      <c r="A1618" s="60" t="s">
        <v>195</v>
      </c>
      <c r="B1618" s="29" t="s">
        <v>712</v>
      </c>
      <c r="C1618" s="29" t="s">
        <v>19</v>
      </c>
      <c r="D1618" s="29" t="s">
        <v>51</v>
      </c>
      <c r="E1618" s="29" t="s">
        <v>731</v>
      </c>
      <c r="F1618" s="29" t="s">
        <v>196</v>
      </c>
      <c r="G1618" s="36">
        <v>5000</v>
      </c>
      <c r="H1618" s="36">
        <v>5000</v>
      </c>
      <c r="I1618" s="36">
        <v>5000</v>
      </c>
      <c r="J1618" s="36">
        <v>5000</v>
      </c>
      <c r="K1618" s="36">
        <v>5000</v>
      </c>
      <c r="L1618" s="36">
        <f t="shared" si="811"/>
        <v>100</v>
      </c>
      <c r="M1618" s="36">
        <f t="shared" si="812"/>
        <v>100</v>
      </c>
    </row>
    <row r="1619" spans="1:13">
      <c r="A1619" s="60" t="s">
        <v>72</v>
      </c>
      <c r="B1619" s="29" t="s">
        <v>712</v>
      </c>
      <c r="C1619" s="29" t="s">
        <v>19</v>
      </c>
      <c r="D1619" s="29" t="s">
        <v>51</v>
      </c>
      <c r="E1619" s="29" t="s">
        <v>731</v>
      </c>
      <c r="F1619" s="29" t="s">
        <v>73</v>
      </c>
      <c r="G1619" s="36">
        <f>G1620</f>
        <v>17500</v>
      </c>
      <c r="H1619" s="36">
        <f t="shared" ref="H1619:K1619" si="835">H1620</f>
        <v>17500</v>
      </c>
      <c r="I1619" s="36">
        <f t="shared" si="835"/>
        <v>999.35900000000004</v>
      </c>
      <c r="J1619" s="36">
        <f t="shared" si="835"/>
        <v>999.35900000000004</v>
      </c>
      <c r="K1619" s="36">
        <f t="shared" si="835"/>
        <v>999.35900000000004</v>
      </c>
      <c r="L1619" s="36">
        <f t="shared" si="811"/>
        <v>5.710622857142857</v>
      </c>
      <c r="M1619" s="36">
        <f t="shared" si="812"/>
        <v>100</v>
      </c>
    </row>
    <row r="1620" spans="1:13" ht="51">
      <c r="A1620" s="60" t="s">
        <v>218</v>
      </c>
      <c r="B1620" s="29" t="s">
        <v>712</v>
      </c>
      <c r="C1620" s="29" t="s">
        <v>19</v>
      </c>
      <c r="D1620" s="29" t="s">
        <v>51</v>
      </c>
      <c r="E1620" s="29" t="s">
        <v>731</v>
      </c>
      <c r="F1620" s="29" t="s">
        <v>219</v>
      </c>
      <c r="G1620" s="36">
        <v>17500</v>
      </c>
      <c r="H1620" s="36">
        <v>17500</v>
      </c>
      <c r="I1620" s="36">
        <v>999.35900000000004</v>
      </c>
      <c r="J1620" s="36">
        <v>999.35900000000004</v>
      </c>
      <c r="K1620" s="36">
        <v>999.35900000000004</v>
      </c>
      <c r="L1620" s="36">
        <f t="shared" si="811"/>
        <v>5.710622857142857</v>
      </c>
      <c r="M1620" s="36">
        <f t="shared" si="812"/>
        <v>100</v>
      </c>
    </row>
    <row r="1621" spans="1:13">
      <c r="A1621" s="65" t="s">
        <v>0</v>
      </c>
      <c r="B1621" s="66" t="s">
        <v>0</v>
      </c>
      <c r="C1621" s="59" t="s">
        <v>0</v>
      </c>
      <c r="D1621" s="59" t="s">
        <v>0</v>
      </c>
      <c r="E1621" s="59" t="s">
        <v>0</v>
      </c>
      <c r="F1621" s="59" t="s">
        <v>0</v>
      </c>
      <c r="G1621" s="67" t="s">
        <v>0</v>
      </c>
      <c r="H1621" s="67" t="s">
        <v>0</v>
      </c>
      <c r="I1621" s="67" t="s">
        <v>0</v>
      </c>
      <c r="J1621" s="67" t="s">
        <v>0</v>
      </c>
      <c r="K1621" s="67" t="s">
        <v>0</v>
      </c>
      <c r="L1621" s="67"/>
      <c r="M1621" s="67"/>
    </row>
    <row r="1622" spans="1:13" ht="25.5">
      <c r="A1622" s="57" t="s">
        <v>732</v>
      </c>
      <c r="B1622" s="58" t="s">
        <v>733</v>
      </c>
      <c r="C1622" s="59" t="s">
        <v>0</v>
      </c>
      <c r="D1622" s="59" t="s">
        <v>0</v>
      </c>
      <c r="E1622" s="59" t="s">
        <v>0</v>
      </c>
      <c r="F1622" s="59" t="s">
        <v>0</v>
      </c>
      <c r="G1622" s="31">
        <f>G1623</f>
        <v>39369.199999999997</v>
      </c>
      <c r="H1622" s="31">
        <f t="shared" ref="H1622:K1625" si="836">H1623</f>
        <v>0</v>
      </c>
      <c r="I1622" s="31">
        <f t="shared" si="836"/>
        <v>0</v>
      </c>
      <c r="J1622" s="31">
        <f t="shared" si="836"/>
        <v>0</v>
      </c>
      <c r="K1622" s="31">
        <f t="shared" si="836"/>
        <v>0</v>
      </c>
      <c r="L1622" s="31">
        <v>0</v>
      </c>
      <c r="M1622" s="31">
        <v>0</v>
      </c>
    </row>
    <row r="1623" spans="1:13">
      <c r="A1623" s="60" t="s">
        <v>16</v>
      </c>
      <c r="B1623" s="29" t="s">
        <v>733</v>
      </c>
      <c r="C1623" s="29" t="s">
        <v>17</v>
      </c>
      <c r="D1623" s="59" t="s">
        <v>0</v>
      </c>
      <c r="E1623" s="59" t="s">
        <v>0</v>
      </c>
      <c r="F1623" s="59" t="s">
        <v>0</v>
      </c>
      <c r="G1623" s="36">
        <f>G1624</f>
        <v>39369.199999999997</v>
      </c>
      <c r="H1623" s="36">
        <f t="shared" si="836"/>
        <v>0</v>
      </c>
      <c r="I1623" s="36">
        <f t="shared" si="836"/>
        <v>0</v>
      </c>
      <c r="J1623" s="36">
        <f t="shared" si="836"/>
        <v>0</v>
      </c>
      <c r="K1623" s="36">
        <f t="shared" si="836"/>
        <v>0</v>
      </c>
      <c r="L1623" s="36">
        <v>0</v>
      </c>
      <c r="M1623" s="36">
        <v>0</v>
      </c>
    </row>
    <row r="1624" spans="1:13">
      <c r="A1624" s="60" t="s">
        <v>386</v>
      </c>
      <c r="B1624" s="29" t="s">
        <v>733</v>
      </c>
      <c r="C1624" s="29" t="s">
        <v>17</v>
      </c>
      <c r="D1624" s="29" t="s">
        <v>387</v>
      </c>
      <c r="E1624" s="59" t="s">
        <v>0</v>
      </c>
      <c r="F1624" s="59" t="s">
        <v>0</v>
      </c>
      <c r="G1624" s="36">
        <f>G1625</f>
        <v>39369.199999999997</v>
      </c>
      <c r="H1624" s="36">
        <f t="shared" si="836"/>
        <v>0</v>
      </c>
      <c r="I1624" s="36">
        <f t="shared" si="836"/>
        <v>0</v>
      </c>
      <c r="J1624" s="36">
        <f t="shared" si="836"/>
        <v>0</v>
      </c>
      <c r="K1624" s="36">
        <f t="shared" si="836"/>
        <v>0</v>
      </c>
      <c r="L1624" s="36">
        <v>0</v>
      </c>
      <c r="M1624" s="36">
        <v>0</v>
      </c>
    </row>
    <row r="1625" spans="1:13" ht="38.25">
      <c r="A1625" s="60" t="s">
        <v>734</v>
      </c>
      <c r="B1625" s="29" t="s">
        <v>733</v>
      </c>
      <c r="C1625" s="29" t="s">
        <v>17</v>
      </c>
      <c r="D1625" s="29" t="s">
        <v>387</v>
      </c>
      <c r="E1625" s="29" t="s">
        <v>735</v>
      </c>
      <c r="F1625" s="59" t="s">
        <v>0</v>
      </c>
      <c r="G1625" s="36">
        <f>G1626</f>
        <v>39369.199999999997</v>
      </c>
      <c r="H1625" s="36">
        <f t="shared" si="836"/>
        <v>0</v>
      </c>
      <c r="I1625" s="36">
        <f t="shared" si="836"/>
        <v>0</v>
      </c>
      <c r="J1625" s="36">
        <f t="shared" si="836"/>
        <v>0</v>
      </c>
      <c r="K1625" s="36">
        <f t="shared" si="836"/>
        <v>0</v>
      </c>
      <c r="L1625" s="36">
        <v>0</v>
      </c>
      <c r="M1625" s="36">
        <v>0</v>
      </c>
    </row>
    <row r="1626" spans="1:13" ht="38.25">
      <c r="A1626" s="60" t="s">
        <v>736</v>
      </c>
      <c r="B1626" s="29" t="s">
        <v>733</v>
      </c>
      <c r="C1626" s="29" t="s">
        <v>17</v>
      </c>
      <c r="D1626" s="29" t="s">
        <v>387</v>
      </c>
      <c r="E1626" s="29" t="s">
        <v>737</v>
      </c>
      <c r="F1626" s="59" t="s">
        <v>0</v>
      </c>
      <c r="G1626" s="36">
        <f>G1627+G1632</f>
        <v>39369.199999999997</v>
      </c>
      <c r="H1626" s="36">
        <f t="shared" ref="H1626:K1626" si="837">H1627+H1632</f>
        <v>0</v>
      </c>
      <c r="I1626" s="36">
        <f t="shared" si="837"/>
        <v>0</v>
      </c>
      <c r="J1626" s="36">
        <f t="shared" si="837"/>
        <v>0</v>
      </c>
      <c r="K1626" s="36">
        <f t="shared" si="837"/>
        <v>0</v>
      </c>
      <c r="L1626" s="36">
        <v>0</v>
      </c>
      <c r="M1626" s="36">
        <v>0</v>
      </c>
    </row>
    <row r="1627" spans="1:13" ht="25.5">
      <c r="A1627" s="60" t="s">
        <v>58</v>
      </c>
      <c r="B1627" s="29" t="s">
        <v>733</v>
      </c>
      <c r="C1627" s="29" t="s">
        <v>17</v>
      </c>
      <c r="D1627" s="29" t="s">
        <v>387</v>
      </c>
      <c r="E1627" s="29" t="s">
        <v>738</v>
      </c>
      <c r="F1627" s="59" t="s">
        <v>0</v>
      </c>
      <c r="G1627" s="36">
        <f>G1628+G1630</f>
        <v>8246.6</v>
      </c>
      <c r="H1627" s="36">
        <f t="shared" ref="H1627:K1627" si="838">H1628+H1630</f>
        <v>0</v>
      </c>
      <c r="I1627" s="36">
        <f t="shared" si="838"/>
        <v>0</v>
      </c>
      <c r="J1627" s="36">
        <f t="shared" si="838"/>
        <v>0</v>
      </c>
      <c r="K1627" s="36">
        <f t="shared" si="838"/>
        <v>0</v>
      </c>
      <c r="L1627" s="36">
        <v>0</v>
      </c>
      <c r="M1627" s="36">
        <v>0</v>
      </c>
    </row>
    <row r="1628" spans="1:13" ht="63.75">
      <c r="A1628" s="60" t="s">
        <v>60</v>
      </c>
      <c r="B1628" s="29" t="s">
        <v>733</v>
      </c>
      <c r="C1628" s="29" t="s">
        <v>17</v>
      </c>
      <c r="D1628" s="29" t="s">
        <v>387</v>
      </c>
      <c r="E1628" s="29" t="s">
        <v>738</v>
      </c>
      <c r="F1628" s="29" t="s">
        <v>61</v>
      </c>
      <c r="G1628" s="36">
        <f>G1629</f>
        <v>7972.3</v>
      </c>
      <c r="H1628" s="36">
        <f t="shared" ref="H1628:K1628" si="839">H1629</f>
        <v>0</v>
      </c>
      <c r="I1628" s="36">
        <f t="shared" si="839"/>
        <v>0</v>
      </c>
      <c r="J1628" s="36">
        <f t="shared" si="839"/>
        <v>0</v>
      </c>
      <c r="K1628" s="36">
        <f t="shared" si="839"/>
        <v>0</v>
      </c>
      <c r="L1628" s="36">
        <v>0</v>
      </c>
      <c r="M1628" s="36">
        <v>0</v>
      </c>
    </row>
    <row r="1629" spans="1:13" ht="25.5">
      <c r="A1629" s="60" t="s">
        <v>62</v>
      </c>
      <c r="B1629" s="29" t="s">
        <v>733</v>
      </c>
      <c r="C1629" s="29" t="s">
        <v>17</v>
      </c>
      <c r="D1629" s="29" t="s">
        <v>387</v>
      </c>
      <c r="E1629" s="29" t="s">
        <v>738</v>
      </c>
      <c r="F1629" s="29" t="s">
        <v>63</v>
      </c>
      <c r="G1629" s="36">
        <v>7972.3</v>
      </c>
      <c r="H1629" s="36"/>
      <c r="I1629" s="36"/>
      <c r="J1629" s="36"/>
      <c r="K1629" s="36"/>
      <c r="L1629" s="36">
        <v>0</v>
      </c>
      <c r="M1629" s="36">
        <v>0</v>
      </c>
    </row>
    <row r="1630" spans="1:13" ht="25.5">
      <c r="A1630" s="60" t="s">
        <v>64</v>
      </c>
      <c r="B1630" s="29" t="s">
        <v>733</v>
      </c>
      <c r="C1630" s="29" t="s">
        <v>17</v>
      </c>
      <c r="D1630" s="29" t="s">
        <v>387</v>
      </c>
      <c r="E1630" s="29" t="s">
        <v>738</v>
      </c>
      <c r="F1630" s="29" t="s">
        <v>65</v>
      </c>
      <c r="G1630" s="36">
        <f>G1631</f>
        <v>274.3</v>
      </c>
      <c r="H1630" s="36">
        <f t="shared" ref="H1630:K1630" si="840">H1631</f>
        <v>0</v>
      </c>
      <c r="I1630" s="36">
        <f t="shared" si="840"/>
        <v>0</v>
      </c>
      <c r="J1630" s="36">
        <f t="shared" si="840"/>
        <v>0</v>
      </c>
      <c r="K1630" s="36">
        <f t="shared" si="840"/>
        <v>0</v>
      </c>
      <c r="L1630" s="36">
        <v>0</v>
      </c>
      <c r="M1630" s="36">
        <v>0</v>
      </c>
    </row>
    <row r="1631" spans="1:13" ht="25.5">
      <c r="A1631" s="60" t="s">
        <v>66</v>
      </c>
      <c r="B1631" s="29" t="s">
        <v>733</v>
      </c>
      <c r="C1631" s="29" t="s">
        <v>17</v>
      </c>
      <c r="D1631" s="29" t="s">
        <v>387</v>
      </c>
      <c r="E1631" s="29" t="s">
        <v>738</v>
      </c>
      <c r="F1631" s="29" t="s">
        <v>67</v>
      </c>
      <c r="G1631" s="36">
        <v>274.3</v>
      </c>
      <c r="H1631" s="36"/>
      <c r="I1631" s="36"/>
      <c r="J1631" s="36"/>
      <c r="K1631" s="36"/>
      <c r="L1631" s="36">
        <v>0</v>
      </c>
      <c r="M1631" s="36">
        <v>0</v>
      </c>
    </row>
    <row r="1632" spans="1:13" ht="25.5">
      <c r="A1632" s="60" t="s">
        <v>76</v>
      </c>
      <c r="B1632" s="29" t="s">
        <v>733</v>
      </c>
      <c r="C1632" s="29" t="s">
        <v>17</v>
      </c>
      <c r="D1632" s="29" t="s">
        <v>387</v>
      </c>
      <c r="E1632" s="29" t="s">
        <v>739</v>
      </c>
      <c r="F1632" s="59" t="s">
        <v>0</v>
      </c>
      <c r="G1632" s="36">
        <f>G1633</f>
        <v>31122.6</v>
      </c>
      <c r="H1632" s="36">
        <f t="shared" ref="H1632:K1633" si="841">H1633</f>
        <v>0</v>
      </c>
      <c r="I1632" s="36">
        <f t="shared" si="841"/>
        <v>0</v>
      </c>
      <c r="J1632" s="36">
        <f t="shared" si="841"/>
        <v>0</v>
      </c>
      <c r="K1632" s="36">
        <f t="shared" si="841"/>
        <v>0</v>
      </c>
      <c r="L1632" s="36">
        <v>0</v>
      </c>
      <c r="M1632" s="36">
        <v>0</v>
      </c>
    </row>
    <row r="1633" spans="1:13" ht="25.5">
      <c r="A1633" s="60" t="s">
        <v>80</v>
      </c>
      <c r="B1633" s="29" t="s">
        <v>733</v>
      </c>
      <c r="C1633" s="29" t="s">
        <v>17</v>
      </c>
      <c r="D1633" s="29" t="s">
        <v>387</v>
      </c>
      <c r="E1633" s="29" t="s">
        <v>739</v>
      </c>
      <c r="F1633" s="29" t="s">
        <v>81</v>
      </c>
      <c r="G1633" s="36">
        <f>G1634</f>
        <v>31122.6</v>
      </c>
      <c r="H1633" s="36">
        <f t="shared" si="841"/>
        <v>0</v>
      </c>
      <c r="I1633" s="36">
        <f t="shared" si="841"/>
        <v>0</v>
      </c>
      <c r="J1633" s="36">
        <f t="shared" si="841"/>
        <v>0</v>
      </c>
      <c r="K1633" s="36">
        <f t="shared" si="841"/>
        <v>0</v>
      </c>
      <c r="L1633" s="36">
        <v>0</v>
      </c>
      <c r="M1633" s="36">
        <v>0</v>
      </c>
    </row>
    <row r="1634" spans="1:13">
      <c r="A1634" s="60" t="s">
        <v>271</v>
      </c>
      <c r="B1634" s="29" t="s">
        <v>733</v>
      </c>
      <c r="C1634" s="29" t="s">
        <v>17</v>
      </c>
      <c r="D1634" s="29" t="s">
        <v>387</v>
      </c>
      <c r="E1634" s="29" t="s">
        <v>739</v>
      </c>
      <c r="F1634" s="29" t="s">
        <v>272</v>
      </c>
      <c r="G1634" s="36">
        <v>31122.6</v>
      </c>
      <c r="H1634" s="36"/>
      <c r="I1634" s="36"/>
      <c r="J1634" s="36"/>
      <c r="K1634" s="36"/>
      <c r="L1634" s="36">
        <v>0</v>
      </c>
      <c r="M1634" s="36">
        <v>0</v>
      </c>
    </row>
    <row r="1635" spans="1:13">
      <c r="A1635" s="65" t="s">
        <v>0</v>
      </c>
      <c r="B1635" s="66" t="s">
        <v>0</v>
      </c>
      <c r="C1635" s="59" t="s">
        <v>0</v>
      </c>
      <c r="D1635" s="59" t="s">
        <v>0</v>
      </c>
      <c r="E1635" s="59" t="s">
        <v>0</v>
      </c>
      <c r="F1635" s="59" t="s">
        <v>0</v>
      </c>
      <c r="G1635" s="67" t="s">
        <v>0</v>
      </c>
      <c r="H1635" s="67" t="s">
        <v>0</v>
      </c>
      <c r="I1635" s="67" t="s">
        <v>0</v>
      </c>
      <c r="J1635" s="67" t="s">
        <v>0</v>
      </c>
      <c r="K1635" s="67" t="s">
        <v>0</v>
      </c>
      <c r="L1635" s="67"/>
      <c r="M1635" s="67"/>
    </row>
    <row r="1636" spans="1:13" ht="38.25">
      <c r="A1636" s="57" t="s">
        <v>740</v>
      </c>
      <c r="B1636" s="58" t="s">
        <v>741</v>
      </c>
      <c r="C1636" s="59" t="s">
        <v>0</v>
      </c>
      <c r="D1636" s="59" t="s">
        <v>0</v>
      </c>
      <c r="E1636" s="59" t="s">
        <v>0</v>
      </c>
      <c r="F1636" s="59" t="s">
        <v>0</v>
      </c>
      <c r="G1636" s="31">
        <f>G1637+G1650+G1698+G1718</f>
        <v>11342028.800000003</v>
      </c>
      <c r="H1636" s="31">
        <f>H1637+H1650+H1698+H1718</f>
        <v>11423744.40787</v>
      </c>
      <c r="I1636" s="31">
        <f>I1637+I1650+I1698+I1718</f>
        <v>6160538.0554799978</v>
      </c>
      <c r="J1636" s="31">
        <f>J1637+J1650+J1698+J1718</f>
        <v>6159793.9530099984</v>
      </c>
      <c r="K1636" s="31">
        <f>K1637+K1650+K1698+K1718</f>
        <v>6071993.4392000008</v>
      </c>
      <c r="L1636" s="31">
        <f t="shared" ref="L1636:L1700" si="842">K1636/H1636*100</f>
        <v>53.152392266557605</v>
      </c>
      <c r="M1636" s="31">
        <f t="shared" ref="M1636:M1700" si="843">K1636/I1636*100</f>
        <v>98.562712940288819</v>
      </c>
    </row>
    <row r="1637" spans="1:13">
      <c r="A1637" s="60" t="s">
        <v>16</v>
      </c>
      <c r="B1637" s="29" t="s">
        <v>741</v>
      </c>
      <c r="C1637" s="29" t="s">
        <v>17</v>
      </c>
      <c r="D1637" s="59" t="s">
        <v>0</v>
      </c>
      <c r="E1637" s="59" t="s">
        <v>0</v>
      </c>
      <c r="F1637" s="59" t="s">
        <v>0</v>
      </c>
      <c r="G1637" s="36">
        <f>G1638+G1644</f>
        <v>9948.7999999999993</v>
      </c>
      <c r="H1637" s="36">
        <f t="shared" ref="H1637:K1637" si="844">H1638+H1644</f>
        <v>9948.7999999999993</v>
      </c>
      <c r="I1637" s="36">
        <f t="shared" si="844"/>
        <v>4925.6000000000004</v>
      </c>
      <c r="J1637" s="36">
        <f t="shared" si="844"/>
        <v>4925.6000000000004</v>
      </c>
      <c r="K1637" s="36">
        <f t="shared" si="844"/>
        <v>4062.0252099999998</v>
      </c>
      <c r="L1637" s="36">
        <f t="shared" si="842"/>
        <v>40.829298106304279</v>
      </c>
      <c r="M1637" s="36">
        <f t="shared" si="843"/>
        <v>82.467622421633905</v>
      </c>
    </row>
    <row r="1638" spans="1:13" ht="51">
      <c r="A1638" s="60" t="s">
        <v>18</v>
      </c>
      <c r="B1638" s="29" t="s">
        <v>741</v>
      </c>
      <c r="C1638" s="29" t="s">
        <v>17</v>
      </c>
      <c r="D1638" s="29" t="s">
        <v>19</v>
      </c>
      <c r="E1638" s="59" t="s">
        <v>0</v>
      </c>
      <c r="F1638" s="59" t="s">
        <v>0</v>
      </c>
      <c r="G1638" s="36">
        <f>G1639</f>
        <v>9848.7999999999993</v>
      </c>
      <c r="H1638" s="36">
        <f t="shared" ref="H1638:K1642" si="845">H1639</f>
        <v>9848.7999999999993</v>
      </c>
      <c r="I1638" s="36">
        <f t="shared" si="845"/>
        <v>4925.6000000000004</v>
      </c>
      <c r="J1638" s="36">
        <f t="shared" si="845"/>
        <v>4925.6000000000004</v>
      </c>
      <c r="K1638" s="36">
        <f t="shared" si="845"/>
        <v>4062.0252099999998</v>
      </c>
      <c r="L1638" s="36">
        <f t="shared" si="842"/>
        <v>41.243859251888551</v>
      </c>
      <c r="M1638" s="36">
        <f t="shared" si="843"/>
        <v>82.467622421633905</v>
      </c>
    </row>
    <row r="1639" spans="1:13" ht="51">
      <c r="A1639" s="60" t="s">
        <v>742</v>
      </c>
      <c r="B1639" s="29" t="s">
        <v>741</v>
      </c>
      <c r="C1639" s="29" t="s">
        <v>17</v>
      </c>
      <c r="D1639" s="29" t="s">
        <v>19</v>
      </c>
      <c r="E1639" s="29" t="s">
        <v>743</v>
      </c>
      <c r="F1639" s="59" t="s">
        <v>0</v>
      </c>
      <c r="G1639" s="36">
        <f>G1640</f>
        <v>9848.7999999999993</v>
      </c>
      <c r="H1639" s="36">
        <f t="shared" si="845"/>
        <v>9848.7999999999993</v>
      </c>
      <c r="I1639" s="36">
        <f t="shared" si="845"/>
        <v>4925.6000000000004</v>
      </c>
      <c r="J1639" s="36">
        <f t="shared" si="845"/>
        <v>4925.6000000000004</v>
      </c>
      <c r="K1639" s="36">
        <f t="shared" si="845"/>
        <v>4062.0252099999998</v>
      </c>
      <c r="L1639" s="36">
        <f t="shared" si="842"/>
        <v>41.243859251888551</v>
      </c>
      <c r="M1639" s="36">
        <f t="shared" si="843"/>
        <v>82.467622421633905</v>
      </c>
    </row>
    <row r="1640" spans="1:13" ht="25.5">
      <c r="A1640" s="60" t="s">
        <v>744</v>
      </c>
      <c r="B1640" s="29" t="s">
        <v>741</v>
      </c>
      <c r="C1640" s="29" t="s">
        <v>17</v>
      </c>
      <c r="D1640" s="29" t="s">
        <v>19</v>
      </c>
      <c r="E1640" s="29" t="s">
        <v>745</v>
      </c>
      <c r="F1640" s="59" t="s">
        <v>0</v>
      </c>
      <c r="G1640" s="36">
        <f>G1641</f>
        <v>9848.7999999999993</v>
      </c>
      <c r="H1640" s="36">
        <f t="shared" si="845"/>
        <v>9848.7999999999993</v>
      </c>
      <c r="I1640" s="36">
        <f t="shared" si="845"/>
        <v>4925.6000000000004</v>
      </c>
      <c r="J1640" s="36">
        <f t="shared" si="845"/>
        <v>4925.6000000000004</v>
      </c>
      <c r="K1640" s="36">
        <f t="shared" si="845"/>
        <v>4062.0252099999998</v>
      </c>
      <c r="L1640" s="36">
        <f t="shared" si="842"/>
        <v>41.243859251888551</v>
      </c>
      <c r="M1640" s="36">
        <f t="shared" si="843"/>
        <v>82.467622421633905</v>
      </c>
    </row>
    <row r="1641" spans="1:13" ht="25.5">
      <c r="A1641" s="60" t="s">
        <v>746</v>
      </c>
      <c r="B1641" s="29" t="s">
        <v>741</v>
      </c>
      <c r="C1641" s="29" t="s">
        <v>17</v>
      </c>
      <c r="D1641" s="29" t="s">
        <v>19</v>
      </c>
      <c r="E1641" s="29" t="s">
        <v>747</v>
      </c>
      <c r="F1641" s="59" t="s">
        <v>0</v>
      </c>
      <c r="G1641" s="36">
        <f>G1642</f>
        <v>9848.7999999999993</v>
      </c>
      <c r="H1641" s="36">
        <f t="shared" si="845"/>
        <v>9848.7999999999993</v>
      </c>
      <c r="I1641" s="36">
        <f t="shared" si="845"/>
        <v>4925.6000000000004</v>
      </c>
      <c r="J1641" s="36">
        <f t="shared" si="845"/>
        <v>4925.6000000000004</v>
      </c>
      <c r="K1641" s="36">
        <f t="shared" si="845"/>
        <v>4062.0252099999998</v>
      </c>
      <c r="L1641" s="36">
        <f t="shared" si="842"/>
        <v>41.243859251888551</v>
      </c>
      <c r="M1641" s="36">
        <f t="shared" si="843"/>
        <v>82.467622421633905</v>
      </c>
    </row>
    <row r="1642" spans="1:13">
      <c r="A1642" s="60" t="s">
        <v>26</v>
      </c>
      <c r="B1642" s="29" t="s">
        <v>741</v>
      </c>
      <c r="C1642" s="29" t="s">
        <v>17</v>
      </c>
      <c r="D1642" s="29" t="s">
        <v>19</v>
      </c>
      <c r="E1642" s="29" t="s">
        <v>747</v>
      </c>
      <c r="F1642" s="29" t="s">
        <v>27</v>
      </c>
      <c r="G1642" s="36">
        <f>G1643</f>
        <v>9848.7999999999993</v>
      </c>
      <c r="H1642" s="36">
        <f t="shared" si="845"/>
        <v>9848.7999999999993</v>
      </c>
      <c r="I1642" s="36">
        <f t="shared" si="845"/>
        <v>4925.6000000000004</v>
      </c>
      <c r="J1642" s="36">
        <f t="shared" si="845"/>
        <v>4925.6000000000004</v>
      </c>
      <c r="K1642" s="36">
        <f t="shared" si="845"/>
        <v>4062.0252099999998</v>
      </c>
      <c r="L1642" s="36">
        <f t="shared" si="842"/>
        <v>41.243859251888551</v>
      </c>
      <c r="M1642" s="36">
        <f t="shared" si="843"/>
        <v>82.467622421633905</v>
      </c>
    </row>
    <row r="1643" spans="1:13">
      <c r="A1643" s="60" t="s">
        <v>28</v>
      </c>
      <c r="B1643" s="29" t="s">
        <v>741</v>
      </c>
      <c r="C1643" s="29" t="s">
        <v>17</v>
      </c>
      <c r="D1643" s="29" t="s">
        <v>19</v>
      </c>
      <c r="E1643" s="29" t="s">
        <v>747</v>
      </c>
      <c r="F1643" s="29" t="s">
        <v>29</v>
      </c>
      <c r="G1643" s="36">
        <v>9848.7999999999993</v>
      </c>
      <c r="H1643" s="36">
        <v>9848.7999999999993</v>
      </c>
      <c r="I1643" s="36">
        <v>4925.6000000000004</v>
      </c>
      <c r="J1643" s="36">
        <v>4925.6000000000004</v>
      </c>
      <c r="K1643" s="36">
        <v>4062.0252099999998</v>
      </c>
      <c r="L1643" s="36">
        <f t="shared" si="842"/>
        <v>41.243859251888551</v>
      </c>
      <c r="M1643" s="36">
        <f t="shared" si="843"/>
        <v>82.467622421633905</v>
      </c>
    </row>
    <row r="1644" spans="1:13">
      <c r="A1644" s="60" t="s">
        <v>386</v>
      </c>
      <c r="B1644" s="29" t="s">
        <v>741</v>
      </c>
      <c r="C1644" s="29" t="s">
        <v>17</v>
      </c>
      <c r="D1644" s="29" t="s">
        <v>387</v>
      </c>
      <c r="E1644" s="59" t="s">
        <v>0</v>
      </c>
      <c r="F1644" s="59" t="s">
        <v>0</v>
      </c>
      <c r="G1644" s="36">
        <f>G1645</f>
        <v>100</v>
      </c>
      <c r="H1644" s="36">
        <f t="shared" ref="H1644:K1647" si="846">H1645</f>
        <v>100</v>
      </c>
      <c r="I1644" s="36">
        <f t="shared" si="846"/>
        <v>0</v>
      </c>
      <c r="J1644" s="36">
        <f t="shared" si="846"/>
        <v>0</v>
      </c>
      <c r="K1644" s="36">
        <f t="shared" si="846"/>
        <v>0</v>
      </c>
      <c r="L1644" s="36">
        <f t="shared" si="842"/>
        <v>0</v>
      </c>
      <c r="M1644" s="36">
        <v>0</v>
      </c>
    </row>
    <row r="1645" spans="1:13" ht="51">
      <c r="A1645" s="60" t="s">
        <v>377</v>
      </c>
      <c r="B1645" s="29" t="s">
        <v>741</v>
      </c>
      <c r="C1645" s="29" t="s">
        <v>17</v>
      </c>
      <c r="D1645" s="29" t="s">
        <v>387</v>
      </c>
      <c r="E1645" s="29" t="s">
        <v>378</v>
      </c>
      <c r="F1645" s="59" t="s">
        <v>0</v>
      </c>
      <c r="G1645" s="36">
        <f>G1646</f>
        <v>100</v>
      </c>
      <c r="H1645" s="36">
        <f t="shared" si="846"/>
        <v>100</v>
      </c>
      <c r="I1645" s="36">
        <f t="shared" si="846"/>
        <v>0</v>
      </c>
      <c r="J1645" s="36">
        <f t="shared" si="846"/>
        <v>0</v>
      </c>
      <c r="K1645" s="36">
        <f t="shared" si="846"/>
        <v>0</v>
      </c>
      <c r="L1645" s="36">
        <f t="shared" si="842"/>
        <v>0</v>
      </c>
      <c r="M1645" s="36">
        <v>0</v>
      </c>
    </row>
    <row r="1646" spans="1:13" ht="25.5">
      <c r="A1646" s="60" t="s">
        <v>748</v>
      </c>
      <c r="B1646" s="29" t="s">
        <v>741</v>
      </c>
      <c r="C1646" s="29" t="s">
        <v>17</v>
      </c>
      <c r="D1646" s="29" t="s">
        <v>387</v>
      </c>
      <c r="E1646" s="29" t="s">
        <v>749</v>
      </c>
      <c r="F1646" s="59" t="s">
        <v>0</v>
      </c>
      <c r="G1646" s="36">
        <f>G1647</f>
        <v>100</v>
      </c>
      <c r="H1646" s="36">
        <f t="shared" si="846"/>
        <v>100</v>
      </c>
      <c r="I1646" s="36">
        <f t="shared" si="846"/>
        <v>0</v>
      </c>
      <c r="J1646" s="36">
        <f t="shared" si="846"/>
        <v>0</v>
      </c>
      <c r="K1646" s="36">
        <f t="shared" si="846"/>
        <v>0</v>
      </c>
      <c r="L1646" s="36">
        <f t="shared" si="842"/>
        <v>0</v>
      </c>
      <c r="M1646" s="36">
        <v>0</v>
      </c>
    </row>
    <row r="1647" spans="1:13" ht="25.5">
      <c r="A1647" s="60" t="s">
        <v>64</v>
      </c>
      <c r="B1647" s="29" t="s">
        <v>741</v>
      </c>
      <c r="C1647" s="29" t="s">
        <v>17</v>
      </c>
      <c r="D1647" s="29" t="s">
        <v>387</v>
      </c>
      <c r="E1647" s="29" t="s">
        <v>749</v>
      </c>
      <c r="F1647" s="29" t="s">
        <v>65</v>
      </c>
      <c r="G1647" s="36">
        <f>G1648</f>
        <v>100</v>
      </c>
      <c r="H1647" s="36">
        <f t="shared" si="846"/>
        <v>100</v>
      </c>
      <c r="I1647" s="36">
        <f t="shared" si="846"/>
        <v>0</v>
      </c>
      <c r="J1647" s="36">
        <f t="shared" si="846"/>
        <v>0</v>
      </c>
      <c r="K1647" s="36">
        <f t="shared" si="846"/>
        <v>0</v>
      </c>
      <c r="L1647" s="36">
        <f t="shared" si="842"/>
        <v>0</v>
      </c>
      <c r="M1647" s="36">
        <v>0</v>
      </c>
    </row>
    <row r="1648" spans="1:13" ht="25.5">
      <c r="A1648" s="60" t="s">
        <v>66</v>
      </c>
      <c r="B1648" s="29" t="s">
        <v>741</v>
      </c>
      <c r="C1648" s="29" t="s">
        <v>17</v>
      </c>
      <c r="D1648" s="29" t="s">
        <v>387</v>
      </c>
      <c r="E1648" s="29" t="s">
        <v>749</v>
      </c>
      <c r="F1648" s="29" t="s">
        <v>67</v>
      </c>
      <c r="G1648" s="36">
        <v>100</v>
      </c>
      <c r="H1648" s="36">
        <v>100</v>
      </c>
      <c r="I1648" s="36">
        <v>0</v>
      </c>
      <c r="J1648" s="36">
        <v>0</v>
      </c>
      <c r="K1648" s="36">
        <v>0</v>
      </c>
      <c r="L1648" s="36">
        <f t="shared" si="842"/>
        <v>0</v>
      </c>
      <c r="M1648" s="36">
        <v>0</v>
      </c>
    </row>
    <row r="1649" spans="1:13">
      <c r="A1649" s="61" t="s">
        <v>0</v>
      </c>
      <c r="B1649" s="59" t="s">
        <v>0</v>
      </c>
      <c r="C1649" s="59" t="s">
        <v>0</v>
      </c>
      <c r="D1649" s="59" t="s">
        <v>0</v>
      </c>
      <c r="E1649" s="59" t="s">
        <v>0</v>
      </c>
      <c r="F1649" s="59" t="s">
        <v>0</v>
      </c>
      <c r="G1649" s="62" t="s">
        <v>0</v>
      </c>
      <c r="H1649" s="62" t="s">
        <v>0</v>
      </c>
      <c r="I1649" s="62" t="s">
        <v>0</v>
      </c>
      <c r="J1649" s="62" t="s">
        <v>0</v>
      </c>
      <c r="K1649" s="62" t="s">
        <v>0</v>
      </c>
      <c r="L1649" s="62"/>
      <c r="M1649" s="62"/>
    </row>
    <row r="1650" spans="1:13">
      <c r="A1650" s="60" t="s">
        <v>30</v>
      </c>
      <c r="B1650" s="29" t="s">
        <v>741</v>
      </c>
      <c r="C1650" s="29" t="s">
        <v>19</v>
      </c>
      <c r="D1650" s="59" t="s">
        <v>0</v>
      </c>
      <c r="E1650" s="59" t="s">
        <v>0</v>
      </c>
      <c r="F1650" s="59" t="s">
        <v>0</v>
      </c>
      <c r="G1650" s="36">
        <f>G1651</f>
        <v>458906</v>
      </c>
      <c r="H1650" s="36">
        <f t="shared" ref="H1650:K1650" si="847">H1651</f>
        <v>474954.49486999999</v>
      </c>
      <c r="I1650" s="36">
        <f t="shared" si="847"/>
        <v>218612.00399999999</v>
      </c>
      <c r="J1650" s="36">
        <f t="shared" si="847"/>
        <v>218612.00399999999</v>
      </c>
      <c r="K1650" s="36">
        <f t="shared" si="847"/>
        <v>193374.18591999999</v>
      </c>
      <c r="L1650" s="36">
        <f t="shared" si="842"/>
        <v>40.714255367333351</v>
      </c>
      <c r="M1650" s="36">
        <f t="shared" si="843"/>
        <v>88.455428970862911</v>
      </c>
    </row>
    <row r="1651" spans="1:13">
      <c r="A1651" s="60" t="s">
        <v>230</v>
      </c>
      <c r="B1651" s="29" t="s">
        <v>741</v>
      </c>
      <c r="C1651" s="29" t="s">
        <v>19</v>
      </c>
      <c r="D1651" s="29" t="s">
        <v>17</v>
      </c>
      <c r="E1651" s="59" t="s">
        <v>0</v>
      </c>
      <c r="F1651" s="59" t="s">
        <v>0</v>
      </c>
      <c r="G1651" s="36">
        <f>G1652+G1657</f>
        <v>458906</v>
      </c>
      <c r="H1651" s="36">
        <f t="shared" ref="H1651:K1651" si="848">H1652+H1657</f>
        <v>474954.49486999999</v>
      </c>
      <c r="I1651" s="36">
        <f t="shared" si="848"/>
        <v>218612.00399999999</v>
      </c>
      <c r="J1651" s="36">
        <f t="shared" si="848"/>
        <v>218612.00399999999</v>
      </c>
      <c r="K1651" s="36">
        <f t="shared" si="848"/>
        <v>193374.18591999999</v>
      </c>
      <c r="L1651" s="36">
        <f t="shared" si="842"/>
        <v>40.714255367333351</v>
      </c>
      <c r="M1651" s="36">
        <f t="shared" si="843"/>
        <v>88.455428970862911</v>
      </c>
    </row>
    <row r="1652" spans="1:13" ht="38.25">
      <c r="A1652" s="60" t="s">
        <v>299</v>
      </c>
      <c r="B1652" s="29" t="s">
        <v>741</v>
      </c>
      <c r="C1652" s="29" t="s">
        <v>19</v>
      </c>
      <c r="D1652" s="29" t="s">
        <v>17</v>
      </c>
      <c r="E1652" s="29" t="s">
        <v>300</v>
      </c>
      <c r="F1652" s="59" t="s">
        <v>0</v>
      </c>
      <c r="G1652" s="36">
        <f>G1653</f>
        <v>1981</v>
      </c>
      <c r="H1652" s="36">
        <f t="shared" ref="H1652:K1655" si="849">H1653</f>
        <v>1981</v>
      </c>
      <c r="I1652" s="36">
        <f t="shared" si="849"/>
        <v>0</v>
      </c>
      <c r="J1652" s="36">
        <f t="shared" si="849"/>
        <v>0</v>
      </c>
      <c r="K1652" s="36">
        <f t="shared" si="849"/>
        <v>0</v>
      </c>
      <c r="L1652" s="36">
        <f t="shared" si="842"/>
        <v>0</v>
      </c>
      <c r="M1652" s="36">
        <v>0</v>
      </c>
    </row>
    <row r="1653" spans="1:13">
      <c r="A1653" s="60" t="s">
        <v>301</v>
      </c>
      <c r="B1653" s="29" t="s">
        <v>741</v>
      </c>
      <c r="C1653" s="29" t="s">
        <v>19</v>
      </c>
      <c r="D1653" s="29" t="s">
        <v>17</v>
      </c>
      <c r="E1653" s="29" t="s">
        <v>302</v>
      </c>
      <c r="F1653" s="59" t="s">
        <v>0</v>
      </c>
      <c r="G1653" s="36">
        <f>G1654</f>
        <v>1981</v>
      </c>
      <c r="H1653" s="36">
        <f t="shared" si="849"/>
        <v>1981</v>
      </c>
      <c r="I1653" s="36">
        <f t="shared" si="849"/>
        <v>0</v>
      </c>
      <c r="J1653" s="36">
        <f t="shared" si="849"/>
        <v>0</v>
      </c>
      <c r="K1653" s="36">
        <f t="shared" si="849"/>
        <v>0</v>
      </c>
      <c r="L1653" s="36">
        <f t="shared" si="842"/>
        <v>0</v>
      </c>
      <c r="M1653" s="36">
        <v>0</v>
      </c>
    </row>
    <row r="1654" spans="1:13" ht="25.5">
      <c r="A1654" s="60" t="s">
        <v>76</v>
      </c>
      <c r="B1654" s="29" t="s">
        <v>741</v>
      </c>
      <c r="C1654" s="29" t="s">
        <v>19</v>
      </c>
      <c r="D1654" s="29" t="s">
        <v>17</v>
      </c>
      <c r="E1654" s="29" t="s">
        <v>356</v>
      </c>
      <c r="F1654" s="59" t="s">
        <v>0</v>
      </c>
      <c r="G1654" s="36">
        <f>G1655</f>
        <v>1981</v>
      </c>
      <c r="H1654" s="36">
        <f t="shared" si="849"/>
        <v>1981</v>
      </c>
      <c r="I1654" s="36">
        <f t="shared" si="849"/>
        <v>0</v>
      </c>
      <c r="J1654" s="36">
        <f t="shared" si="849"/>
        <v>0</v>
      </c>
      <c r="K1654" s="36">
        <f t="shared" si="849"/>
        <v>0</v>
      </c>
      <c r="L1654" s="36">
        <f t="shared" si="842"/>
        <v>0</v>
      </c>
      <c r="M1654" s="36">
        <v>0</v>
      </c>
    </row>
    <row r="1655" spans="1:13" ht="25.5">
      <c r="A1655" s="60" t="s">
        <v>64</v>
      </c>
      <c r="B1655" s="29" t="s">
        <v>741</v>
      </c>
      <c r="C1655" s="29" t="s">
        <v>19</v>
      </c>
      <c r="D1655" s="29" t="s">
        <v>17</v>
      </c>
      <c r="E1655" s="29" t="s">
        <v>356</v>
      </c>
      <c r="F1655" s="29" t="s">
        <v>65</v>
      </c>
      <c r="G1655" s="36">
        <f>G1656</f>
        <v>1981</v>
      </c>
      <c r="H1655" s="36">
        <f t="shared" si="849"/>
        <v>1981</v>
      </c>
      <c r="I1655" s="36">
        <f t="shared" si="849"/>
        <v>0</v>
      </c>
      <c r="J1655" s="36">
        <f t="shared" si="849"/>
        <v>0</v>
      </c>
      <c r="K1655" s="36">
        <f t="shared" si="849"/>
        <v>0</v>
      </c>
      <c r="L1655" s="36">
        <f t="shared" si="842"/>
        <v>0</v>
      </c>
      <c r="M1655" s="36">
        <v>0</v>
      </c>
    </row>
    <row r="1656" spans="1:13" ht="25.5">
      <c r="A1656" s="60" t="s">
        <v>66</v>
      </c>
      <c r="B1656" s="29" t="s">
        <v>741</v>
      </c>
      <c r="C1656" s="29" t="s">
        <v>19</v>
      </c>
      <c r="D1656" s="29" t="s">
        <v>17</v>
      </c>
      <c r="E1656" s="29" t="s">
        <v>356</v>
      </c>
      <c r="F1656" s="29" t="s">
        <v>67</v>
      </c>
      <c r="G1656" s="36">
        <v>1981</v>
      </c>
      <c r="H1656" s="36">
        <v>1981</v>
      </c>
      <c r="I1656" s="36">
        <v>0</v>
      </c>
      <c r="J1656" s="36">
        <v>0</v>
      </c>
      <c r="K1656" s="36">
        <v>0</v>
      </c>
      <c r="L1656" s="36">
        <f t="shared" si="842"/>
        <v>0</v>
      </c>
      <c r="M1656" s="36">
        <v>0</v>
      </c>
    </row>
    <row r="1657" spans="1:13" ht="51">
      <c r="A1657" s="60" t="s">
        <v>742</v>
      </c>
      <c r="B1657" s="29" t="s">
        <v>741</v>
      </c>
      <c r="C1657" s="29" t="s">
        <v>19</v>
      </c>
      <c r="D1657" s="29" t="s">
        <v>17</v>
      </c>
      <c r="E1657" s="29" t="s">
        <v>743</v>
      </c>
      <c r="F1657" s="59" t="s">
        <v>0</v>
      </c>
      <c r="G1657" s="36">
        <f>G1658+G1690</f>
        <v>456925</v>
      </c>
      <c r="H1657" s="36">
        <f t="shared" ref="H1657:K1657" si="850">H1658+H1690</f>
        <v>472973.49486999999</v>
      </c>
      <c r="I1657" s="36">
        <f t="shared" si="850"/>
        <v>218612.00399999999</v>
      </c>
      <c r="J1657" s="36">
        <f t="shared" si="850"/>
        <v>218612.00399999999</v>
      </c>
      <c r="K1657" s="36">
        <f t="shared" si="850"/>
        <v>193374.18591999999</v>
      </c>
      <c r="L1657" s="36">
        <f t="shared" si="842"/>
        <v>40.884782766347236</v>
      </c>
      <c r="M1657" s="36">
        <f t="shared" si="843"/>
        <v>88.455428970862911</v>
      </c>
    </row>
    <row r="1658" spans="1:13" ht="38.25">
      <c r="A1658" s="60" t="s">
        <v>750</v>
      </c>
      <c r="B1658" s="29" t="s">
        <v>741</v>
      </c>
      <c r="C1658" s="29" t="s">
        <v>19</v>
      </c>
      <c r="D1658" s="29" t="s">
        <v>17</v>
      </c>
      <c r="E1658" s="29" t="s">
        <v>751</v>
      </c>
      <c r="F1658" s="59" t="s">
        <v>0</v>
      </c>
      <c r="G1658" s="36">
        <f>G1659+G1669+G1672+G1682</f>
        <v>438918</v>
      </c>
      <c r="H1658" s="36">
        <f t="shared" ref="H1658:K1658" si="851">H1659+H1669+H1672+H1682</f>
        <v>438918</v>
      </c>
      <c r="I1658" s="36">
        <f t="shared" si="851"/>
        <v>218612.00399999999</v>
      </c>
      <c r="J1658" s="36">
        <f t="shared" si="851"/>
        <v>218612.00399999999</v>
      </c>
      <c r="K1658" s="36">
        <f t="shared" si="851"/>
        <v>193374.18591999999</v>
      </c>
      <c r="L1658" s="36">
        <f t="shared" si="842"/>
        <v>44.057018832674892</v>
      </c>
      <c r="M1658" s="36">
        <f t="shared" si="843"/>
        <v>88.455428970862911</v>
      </c>
    </row>
    <row r="1659" spans="1:13" ht="25.5">
      <c r="A1659" s="60" t="s">
        <v>58</v>
      </c>
      <c r="B1659" s="29" t="s">
        <v>741</v>
      </c>
      <c r="C1659" s="29" t="s">
        <v>19</v>
      </c>
      <c r="D1659" s="29" t="s">
        <v>17</v>
      </c>
      <c r="E1659" s="29" t="s">
        <v>752</v>
      </c>
      <c r="F1659" s="59" t="s">
        <v>0</v>
      </c>
      <c r="G1659" s="36">
        <f>G1660+G1662+G1664+G1666</f>
        <v>105968.2</v>
      </c>
      <c r="H1659" s="36">
        <f t="shared" ref="H1659:K1659" si="852">H1660+H1662+H1664+H1666</f>
        <v>105968.2</v>
      </c>
      <c r="I1659" s="36">
        <f t="shared" si="852"/>
        <v>52551.829999999994</v>
      </c>
      <c r="J1659" s="36">
        <f t="shared" si="852"/>
        <v>52551.829999999994</v>
      </c>
      <c r="K1659" s="36">
        <f t="shared" si="852"/>
        <v>46400.251259999997</v>
      </c>
      <c r="L1659" s="36">
        <f t="shared" si="842"/>
        <v>43.786958030805465</v>
      </c>
      <c r="M1659" s="36">
        <f t="shared" si="843"/>
        <v>88.294263510899626</v>
      </c>
    </row>
    <row r="1660" spans="1:13" ht="63.75">
      <c r="A1660" s="60" t="s">
        <v>60</v>
      </c>
      <c r="B1660" s="29" t="s">
        <v>741</v>
      </c>
      <c r="C1660" s="29" t="s">
        <v>19</v>
      </c>
      <c r="D1660" s="29" t="s">
        <v>17</v>
      </c>
      <c r="E1660" s="29" t="s">
        <v>752</v>
      </c>
      <c r="F1660" s="29" t="s">
        <v>61</v>
      </c>
      <c r="G1660" s="36">
        <f>G1661</f>
        <v>100609.5</v>
      </c>
      <c r="H1660" s="36">
        <f t="shared" ref="H1660:K1660" si="853">H1661</f>
        <v>100609.5</v>
      </c>
      <c r="I1660" s="36">
        <f t="shared" si="853"/>
        <v>50391.899999999994</v>
      </c>
      <c r="J1660" s="36">
        <f t="shared" si="853"/>
        <v>50391.899999999994</v>
      </c>
      <c r="K1660" s="36">
        <f t="shared" si="853"/>
        <v>45395.093560000001</v>
      </c>
      <c r="L1660" s="36">
        <f t="shared" si="842"/>
        <v>45.120086631978097</v>
      </c>
      <c r="M1660" s="36">
        <f t="shared" si="843"/>
        <v>90.084107882417612</v>
      </c>
    </row>
    <row r="1661" spans="1:13" ht="25.5">
      <c r="A1661" s="60" t="s">
        <v>62</v>
      </c>
      <c r="B1661" s="29" t="s">
        <v>741</v>
      </c>
      <c r="C1661" s="29" t="s">
        <v>19</v>
      </c>
      <c r="D1661" s="29" t="s">
        <v>17</v>
      </c>
      <c r="E1661" s="29" t="s">
        <v>752</v>
      </c>
      <c r="F1661" s="29" t="s">
        <v>63</v>
      </c>
      <c r="G1661" s="36">
        <v>100609.5</v>
      </c>
      <c r="H1661" s="36">
        <v>100609.5</v>
      </c>
      <c r="I1661" s="36">
        <f>37457.2+1426+11508.7</f>
        <v>50391.899999999994</v>
      </c>
      <c r="J1661" s="36">
        <f>37457.2+1426+11508.7</f>
        <v>50391.899999999994</v>
      </c>
      <c r="K1661" s="36">
        <f>34686.75641+1425.92978+9282.40737</f>
        <v>45395.093560000001</v>
      </c>
      <c r="L1661" s="36">
        <f t="shared" si="842"/>
        <v>45.120086631978097</v>
      </c>
      <c r="M1661" s="36">
        <f t="shared" si="843"/>
        <v>90.084107882417612</v>
      </c>
    </row>
    <row r="1662" spans="1:13" ht="25.5">
      <c r="A1662" s="60" t="s">
        <v>64</v>
      </c>
      <c r="B1662" s="29" t="s">
        <v>741</v>
      </c>
      <c r="C1662" s="29" t="s">
        <v>19</v>
      </c>
      <c r="D1662" s="29" t="s">
        <v>17</v>
      </c>
      <c r="E1662" s="29" t="s">
        <v>752</v>
      </c>
      <c r="F1662" s="29" t="s">
        <v>65</v>
      </c>
      <c r="G1662" s="36">
        <f>G1663</f>
        <v>5278.9</v>
      </c>
      <c r="H1662" s="36">
        <f t="shared" ref="H1662:K1662" si="854">H1663</f>
        <v>5278.9</v>
      </c>
      <c r="I1662" s="36">
        <f t="shared" si="854"/>
        <v>2109.5</v>
      </c>
      <c r="J1662" s="36">
        <f t="shared" si="854"/>
        <v>2109.5</v>
      </c>
      <c r="K1662" s="36">
        <f t="shared" si="854"/>
        <v>1001.44435</v>
      </c>
      <c r="L1662" s="36">
        <f t="shared" si="842"/>
        <v>18.970701282464152</v>
      </c>
      <c r="M1662" s="36">
        <f t="shared" si="843"/>
        <v>47.473067077506521</v>
      </c>
    </row>
    <row r="1663" spans="1:13" ht="25.5">
      <c r="A1663" s="60" t="s">
        <v>66</v>
      </c>
      <c r="B1663" s="29" t="s">
        <v>741</v>
      </c>
      <c r="C1663" s="29" t="s">
        <v>19</v>
      </c>
      <c r="D1663" s="29" t="s">
        <v>17</v>
      </c>
      <c r="E1663" s="29" t="s">
        <v>752</v>
      </c>
      <c r="F1663" s="29" t="s">
        <v>67</v>
      </c>
      <c r="G1663" s="36">
        <v>5278.9</v>
      </c>
      <c r="H1663" s="36">
        <v>5278.9</v>
      </c>
      <c r="I1663" s="36">
        <v>2109.5</v>
      </c>
      <c r="J1663" s="36">
        <v>2109.5</v>
      </c>
      <c r="K1663" s="36">
        <v>1001.44435</v>
      </c>
      <c r="L1663" s="36">
        <f t="shared" si="842"/>
        <v>18.970701282464152</v>
      </c>
      <c r="M1663" s="36">
        <f t="shared" si="843"/>
        <v>47.473067077506521</v>
      </c>
    </row>
    <row r="1664" spans="1:13">
      <c r="A1664" s="60" t="s">
        <v>68</v>
      </c>
      <c r="B1664" s="29" t="s">
        <v>741</v>
      </c>
      <c r="C1664" s="29" t="s">
        <v>19</v>
      </c>
      <c r="D1664" s="29" t="s">
        <v>17</v>
      </c>
      <c r="E1664" s="29" t="s">
        <v>752</v>
      </c>
      <c r="F1664" s="29" t="s">
        <v>69</v>
      </c>
      <c r="G1664" s="36">
        <f>G1665</f>
        <v>30</v>
      </c>
      <c r="H1664" s="36">
        <f t="shared" ref="H1664:K1664" si="855">H1665</f>
        <v>30</v>
      </c>
      <c r="I1664" s="36">
        <f t="shared" si="855"/>
        <v>30</v>
      </c>
      <c r="J1664" s="36">
        <f t="shared" si="855"/>
        <v>30</v>
      </c>
      <c r="K1664" s="36">
        <f t="shared" si="855"/>
        <v>0</v>
      </c>
      <c r="L1664" s="36">
        <f t="shared" si="842"/>
        <v>0</v>
      </c>
      <c r="M1664" s="36">
        <f t="shared" si="843"/>
        <v>0</v>
      </c>
    </row>
    <row r="1665" spans="1:13">
      <c r="A1665" s="60" t="s">
        <v>70</v>
      </c>
      <c r="B1665" s="29" t="s">
        <v>741</v>
      </c>
      <c r="C1665" s="29" t="s">
        <v>19</v>
      </c>
      <c r="D1665" s="29" t="s">
        <v>17</v>
      </c>
      <c r="E1665" s="29" t="s">
        <v>752</v>
      </c>
      <c r="F1665" s="29" t="s">
        <v>71</v>
      </c>
      <c r="G1665" s="36">
        <v>30</v>
      </c>
      <c r="H1665" s="36">
        <v>30</v>
      </c>
      <c r="I1665" s="36">
        <v>30</v>
      </c>
      <c r="J1665" s="36">
        <v>30</v>
      </c>
      <c r="K1665" s="36">
        <v>0</v>
      </c>
      <c r="L1665" s="36">
        <f t="shared" si="842"/>
        <v>0</v>
      </c>
      <c r="M1665" s="36">
        <f t="shared" si="843"/>
        <v>0</v>
      </c>
    </row>
    <row r="1666" spans="1:13">
      <c r="A1666" s="60" t="s">
        <v>72</v>
      </c>
      <c r="B1666" s="29" t="s">
        <v>741</v>
      </c>
      <c r="C1666" s="29" t="s">
        <v>19</v>
      </c>
      <c r="D1666" s="29" t="s">
        <v>17</v>
      </c>
      <c r="E1666" s="29" t="s">
        <v>752</v>
      </c>
      <c r="F1666" s="29" t="s">
        <v>73</v>
      </c>
      <c r="G1666" s="36">
        <f>G1667+G1668</f>
        <v>49.8</v>
      </c>
      <c r="H1666" s="36">
        <f t="shared" ref="H1666:K1666" si="856">H1667+H1668</f>
        <v>49.8</v>
      </c>
      <c r="I1666" s="36">
        <f t="shared" si="856"/>
        <v>20.43</v>
      </c>
      <c r="J1666" s="36">
        <f t="shared" si="856"/>
        <v>20.43</v>
      </c>
      <c r="K1666" s="36">
        <f t="shared" si="856"/>
        <v>3.7133499999999997</v>
      </c>
      <c r="L1666" s="36">
        <f t="shared" si="842"/>
        <v>7.4565261044176712</v>
      </c>
      <c r="M1666" s="36">
        <f t="shared" si="843"/>
        <v>18.17596671561429</v>
      </c>
    </row>
    <row r="1667" spans="1:13">
      <c r="A1667" s="60" t="s">
        <v>84</v>
      </c>
      <c r="B1667" s="29" t="s">
        <v>741</v>
      </c>
      <c r="C1667" s="29" t="s">
        <v>19</v>
      </c>
      <c r="D1667" s="29" t="s">
        <v>17</v>
      </c>
      <c r="E1667" s="29" t="s">
        <v>752</v>
      </c>
      <c r="F1667" s="29" t="s">
        <v>85</v>
      </c>
      <c r="G1667" s="36">
        <v>5</v>
      </c>
      <c r="H1667" s="36">
        <v>5</v>
      </c>
      <c r="I1667" s="36">
        <v>5</v>
      </c>
      <c r="J1667" s="36">
        <v>5</v>
      </c>
      <c r="K1667" s="36">
        <v>0.3</v>
      </c>
      <c r="L1667" s="36">
        <f t="shared" si="842"/>
        <v>6</v>
      </c>
      <c r="M1667" s="36">
        <f t="shared" si="843"/>
        <v>6</v>
      </c>
    </row>
    <row r="1668" spans="1:13">
      <c r="A1668" s="60" t="s">
        <v>74</v>
      </c>
      <c r="B1668" s="29" t="s">
        <v>741</v>
      </c>
      <c r="C1668" s="29" t="s">
        <v>19</v>
      </c>
      <c r="D1668" s="29" t="s">
        <v>17</v>
      </c>
      <c r="E1668" s="29" t="s">
        <v>752</v>
      </c>
      <c r="F1668" s="29" t="s">
        <v>75</v>
      </c>
      <c r="G1668" s="36">
        <v>44.8</v>
      </c>
      <c r="H1668" s="36">
        <f>12.8+31+1</f>
        <v>44.8</v>
      </c>
      <c r="I1668" s="36">
        <v>15.43</v>
      </c>
      <c r="J1668" s="36">
        <v>15.43</v>
      </c>
      <c r="K1668" s="36">
        <f>3.072+0.26+0.08135</f>
        <v>3.4133499999999999</v>
      </c>
      <c r="L1668" s="36">
        <f t="shared" si="842"/>
        <v>7.6190848214285722</v>
      </c>
      <c r="M1668" s="36">
        <f t="shared" si="843"/>
        <v>22.121516526247571</v>
      </c>
    </row>
    <row r="1669" spans="1:13">
      <c r="A1669" s="60" t="s">
        <v>609</v>
      </c>
      <c r="B1669" s="29" t="s">
        <v>741</v>
      </c>
      <c r="C1669" s="29" t="s">
        <v>19</v>
      </c>
      <c r="D1669" s="29" t="s">
        <v>17</v>
      </c>
      <c r="E1669" s="29" t="s">
        <v>753</v>
      </c>
      <c r="F1669" s="59" t="s">
        <v>0</v>
      </c>
      <c r="G1669" s="36">
        <f>G1670</f>
        <v>7623.5</v>
      </c>
      <c r="H1669" s="36">
        <f t="shared" ref="H1669:K1670" si="857">H1670</f>
        <v>7623.5</v>
      </c>
      <c r="I1669" s="36">
        <f t="shared" si="857"/>
        <v>4766</v>
      </c>
      <c r="J1669" s="36">
        <f t="shared" si="857"/>
        <v>4766</v>
      </c>
      <c r="K1669" s="36">
        <f t="shared" si="857"/>
        <v>4597.5</v>
      </c>
      <c r="L1669" s="36">
        <f t="shared" si="842"/>
        <v>60.306945628648258</v>
      </c>
      <c r="M1669" s="36">
        <f t="shared" si="843"/>
        <v>96.464540495174148</v>
      </c>
    </row>
    <row r="1670" spans="1:13" ht="25.5">
      <c r="A1670" s="60" t="s">
        <v>64</v>
      </c>
      <c r="B1670" s="29" t="s">
        <v>741</v>
      </c>
      <c r="C1670" s="29" t="s">
        <v>19</v>
      </c>
      <c r="D1670" s="29" t="s">
        <v>17</v>
      </c>
      <c r="E1670" s="29" t="s">
        <v>753</v>
      </c>
      <c r="F1670" s="29" t="s">
        <v>65</v>
      </c>
      <c r="G1670" s="36">
        <f>G1671</f>
        <v>7623.5</v>
      </c>
      <c r="H1670" s="36">
        <f t="shared" si="857"/>
        <v>7623.5</v>
      </c>
      <c r="I1670" s="36">
        <f t="shared" si="857"/>
        <v>4766</v>
      </c>
      <c r="J1670" s="36">
        <f t="shared" si="857"/>
        <v>4766</v>
      </c>
      <c r="K1670" s="36">
        <f t="shared" si="857"/>
        <v>4597.5</v>
      </c>
      <c r="L1670" s="36">
        <f t="shared" si="842"/>
        <v>60.306945628648258</v>
      </c>
      <c r="M1670" s="36">
        <f t="shared" si="843"/>
        <v>96.464540495174148</v>
      </c>
    </row>
    <row r="1671" spans="1:13" ht="25.5">
      <c r="A1671" s="60" t="s">
        <v>66</v>
      </c>
      <c r="B1671" s="29" t="s">
        <v>741</v>
      </c>
      <c r="C1671" s="29" t="s">
        <v>19</v>
      </c>
      <c r="D1671" s="29" t="s">
        <v>17</v>
      </c>
      <c r="E1671" s="29" t="s">
        <v>753</v>
      </c>
      <c r="F1671" s="29" t="s">
        <v>67</v>
      </c>
      <c r="G1671" s="36">
        <v>7623.5</v>
      </c>
      <c r="H1671" s="36">
        <v>7623.5</v>
      </c>
      <c r="I1671" s="36">
        <v>4766</v>
      </c>
      <c r="J1671" s="36">
        <v>4766</v>
      </c>
      <c r="K1671" s="36">
        <v>4597.5</v>
      </c>
      <c r="L1671" s="36">
        <f t="shared" si="842"/>
        <v>60.306945628648258</v>
      </c>
      <c r="M1671" s="36">
        <f t="shared" si="843"/>
        <v>96.464540495174148</v>
      </c>
    </row>
    <row r="1672" spans="1:13" ht="25.5">
      <c r="A1672" s="60" t="s">
        <v>76</v>
      </c>
      <c r="B1672" s="29" t="s">
        <v>741</v>
      </c>
      <c r="C1672" s="29" t="s">
        <v>19</v>
      </c>
      <c r="D1672" s="29" t="s">
        <v>17</v>
      </c>
      <c r="E1672" s="29" t="s">
        <v>754</v>
      </c>
      <c r="F1672" s="59" t="s">
        <v>0</v>
      </c>
      <c r="G1672" s="36">
        <f>G1673+G1675+G1679</f>
        <v>259271.8</v>
      </c>
      <c r="H1672" s="36">
        <f>H1673+H1675+H1679+H1677</f>
        <v>259271.8</v>
      </c>
      <c r="I1672" s="36">
        <f t="shared" ref="I1672:K1672" si="858">I1673+I1675+I1679+I1677</f>
        <v>129623.162</v>
      </c>
      <c r="J1672" s="36">
        <f t="shared" si="858"/>
        <v>129623.162</v>
      </c>
      <c r="K1672" s="36">
        <f t="shared" si="858"/>
        <v>111468.07792999998</v>
      </c>
      <c r="L1672" s="36">
        <f t="shared" si="842"/>
        <v>42.992750437957383</v>
      </c>
      <c r="M1672" s="36">
        <f t="shared" si="843"/>
        <v>85.993950625891983</v>
      </c>
    </row>
    <row r="1673" spans="1:13" ht="63.75">
      <c r="A1673" s="60" t="s">
        <v>60</v>
      </c>
      <c r="B1673" s="29" t="s">
        <v>741</v>
      </c>
      <c r="C1673" s="29" t="s">
        <v>19</v>
      </c>
      <c r="D1673" s="29" t="s">
        <v>17</v>
      </c>
      <c r="E1673" s="29" t="s">
        <v>754</v>
      </c>
      <c r="F1673" s="29" t="s">
        <v>61</v>
      </c>
      <c r="G1673" s="36">
        <f>G1674</f>
        <v>235914</v>
      </c>
      <c r="H1673" s="36">
        <f t="shared" ref="H1673:K1673" si="859">H1674</f>
        <v>235586.74799999999</v>
      </c>
      <c r="I1673" s="36">
        <f t="shared" si="859"/>
        <v>117907.978</v>
      </c>
      <c r="J1673" s="36">
        <f t="shared" si="859"/>
        <v>117907.978</v>
      </c>
      <c r="K1673" s="36">
        <f t="shared" si="859"/>
        <v>100466.23914999999</v>
      </c>
      <c r="L1673" s="36">
        <f t="shared" si="842"/>
        <v>42.645114805014408</v>
      </c>
      <c r="M1673" s="36">
        <f t="shared" si="843"/>
        <v>85.207329354761725</v>
      </c>
    </row>
    <row r="1674" spans="1:13">
      <c r="A1674" s="60" t="s">
        <v>78</v>
      </c>
      <c r="B1674" s="29" t="s">
        <v>741</v>
      </c>
      <c r="C1674" s="29" t="s">
        <v>19</v>
      </c>
      <c r="D1674" s="29" t="s">
        <v>17</v>
      </c>
      <c r="E1674" s="29" t="s">
        <v>754</v>
      </c>
      <c r="F1674" s="29" t="s">
        <v>79</v>
      </c>
      <c r="G1674" s="36">
        <v>235914</v>
      </c>
      <c r="H1674" s="36">
        <v>235586.74799999999</v>
      </c>
      <c r="I1674" s="36">
        <f>89465.739+1269.439+27172.8</f>
        <v>117907.978</v>
      </c>
      <c r="J1674" s="36">
        <f>89465.739+1269.439+27172.8</f>
        <v>117907.978</v>
      </c>
      <c r="K1674" s="36">
        <f>77550.35922+1220.02311+21695.85682</f>
        <v>100466.23914999999</v>
      </c>
      <c r="L1674" s="36">
        <f t="shared" si="842"/>
        <v>42.645114805014408</v>
      </c>
      <c r="M1674" s="36">
        <f t="shared" si="843"/>
        <v>85.207329354761725</v>
      </c>
    </row>
    <row r="1675" spans="1:13" ht="25.5">
      <c r="A1675" s="60" t="s">
        <v>64</v>
      </c>
      <c r="B1675" s="29" t="s">
        <v>741</v>
      </c>
      <c r="C1675" s="29" t="s">
        <v>19</v>
      </c>
      <c r="D1675" s="29" t="s">
        <v>17</v>
      </c>
      <c r="E1675" s="29" t="s">
        <v>754</v>
      </c>
      <c r="F1675" s="29" t="s">
        <v>65</v>
      </c>
      <c r="G1675" s="36">
        <f>G1676</f>
        <v>22184.799999999999</v>
      </c>
      <c r="H1675" s="36">
        <f t="shared" ref="H1675:K1675" si="860">H1676</f>
        <v>22184.799999999999</v>
      </c>
      <c r="I1675" s="36">
        <f t="shared" si="860"/>
        <v>11010</v>
      </c>
      <c r="J1675" s="36">
        <f t="shared" si="860"/>
        <v>11010</v>
      </c>
      <c r="K1675" s="36">
        <f t="shared" si="860"/>
        <v>10459.662270000001</v>
      </c>
      <c r="L1675" s="36">
        <f t="shared" si="842"/>
        <v>47.147877240272621</v>
      </c>
      <c r="M1675" s="36">
        <f t="shared" si="843"/>
        <v>95.001473841961854</v>
      </c>
    </row>
    <row r="1676" spans="1:13" ht="25.5">
      <c r="A1676" s="60" t="s">
        <v>66</v>
      </c>
      <c r="B1676" s="29" t="s">
        <v>741</v>
      </c>
      <c r="C1676" s="29" t="s">
        <v>19</v>
      </c>
      <c r="D1676" s="29" t="s">
        <v>17</v>
      </c>
      <c r="E1676" s="29" t="s">
        <v>754</v>
      </c>
      <c r="F1676" s="29" t="s">
        <v>67</v>
      </c>
      <c r="G1676" s="36">
        <v>22184.799999999999</v>
      </c>
      <c r="H1676" s="36">
        <v>22184.799999999999</v>
      </c>
      <c r="I1676" s="36">
        <v>11010</v>
      </c>
      <c r="J1676" s="36">
        <v>11010</v>
      </c>
      <c r="K1676" s="36">
        <v>10459.662270000001</v>
      </c>
      <c r="L1676" s="36">
        <f t="shared" si="842"/>
        <v>47.147877240272621</v>
      </c>
      <c r="M1676" s="36">
        <f t="shared" si="843"/>
        <v>95.001473841961854</v>
      </c>
    </row>
    <row r="1677" spans="1:13">
      <c r="A1677" s="60" t="s">
        <v>68</v>
      </c>
      <c r="B1677" s="29" t="s">
        <v>741</v>
      </c>
      <c r="C1677" s="29" t="s">
        <v>19</v>
      </c>
      <c r="D1677" s="29" t="s">
        <v>17</v>
      </c>
      <c r="E1677" s="29" t="s">
        <v>754</v>
      </c>
      <c r="F1677" s="29">
        <v>300</v>
      </c>
      <c r="G1677" s="36"/>
      <c r="H1677" s="36">
        <f>H1678</f>
        <v>327.25200000000001</v>
      </c>
      <c r="I1677" s="36">
        <f t="shared" ref="I1677:K1677" si="861">I1678</f>
        <v>218.48400000000001</v>
      </c>
      <c r="J1677" s="36">
        <f t="shared" si="861"/>
        <v>218.48400000000001</v>
      </c>
      <c r="K1677" s="36">
        <f t="shared" si="861"/>
        <v>202.54722000000001</v>
      </c>
      <c r="L1677" s="36">
        <f t="shared" ref="L1677:L1678" si="862">K1677/H1677*100</f>
        <v>61.893348245388879</v>
      </c>
      <c r="M1677" s="36">
        <f t="shared" ref="M1677:M1678" si="863">K1677/I1677*100</f>
        <v>92.705745043115286</v>
      </c>
    </row>
    <row r="1678" spans="1:13" ht="25.5">
      <c r="A1678" s="60" t="s">
        <v>151</v>
      </c>
      <c r="B1678" s="29" t="s">
        <v>741</v>
      </c>
      <c r="C1678" s="29" t="s">
        <v>19</v>
      </c>
      <c r="D1678" s="29" t="s">
        <v>17</v>
      </c>
      <c r="E1678" s="29" t="s">
        <v>754</v>
      </c>
      <c r="F1678" s="29">
        <v>320</v>
      </c>
      <c r="G1678" s="36"/>
      <c r="H1678" s="36">
        <v>327.25200000000001</v>
      </c>
      <c r="I1678" s="36">
        <v>218.48400000000001</v>
      </c>
      <c r="J1678" s="36">
        <v>218.48400000000001</v>
      </c>
      <c r="K1678" s="36">
        <v>202.54722000000001</v>
      </c>
      <c r="L1678" s="36">
        <f t="shared" si="862"/>
        <v>61.893348245388879</v>
      </c>
      <c r="M1678" s="36">
        <f t="shared" si="863"/>
        <v>92.705745043115286</v>
      </c>
    </row>
    <row r="1679" spans="1:13">
      <c r="A1679" s="60" t="s">
        <v>72</v>
      </c>
      <c r="B1679" s="29" t="s">
        <v>741</v>
      </c>
      <c r="C1679" s="29" t="s">
        <v>19</v>
      </c>
      <c r="D1679" s="29" t="s">
        <v>17</v>
      </c>
      <c r="E1679" s="29" t="s">
        <v>754</v>
      </c>
      <c r="F1679" s="29" t="s">
        <v>73</v>
      </c>
      <c r="G1679" s="36">
        <f>G1680+G1681</f>
        <v>1173</v>
      </c>
      <c r="H1679" s="36">
        <f t="shared" ref="H1679:K1679" si="864">H1680+H1681</f>
        <v>1173</v>
      </c>
      <c r="I1679" s="36">
        <f t="shared" si="864"/>
        <v>486.7</v>
      </c>
      <c r="J1679" s="36">
        <f t="shared" si="864"/>
        <v>486.7</v>
      </c>
      <c r="K1679" s="36">
        <f t="shared" si="864"/>
        <v>339.62929000000003</v>
      </c>
      <c r="L1679" s="36">
        <f t="shared" si="842"/>
        <v>28.953903665814153</v>
      </c>
      <c r="M1679" s="36">
        <f t="shared" si="843"/>
        <v>69.78206081775221</v>
      </c>
    </row>
    <row r="1680" spans="1:13">
      <c r="A1680" s="60" t="s">
        <v>84</v>
      </c>
      <c r="B1680" s="29" t="s">
        <v>741</v>
      </c>
      <c r="C1680" s="29" t="s">
        <v>19</v>
      </c>
      <c r="D1680" s="29" t="s">
        <v>17</v>
      </c>
      <c r="E1680" s="29" t="s">
        <v>754</v>
      </c>
      <c r="F1680" s="29" t="s">
        <v>85</v>
      </c>
      <c r="G1680" s="36">
        <v>0.3</v>
      </c>
      <c r="H1680" s="36">
        <v>0.3</v>
      </c>
      <c r="I1680" s="36">
        <v>0</v>
      </c>
      <c r="J1680" s="36">
        <v>0</v>
      </c>
      <c r="K1680" s="36">
        <v>0</v>
      </c>
      <c r="L1680" s="36">
        <f t="shared" si="842"/>
        <v>0</v>
      </c>
      <c r="M1680" s="36">
        <v>0</v>
      </c>
    </row>
    <row r="1681" spans="1:13">
      <c r="A1681" s="60" t="s">
        <v>74</v>
      </c>
      <c r="B1681" s="29" t="s">
        <v>741</v>
      </c>
      <c r="C1681" s="29" t="s">
        <v>19</v>
      </c>
      <c r="D1681" s="29" t="s">
        <v>17</v>
      </c>
      <c r="E1681" s="29" t="s">
        <v>754</v>
      </c>
      <c r="F1681" s="29" t="s">
        <v>75</v>
      </c>
      <c r="G1681" s="36">
        <v>1172.7</v>
      </c>
      <c r="H1681" s="36">
        <f>870.4+301.3+1</f>
        <v>1172.7</v>
      </c>
      <c r="I1681" s="36">
        <f>391+95+0.7</f>
        <v>486.7</v>
      </c>
      <c r="J1681" s="36">
        <f>95+0.7+391</f>
        <v>486.7</v>
      </c>
      <c r="K1681" s="36">
        <f>259.85115+79.47121+0.30693</f>
        <v>339.62929000000003</v>
      </c>
      <c r="L1681" s="36">
        <f t="shared" si="842"/>
        <v>28.961310650635287</v>
      </c>
      <c r="M1681" s="36">
        <f t="shared" si="843"/>
        <v>69.78206081775221</v>
      </c>
    </row>
    <row r="1682" spans="1:13" ht="25.5">
      <c r="A1682" s="60" t="s">
        <v>755</v>
      </c>
      <c r="B1682" s="29" t="s">
        <v>741</v>
      </c>
      <c r="C1682" s="29" t="s">
        <v>19</v>
      </c>
      <c r="D1682" s="29" t="s">
        <v>17</v>
      </c>
      <c r="E1682" s="29" t="s">
        <v>756</v>
      </c>
      <c r="F1682" s="59" t="s">
        <v>0</v>
      </c>
      <c r="G1682" s="36">
        <f>G1683+G1685+G1688</f>
        <v>66054.5</v>
      </c>
      <c r="H1682" s="36">
        <f t="shared" ref="H1682:K1682" si="865">H1683+H1685+H1688</f>
        <v>66054.5</v>
      </c>
      <c r="I1682" s="36">
        <f t="shared" si="865"/>
        <v>31671.011999999999</v>
      </c>
      <c r="J1682" s="36">
        <f t="shared" si="865"/>
        <v>31671.011999999999</v>
      </c>
      <c r="K1682" s="36">
        <f t="shared" si="865"/>
        <v>30908.35673</v>
      </c>
      <c r="L1682" s="36">
        <f t="shared" si="842"/>
        <v>46.792204512940074</v>
      </c>
      <c r="M1682" s="36">
        <f t="shared" si="843"/>
        <v>97.591945372632864</v>
      </c>
    </row>
    <row r="1683" spans="1:13" ht="25.5">
      <c r="A1683" s="60" t="s">
        <v>64</v>
      </c>
      <c r="B1683" s="29" t="s">
        <v>741</v>
      </c>
      <c r="C1683" s="29" t="s">
        <v>19</v>
      </c>
      <c r="D1683" s="29" t="s">
        <v>17</v>
      </c>
      <c r="E1683" s="29" t="s">
        <v>756</v>
      </c>
      <c r="F1683" s="29" t="s">
        <v>65</v>
      </c>
      <c r="G1683" s="36">
        <f>G1684</f>
        <v>33303.199999999997</v>
      </c>
      <c r="H1683" s="36">
        <f t="shared" ref="H1683:K1683" si="866">H1684</f>
        <v>33303.199999999997</v>
      </c>
      <c r="I1683" s="36">
        <f t="shared" si="866"/>
        <v>14834.706</v>
      </c>
      <c r="J1683" s="36">
        <f t="shared" si="866"/>
        <v>14834.706</v>
      </c>
      <c r="K1683" s="36">
        <f t="shared" si="866"/>
        <v>14648.211300000001</v>
      </c>
      <c r="L1683" s="36">
        <f t="shared" si="842"/>
        <v>43.984395793797596</v>
      </c>
      <c r="M1683" s="36">
        <f t="shared" si="843"/>
        <v>98.742848695484767</v>
      </c>
    </row>
    <row r="1684" spans="1:13" ht="25.5">
      <c r="A1684" s="60" t="s">
        <v>66</v>
      </c>
      <c r="B1684" s="29" t="s">
        <v>741</v>
      </c>
      <c r="C1684" s="29" t="s">
        <v>19</v>
      </c>
      <c r="D1684" s="29" t="s">
        <v>17</v>
      </c>
      <c r="E1684" s="29" t="s">
        <v>756</v>
      </c>
      <c r="F1684" s="29" t="s">
        <v>67</v>
      </c>
      <c r="G1684" s="36">
        <v>33303.199999999997</v>
      </c>
      <c r="H1684" s="36">
        <v>33303.199999999997</v>
      </c>
      <c r="I1684" s="36">
        <v>14834.706</v>
      </c>
      <c r="J1684" s="36">
        <v>14834.706</v>
      </c>
      <c r="K1684" s="36">
        <v>14648.211300000001</v>
      </c>
      <c r="L1684" s="36">
        <f t="shared" si="842"/>
        <v>43.984395793797596</v>
      </c>
      <c r="M1684" s="36">
        <f t="shared" si="843"/>
        <v>98.742848695484767</v>
      </c>
    </row>
    <row r="1685" spans="1:13">
      <c r="A1685" s="60" t="s">
        <v>68</v>
      </c>
      <c r="B1685" s="29" t="s">
        <v>741</v>
      </c>
      <c r="C1685" s="29" t="s">
        <v>19</v>
      </c>
      <c r="D1685" s="29" t="s">
        <v>17</v>
      </c>
      <c r="E1685" s="29" t="s">
        <v>756</v>
      </c>
      <c r="F1685" s="29" t="s">
        <v>69</v>
      </c>
      <c r="G1685" s="36">
        <f>G1686+G1687</f>
        <v>32125.4</v>
      </c>
      <c r="H1685" s="36">
        <f t="shared" ref="H1685:K1685" si="867">H1686+H1687</f>
        <v>32125.4</v>
      </c>
      <c r="I1685" s="36">
        <f t="shared" si="867"/>
        <v>16572.925999999999</v>
      </c>
      <c r="J1685" s="36">
        <f t="shared" si="867"/>
        <v>16572.925999999999</v>
      </c>
      <c r="K1685" s="36">
        <f t="shared" si="867"/>
        <v>16011.80443</v>
      </c>
      <c r="L1685" s="36">
        <f t="shared" si="842"/>
        <v>49.841572182758817</v>
      </c>
      <c r="M1685" s="36">
        <f t="shared" si="843"/>
        <v>96.614227505752453</v>
      </c>
    </row>
    <row r="1686" spans="1:13" ht="25.5">
      <c r="A1686" s="60" t="s">
        <v>151</v>
      </c>
      <c r="B1686" s="29" t="s">
        <v>741</v>
      </c>
      <c r="C1686" s="29" t="s">
        <v>19</v>
      </c>
      <c r="D1686" s="29" t="s">
        <v>17</v>
      </c>
      <c r="E1686" s="29" t="s">
        <v>756</v>
      </c>
      <c r="F1686" s="29" t="s">
        <v>152</v>
      </c>
      <c r="G1686" s="36">
        <v>15988.4</v>
      </c>
      <c r="H1686" s="36">
        <f>10388.4+5600</f>
        <v>15988.4</v>
      </c>
      <c r="I1686" s="36">
        <f>2869+7211.986</f>
        <v>10080.986000000001</v>
      </c>
      <c r="J1686" s="36">
        <f>2869+7211.986</f>
        <v>10080.986000000001</v>
      </c>
      <c r="K1686" s="36">
        <f>2832.17396+7070.10984</f>
        <v>9902.2838000000011</v>
      </c>
      <c r="L1686" s="36">
        <f t="shared" si="842"/>
        <v>61.934176027620033</v>
      </c>
      <c r="M1686" s="36">
        <f t="shared" si="843"/>
        <v>98.227334111960872</v>
      </c>
    </row>
    <row r="1687" spans="1:13">
      <c r="A1687" s="60" t="s">
        <v>70</v>
      </c>
      <c r="B1687" s="29" t="s">
        <v>741</v>
      </c>
      <c r="C1687" s="29" t="s">
        <v>19</v>
      </c>
      <c r="D1687" s="29" t="s">
        <v>17</v>
      </c>
      <c r="E1687" s="29" t="s">
        <v>756</v>
      </c>
      <c r="F1687" s="29" t="s">
        <v>71</v>
      </c>
      <c r="G1687" s="36">
        <v>16137</v>
      </c>
      <c r="H1687" s="36">
        <v>16137</v>
      </c>
      <c r="I1687" s="36">
        <v>6491.94</v>
      </c>
      <c r="J1687" s="36">
        <v>6491.94</v>
      </c>
      <c r="K1687" s="36">
        <v>6109.52063</v>
      </c>
      <c r="L1687" s="36">
        <f t="shared" si="842"/>
        <v>37.860324905496682</v>
      </c>
      <c r="M1687" s="36">
        <f t="shared" si="843"/>
        <v>94.109320634509871</v>
      </c>
    </row>
    <row r="1688" spans="1:13">
      <c r="A1688" s="60" t="s">
        <v>72</v>
      </c>
      <c r="B1688" s="29" t="s">
        <v>741</v>
      </c>
      <c r="C1688" s="29" t="s">
        <v>19</v>
      </c>
      <c r="D1688" s="29" t="s">
        <v>17</v>
      </c>
      <c r="E1688" s="29" t="s">
        <v>756</v>
      </c>
      <c r="F1688" s="29" t="s">
        <v>73</v>
      </c>
      <c r="G1688" s="36">
        <f>G1689</f>
        <v>625.9</v>
      </c>
      <c r="H1688" s="36">
        <f t="shared" ref="H1688:K1688" si="868">H1689</f>
        <v>625.9</v>
      </c>
      <c r="I1688" s="36">
        <f t="shared" si="868"/>
        <v>263.38</v>
      </c>
      <c r="J1688" s="36">
        <f t="shared" si="868"/>
        <v>263.38</v>
      </c>
      <c r="K1688" s="36">
        <f t="shared" si="868"/>
        <v>248.34100000000001</v>
      </c>
      <c r="L1688" s="36">
        <f t="shared" si="842"/>
        <v>39.677424508707468</v>
      </c>
      <c r="M1688" s="36">
        <f t="shared" si="843"/>
        <v>94.28999924064091</v>
      </c>
    </row>
    <row r="1689" spans="1:13" ht="51">
      <c r="A1689" s="60" t="s">
        <v>218</v>
      </c>
      <c r="B1689" s="29" t="s">
        <v>741</v>
      </c>
      <c r="C1689" s="29" t="s">
        <v>19</v>
      </c>
      <c r="D1689" s="29" t="s">
        <v>17</v>
      </c>
      <c r="E1689" s="29" t="s">
        <v>756</v>
      </c>
      <c r="F1689" s="29" t="s">
        <v>219</v>
      </c>
      <c r="G1689" s="36">
        <v>625.9</v>
      </c>
      <c r="H1689" s="36">
        <v>625.9</v>
      </c>
      <c r="I1689" s="36">
        <v>263.38</v>
      </c>
      <c r="J1689" s="36">
        <v>263.38</v>
      </c>
      <c r="K1689" s="36">
        <v>248.34100000000001</v>
      </c>
      <c r="L1689" s="36">
        <f t="shared" si="842"/>
        <v>39.677424508707468</v>
      </c>
      <c r="M1689" s="36">
        <f t="shared" si="843"/>
        <v>94.28999924064091</v>
      </c>
    </row>
    <row r="1690" spans="1:13" ht="25.5">
      <c r="A1690" s="60" t="s">
        <v>757</v>
      </c>
      <c r="B1690" s="29" t="s">
        <v>741</v>
      </c>
      <c r="C1690" s="29" t="s">
        <v>19</v>
      </c>
      <c r="D1690" s="29" t="s">
        <v>17</v>
      </c>
      <c r="E1690" s="29" t="s">
        <v>758</v>
      </c>
      <c r="F1690" s="59" t="s">
        <v>0</v>
      </c>
      <c r="G1690" s="36">
        <f>G1694</f>
        <v>18007</v>
      </c>
      <c r="H1690" s="36">
        <f>H1694+H1691</f>
        <v>34055.494869999995</v>
      </c>
      <c r="I1690" s="36">
        <f t="shared" ref="I1690:K1690" si="869">I1694+I1691</f>
        <v>0</v>
      </c>
      <c r="J1690" s="36">
        <f t="shared" si="869"/>
        <v>0</v>
      </c>
      <c r="K1690" s="36">
        <f t="shared" si="869"/>
        <v>0</v>
      </c>
      <c r="L1690" s="36">
        <f t="shared" si="842"/>
        <v>0</v>
      </c>
      <c r="M1690" s="36">
        <v>0</v>
      </c>
    </row>
    <row r="1691" spans="1:13" ht="33" customHeight="1">
      <c r="A1691" s="60" t="s">
        <v>1190</v>
      </c>
      <c r="B1691" s="29" t="s">
        <v>741</v>
      </c>
      <c r="C1691" s="29" t="s">
        <v>19</v>
      </c>
      <c r="D1691" s="29" t="s">
        <v>17</v>
      </c>
      <c r="E1691" s="30" t="s">
        <v>1189</v>
      </c>
      <c r="F1691" s="59"/>
      <c r="G1691" s="36"/>
      <c r="H1691" s="36">
        <f>H1692</f>
        <v>16048.5</v>
      </c>
      <c r="I1691" s="36">
        <f t="shared" ref="I1691:K1692" si="870">I1692</f>
        <v>0</v>
      </c>
      <c r="J1691" s="36">
        <f t="shared" si="870"/>
        <v>0</v>
      </c>
      <c r="K1691" s="36">
        <f t="shared" si="870"/>
        <v>0</v>
      </c>
      <c r="L1691" s="36">
        <f t="shared" ref="L1691:L1693" si="871">K1691/H1691*100</f>
        <v>0</v>
      </c>
      <c r="M1691" s="36">
        <v>0</v>
      </c>
    </row>
    <row r="1692" spans="1:13">
      <c r="A1692" s="60" t="s">
        <v>72</v>
      </c>
      <c r="B1692" s="29" t="s">
        <v>741</v>
      </c>
      <c r="C1692" s="29" t="s">
        <v>19</v>
      </c>
      <c r="D1692" s="29" t="s">
        <v>17</v>
      </c>
      <c r="E1692" s="30" t="s">
        <v>1189</v>
      </c>
      <c r="F1692" s="29" t="s">
        <v>73</v>
      </c>
      <c r="G1692" s="36"/>
      <c r="H1692" s="36">
        <f>H1693</f>
        <v>16048.5</v>
      </c>
      <c r="I1692" s="36">
        <f t="shared" si="870"/>
        <v>0</v>
      </c>
      <c r="J1692" s="36">
        <f t="shared" si="870"/>
        <v>0</v>
      </c>
      <c r="K1692" s="36">
        <f t="shared" si="870"/>
        <v>0</v>
      </c>
      <c r="L1692" s="36">
        <f t="shared" si="871"/>
        <v>0</v>
      </c>
      <c r="M1692" s="36">
        <v>0</v>
      </c>
    </row>
    <row r="1693" spans="1:13" ht="51">
      <c r="A1693" s="60" t="s">
        <v>218</v>
      </c>
      <c r="B1693" s="29" t="s">
        <v>741</v>
      </c>
      <c r="C1693" s="29" t="s">
        <v>19</v>
      </c>
      <c r="D1693" s="29" t="s">
        <v>17</v>
      </c>
      <c r="E1693" s="30" t="s">
        <v>1189</v>
      </c>
      <c r="F1693" s="29" t="s">
        <v>219</v>
      </c>
      <c r="G1693" s="36"/>
      <c r="H1693" s="36">
        <v>16048.5</v>
      </c>
      <c r="I1693" s="36">
        <v>0</v>
      </c>
      <c r="J1693" s="36">
        <v>0</v>
      </c>
      <c r="K1693" s="36">
        <v>0</v>
      </c>
      <c r="L1693" s="36">
        <f t="shared" si="871"/>
        <v>0</v>
      </c>
      <c r="M1693" s="36">
        <v>0</v>
      </c>
    </row>
    <row r="1694" spans="1:13" ht="38.25">
      <c r="A1694" s="60" t="s">
        <v>759</v>
      </c>
      <c r="B1694" s="29" t="s">
        <v>741</v>
      </c>
      <c r="C1694" s="29" t="s">
        <v>19</v>
      </c>
      <c r="D1694" s="29" t="s">
        <v>17</v>
      </c>
      <c r="E1694" s="29" t="s">
        <v>760</v>
      </c>
      <c r="F1694" s="59" t="s">
        <v>0</v>
      </c>
      <c r="G1694" s="36">
        <f>G1695</f>
        <v>18007</v>
      </c>
      <c r="H1694" s="36">
        <f t="shared" ref="H1694:K1695" si="872">H1695</f>
        <v>18006.994869999999</v>
      </c>
      <c r="I1694" s="36">
        <f t="shared" si="872"/>
        <v>0</v>
      </c>
      <c r="J1694" s="36">
        <f t="shared" si="872"/>
        <v>0</v>
      </c>
      <c r="K1694" s="36">
        <f t="shared" si="872"/>
        <v>0</v>
      </c>
      <c r="L1694" s="36">
        <f t="shared" si="842"/>
        <v>0</v>
      </c>
      <c r="M1694" s="36">
        <v>0</v>
      </c>
    </row>
    <row r="1695" spans="1:13">
      <c r="A1695" s="60" t="s">
        <v>72</v>
      </c>
      <c r="B1695" s="29" t="s">
        <v>741</v>
      </c>
      <c r="C1695" s="29" t="s">
        <v>19</v>
      </c>
      <c r="D1695" s="29" t="s">
        <v>17</v>
      </c>
      <c r="E1695" s="29" t="s">
        <v>760</v>
      </c>
      <c r="F1695" s="29" t="s">
        <v>73</v>
      </c>
      <c r="G1695" s="36">
        <f>G1696</f>
        <v>18007</v>
      </c>
      <c r="H1695" s="36">
        <f t="shared" si="872"/>
        <v>18006.994869999999</v>
      </c>
      <c r="I1695" s="36">
        <f t="shared" si="872"/>
        <v>0</v>
      </c>
      <c r="J1695" s="36">
        <f t="shared" si="872"/>
        <v>0</v>
      </c>
      <c r="K1695" s="36">
        <f t="shared" si="872"/>
        <v>0</v>
      </c>
      <c r="L1695" s="36">
        <f t="shared" si="842"/>
        <v>0</v>
      </c>
      <c r="M1695" s="36">
        <v>0</v>
      </c>
    </row>
    <row r="1696" spans="1:13" ht="51">
      <c r="A1696" s="60" t="s">
        <v>218</v>
      </c>
      <c r="B1696" s="29" t="s">
        <v>741</v>
      </c>
      <c r="C1696" s="29" t="s">
        <v>19</v>
      </c>
      <c r="D1696" s="29" t="s">
        <v>17</v>
      </c>
      <c r="E1696" s="29" t="s">
        <v>760</v>
      </c>
      <c r="F1696" s="29" t="s">
        <v>219</v>
      </c>
      <c r="G1696" s="36">
        <v>18007</v>
      </c>
      <c r="H1696" s="36">
        <v>18006.994869999999</v>
      </c>
      <c r="I1696" s="36">
        <v>0</v>
      </c>
      <c r="J1696" s="36">
        <v>0</v>
      </c>
      <c r="K1696" s="36">
        <v>0</v>
      </c>
      <c r="L1696" s="36">
        <f t="shared" si="842"/>
        <v>0</v>
      </c>
      <c r="M1696" s="36">
        <v>0</v>
      </c>
    </row>
    <row r="1697" spans="1:13">
      <c r="A1697" s="61" t="s">
        <v>0</v>
      </c>
      <c r="B1697" s="59" t="s">
        <v>0</v>
      </c>
      <c r="C1697" s="59" t="s">
        <v>0</v>
      </c>
      <c r="D1697" s="59" t="s">
        <v>0</v>
      </c>
      <c r="E1697" s="59" t="s">
        <v>0</v>
      </c>
      <c r="F1697" s="59" t="s">
        <v>0</v>
      </c>
      <c r="G1697" s="62" t="s">
        <v>0</v>
      </c>
      <c r="H1697" s="62" t="s">
        <v>0</v>
      </c>
      <c r="I1697" s="62" t="s">
        <v>0</v>
      </c>
      <c r="J1697" s="62" t="s">
        <v>0</v>
      </c>
      <c r="K1697" s="62" t="s">
        <v>0</v>
      </c>
      <c r="L1697" s="62"/>
      <c r="M1697" s="62"/>
    </row>
    <row r="1698" spans="1:13">
      <c r="A1698" s="60" t="s">
        <v>109</v>
      </c>
      <c r="B1698" s="29" t="s">
        <v>741</v>
      </c>
      <c r="C1698" s="29" t="s">
        <v>110</v>
      </c>
      <c r="D1698" s="59" t="s">
        <v>0</v>
      </c>
      <c r="E1698" s="59" t="s">
        <v>0</v>
      </c>
      <c r="F1698" s="59" t="s">
        <v>0</v>
      </c>
      <c r="G1698" s="36">
        <f>G1699</f>
        <v>301255.7</v>
      </c>
      <c r="H1698" s="36">
        <f t="shared" ref="H1698:K1700" si="873">H1699</f>
        <v>366506.7</v>
      </c>
      <c r="I1698" s="36">
        <f t="shared" si="873"/>
        <v>216453.80999999997</v>
      </c>
      <c r="J1698" s="36">
        <f t="shared" si="873"/>
        <v>216453.80999999997</v>
      </c>
      <c r="K1698" s="36">
        <f t="shared" si="873"/>
        <v>172531.23609999998</v>
      </c>
      <c r="L1698" s="36">
        <f t="shared" si="842"/>
        <v>47.074510807032986</v>
      </c>
      <c r="M1698" s="36">
        <f t="shared" si="843"/>
        <v>79.708107748253539</v>
      </c>
    </row>
    <row r="1699" spans="1:13">
      <c r="A1699" s="60" t="s">
        <v>415</v>
      </c>
      <c r="B1699" s="29" t="s">
        <v>741</v>
      </c>
      <c r="C1699" s="29" t="s">
        <v>110</v>
      </c>
      <c r="D1699" s="29" t="s">
        <v>110</v>
      </c>
      <c r="E1699" s="59" t="s">
        <v>0</v>
      </c>
      <c r="F1699" s="59" t="s">
        <v>0</v>
      </c>
      <c r="G1699" s="36">
        <f>G1700</f>
        <v>301255.7</v>
      </c>
      <c r="H1699" s="36">
        <f t="shared" si="873"/>
        <v>366506.7</v>
      </c>
      <c r="I1699" s="36">
        <f t="shared" si="873"/>
        <v>216453.80999999997</v>
      </c>
      <c r="J1699" s="36">
        <f t="shared" si="873"/>
        <v>216453.80999999997</v>
      </c>
      <c r="K1699" s="36">
        <f t="shared" si="873"/>
        <v>172531.23609999998</v>
      </c>
      <c r="L1699" s="36">
        <f t="shared" si="842"/>
        <v>47.074510807032986</v>
      </c>
      <c r="M1699" s="36">
        <f t="shared" si="843"/>
        <v>79.708107748253539</v>
      </c>
    </row>
    <row r="1700" spans="1:13" ht="38.25">
      <c r="A1700" s="60" t="s">
        <v>299</v>
      </c>
      <c r="B1700" s="29" t="s">
        <v>741</v>
      </c>
      <c r="C1700" s="29" t="s">
        <v>110</v>
      </c>
      <c r="D1700" s="29" t="s">
        <v>110</v>
      </c>
      <c r="E1700" s="29" t="s">
        <v>300</v>
      </c>
      <c r="F1700" s="59" t="s">
        <v>0</v>
      </c>
      <c r="G1700" s="36">
        <f>G1701</f>
        <v>301255.7</v>
      </c>
      <c r="H1700" s="36">
        <f t="shared" si="873"/>
        <v>366506.7</v>
      </c>
      <c r="I1700" s="36">
        <f t="shared" si="873"/>
        <v>216453.80999999997</v>
      </c>
      <c r="J1700" s="36">
        <f t="shared" si="873"/>
        <v>216453.80999999997</v>
      </c>
      <c r="K1700" s="36">
        <f t="shared" si="873"/>
        <v>172531.23609999998</v>
      </c>
      <c r="L1700" s="36">
        <f t="shared" si="842"/>
        <v>47.074510807032986</v>
      </c>
      <c r="M1700" s="36">
        <f t="shared" si="843"/>
        <v>79.708107748253539</v>
      </c>
    </row>
    <row r="1701" spans="1:13" ht="25.5">
      <c r="A1701" s="60" t="s">
        <v>416</v>
      </c>
      <c r="B1701" s="29" t="s">
        <v>741</v>
      </c>
      <c r="C1701" s="29" t="s">
        <v>110</v>
      </c>
      <c r="D1701" s="29" t="s">
        <v>110</v>
      </c>
      <c r="E1701" s="29" t="s">
        <v>417</v>
      </c>
      <c r="F1701" s="59" t="s">
        <v>0</v>
      </c>
      <c r="G1701" s="36">
        <f>G1707+G1711+G1714</f>
        <v>301255.7</v>
      </c>
      <c r="H1701" s="36">
        <f>H1707+H1711+H1714+H1702</f>
        <v>366506.7</v>
      </c>
      <c r="I1701" s="36">
        <f t="shared" ref="I1701:K1701" si="874">I1707+I1711+I1714+I1702</f>
        <v>216453.80999999997</v>
      </c>
      <c r="J1701" s="36">
        <f t="shared" si="874"/>
        <v>216453.80999999997</v>
      </c>
      <c r="K1701" s="36">
        <f t="shared" si="874"/>
        <v>172531.23609999998</v>
      </c>
      <c r="L1701" s="36">
        <f t="shared" ref="L1701:L1774" si="875">K1701/H1701*100</f>
        <v>47.074510807032986</v>
      </c>
      <c r="M1701" s="36">
        <f t="shared" ref="M1701:M1774" si="876">K1701/I1701*100</f>
        <v>79.708107748253539</v>
      </c>
    </row>
    <row r="1702" spans="1:13" ht="30" customHeight="1">
      <c r="A1702" s="60" t="s">
        <v>1192</v>
      </c>
      <c r="B1702" s="29" t="s">
        <v>741</v>
      </c>
      <c r="C1702" s="29" t="s">
        <v>110</v>
      </c>
      <c r="D1702" s="29" t="s">
        <v>110</v>
      </c>
      <c r="E1702" s="30" t="s">
        <v>1191</v>
      </c>
      <c r="F1702" s="59"/>
      <c r="G1702" s="36"/>
      <c r="H1702" s="36">
        <f>H1703+H1705</f>
        <v>65251</v>
      </c>
      <c r="I1702" s="36">
        <f t="shared" ref="I1702:K1702" si="877">I1703+I1705</f>
        <v>20555.400000000001</v>
      </c>
      <c r="J1702" s="36">
        <f t="shared" si="877"/>
        <v>20555.400000000001</v>
      </c>
      <c r="K1702" s="36">
        <f t="shared" si="877"/>
        <v>20406.286500000002</v>
      </c>
      <c r="L1702" s="36">
        <f t="shared" ref="L1702:L1706" si="878">K1702/H1702*100</f>
        <v>31.273523011141595</v>
      </c>
      <c r="M1702" s="36">
        <f t="shared" ref="M1702:M1706" si="879">K1702/I1702*100</f>
        <v>99.274577483289065</v>
      </c>
    </row>
    <row r="1703" spans="1:13">
      <c r="A1703" s="60" t="s">
        <v>68</v>
      </c>
      <c r="B1703" s="29" t="s">
        <v>741</v>
      </c>
      <c r="C1703" s="29" t="s">
        <v>110</v>
      </c>
      <c r="D1703" s="29" t="s">
        <v>110</v>
      </c>
      <c r="E1703" s="30" t="s">
        <v>1191</v>
      </c>
      <c r="F1703" s="29">
        <v>300</v>
      </c>
      <c r="G1703" s="36"/>
      <c r="H1703" s="36">
        <f>H1704</f>
        <v>55933.262000000002</v>
      </c>
      <c r="I1703" s="36">
        <f t="shared" ref="I1703:K1703" si="880">I1704</f>
        <v>11237.6621</v>
      </c>
      <c r="J1703" s="36">
        <f t="shared" si="880"/>
        <v>11237.6621</v>
      </c>
      <c r="K1703" s="36">
        <f t="shared" si="880"/>
        <v>11088.5486</v>
      </c>
      <c r="L1703" s="36">
        <f t="shared" si="878"/>
        <v>19.824605616600728</v>
      </c>
      <c r="M1703" s="36">
        <f t="shared" si="879"/>
        <v>98.67309144310363</v>
      </c>
    </row>
    <row r="1704" spans="1:13" ht="25.5">
      <c r="A1704" s="60" t="s">
        <v>151</v>
      </c>
      <c r="B1704" s="29" t="s">
        <v>741</v>
      </c>
      <c r="C1704" s="29" t="s">
        <v>110</v>
      </c>
      <c r="D1704" s="29" t="s">
        <v>110</v>
      </c>
      <c r="E1704" s="30" t="s">
        <v>1191</v>
      </c>
      <c r="F1704" s="29">
        <v>320</v>
      </c>
      <c r="G1704" s="36"/>
      <c r="H1704" s="36">
        <v>55933.262000000002</v>
      </c>
      <c r="I1704" s="36">
        <v>11237.6621</v>
      </c>
      <c r="J1704" s="36">
        <v>11237.6621</v>
      </c>
      <c r="K1704" s="36">
        <v>11088.5486</v>
      </c>
      <c r="L1704" s="36">
        <f t="shared" si="878"/>
        <v>19.824605616600728</v>
      </c>
      <c r="M1704" s="36">
        <f t="shared" si="879"/>
        <v>98.67309144310363</v>
      </c>
    </row>
    <row r="1705" spans="1:13" ht="25.5">
      <c r="A1705" s="60" t="s">
        <v>80</v>
      </c>
      <c r="B1705" s="29" t="s">
        <v>741</v>
      </c>
      <c r="C1705" s="29" t="s">
        <v>110</v>
      </c>
      <c r="D1705" s="29" t="s">
        <v>110</v>
      </c>
      <c r="E1705" s="30" t="s">
        <v>1191</v>
      </c>
      <c r="F1705" s="29">
        <v>600</v>
      </c>
      <c r="G1705" s="36"/>
      <c r="H1705" s="36">
        <f>H1706</f>
        <v>9317.7379999999994</v>
      </c>
      <c r="I1705" s="36">
        <f t="shared" ref="I1705:K1705" si="881">I1706</f>
        <v>9317.7379000000001</v>
      </c>
      <c r="J1705" s="36">
        <f t="shared" si="881"/>
        <v>9317.7379000000001</v>
      </c>
      <c r="K1705" s="36">
        <f t="shared" si="881"/>
        <v>9317.7379000000001</v>
      </c>
      <c r="L1705" s="36">
        <f t="shared" si="878"/>
        <v>99.999998926778161</v>
      </c>
      <c r="M1705" s="36">
        <f t="shared" si="879"/>
        <v>100</v>
      </c>
    </row>
    <row r="1706" spans="1:13">
      <c r="A1706" s="60" t="s">
        <v>82</v>
      </c>
      <c r="B1706" s="29" t="s">
        <v>741</v>
      </c>
      <c r="C1706" s="29" t="s">
        <v>110</v>
      </c>
      <c r="D1706" s="29" t="s">
        <v>110</v>
      </c>
      <c r="E1706" s="30" t="s">
        <v>1191</v>
      </c>
      <c r="F1706" s="29">
        <v>620</v>
      </c>
      <c r="G1706" s="36"/>
      <c r="H1706" s="36">
        <v>9317.7379999999994</v>
      </c>
      <c r="I1706" s="36">
        <f>1347.36+7970.3779</f>
        <v>9317.7379000000001</v>
      </c>
      <c r="J1706" s="36">
        <f t="shared" ref="J1706:K1706" si="882">1347.36+7970.3779</f>
        <v>9317.7379000000001</v>
      </c>
      <c r="K1706" s="36">
        <f t="shared" si="882"/>
        <v>9317.7379000000001</v>
      </c>
      <c r="L1706" s="36">
        <f t="shared" si="878"/>
        <v>99.999998926778161</v>
      </c>
      <c r="M1706" s="36">
        <f t="shared" si="879"/>
        <v>100</v>
      </c>
    </row>
    <row r="1707" spans="1:13" ht="25.5">
      <c r="A1707" s="60" t="s">
        <v>76</v>
      </c>
      <c r="B1707" s="29" t="s">
        <v>741</v>
      </c>
      <c r="C1707" s="29" t="s">
        <v>110</v>
      </c>
      <c r="D1707" s="29" t="s">
        <v>110</v>
      </c>
      <c r="E1707" s="29" t="s">
        <v>761</v>
      </c>
      <c r="F1707" s="59" t="s">
        <v>0</v>
      </c>
      <c r="G1707" s="36">
        <f>G1708</f>
        <v>28009</v>
      </c>
      <c r="H1707" s="36">
        <f t="shared" ref="H1707:K1707" si="883">H1708</f>
        <v>28009</v>
      </c>
      <c r="I1707" s="36">
        <f t="shared" si="883"/>
        <v>16698</v>
      </c>
      <c r="J1707" s="36">
        <f t="shared" si="883"/>
        <v>16698</v>
      </c>
      <c r="K1707" s="36">
        <f t="shared" si="883"/>
        <v>16698</v>
      </c>
      <c r="L1707" s="36">
        <f t="shared" si="875"/>
        <v>59.616551822628438</v>
      </c>
      <c r="M1707" s="36">
        <f t="shared" si="876"/>
        <v>100</v>
      </c>
    </row>
    <row r="1708" spans="1:13" ht="25.5">
      <c r="A1708" s="60" t="s">
        <v>80</v>
      </c>
      <c r="B1708" s="29" t="s">
        <v>741</v>
      </c>
      <c r="C1708" s="29" t="s">
        <v>110</v>
      </c>
      <c r="D1708" s="29" t="s">
        <v>110</v>
      </c>
      <c r="E1708" s="29" t="s">
        <v>761</v>
      </c>
      <c r="F1708" s="29" t="s">
        <v>81</v>
      </c>
      <c r="G1708" s="36">
        <f>G1709+G1710</f>
        <v>28009</v>
      </c>
      <c r="H1708" s="36">
        <f t="shared" ref="H1708:K1708" si="884">H1709+H1710</f>
        <v>28009</v>
      </c>
      <c r="I1708" s="36">
        <f t="shared" si="884"/>
        <v>16698</v>
      </c>
      <c r="J1708" s="36">
        <f t="shared" si="884"/>
        <v>16698</v>
      </c>
      <c r="K1708" s="36">
        <f t="shared" si="884"/>
        <v>16698</v>
      </c>
      <c r="L1708" s="36">
        <f t="shared" si="875"/>
        <v>59.616551822628438</v>
      </c>
      <c r="M1708" s="36">
        <f t="shared" si="876"/>
        <v>100</v>
      </c>
    </row>
    <row r="1709" spans="1:13">
      <c r="A1709" s="60" t="s">
        <v>271</v>
      </c>
      <c r="B1709" s="29" t="s">
        <v>741</v>
      </c>
      <c r="C1709" s="29" t="s">
        <v>110</v>
      </c>
      <c r="D1709" s="29" t="s">
        <v>110</v>
      </c>
      <c r="E1709" s="29" t="s">
        <v>761</v>
      </c>
      <c r="F1709" s="29" t="s">
        <v>272</v>
      </c>
      <c r="G1709" s="36">
        <v>778</v>
      </c>
      <c r="H1709" s="36">
        <v>778</v>
      </c>
      <c r="I1709" s="36">
        <v>778</v>
      </c>
      <c r="J1709" s="36">
        <v>778</v>
      </c>
      <c r="K1709" s="36">
        <v>778</v>
      </c>
      <c r="L1709" s="36">
        <f t="shared" si="875"/>
        <v>100</v>
      </c>
      <c r="M1709" s="36">
        <f t="shared" si="876"/>
        <v>100</v>
      </c>
    </row>
    <row r="1710" spans="1:13">
      <c r="A1710" s="60" t="s">
        <v>82</v>
      </c>
      <c r="B1710" s="29" t="s">
        <v>741</v>
      </c>
      <c r="C1710" s="29" t="s">
        <v>110</v>
      </c>
      <c r="D1710" s="29" t="s">
        <v>110</v>
      </c>
      <c r="E1710" s="29" t="s">
        <v>761</v>
      </c>
      <c r="F1710" s="29" t="s">
        <v>83</v>
      </c>
      <c r="G1710" s="36">
        <v>27231</v>
      </c>
      <c r="H1710" s="36">
        <f>14529.7+12701.3</f>
        <v>27231</v>
      </c>
      <c r="I1710" s="36">
        <f>8900+7020</f>
        <v>15920</v>
      </c>
      <c r="J1710" s="36">
        <f t="shared" ref="J1710:K1710" si="885">8900+7020</f>
        <v>15920</v>
      </c>
      <c r="K1710" s="36">
        <f t="shared" si="885"/>
        <v>15920</v>
      </c>
      <c r="L1710" s="36">
        <f t="shared" si="875"/>
        <v>58.462781388858289</v>
      </c>
      <c r="M1710" s="36">
        <f t="shared" si="876"/>
        <v>100</v>
      </c>
    </row>
    <row r="1711" spans="1:13">
      <c r="A1711" s="60" t="s">
        <v>418</v>
      </c>
      <c r="B1711" s="29" t="s">
        <v>741</v>
      </c>
      <c r="C1711" s="29" t="s">
        <v>110</v>
      </c>
      <c r="D1711" s="29" t="s">
        <v>110</v>
      </c>
      <c r="E1711" s="29" t="s">
        <v>419</v>
      </c>
      <c r="F1711" s="59" t="s">
        <v>0</v>
      </c>
      <c r="G1711" s="36">
        <f>G1712</f>
        <v>73547.7</v>
      </c>
      <c r="H1711" s="36">
        <f t="shared" ref="H1711:K1712" si="886">H1712</f>
        <v>73547.7</v>
      </c>
      <c r="I1711" s="36">
        <f t="shared" si="886"/>
        <v>45710.7</v>
      </c>
      <c r="J1711" s="36">
        <f t="shared" si="886"/>
        <v>45710.7</v>
      </c>
      <c r="K1711" s="36">
        <f t="shared" si="886"/>
        <v>25770.7202</v>
      </c>
      <c r="L1711" s="36">
        <f t="shared" si="875"/>
        <v>35.039464456400403</v>
      </c>
      <c r="M1711" s="36">
        <f t="shared" si="876"/>
        <v>56.37787257688025</v>
      </c>
    </row>
    <row r="1712" spans="1:13">
      <c r="A1712" s="60" t="s">
        <v>68</v>
      </c>
      <c r="B1712" s="29" t="s">
        <v>741</v>
      </c>
      <c r="C1712" s="29" t="s">
        <v>110</v>
      </c>
      <c r="D1712" s="29" t="s">
        <v>110</v>
      </c>
      <c r="E1712" s="29" t="s">
        <v>419</v>
      </c>
      <c r="F1712" s="29" t="s">
        <v>69</v>
      </c>
      <c r="G1712" s="36">
        <f>G1713</f>
        <v>73547.7</v>
      </c>
      <c r="H1712" s="36">
        <f t="shared" si="886"/>
        <v>73547.7</v>
      </c>
      <c r="I1712" s="36">
        <f t="shared" si="886"/>
        <v>45710.7</v>
      </c>
      <c r="J1712" s="36">
        <f t="shared" si="886"/>
        <v>45710.7</v>
      </c>
      <c r="K1712" s="36">
        <f t="shared" si="886"/>
        <v>25770.7202</v>
      </c>
      <c r="L1712" s="36">
        <f t="shared" si="875"/>
        <v>35.039464456400403</v>
      </c>
      <c r="M1712" s="36">
        <f t="shared" si="876"/>
        <v>56.37787257688025</v>
      </c>
    </row>
    <row r="1713" spans="1:13" ht="25.5">
      <c r="A1713" s="60" t="s">
        <v>151</v>
      </c>
      <c r="B1713" s="29" t="s">
        <v>741</v>
      </c>
      <c r="C1713" s="29" t="s">
        <v>110</v>
      </c>
      <c r="D1713" s="29" t="s">
        <v>110</v>
      </c>
      <c r="E1713" s="29" t="s">
        <v>419</v>
      </c>
      <c r="F1713" s="29" t="s">
        <v>152</v>
      </c>
      <c r="G1713" s="36">
        <v>73547.7</v>
      </c>
      <c r="H1713" s="36">
        <v>73547.7</v>
      </c>
      <c r="I1713" s="36">
        <v>45710.7</v>
      </c>
      <c r="J1713" s="36">
        <v>45710.7</v>
      </c>
      <c r="K1713" s="36">
        <v>25770.7202</v>
      </c>
      <c r="L1713" s="36">
        <f t="shared" si="875"/>
        <v>35.039464456400403</v>
      </c>
      <c r="M1713" s="36">
        <f t="shared" si="876"/>
        <v>56.37787257688025</v>
      </c>
    </row>
    <row r="1714" spans="1:13" ht="25.5">
      <c r="A1714" s="60" t="s">
        <v>762</v>
      </c>
      <c r="B1714" s="29" t="s">
        <v>741</v>
      </c>
      <c r="C1714" s="29" t="s">
        <v>110</v>
      </c>
      <c r="D1714" s="29" t="s">
        <v>110</v>
      </c>
      <c r="E1714" s="29" t="s">
        <v>763</v>
      </c>
      <c r="F1714" s="59" t="s">
        <v>0</v>
      </c>
      <c r="G1714" s="36">
        <f>G1715</f>
        <v>199699</v>
      </c>
      <c r="H1714" s="36">
        <f t="shared" ref="H1714:K1715" si="887">H1715</f>
        <v>199699</v>
      </c>
      <c r="I1714" s="36">
        <f t="shared" si="887"/>
        <v>133489.71</v>
      </c>
      <c r="J1714" s="36">
        <f t="shared" si="887"/>
        <v>133489.71</v>
      </c>
      <c r="K1714" s="36">
        <f t="shared" si="887"/>
        <v>109656.2294</v>
      </c>
      <c r="L1714" s="36">
        <f t="shared" si="875"/>
        <v>54.910755386857211</v>
      </c>
      <c r="M1714" s="36">
        <f t="shared" si="876"/>
        <v>82.145829367671865</v>
      </c>
    </row>
    <row r="1715" spans="1:13">
      <c r="A1715" s="60" t="s">
        <v>26</v>
      </c>
      <c r="B1715" s="29" t="s">
        <v>741</v>
      </c>
      <c r="C1715" s="29" t="s">
        <v>110</v>
      </c>
      <c r="D1715" s="29" t="s">
        <v>110</v>
      </c>
      <c r="E1715" s="29" t="s">
        <v>763</v>
      </c>
      <c r="F1715" s="29" t="s">
        <v>27</v>
      </c>
      <c r="G1715" s="36">
        <f>G1716</f>
        <v>199699</v>
      </c>
      <c r="H1715" s="36">
        <f t="shared" si="887"/>
        <v>199699</v>
      </c>
      <c r="I1715" s="36">
        <f t="shared" si="887"/>
        <v>133489.71</v>
      </c>
      <c r="J1715" s="36">
        <f t="shared" si="887"/>
        <v>133489.71</v>
      </c>
      <c r="K1715" s="36">
        <f t="shared" si="887"/>
        <v>109656.2294</v>
      </c>
      <c r="L1715" s="36">
        <f t="shared" si="875"/>
        <v>54.910755386857211</v>
      </c>
      <c r="M1715" s="36">
        <f t="shared" si="876"/>
        <v>82.145829367671865</v>
      </c>
    </row>
    <row r="1716" spans="1:13">
      <c r="A1716" s="60" t="s">
        <v>56</v>
      </c>
      <c r="B1716" s="29" t="s">
        <v>741</v>
      </c>
      <c r="C1716" s="29" t="s">
        <v>110</v>
      </c>
      <c r="D1716" s="29" t="s">
        <v>110</v>
      </c>
      <c r="E1716" s="29" t="s">
        <v>763</v>
      </c>
      <c r="F1716" s="29" t="s">
        <v>57</v>
      </c>
      <c r="G1716" s="36">
        <v>199699</v>
      </c>
      <c r="H1716" s="36">
        <v>199699</v>
      </c>
      <c r="I1716" s="36">
        <v>133489.71</v>
      </c>
      <c r="J1716" s="36">
        <v>133489.71</v>
      </c>
      <c r="K1716" s="36">
        <v>109656.2294</v>
      </c>
      <c r="L1716" s="36">
        <f t="shared" si="875"/>
        <v>54.910755386857211</v>
      </c>
      <c r="M1716" s="36">
        <f t="shared" si="876"/>
        <v>82.145829367671865</v>
      </c>
    </row>
    <row r="1717" spans="1:13">
      <c r="A1717" s="61" t="s">
        <v>0</v>
      </c>
      <c r="B1717" s="59" t="s">
        <v>0</v>
      </c>
      <c r="C1717" s="59" t="s">
        <v>0</v>
      </c>
      <c r="D1717" s="59" t="s">
        <v>0</v>
      </c>
      <c r="E1717" s="59" t="s">
        <v>0</v>
      </c>
      <c r="F1717" s="59" t="s">
        <v>0</v>
      </c>
      <c r="G1717" s="62" t="s">
        <v>0</v>
      </c>
      <c r="H1717" s="62" t="s">
        <v>0</v>
      </c>
      <c r="I1717" s="62" t="s">
        <v>0</v>
      </c>
      <c r="J1717" s="62" t="s">
        <v>0</v>
      </c>
      <c r="K1717" s="62" t="s">
        <v>0</v>
      </c>
      <c r="L1717" s="62"/>
      <c r="M1717" s="62"/>
    </row>
    <row r="1718" spans="1:13">
      <c r="A1718" s="60" t="s">
        <v>147</v>
      </c>
      <c r="B1718" s="29" t="s">
        <v>741</v>
      </c>
      <c r="C1718" s="29" t="s">
        <v>148</v>
      </c>
      <c r="D1718" s="59" t="s">
        <v>0</v>
      </c>
      <c r="E1718" s="59" t="s">
        <v>0</v>
      </c>
      <c r="F1718" s="59" t="s">
        <v>0</v>
      </c>
      <c r="G1718" s="36">
        <f>G1719+G1727+G1774+G1955+G1998</f>
        <v>10571918.300000003</v>
      </c>
      <c r="H1718" s="36">
        <f t="shared" ref="H1718:K1718" si="888">H1719+H1727+H1774+H1955+H1998</f>
        <v>10572334.413000001</v>
      </c>
      <c r="I1718" s="36">
        <f t="shared" si="888"/>
        <v>5720546.6414799979</v>
      </c>
      <c r="J1718" s="36">
        <f t="shared" si="888"/>
        <v>5719802.5390099986</v>
      </c>
      <c r="K1718" s="36">
        <f t="shared" si="888"/>
        <v>5702025.9919700008</v>
      </c>
      <c r="L1718" s="36">
        <f t="shared" si="875"/>
        <v>53.933462272614548</v>
      </c>
      <c r="M1718" s="36">
        <f t="shared" si="876"/>
        <v>99.676243361504945</v>
      </c>
    </row>
    <row r="1719" spans="1:13">
      <c r="A1719" s="60" t="s">
        <v>764</v>
      </c>
      <c r="B1719" s="29" t="s">
        <v>741</v>
      </c>
      <c r="C1719" s="29" t="s">
        <v>148</v>
      </c>
      <c r="D1719" s="29" t="s">
        <v>17</v>
      </c>
      <c r="E1719" s="59" t="s">
        <v>0</v>
      </c>
      <c r="F1719" s="59" t="s">
        <v>0</v>
      </c>
      <c r="G1719" s="36">
        <f>G1720</f>
        <v>53766.7</v>
      </c>
      <c r="H1719" s="36">
        <f t="shared" ref="H1719:K1721" si="889">H1720</f>
        <v>53766.720000000001</v>
      </c>
      <c r="I1719" s="36">
        <f t="shared" si="889"/>
        <v>26380.190000000002</v>
      </c>
      <c r="J1719" s="36">
        <f t="shared" si="889"/>
        <v>26336.245000000003</v>
      </c>
      <c r="K1719" s="36">
        <f t="shared" si="889"/>
        <v>26334.595160000001</v>
      </c>
      <c r="L1719" s="36">
        <f t="shared" si="875"/>
        <v>48.97935964849632</v>
      </c>
      <c r="M1719" s="36">
        <f t="shared" si="876"/>
        <v>99.827162579192944</v>
      </c>
    </row>
    <row r="1720" spans="1:13" ht="38.25">
      <c r="A1720" s="60" t="s">
        <v>299</v>
      </c>
      <c r="B1720" s="29" t="s">
        <v>741</v>
      </c>
      <c r="C1720" s="29" t="s">
        <v>148</v>
      </c>
      <c r="D1720" s="29" t="s">
        <v>17</v>
      </c>
      <c r="E1720" s="29" t="s">
        <v>300</v>
      </c>
      <c r="F1720" s="59" t="s">
        <v>0</v>
      </c>
      <c r="G1720" s="36">
        <f>G1721</f>
        <v>53766.7</v>
      </c>
      <c r="H1720" s="36">
        <f t="shared" si="889"/>
        <v>53766.720000000001</v>
      </c>
      <c r="I1720" s="36">
        <f t="shared" si="889"/>
        <v>26380.190000000002</v>
      </c>
      <c r="J1720" s="36">
        <f t="shared" si="889"/>
        <v>26336.245000000003</v>
      </c>
      <c r="K1720" s="36">
        <f t="shared" si="889"/>
        <v>26334.595160000001</v>
      </c>
      <c r="L1720" s="36">
        <f t="shared" si="875"/>
        <v>48.97935964849632</v>
      </c>
      <c r="M1720" s="36">
        <f t="shared" si="876"/>
        <v>99.827162579192944</v>
      </c>
    </row>
    <row r="1721" spans="1:13" ht="38.25">
      <c r="A1721" s="60" t="s">
        <v>765</v>
      </c>
      <c r="B1721" s="29" t="s">
        <v>741</v>
      </c>
      <c r="C1721" s="29" t="s">
        <v>148</v>
      </c>
      <c r="D1721" s="29" t="s">
        <v>17</v>
      </c>
      <c r="E1721" s="29" t="s">
        <v>766</v>
      </c>
      <c r="F1721" s="59" t="s">
        <v>0</v>
      </c>
      <c r="G1721" s="36">
        <f>G1722</f>
        <v>53766.7</v>
      </c>
      <c r="H1721" s="36">
        <f t="shared" si="889"/>
        <v>53766.720000000001</v>
      </c>
      <c r="I1721" s="36">
        <f t="shared" si="889"/>
        <v>26380.190000000002</v>
      </c>
      <c r="J1721" s="36">
        <f t="shared" si="889"/>
        <v>26336.245000000003</v>
      </c>
      <c r="K1721" s="36">
        <f t="shared" si="889"/>
        <v>26334.595160000001</v>
      </c>
      <c r="L1721" s="36">
        <f t="shared" si="875"/>
        <v>48.97935964849632</v>
      </c>
      <c r="M1721" s="36">
        <f t="shared" si="876"/>
        <v>99.827162579192944</v>
      </c>
    </row>
    <row r="1722" spans="1:13" ht="25.5">
      <c r="A1722" s="60" t="s">
        <v>767</v>
      </c>
      <c r="B1722" s="29" t="s">
        <v>741</v>
      </c>
      <c r="C1722" s="29" t="s">
        <v>148</v>
      </c>
      <c r="D1722" s="29" t="s">
        <v>17</v>
      </c>
      <c r="E1722" s="29" t="s">
        <v>768</v>
      </c>
      <c r="F1722" s="59" t="s">
        <v>0</v>
      </c>
      <c r="G1722" s="36">
        <f>G1723+G1725</f>
        <v>53766.7</v>
      </c>
      <c r="H1722" s="36">
        <f t="shared" ref="H1722:K1722" si="890">H1723+H1725</f>
        <v>53766.720000000001</v>
      </c>
      <c r="I1722" s="36">
        <f t="shared" si="890"/>
        <v>26380.190000000002</v>
      </c>
      <c r="J1722" s="36">
        <f t="shared" si="890"/>
        <v>26336.245000000003</v>
      </c>
      <c r="K1722" s="36">
        <f t="shared" si="890"/>
        <v>26334.595160000001</v>
      </c>
      <c r="L1722" s="36">
        <f t="shared" si="875"/>
        <v>48.97935964849632</v>
      </c>
      <c r="M1722" s="36">
        <f t="shared" si="876"/>
        <v>99.827162579192944</v>
      </c>
    </row>
    <row r="1723" spans="1:13" ht="25.5">
      <c r="A1723" s="60" t="s">
        <v>64</v>
      </c>
      <c r="B1723" s="29" t="s">
        <v>741</v>
      </c>
      <c r="C1723" s="29" t="s">
        <v>148</v>
      </c>
      <c r="D1723" s="29" t="s">
        <v>17</v>
      </c>
      <c r="E1723" s="29" t="s">
        <v>768</v>
      </c>
      <c r="F1723" s="29" t="s">
        <v>65</v>
      </c>
      <c r="G1723" s="36">
        <f>G1724</f>
        <v>426.7</v>
      </c>
      <c r="H1723" s="36">
        <f t="shared" ref="H1723:K1723" si="891">H1724</f>
        <v>426.72</v>
      </c>
      <c r="I1723" s="36">
        <f t="shared" si="891"/>
        <v>175.65</v>
      </c>
      <c r="J1723" s="36">
        <f t="shared" si="891"/>
        <v>159.70500000000001</v>
      </c>
      <c r="K1723" s="36">
        <f t="shared" si="891"/>
        <v>159.61048</v>
      </c>
      <c r="L1723" s="36">
        <f t="shared" si="875"/>
        <v>37.404030746156721</v>
      </c>
      <c r="M1723" s="36">
        <f t="shared" si="876"/>
        <v>90.868477085112431</v>
      </c>
    </row>
    <row r="1724" spans="1:13" ht="25.5">
      <c r="A1724" s="60" t="s">
        <v>66</v>
      </c>
      <c r="B1724" s="29" t="s">
        <v>741</v>
      </c>
      <c r="C1724" s="29" t="s">
        <v>148</v>
      </c>
      <c r="D1724" s="29" t="s">
        <v>17</v>
      </c>
      <c r="E1724" s="29" t="s">
        <v>768</v>
      </c>
      <c r="F1724" s="29" t="s">
        <v>67</v>
      </c>
      <c r="G1724" s="36">
        <v>426.7</v>
      </c>
      <c r="H1724" s="36">
        <v>426.72</v>
      </c>
      <c r="I1724" s="36">
        <v>175.65</v>
      </c>
      <c r="J1724" s="36">
        <v>159.70500000000001</v>
      </c>
      <c r="K1724" s="36">
        <v>159.61048</v>
      </c>
      <c r="L1724" s="36">
        <f t="shared" si="875"/>
        <v>37.404030746156721</v>
      </c>
      <c r="M1724" s="36">
        <f t="shared" si="876"/>
        <v>90.868477085112431</v>
      </c>
    </row>
    <row r="1725" spans="1:13">
      <c r="A1725" s="60" t="s">
        <v>68</v>
      </c>
      <c r="B1725" s="29" t="s">
        <v>741</v>
      </c>
      <c r="C1725" s="29" t="s">
        <v>148</v>
      </c>
      <c r="D1725" s="29" t="s">
        <v>17</v>
      </c>
      <c r="E1725" s="29" t="s">
        <v>768</v>
      </c>
      <c r="F1725" s="29" t="s">
        <v>69</v>
      </c>
      <c r="G1725" s="36">
        <f>G1726</f>
        <v>53340</v>
      </c>
      <c r="H1725" s="36">
        <f t="shared" ref="H1725:K1725" si="892">H1726</f>
        <v>53340</v>
      </c>
      <c r="I1725" s="36">
        <f t="shared" si="892"/>
        <v>26204.54</v>
      </c>
      <c r="J1725" s="36">
        <f t="shared" si="892"/>
        <v>26176.54</v>
      </c>
      <c r="K1725" s="36">
        <f t="shared" si="892"/>
        <v>26174.984680000001</v>
      </c>
      <c r="L1725" s="36">
        <f t="shared" si="875"/>
        <v>49.071962279715038</v>
      </c>
      <c r="M1725" s="36">
        <f t="shared" si="876"/>
        <v>99.887212979124996</v>
      </c>
    </row>
    <row r="1726" spans="1:13" ht="25.5">
      <c r="A1726" s="60" t="s">
        <v>151</v>
      </c>
      <c r="B1726" s="29" t="s">
        <v>741</v>
      </c>
      <c r="C1726" s="29" t="s">
        <v>148</v>
      </c>
      <c r="D1726" s="29" t="s">
        <v>17</v>
      </c>
      <c r="E1726" s="29" t="s">
        <v>768</v>
      </c>
      <c r="F1726" s="29" t="s">
        <v>152</v>
      </c>
      <c r="G1726" s="36">
        <v>53340</v>
      </c>
      <c r="H1726" s="36">
        <v>53340</v>
      </c>
      <c r="I1726" s="36">
        <v>26204.54</v>
      </c>
      <c r="J1726" s="36">
        <v>26176.54</v>
      </c>
      <c r="K1726" s="36">
        <v>26174.984680000001</v>
      </c>
      <c r="L1726" s="36">
        <f t="shared" si="875"/>
        <v>49.071962279715038</v>
      </c>
      <c r="M1726" s="36">
        <f t="shared" si="876"/>
        <v>99.887212979124996</v>
      </c>
    </row>
    <row r="1727" spans="1:13">
      <c r="A1727" s="60" t="s">
        <v>769</v>
      </c>
      <c r="B1727" s="29" t="s">
        <v>741</v>
      </c>
      <c r="C1727" s="29" t="s">
        <v>148</v>
      </c>
      <c r="D1727" s="29" t="s">
        <v>106</v>
      </c>
      <c r="E1727" s="59" t="s">
        <v>0</v>
      </c>
      <c r="F1727" s="59" t="s">
        <v>0</v>
      </c>
      <c r="G1727" s="36">
        <f>G1728</f>
        <v>2100512.2000000002</v>
      </c>
      <c r="H1727" s="36">
        <f t="shared" ref="H1727:K1727" si="893">H1728</f>
        <v>2100512.1940000001</v>
      </c>
      <c r="I1727" s="36">
        <f t="shared" si="893"/>
        <v>1035306.907</v>
      </c>
      <c r="J1727" s="36">
        <f t="shared" si="893"/>
        <v>1035205.407</v>
      </c>
      <c r="K1727" s="36">
        <f t="shared" si="893"/>
        <v>1024294.15035</v>
      </c>
      <c r="L1727" s="36">
        <f t="shared" si="875"/>
        <v>48.76401828448514</v>
      </c>
      <c r="M1727" s="36">
        <f t="shared" si="876"/>
        <v>98.936280964075522</v>
      </c>
    </row>
    <row r="1728" spans="1:13" ht="38.25">
      <c r="A1728" s="60" t="s">
        <v>299</v>
      </c>
      <c r="B1728" s="29" t="s">
        <v>741</v>
      </c>
      <c r="C1728" s="29" t="s">
        <v>148</v>
      </c>
      <c r="D1728" s="29" t="s">
        <v>106</v>
      </c>
      <c r="E1728" s="29" t="s">
        <v>300</v>
      </c>
      <c r="F1728" s="59" t="s">
        <v>0</v>
      </c>
      <c r="G1728" s="36">
        <f>G1729+G1754+G1758+G1763+G1770</f>
        <v>2100512.2000000002</v>
      </c>
      <c r="H1728" s="36">
        <f t="shared" ref="H1728:K1728" si="894">H1729+H1754+H1758+H1763+H1770</f>
        <v>2100512.1940000001</v>
      </c>
      <c r="I1728" s="36">
        <f t="shared" si="894"/>
        <v>1035306.907</v>
      </c>
      <c r="J1728" s="36">
        <f t="shared" si="894"/>
        <v>1035205.407</v>
      </c>
      <c r="K1728" s="36">
        <f t="shared" si="894"/>
        <v>1024294.15035</v>
      </c>
      <c r="L1728" s="36">
        <f t="shared" si="875"/>
        <v>48.76401828448514</v>
      </c>
      <c r="M1728" s="36">
        <f t="shared" si="876"/>
        <v>98.936280964075522</v>
      </c>
    </row>
    <row r="1729" spans="1:13" ht="38.25">
      <c r="A1729" s="60" t="s">
        <v>770</v>
      </c>
      <c r="B1729" s="29" t="s">
        <v>741</v>
      </c>
      <c r="C1729" s="29" t="s">
        <v>148</v>
      </c>
      <c r="D1729" s="29" t="s">
        <v>106</v>
      </c>
      <c r="E1729" s="29" t="s">
        <v>771</v>
      </c>
      <c r="F1729" s="59" t="s">
        <v>0</v>
      </c>
      <c r="G1729" s="36">
        <f>G1730+G1743+G1746+G1751</f>
        <v>2037350.1</v>
      </c>
      <c r="H1729" s="36">
        <f t="shared" ref="H1729:K1729" si="895">H1730+H1743+H1746+H1751</f>
        <v>2037350.094</v>
      </c>
      <c r="I1729" s="36">
        <f t="shared" si="895"/>
        <v>995038.70699999994</v>
      </c>
      <c r="J1729" s="36">
        <f t="shared" si="895"/>
        <v>994937.20699999994</v>
      </c>
      <c r="K1729" s="36">
        <f t="shared" si="895"/>
        <v>984025.95034999994</v>
      </c>
      <c r="L1729" s="36">
        <f t="shared" si="875"/>
        <v>48.299305713237914</v>
      </c>
      <c r="M1729" s="36">
        <f t="shared" si="876"/>
        <v>98.893233341323679</v>
      </c>
    </row>
    <row r="1730" spans="1:13" ht="25.5">
      <c r="A1730" s="60" t="s">
        <v>76</v>
      </c>
      <c r="B1730" s="29" t="s">
        <v>741</v>
      </c>
      <c r="C1730" s="29" t="s">
        <v>148</v>
      </c>
      <c r="D1730" s="29" t="s">
        <v>106</v>
      </c>
      <c r="E1730" s="29" t="s">
        <v>772</v>
      </c>
      <c r="F1730" s="59" t="s">
        <v>0</v>
      </c>
      <c r="G1730" s="36">
        <f>G1731+G1733+G1737+G1740</f>
        <v>1950353.6</v>
      </c>
      <c r="H1730" s="36">
        <f>H1731+H1733+H1737+H1740+H1735</f>
        <v>1984353.594</v>
      </c>
      <c r="I1730" s="36">
        <f t="shared" ref="I1730:K1730" si="896">I1731+I1733+I1737+I1740+I1735</f>
        <v>991946.12399999995</v>
      </c>
      <c r="J1730" s="36">
        <f t="shared" si="896"/>
        <v>991844.62399999995</v>
      </c>
      <c r="K1730" s="36">
        <f t="shared" si="896"/>
        <v>981224.00584999996</v>
      </c>
      <c r="L1730" s="36">
        <f t="shared" si="875"/>
        <v>49.448042365880887</v>
      </c>
      <c r="M1730" s="36">
        <f t="shared" si="876"/>
        <v>98.919082610377743</v>
      </c>
    </row>
    <row r="1731" spans="1:13" ht="63.75">
      <c r="A1731" s="60" t="s">
        <v>60</v>
      </c>
      <c r="B1731" s="29" t="s">
        <v>741</v>
      </c>
      <c r="C1731" s="29" t="s">
        <v>148</v>
      </c>
      <c r="D1731" s="29" t="s">
        <v>106</v>
      </c>
      <c r="E1731" s="29" t="s">
        <v>772</v>
      </c>
      <c r="F1731" s="29" t="s">
        <v>61</v>
      </c>
      <c r="G1731" s="36">
        <f>G1732</f>
        <v>270444.09999999998</v>
      </c>
      <c r="H1731" s="36">
        <f t="shared" ref="H1731:K1731" si="897">H1732</f>
        <v>270086.68699999998</v>
      </c>
      <c r="I1731" s="36">
        <f t="shared" si="897"/>
        <v>134286.24899999998</v>
      </c>
      <c r="J1731" s="36">
        <f t="shared" si="897"/>
        <v>134286.24899999998</v>
      </c>
      <c r="K1731" s="36">
        <f t="shared" si="897"/>
        <v>125109.90979000001</v>
      </c>
      <c r="L1731" s="36">
        <f t="shared" si="875"/>
        <v>46.322131305198326</v>
      </c>
      <c r="M1731" s="36">
        <f t="shared" si="876"/>
        <v>93.166583117531289</v>
      </c>
    </row>
    <row r="1732" spans="1:13">
      <c r="A1732" s="60" t="s">
        <v>78</v>
      </c>
      <c r="B1732" s="29" t="s">
        <v>741</v>
      </c>
      <c r="C1732" s="29" t="s">
        <v>148</v>
      </c>
      <c r="D1732" s="29" t="s">
        <v>106</v>
      </c>
      <c r="E1732" s="29" t="s">
        <v>772</v>
      </c>
      <c r="F1732" s="29" t="s">
        <v>79</v>
      </c>
      <c r="G1732" s="36">
        <v>270444.09999999998</v>
      </c>
      <c r="H1732" s="36">
        <v>270086.68699999998</v>
      </c>
      <c r="I1732" s="36">
        <f>99782.769+4164.18+30339.3</f>
        <v>134286.24899999998</v>
      </c>
      <c r="J1732" s="36">
        <f>99782.769+4164.18+30339.3</f>
        <v>134286.24899999998</v>
      </c>
      <c r="K1732" s="36">
        <f>93340.80506+3993.35257+27775.75216</f>
        <v>125109.90979000001</v>
      </c>
      <c r="L1732" s="36">
        <f t="shared" si="875"/>
        <v>46.322131305198326</v>
      </c>
      <c r="M1732" s="36">
        <f t="shared" si="876"/>
        <v>93.166583117531289</v>
      </c>
    </row>
    <row r="1733" spans="1:13" ht="25.5">
      <c r="A1733" s="60" t="s">
        <v>64</v>
      </c>
      <c r="B1733" s="29" t="s">
        <v>741</v>
      </c>
      <c r="C1733" s="29" t="s">
        <v>148</v>
      </c>
      <c r="D1733" s="29" t="s">
        <v>106</v>
      </c>
      <c r="E1733" s="29" t="s">
        <v>772</v>
      </c>
      <c r="F1733" s="29" t="s">
        <v>65</v>
      </c>
      <c r="G1733" s="36">
        <f>G1734</f>
        <v>28763.200000000001</v>
      </c>
      <c r="H1733" s="36">
        <f t="shared" ref="H1733:K1733" si="898">H1734</f>
        <v>28738.21</v>
      </c>
      <c r="I1733" s="36">
        <f t="shared" si="898"/>
        <v>13724.16</v>
      </c>
      <c r="J1733" s="36">
        <f t="shared" si="898"/>
        <v>13724.16</v>
      </c>
      <c r="K1733" s="36">
        <f t="shared" si="898"/>
        <v>12438.17338</v>
      </c>
      <c r="L1733" s="36">
        <f t="shared" si="875"/>
        <v>43.280960713976278</v>
      </c>
      <c r="M1733" s="36">
        <f t="shared" si="876"/>
        <v>90.629760801389665</v>
      </c>
    </row>
    <row r="1734" spans="1:13" ht="25.5">
      <c r="A1734" s="60" t="s">
        <v>66</v>
      </c>
      <c r="B1734" s="29" t="s">
        <v>741</v>
      </c>
      <c r="C1734" s="29" t="s">
        <v>148</v>
      </c>
      <c r="D1734" s="29" t="s">
        <v>106</v>
      </c>
      <c r="E1734" s="29" t="s">
        <v>772</v>
      </c>
      <c r="F1734" s="29" t="s">
        <v>67</v>
      </c>
      <c r="G1734" s="36">
        <v>28763.200000000001</v>
      </c>
      <c r="H1734" s="36">
        <v>28738.21</v>
      </c>
      <c r="I1734" s="36">
        <v>13724.16</v>
      </c>
      <c r="J1734" s="36">
        <v>13724.16</v>
      </c>
      <c r="K1734" s="36">
        <v>12438.17338</v>
      </c>
      <c r="L1734" s="36">
        <f t="shared" si="875"/>
        <v>43.280960713976278</v>
      </c>
      <c r="M1734" s="36">
        <f t="shared" si="876"/>
        <v>90.629760801389665</v>
      </c>
    </row>
    <row r="1735" spans="1:13">
      <c r="A1735" s="60" t="s">
        <v>68</v>
      </c>
      <c r="B1735" s="29" t="s">
        <v>741</v>
      </c>
      <c r="C1735" s="29" t="s">
        <v>148</v>
      </c>
      <c r="D1735" s="29" t="s">
        <v>106</v>
      </c>
      <c r="E1735" s="29" t="s">
        <v>772</v>
      </c>
      <c r="F1735" s="29">
        <v>300</v>
      </c>
      <c r="G1735" s="36"/>
      <c r="H1735" s="36">
        <f>H1736</f>
        <v>337.13900000000001</v>
      </c>
      <c r="I1735" s="36">
        <f t="shared" ref="I1735:K1735" si="899">I1736</f>
        <v>107.48099999999999</v>
      </c>
      <c r="J1735" s="36">
        <f t="shared" si="899"/>
        <v>107.48099999999999</v>
      </c>
      <c r="K1735" s="36">
        <f t="shared" si="899"/>
        <v>107.40161000000001</v>
      </c>
      <c r="L1735" s="36">
        <f t="shared" ref="L1735:L1736" si="900">K1735/H1735*100</f>
        <v>31.856774208857473</v>
      </c>
      <c r="M1735" s="36">
        <f t="shared" ref="M1735:M1736" si="901">K1735/I1735*100</f>
        <v>99.926135782138246</v>
      </c>
    </row>
    <row r="1736" spans="1:13" ht="25.5">
      <c r="A1736" s="60" t="s">
        <v>151</v>
      </c>
      <c r="B1736" s="29" t="s">
        <v>741</v>
      </c>
      <c r="C1736" s="29" t="s">
        <v>148</v>
      </c>
      <c r="D1736" s="29" t="s">
        <v>106</v>
      </c>
      <c r="E1736" s="29" t="s">
        <v>772</v>
      </c>
      <c r="F1736" s="29">
        <v>320</v>
      </c>
      <c r="G1736" s="36"/>
      <c r="H1736" s="36">
        <v>337.13900000000001</v>
      </c>
      <c r="I1736" s="36">
        <v>107.48099999999999</v>
      </c>
      <c r="J1736" s="36">
        <v>107.48099999999999</v>
      </c>
      <c r="K1736" s="36">
        <v>107.40161000000001</v>
      </c>
      <c r="L1736" s="36">
        <f t="shared" si="900"/>
        <v>31.856774208857473</v>
      </c>
      <c r="M1736" s="36">
        <f t="shared" si="901"/>
        <v>99.926135782138246</v>
      </c>
    </row>
    <row r="1737" spans="1:13" ht="25.5">
      <c r="A1737" s="60" t="s">
        <v>80</v>
      </c>
      <c r="B1737" s="29" t="s">
        <v>741</v>
      </c>
      <c r="C1737" s="29" t="s">
        <v>148</v>
      </c>
      <c r="D1737" s="29" t="s">
        <v>106</v>
      </c>
      <c r="E1737" s="29" t="s">
        <v>772</v>
      </c>
      <c r="F1737" s="29" t="s">
        <v>81</v>
      </c>
      <c r="G1737" s="36">
        <f>G1738+G1739</f>
        <v>1650752.8</v>
      </c>
      <c r="H1737" s="36">
        <f t="shared" ref="H1737:K1737" si="902">H1738+H1739</f>
        <v>1684752.794</v>
      </c>
      <c r="I1737" s="36">
        <f t="shared" si="902"/>
        <v>843479.37</v>
      </c>
      <c r="J1737" s="36">
        <f t="shared" si="902"/>
        <v>843479.37</v>
      </c>
      <c r="K1737" s="36">
        <f t="shared" si="902"/>
        <v>843389.37</v>
      </c>
      <c r="L1737" s="36">
        <f t="shared" si="875"/>
        <v>50.060125913048346</v>
      </c>
      <c r="M1737" s="36">
        <f t="shared" si="876"/>
        <v>99.989329910937826</v>
      </c>
    </row>
    <row r="1738" spans="1:13">
      <c r="A1738" s="60" t="s">
        <v>271</v>
      </c>
      <c r="B1738" s="29" t="s">
        <v>741</v>
      </c>
      <c r="C1738" s="29" t="s">
        <v>148</v>
      </c>
      <c r="D1738" s="29" t="s">
        <v>106</v>
      </c>
      <c r="E1738" s="29" t="s">
        <v>772</v>
      </c>
      <c r="F1738" s="29" t="s">
        <v>272</v>
      </c>
      <c r="G1738" s="36">
        <v>1540672.8</v>
      </c>
      <c r="H1738" s="36">
        <f>1519902.894+36593.4</f>
        <v>1556496.294</v>
      </c>
      <c r="I1738" s="36">
        <f>760298.72+20405.15</f>
        <v>780703.87</v>
      </c>
      <c r="J1738" s="36">
        <f t="shared" ref="J1738:K1738" si="903">760298.72+20405.15</f>
        <v>780703.87</v>
      </c>
      <c r="K1738" s="36">
        <f t="shared" si="903"/>
        <v>780703.87</v>
      </c>
      <c r="L1738" s="36">
        <f t="shared" si="875"/>
        <v>50.15777249258263</v>
      </c>
      <c r="M1738" s="36">
        <f t="shared" si="876"/>
        <v>100</v>
      </c>
    </row>
    <row r="1739" spans="1:13">
      <c r="A1739" s="60" t="s">
        <v>82</v>
      </c>
      <c r="B1739" s="29" t="s">
        <v>741</v>
      </c>
      <c r="C1739" s="29" t="s">
        <v>148</v>
      </c>
      <c r="D1739" s="29" t="s">
        <v>106</v>
      </c>
      <c r="E1739" s="29" t="s">
        <v>772</v>
      </c>
      <c r="F1739" s="29" t="s">
        <v>83</v>
      </c>
      <c r="G1739" s="36">
        <v>110080</v>
      </c>
      <c r="H1739" s="36">
        <f>124665.2+3591.3</f>
        <v>128256.5</v>
      </c>
      <c r="I1739" s="36">
        <f>59740.6+3034.9</f>
        <v>62775.5</v>
      </c>
      <c r="J1739" s="36">
        <f t="shared" ref="J1739" si="904">59740.6+3034.9</f>
        <v>62775.5</v>
      </c>
      <c r="K1739" s="36">
        <f>59650.6+3034.9</f>
        <v>62685.5</v>
      </c>
      <c r="L1739" s="36">
        <f t="shared" si="875"/>
        <v>48.875105745127925</v>
      </c>
      <c r="M1739" s="36">
        <f t="shared" si="876"/>
        <v>99.856631966292582</v>
      </c>
    </row>
    <row r="1740" spans="1:13">
      <c r="A1740" s="60" t="s">
        <v>72</v>
      </c>
      <c r="B1740" s="29" t="s">
        <v>741</v>
      </c>
      <c r="C1740" s="29" t="s">
        <v>148</v>
      </c>
      <c r="D1740" s="29" t="s">
        <v>106</v>
      </c>
      <c r="E1740" s="29" t="s">
        <v>772</v>
      </c>
      <c r="F1740" s="29" t="s">
        <v>73</v>
      </c>
      <c r="G1740" s="36">
        <f>G1741+G1742</f>
        <v>393.5</v>
      </c>
      <c r="H1740" s="36">
        <f t="shared" ref="H1740:K1740" si="905">H1741+H1742</f>
        <v>438.76400000000007</v>
      </c>
      <c r="I1740" s="36">
        <f t="shared" si="905"/>
        <v>348.86400000000003</v>
      </c>
      <c r="J1740" s="36">
        <f t="shared" si="905"/>
        <v>247.364</v>
      </c>
      <c r="K1740" s="36">
        <f t="shared" si="905"/>
        <v>179.15107</v>
      </c>
      <c r="L1740" s="36">
        <f t="shared" si="875"/>
        <v>40.830849841828403</v>
      </c>
      <c r="M1740" s="36">
        <f t="shared" si="876"/>
        <v>51.352696179600066</v>
      </c>
    </row>
    <row r="1741" spans="1:13">
      <c r="A1741" s="60" t="s">
        <v>84</v>
      </c>
      <c r="B1741" s="29" t="s">
        <v>741</v>
      </c>
      <c r="C1741" s="29" t="s">
        <v>148</v>
      </c>
      <c r="D1741" s="29" t="s">
        <v>106</v>
      </c>
      <c r="E1741" s="29" t="s">
        <v>772</v>
      </c>
      <c r="F1741" s="29" t="s">
        <v>85</v>
      </c>
      <c r="G1741" s="36">
        <v>18</v>
      </c>
      <c r="H1741" s="36">
        <v>63.253999999999998</v>
      </c>
      <c r="I1741" s="36">
        <v>60.753999999999998</v>
      </c>
      <c r="J1741" s="36">
        <v>60.753999999999998</v>
      </c>
      <c r="K1741" s="36">
        <v>60.753999999999998</v>
      </c>
      <c r="L1741" s="36">
        <f t="shared" si="875"/>
        <v>96.047680779081162</v>
      </c>
      <c r="M1741" s="36">
        <f t="shared" si="876"/>
        <v>100</v>
      </c>
    </row>
    <row r="1742" spans="1:13">
      <c r="A1742" s="60" t="s">
        <v>74</v>
      </c>
      <c r="B1742" s="29" t="s">
        <v>741</v>
      </c>
      <c r="C1742" s="29" t="s">
        <v>148</v>
      </c>
      <c r="D1742" s="29" t="s">
        <v>106</v>
      </c>
      <c r="E1742" s="29" t="s">
        <v>772</v>
      </c>
      <c r="F1742" s="29" t="s">
        <v>75</v>
      </c>
      <c r="G1742" s="36">
        <v>375.5</v>
      </c>
      <c r="H1742" s="36">
        <f>248.3+122.11+5.1</f>
        <v>375.51000000000005</v>
      </c>
      <c r="I1742" s="36">
        <f>169.6+114.51+4</f>
        <v>288.11</v>
      </c>
      <c r="J1742" s="36">
        <f>98.9+83.71+4</f>
        <v>186.61</v>
      </c>
      <c r="K1742" s="36">
        <f>76.777+37.85555+3.76452</f>
        <v>118.39707000000001</v>
      </c>
      <c r="L1742" s="36">
        <f t="shared" si="875"/>
        <v>31.529671646560676</v>
      </c>
      <c r="M1742" s="36">
        <f t="shared" si="876"/>
        <v>41.094397972996425</v>
      </c>
    </row>
    <row r="1743" spans="1:13" ht="76.5">
      <c r="A1743" s="60" t="s">
        <v>367</v>
      </c>
      <c r="B1743" s="29" t="s">
        <v>741</v>
      </c>
      <c r="C1743" s="29" t="s">
        <v>148</v>
      </c>
      <c r="D1743" s="29" t="s">
        <v>106</v>
      </c>
      <c r="E1743" s="29" t="s">
        <v>773</v>
      </c>
      <c r="F1743" s="59" t="s">
        <v>0</v>
      </c>
      <c r="G1743" s="36">
        <f>G1744</f>
        <v>64000</v>
      </c>
      <c r="H1743" s="36">
        <f t="shared" ref="H1743:K1744" si="906">H1744</f>
        <v>30000</v>
      </c>
      <c r="I1743" s="36">
        <f t="shared" si="906"/>
        <v>0</v>
      </c>
      <c r="J1743" s="36">
        <f t="shared" si="906"/>
        <v>0</v>
      </c>
      <c r="K1743" s="36">
        <f t="shared" si="906"/>
        <v>0</v>
      </c>
      <c r="L1743" s="36">
        <f t="shared" si="875"/>
        <v>0</v>
      </c>
      <c r="M1743" s="36">
        <v>0</v>
      </c>
    </row>
    <row r="1744" spans="1:13">
      <c r="A1744" s="60" t="s">
        <v>72</v>
      </c>
      <c r="B1744" s="29" t="s">
        <v>741</v>
      </c>
      <c r="C1744" s="29" t="s">
        <v>148</v>
      </c>
      <c r="D1744" s="29" t="s">
        <v>106</v>
      </c>
      <c r="E1744" s="29" t="s">
        <v>773</v>
      </c>
      <c r="F1744" s="29" t="s">
        <v>73</v>
      </c>
      <c r="G1744" s="36">
        <f>G1745</f>
        <v>64000</v>
      </c>
      <c r="H1744" s="36">
        <f t="shared" si="906"/>
        <v>30000</v>
      </c>
      <c r="I1744" s="36">
        <f t="shared" si="906"/>
        <v>0</v>
      </c>
      <c r="J1744" s="36">
        <f t="shared" si="906"/>
        <v>0</v>
      </c>
      <c r="K1744" s="36">
        <f t="shared" si="906"/>
        <v>0</v>
      </c>
      <c r="L1744" s="36">
        <f t="shared" si="875"/>
        <v>0</v>
      </c>
      <c r="M1744" s="36">
        <v>0</v>
      </c>
    </row>
    <row r="1745" spans="1:13">
      <c r="A1745" s="60" t="s">
        <v>369</v>
      </c>
      <c r="B1745" s="29" t="s">
        <v>741</v>
      </c>
      <c r="C1745" s="29" t="s">
        <v>148</v>
      </c>
      <c r="D1745" s="29" t="s">
        <v>106</v>
      </c>
      <c r="E1745" s="29" t="s">
        <v>773</v>
      </c>
      <c r="F1745" s="29" t="s">
        <v>370</v>
      </c>
      <c r="G1745" s="36">
        <v>64000</v>
      </c>
      <c r="H1745" s="36">
        <v>30000</v>
      </c>
      <c r="I1745" s="36">
        <v>0</v>
      </c>
      <c r="J1745" s="36">
        <v>0</v>
      </c>
      <c r="K1745" s="36">
        <v>0</v>
      </c>
      <c r="L1745" s="36">
        <f t="shared" si="875"/>
        <v>0</v>
      </c>
      <c r="M1745" s="36">
        <v>0</v>
      </c>
    </row>
    <row r="1746" spans="1:13" ht="25.5">
      <c r="A1746" s="60" t="s">
        <v>774</v>
      </c>
      <c r="B1746" s="29" t="s">
        <v>741</v>
      </c>
      <c r="C1746" s="29" t="s">
        <v>148</v>
      </c>
      <c r="D1746" s="29" t="s">
        <v>106</v>
      </c>
      <c r="E1746" s="29" t="s">
        <v>775</v>
      </c>
      <c r="F1746" s="59" t="s">
        <v>0</v>
      </c>
      <c r="G1746" s="36">
        <f>G1747+G1749</f>
        <v>17805.900000000001</v>
      </c>
      <c r="H1746" s="36">
        <f t="shared" ref="H1746:K1746" si="907">H1747+H1749</f>
        <v>17805.900000000001</v>
      </c>
      <c r="I1746" s="36">
        <f t="shared" si="907"/>
        <v>523.1</v>
      </c>
      <c r="J1746" s="36">
        <f t="shared" si="907"/>
        <v>523.1</v>
      </c>
      <c r="K1746" s="36">
        <f t="shared" si="907"/>
        <v>232.4615</v>
      </c>
      <c r="L1746" s="36">
        <f t="shared" si="875"/>
        <v>1.3055307510431935</v>
      </c>
      <c r="M1746" s="36">
        <f t="shared" si="876"/>
        <v>44.439208564328041</v>
      </c>
    </row>
    <row r="1747" spans="1:13" ht="25.5">
      <c r="A1747" s="60" t="s">
        <v>80</v>
      </c>
      <c r="B1747" s="29" t="s">
        <v>741</v>
      </c>
      <c r="C1747" s="29" t="s">
        <v>148</v>
      </c>
      <c r="D1747" s="29" t="s">
        <v>106</v>
      </c>
      <c r="E1747" s="29" t="s">
        <v>775</v>
      </c>
      <c r="F1747" s="29" t="s">
        <v>81</v>
      </c>
      <c r="G1747" s="36">
        <f>G1748</f>
        <v>12451</v>
      </c>
      <c r="H1747" s="36">
        <f t="shared" ref="H1747:K1747" si="908">H1748</f>
        <v>12450.99</v>
      </c>
      <c r="I1747" s="36">
        <f t="shared" si="908"/>
        <v>450.99</v>
      </c>
      <c r="J1747" s="36">
        <f t="shared" si="908"/>
        <v>450.99</v>
      </c>
      <c r="K1747" s="36">
        <f t="shared" si="908"/>
        <v>197.3578</v>
      </c>
      <c r="L1747" s="36">
        <f t="shared" si="875"/>
        <v>1.5850771705703723</v>
      </c>
      <c r="M1747" s="36">
        <f t="shared" si="876"/>
        <v>43.761014656644271</v>
      </c>
    </row>
    <row r="1748" spans="1:13" ht="38.25">
      <c r="A1748" s="60" t="s">
        <v>195</v>
      </c>
      <c r="B1748" s="29" t="s">
        <v>741</v>
      </c>
      <c r="C1748" s="29" t="s">
        <v>148</v>
      </c>
      <c r="D1748" s="29" t="s">
        <v>106</v>
      </c>
      <c r="E1748" s="29" t="s">
        <v>775</v>
      </c>
      <c r="F1748" s="29" t="s">
        <v>196</v>
      </c>
      <c r="G1748" s="36">
        <v>12451</v>
      </c>
      <c r="H1748" s="36">
        <v>12450.99</v>
      </c>
      <c r="I1748" s="36">
        <v>450.99</v>
      </c>
      <c r="J1748" s="36">
        <v>450.99</v>
      </c>
      <c r="K1748" s="36">
        <v>197.3578</v>
      </c>
      <c r="L1748" s="36">
        <f t="shared" si="875"/>
        <v>1.5850771705703723</v>
      </c>
      <c r="M1748" s="36">
        <f t="shared" si="876"/>
        <v>43.761014656644271</v>
      </c>
    </row>
    <row r="1749" spans="1:13">
      <c r="A1749" s="60" t="s">
        <v>72</v>
      </c>
      <c r="B1749" s="29" t="s">
        <v>741</v>
      </c>
      <c r="C1749" s="29" t="s">
        <v>148</v>
      </c>
      <c r="D1749" s="29" t="s">
        <v>106</v>
      </c>
      <c r="E1749" s="29" t="s">
        <v>775</v>
      </c>
      <c r="F1749" s="29" t="s">
        <v>73</v>
      </c>
      <c r="G1749" s="36">
        <f>G1750</f>
        <v>5354.9</v>
      </c>
      <c r="H1749" s="36">
        <f t="shared" ref="H1749:K1749" si="909">H1750</f>
        <v>5354.91</v>
      </c>
      <c r="I1749" s="36">
        <f t="shared" si="909"/>
        <v>72.11</v>
      </c>
      <c r="J1749" s="36">
        <f t="shared" si="909"/>
        <v>72.11</v>
      </c>
      <c r="K1749" s="36">
        <f t="shared" si="909"/>
        <v>35.103700000000003</v>
      </c>
      <c r="L1749" s="36">
        <f t="shared" si="875"/>
        <v>0.65554229669592967</v>
      </c>
      <c r="M1749" s="36">
        <f t="shared" si="876"/>
        <v>48.680765497157125</v>
      </c>
    </row>
    <row r="1750" spans="1:13" ht="51">
      <c r="A1750" s="60" t="s">
        <v>218</v>
      </c>
      <c r="B1750" s="29" t="s">
        <v>741</v>
      </c>
      <c r="C1750" s="29" t="s">
        <v>148</v>
      </c>
      <c r="D1750" s="29" t="s">
        <v>106</v>
      </c>
      <c r="E1750" s="29" t="s">
        <v>775</v>
      </c>
      <c r="F1750" s="29" t="s">
        <v>219</v>
      </c>
      <c r="G1750" s="36">
        <v>5354.9</v>
      </c>
      <c r="H1750" s="36">
        <v>5354.91</v>
      </c>
      <c r="I1750" s="36">
        <v>72.11</v>
      </c>
      <c r="J1750" s="36">
        <v>72.11</v>
      </c>
      <c r="K1750" s="36">
        <v>35.103700000000003</v>
      </c>
      <c r="L1750" s="36">
        <f t="shared" si="875"/>
        <v>0.65554229669592967</v>
      </c>
      <c r="M1750" s="36">
        <f t="shared" si="876"/>
        <v>48.680765497157125</v>
      </c>
    </row>
    <row r="1751" spans="1:13" ht="38.25">
      <c r="A1751" s="60" t="s">
        <v>776</v>
      </c>
      <c r="B1751" s="29" t="s">
        <v>741</v>
      </c>
      <c r="C1751" s="29" t="s">
        <v>148</v>
      </c>
      <c r="D1751" s="29" t="s">
        <v>106</v>
      </c>
      <c r="E1751" s="29" t="s">
        <v>777</v>
      </c>
      <c r="F1751" s="59" t="s">
        <v>0</v>
      </c>
      <c r="G1751" s="36">
        <f>G1752</f>
        <v>5190.6000000000004</v>
      </c>
      <c r="H1751" s="36">
        <f t="shared" ref="H1751:K1752" si="910">H1752</f>
        <v>5190.6000000000004</v>
      </c>
      <c r="I1751" s="36">
        <f t="shared" si="910"/>
        <v>2569.4830000000002</v>
      </c>
      <c r="J1751" s="36">
        <f t="shared" si="910"/>
        <v>2569.4830000000002</v>
      </c>
      <c r="K1751" s="36">
        <f t="shared" si="910"/>
        <v>2569.4830000000002</v>
      </c>
      <c r="L1751" s="36">
        <f t="shared" si="875"/>
        <v>49.502620120987942</v>
      </c>
      <c r="M1751" s="36">
        <f t="shared" si="876"/>
        <v>100</v>
      </c>
    </row>
    <row r="1752" spans="1:13" ht="25.5">
      <c r="A1752" s="60" t="s">
        <v>80</v>
      </c>
      <c r="B1752" s="29" t="s">
        <v>741</v>
      </c>
      <c r="C1752" s="29" t="s">
        <v>148</v>
      </c>
      <c r="D1752" s="29" t="s">
        <v>106</v>
      </c>
      <c r="E1752" s="29" t="s">
        <v>777</v>
      </c>
      <c r="F1752" s="29" t="s">
        <v>81</v>
      </c>
      <c r="G1752" s="36">
        <f>G1753</f>
        <v>5190.6000000000004</v>
      </c>
      <c r="H1752" s="36">
        <f t="shared" si="910"/>
        <v>5190.6000000000004</v>
      </c>
      <c r="I1752" s="36">
        <f t="shared" si="910"/>
        <v>2569.4830000000002</v>
      </c>
      <c r="J1752" s="36">
        <f t="shared" si="910"/>
        <v>2569.4830000000002</v>
      </c>
      <c r="K1752" s="36">
        <f t="shared" si="910"/>
        <v>2569.4830000000002</v>
      </c>
      <c r="L1752" s="36">
        <f t="shared" si="875"/>
        <v>49.502620120987942</v>
      </c>
      <c r="M1752" s="36">
        <f t="shared" si="876"/>
        <v>100</v>
      </c>
    </row>
    <row r="1753" spans="1:13">
      <c r="A1753" s="60" t="s">
        <v>271</v>
      </c>
      <c r="B1753" s="29" t="s">
        <v>741</v>
      </c>
      <c r="C1753" s="29" t="s">
        <v>148</v>
      </c>
      <c r="D1753" s="29" t="s">
        <v>106</v>
      </c>
      <c r="E1753" s="29" t="s">
        <v>777</v>
      </c>
      <c r="F1753" s="29" t="s">
        <v>272</v>
      </c>
      <c r="G1753" s="36">
        <v>5190.6000000000004</v>
      </c>
      <c r="H1753" s="36">
        <v>5190.6000000000004</v>
      </c>
      <c r="I1753" s="36">
        <v>2569.4830000000002</v>
      </c>
      <c r="J1753" s="36">
        <v>2569.4830000000002</v>
      </c>
      <c r="K1753" s="36">
        <v>2569.4830000000002</v>
      </c>
      <c r="L1753" s="36">
        <f t="shared" si="875"/>
        <v>49.502620120987942</v>
      </c>
      <c r="M1753" s="36">
        <f t="shared" si="876"/>
        <v>100</v>
      </c>
    </row>
    <row r="1754" spans="1:13" ht="25.5">
      <c r="A1754" s="60" t="s">
        <v>778</v>
      </c>
      <c r="B1754" s="29" t="s">
        <v>741</v>
      </c>
      <c r="C1754" s="29" t="s">
        <v>148</v>
      </c>
      <c r="D1754" s="29" t="s">
        <v>106</v>
      </c>
      <c r="E1754" s="29" t="s">
        <v>779</v>
      </c>
      <c r="F1754" s="59" t="s">
        <v>0</v>
      </c>
      <c r="G1754" s="36">
        <f>G1755</f>
        <v>22466.2</v>
      </c>
      <c r="H1754" s="36">
        <f>H1755</f>
        <v>22466.2</v>
      </c>
      <c r="I1754" s="36">
        <f t="shared" ref="I1754:K1754" si="911">I1755</f>
        <v>12900.6</v>
      </c>
      <c r="J1754" s="36">
        <f t="shared" si="911"/>
        <v>12900.6</v>
      </c>
      <c r="K1754" s="36">
        <f t="shared" si="911"/>
        <v>12900.6</v>
      </c>
      <c r="L1754" s="36">
        <f t="shared" si="875"/>
        <v>57.422260996519213</v>
      </c>
      <c r="M1754" s="36">
        <f t="shared" si="876"/>
        <v>100</v>
      </c>
    </row>
    <row r="1755" spans="1:13" ht="25.5">
      <c r="A1755" s="60" t="s">
        <v>76</v>
      </c>
      <c r="B1755" s="29" t="s">
        <v>741</v>
      </c>
      <c r="C1755" s="29" t="s">
        <v>148</v>
      </c>
      <c r="D1755" s="29" t="s">
        <v>106</v>
      </c>
      <c r="E1755" s="29" t="s">
        <v>780</v>
      </c>
      <c r="F1755" s="59" t="s">
        <v>0</v>
      </c>
      <c r="G1755" s="36">
        <f>G1756</f>
        <v>22466.2</v>
      </c>
      <c r="H1755" s="36">
        <f t="shared" ref="H1755:K1756" si="912">H1756</f>
        <v>22466.2</v>
      </c>
      <c r="I1755" s="36">
        <f t="shared" si="912"/>
        <v>12900.6</v>
      </c>
      <c r="J1755" s="36">
        <f t="shared" si="912"/>
        <v>12900.6</v>
      </c>
      <c r="K1755" s="36">
        <f t="shared" si="912"/>
        <v>12900.6</v>
      </c>
      <c r="L1755" s="36">
        <f t="shared" si="875"/>
        <v>57.422260996519213</v>
      </c>
      <c r="M1755" s="36">
        <f t="shared" si="876"/>
        <v>100</v>
      </c>
    </row>
    <row r="1756" spans="1:13" ht="25.5">
      <c r="A1756" s="60" t="s">
        <v>80</v>
      </c>
      <c r="B1756" s="29" t="s">
        <v>741</v>
      </c>
      <c r="C1756" s="29" t="s">
        <v>148</v>
      </c>
      <c r="D1756" s="29" t="s">
        <v>106</v>
      </c>
      <c r="E1756" s="29" t="s">
        <v>780</v>
      </c>
      <c r="F1756" s="29" t="s">
        <v>81</v>
      </c>
      <c r="G1756" s="36">
        <f>G1757</f>
        <v>22466.2</v>
      </c>
      <c r="H1756" s="36">
        <f t="shared" si="912"/>
        <v>22466.2</v>
      </c>
      <c r="I1756" s="36">
        <f t="shared" si="912"/>
        <v>12900.6</v>
      </c>
      <c r="J1756" s="36">
        <f t="shared" si="912"/>
        <v>12900.6</v>
      </c>
      <c r="K1756" s="36">
        <f t="shared" si="912"/>
        <v>12900.6</v>
      </c>
      <c r="L1756" s="36">
        <f t="shared" si="875"/>
        <v>57.422260996519213</v>
      </c>
      <c r="M1756" s="36">
        <f t="shared" si="876"/>
        <v>100</v>
      </c>
    </row>
    <row r="1757" spans="1:13">
      <c r="A1757" s="60" t="s">
        <v>271</v>
      </c>
      <c r="B1757" s="29" t="s">
        <v>741</v>
      </c>
      <c r="C1757" s="29" t="s">
        <v>148</v>
      </c>
      <c r="D1757" s="29" t="s">
        <v>106</v>
      </c>
      <c r="E1757" s="29" t="s">
        <v>780</v>
      </c>
      <c r="F1757" s="29" t="s">
        <v>272</v>
      </c>
      <c r="G1757" s="36">
        <v>22466.2</v>
      </c>
      <c r="H1757" s="36">
        <v>22466.2</v>
      </c>
      <c r="I1757" s="36">
        <v>12900.6</v>
      </c>
      <c r="J1757" s="36">
        <v>12900.6</v>
      </c>
      <c r="K1757" s="36">
        <v>12900.6</v>
      </c>
      <c r="L1757" s="36">
        <f t="shared" si="875"/>
        <v>57.422260996519213</v>
      </c>
      <c r="M1757" s="36">
        <f t="shared" si="876"/>
        <v>100</v>
      </c>
    </row>
    <row r="1758" spans="1:13" ht="38.25">
      <c r="A1758" s="60" t="s">
        <v>781</v>
      </c>
      <c r="B1758" s="29" t="s">
        <v>741</v>
      </c>
      <c r="C1758" s="29" t="s">
        <v>148</v>
      </c>
      <c r="D1758" s="29" t="s">
        <v>106</v>
      </c>
      <c r="E1758" s="29" t="s">
        <v>782</v>
      </c>
      <c r="F1758" s="59" t="s">
        <v>0</v>
      </c>
      <c r="G1758" s="36">
        <f>G1759</f>
        <v>20582.900000000001</v>
      </c>
      <c r="H1758" s="36">
        <f t="shared" ref="H1758:K1759" si="913">H1759</f>
        <v>20582.900000000001</v>
      </c>
      <c r="I1758" s="36">
        <f t="shared" si="913"/>
        <v>14782.05</v>
      </c>
      <c r="J1758" s="36">
        <f t="shared" si="913"/>
        <v>14782.05</v>
      </c>
      <c r="K1758" s="36">
        <f t="shared" si="913"/>
        <v>14782.05</v>
      </c>
      <c r="L1758" s="36">
        <f t="shared" si="875"/>
        <v>71.817139470142692</v>
      </c>
      <c r="M1758" s="36">
        <f t="shared" si="876"/>
        <v>100</v>
      </c>
    </row>
    <row r="1759" spans="1:13" ht="25.5">
      <c r="A1759" s="60" t="s">
        <v>76</v>
      </c>
      <c r="B1759" s="29" t="s">
        <v>741</v>
      </c>
      <c r="C1759" s="29" t="s">
        <v>148</v>
      </c>
      <c r="D1759" s="29" t="s">
        <v>106</v>
      </c>
      <c r="E1759" s="29" t="s">
        <v>783</v>
      </c>
      <c r="F1759" s="59" t="s">
        <v>0</v>
      </c>
      <c r="G1759" s="36">
        <f>G1760</f>
        <v>20582.900000000001</v>
      </c>
      <c r="H1759" s="36">
        <f t="shared" si="913"/>
        <v>20582.900000000001</v>
      </c>
      <c r="I1759" s="36">
        <f t="shared" si="913"/>
        <v>14782.05</v>
      </c>
      <c r="J1759" s="36">
        <f t="shared" si="913"/>
        <v>14782.05</v>
      </c>
      <c r="K1759" s="36">
        <f t="shared" si="913"/>
        <v>14782.05</v>
      </c>
      <c r="L1759" s="36">
        <f t="shared" si="875"/>
        <v>71.817139470142692</v>
      </c>
      <c r="M1759" s="36">
        <f t="shared" si="876"/>
        <v>100</v>
      </c>
    </row>
    <row r="1760" spans="1:13" ht="25.5">
      <c r="A1760" s="60" t="s">
        <v>80</v>
      </c>
      <c r="B1760" s="29" t="s">
        <v>741</v>
      </c>
      <c r="C1760" s="29" t="s">
        <v>148</v>
      </c>
      <c r="D1760" s="29" t="s">
        <v>106</v>
      </c>
      <c r="E1760" s="29" t="s">
        <v>783</v>
      </c>
      <c r="F1760" s="29" t="s">
        <v>81</v>
      </c>
      <c r="G1760" s="36">
        <f>G1761+G1762</f>
        <v>20582.900000000001</v>
      </c>
      <c r="H1760" s="36">
        <f t="shared" ref="H1760:K1760" si="914">H1761+H1762</f>
        <v>20582.900000000001</v>
      </c>
      <c r="I1760" s="36">
        <f t="shared" si="914"/>
        <v>14782.05</v>
      </c>
      <c r="J1760" s="36">
        <f t="shared" si="914"/>
        <v>14782.05</v>
      </c>
      <c r="K1760" s="36">
        <f t="shared" si="914"/>
        <v>14782.05</v>
      </c>
      <c r="L1760" s="36">
        <f t="shared" si="875"/>
        <v>71.817139470142692</v>
      </c>
      <c r="M1760" s="36">
        <f t="shared" si="876"/>
        <v>100</v>
      </c>
    </row>
    <row r="1761" spans="1:13">
      <c r="A1761" s="60" t="s">
        <v>271</v>
      </c>
      <c r="B1761" s="29" t="s">
        <v>741</v>
      </c>
      <c r="C1761" s="29" t="s">
        <v>148</v>
      </c>
      <c r="D1761" s="29" t="s">
        <v>106</v>
      </c>
      <c r="E1761" s="29" t="s">
        <v>783</v>
      </c>
      <c r="F1761" s="29" t="s">
        <v>272</v>
      </c>
      <c r="G1761" s="36">
        <v>20182.900000000001</v>
      </c>
      <c r="H1761" s="36">
        <v>20182.900000000001</v>
      </c>
      <c r="I1761" s="36">
        <v>14382.05</v>
      </c>
      <c r="J1761" s="36">
        <v>14382.05</v>
      </c>
      <c r="K1761" s="36">
        <v>14382.05</v>
      </c>
      <c r="L1761" s="36">
        <f t="shared" si="875"/>
        <v>71.258590192687862</v>
      </c>
      <c r="M1761" s="36">
        <f t="shared" si="876"/>
        <v>100</v>
      </c>
    </row>
    <row r="1762" spans="1:13">
      <c r="A1762" s="60" t="s">
        <v>82</v>
      </c>
      <c r="B1762" s="29" t="s">
        <v>741</v>
      </c>
      <c r="C1762" s="29" t="s">
        <v>148</v>
      </c>
      <c r="D1762" s="29" t="s">
        <v>106</v>
      </c>
      <c r="E1762" s="29" t="s">
        <v>783</v>
      </c>
      <c r="F1762" s="29" t="s">
        <v>83</v>
      </c>
      <c r="G1762" s="36">
        <v>400</v>
      </c>
      <c r="H1762" s="36">
        <v>400</v>
      </c>
      <c r="I1762" s="36">
        <v>400</v>
      </c>
      <c r="J1762" s="36">
        <v>400</v>
      </c>
      <c r="K1762" s="36">
        <v>400</v>
      </c>
      <c r="L1762" s="36">
        <f t="shared" si="875"/>
        <v>100</v>
      </c>
      <c r="M1762" s="36">
        <f t="shared" si="876"/>
        <v>100</v>
      </c>
    </row>
    <row r="1763" spans="1:13">
      <c r="A1763" s="60" t="s">
        <v>301</v>
      </c>
      <c r="B1763" s="29" t="s">
        <v>741</v>
      </c>
      <c r="C1763" s="29" t="s">
        <v>148</v>
      </c>
      <c r="D1763" s="29" t="s">
        <v>106</v>
      </c>
      <c r="E1763" s="29" t="s">
        <v>302</v>
      </c>
      <c r="F1763" s="59" t="s">
        <v>0</v>
      </c>
      <c r="G1763" s="36">
        <f>G1764</f>
        <v>1107</v>
      </c>
      <c r="H1763" s="36">
        <f>H1764+H1767</f>
        <v>1107</v>
      </c>
      <c r="I1763" s="36">
        <f t="shared" ref="I1763:K1763" si="915">I1764+I1767</f>
        <v>475</v>
      </c>
      <c r="J1763" s="36">
        <f t="shared" si="915"/>
        <v>475</v>
      </c>
      <c r="K1763" s="36">
        <f t="shared" si="915"/>
        <v>475</v>
      </c>
      <c r="L1763" s="36">
        <f t="shared" si="875"/>
        <v>42.908762420957544</v>
      </c>
      <c r="M1763" s="36">
        <f t="shared" si="876"/>
        <v>100</v>
      </c>
    </row>
    <row r="1764" spans="1:13" ht="25.5">
      <c r="A1764" s="60" t="s">
        <v>76</v>
      </c>
      <c r="B1764" s="29" t="s">
        <v>741</v>
      </c>
      <c r="C1764" s="29" t="s">
        <v>148</v>
      </c>
      <c r="D1764" s="29" t="s">
        <v>106</v>
      </c>
      <c r="E1764" s="29" t="s">
        <v>356</v>
      </c>
      <c r="F1764" s="59" t="s">
        <v>0</v>
      </c>
      <c r="G1764" s="36">
        <f>G1765</f>
        <v>1107</v>
      </c>
      <c r="H1764" s="36">
        <f t="shared" ref="H1764:K1765" si="916">H1765</f>
        <v>125</v>
      </c>
      <c r="I1764" s="36">
        <f t="shared" si="916"/>
        <v>125</v>
      </c>
      <c r="J1764" s="36">
        <f t="shared" si="916"/>
        <v>125</v>
      </c>
      <c r="K1764" s="36">
        <f t="shared" si="916"/>
        <v>125</v>
      </c>
      <c r="L1764" s="36">
        <f t="shared" si="875"/>
        <v>100</v>
      </c>
      <c r="M1764" s="36">
        <f t="shared" si="876"/>
        <v>100</v>
      </c>
    </row>
    <row r="1765" spans="1:13" ht="25.5">
      <c r="A1765" s="60" t="s">
        <v>80</v>
      </c>
      <c r="B1765" s="29" t="s">
        <v>741</v>
      </c>
      <c r="C1765" s="29" t="s">
        <v>148</v>
      </c>
      <c r="D1765" s="29" t="s">
        <v>106</v>
      </c>
      <c r="E1765" s="29" t="s">
        <v>356</v>
      </c>
      <c r="F1765" s="29" t="s">
        <v>81</v>
      </c>
      <c r="G1765" s="36">
        <f>G1766</f>
        <v>1107</v>
      </c>
      <c r="H1765" s="36">
        <f t="shared" si="916"/>
        <v>125</v>
      </c>
      <c r="I1765" s="36">
        <f t="shared" si="916"/>
        <v>125</v>
      </c>
      <c r="J1765" s="36">
        <f t="shared" si="916"/>
        <v>125</v>
      </c>
      <c r="K1765" s="36">
        <f t="shared" si="916"/>
        <v>125</v>
      </c>
      <c r="L1765" s="36">
        <f t="shared" si="875"/>
        <v>100</v>
      </c>
      <c r="M1765" s="36">
        <f t="shared" si="876"/>
        <v>100</v>
      </c>
    </row>
    <row r="1766" spans="1:13">
      <c r="A1766" s="60" t="s">
        <v>271</v>
      </c>
      <c r="B1766" s="29" t="s">
        <v>741</v>
      </c>
      <c r="C1766" s="29" t="s">
        <v>148</v>
      </c>
      <c r="D1766" s="29" t="s">
        <v>106</v>
      </c>
      <c r="E1766" s="29" t="s">
        <v>356</v>
      </c>
      <c r="F1766" s="29" t="s">
        <v>272</v>
      </c>
      <c r="G1766" s="36">
        <v>1107</v>
      </c>
      <c r="H1766" s="36">
        <v>125</v>
      </c>
      <c r="I1766" s="36">
        <v>125</v>
      </c>
      <c r="J1766" s="36">
        <v>125</v>
      </c>
      <c r="K1766" s="36">
        <v>125</v>
      </c>
      <c r="L1766" s="36">
        <f t="shared" si="875"/>
        <v>100</v>
      </c>
      <c r="M1766" s="36">
        <f t="shared" si="876"/>
        <v>100</v>
      </c>
    </row>
    <row r="1767" spans="1:13" ht="41.25" customHeight="1">
      <c r="A1767" s="60" t="s">
        <v>1126</v>
      </c>
      <c r="B1767" s="29" t="s">
        <v>741</v>
      </c>
      <c r="C1767" s="29" t="s">
        <v>148</v>
      </c>
      <c r="D1767" s="29" t="s">
        <v>106</v>
      </c>
      <c r="E1767" s="30" t="s">
        <v>1125</v>
      </c>
      <c r="F1767" s="29"/>
      <c r="G1767" s="36"/>
      <c r="H1767" s="36">
        <f>H1768</f>
        <v>982</v>
      </c>
      <c r="I1767" s="36">
        <f t="shared" ref="I1767:K1768" si="917">I1768</f>
        <v>350</v>
      </c>
      <c r="J1767" s="36">
        <f t="shared" si="917"/>
        <v>350</v>
      </c>
      <c r="K1767" s="36">
        <f t="shared" si="917"/>
        <v>350</v>
      </c>
      <c r="L1767" s="36">
        <f t="shared" ref="L1767:L1769" si="918">K1767/H1767*100</f>
        <v>35.641547861507128</v>
      </c>
      <c r="M1767" s="36">
        <f t="shared" ref="M1767:M1769" si="919">K1767/I1767*100</f>
        <v>100</v>
      </c>
    </row>
    <row r="1768" spans="1:13" ht="25.5">
      <c r="A1768" s="60" t="s">
        <v>80</v>
      </c>
      <c r="B1768" s="29" t="s">
        <v>741</v>
      </c>
      <c r="C1768" s="29" t="s">
        <v>148</v>
      </c>
      <c r="D1768" s="29" t="s">
        <v>106</v>
      </c>
      <c r="E1768" s="30" t="s">
        <v>1125</v>
      </c>
      <c r="F1768" s="29">
        <v>600</v>
      </c>
      <c r="G1768" s="36"/>
      <c r="H1768" s="36">
        <f>H1769</f>
        <v>982</v>
      </c>
      <c r="I1768" s="36">
        <f t="shared" si="917"/>
        <v>350</v>
      </c>
      <c r="J1768" s="36">
        <f t="shared" si="917"/>
        <v>350</v>
      </c>
      <c r="K1768" s="36">
        <f t="shared" si="917"/>
        <v>350</v>
      </c>
      <c r="L1768" s="36">
        <f t="shared" si="918"/>
        <v>35.641547861507128</v>
      </c>
      <c r="M1768" s="36">
        <f t="shared" si="919"/>
        <v>100</v>
      </c>
    </row>
    <row r="1769" spans="1:13">
      <c r="A1769" s="60" t="s">
        <v>271</v>
      </c>
      <c r="B1769" s="29" t="s">
        <v>741</v>
      </c>
      <c r="C1769" s="29" t="s">
        <v>148</v>
      </c>
      <c r="D1769" s="29" t="s">
        <v>106</v>
      </c>
      <c r="E1769" s="30" t="s">
        <v>1125</v>
      </c>
      <c r="F1769" s="29">
        <v>610</v>
      </c>
      <c r="G1769" s="36"/>
      <c r="H1769" s="36">
        <v>982</v>
      </c>
      <c r="I1769" s="36">
        <v>350</v>
      </c>
      <c r="J1769" s="36">
        <v>350</v>
      </c>
      <c r="K1769" s="36">
        <v>350</v>
      </c>
      <c r="L1769" s="36">
        <f t="shared" si="918"/>
        <v>35.641547861507128</v>
      </c>
      <c r="M1769" s="36">
        <f t="shared" si="919"/>
        <v>100</v>
      </c>
    </row>
    <row r="1770" spans="1:13">
      <c r="A1770" s="60" t="s">
        <v>440</v>
      </c>
      <c r="B1770" s="29" t="s">
        <v>741</v>
      </c>
      <c r="C1770" s="29" t="s">
        <v>148</v>
      </c>
      <c r="D1770" s="29" t="s">
        <v>106</v>
      </c>
      <c r="E1770" s="29" t="s">
        <v>441</v>
      </c>
      <c r="F1770" s="59" t="s">
        <v>0</v>
      </c>
      <c r="G1770" s="36">
        <f>G1771</f>
        <v>19006</v>
      </c>
      <c r="H1770" s="36">
        <f t="shared" ref="H1770:K1772" si="920">H1771</f>
        <v>19006</v>
      </c>
      <c r="I1770" s="36">
        <f t="shared" si="920"/>
        <v>12110.55</v>
      </c>
      <c r="J1770" s="36">
        <f t="shared" si="920"/>
        <v>12110.55</v>
      </c>
      <c r="K1770" s="36">
        <f t="shared" si="920"/>
        <v>12110.55</v>
      </c>
      <c r="L1770" s="36">
        <f t="shared" si="875"/>
        <v>63.719614858465746</v>
      </c>
      <c r="M1770" s="36">
        <f t="shared" si="876"/>
        <v>100</v>
      </c>
    </row>
    <row r="1771" spans="1:13" ht="25.5">
      <c r="A1771" s="60" t="s">
        <v>76</v>
      </c>
      <c r="B1771" s="29" t="s">
        <v>741</v>
      </c>
      <c r="C1771" s="29" t="s">
        <v>148</v>
      </c>
      <c r="D1771" s="29" t="s">
        <v>106</v>
      </c>
      <c r="E1771" s="29" t="s">
        <v>784</v>
      </c>
      <c r="F1771" s="59" t="s">
        <v>0</v>
      </c>
      <c r="G1771" s="36">
        <f>G1772</f>
        <v>19006</v>
      </c>
      <c r="H1771" s="36">
        <f t="shared" si="920"/>
        <v>19006</v>
      </c>
      <c r="I1771" s="36">
        <f t="shared" si="920"/>
        <v>12110.55</v>
      </c>
      <c r="J1771" s="36">
        <f t="shared" si="920"/>
        <v>12110.55</v>
      </c>
      <c r="K1771" s="36">
        <f t="shared" si="920"/>
        <v>12110.55</v>
      </c>
      <c r="L1771" s="36">
        <f t="shared" si="875"/>
        <v>63.719614858465746</v>
      </c>
      <c r="M1771" s="36">
        <f t="shared" si="876"/>
        <v>100</v>
      </c>
    </row>
    <row r="1772" spans="1:13" ht="25.5">
      <c r="A1772" s="60" t="s">
        <v>80</v>
      </c>
      <c r="B1772" s="29" t="s">
        <v>741</v>
      </c>
      <c r="C1772" s="29" t="s">
        <v>148</v>
      </c>
      <c r="D1772" s="29" t="s">
        <v>106</v>
      </c>
      <c r="E1772" s="29" t="s">
        <v>784</v>
      </c>
      <c r="F1772" s="29" t="s">
        <v>81</v>
      </c>
      <c r="G1772" s="36">
        <f>G1773</f>
        <v>19006</v>
      </c>
      <c r="H1772" s="36">
        <f t="shared" si="920"/>
        <v>19006</v>
      </c>
      <c r="I1772" s="36">
        <f t="shared" si="920"/>
        <v>12110.55</v>
      </c>
      <c r="J1772" s="36">
        <f t="shared" si="920"/>
        <v>12110.55</v>
      </c>
      <c r="K1772" s="36">
        <f t="shared" si="920"/>
        <v>12110.55</v>
      </c>
      <c r="L1772" s="36">
        <f t="shared" si="875"/>
        <v>63.719614858465746</v>
      </c>
      <c r="M1772" s="36">
        <f t="shared" si="876"/>
        <v>100</v>
      </c>
    </row>
    <row r="1773" spans="1:13">
      <c r="A1773" s="60" t="s">
        <v>271</v>
      </c>
      <c r="B1773" s="29" t="s">
        <v>741</v>
      </c>
      <c r="C1773" s="29" t="s">
        <v>148</v>
      </c>
      <c r="D1773" s="29" t="s">
        <v>106</v>
      </c>
      <c r="E1773" s="29" t="s">
        <v>784</v>
      </c>
      <c r="F1773" s="29" t="s">
        <v>272</v>
      </c>
      <c r="G1773" s="36">
        <v>19006</v>
      </c>
      <c r="H1773" s="36">
        <v>19006</v>
      </c>
      <c r="I1773" s="36">
        <v>12110.55</v>
      </c>
      <c r="J1773" s="36">
        <v>12110.55</v>
      </c>
      <c r="K1773" s="36">
        <v>12110.55</v>
      </c>
      <c r="L1773" s="36">
        <f t="shared" si="875"/>
        <v>63.719614858465746</v>
      </c>
      <c r="M1773" s="36">
        <f t="shared" si="876"/>
        <v>100</v>
      </c>
    </row>
    <row r="1774" spans="1:13">
      <c r="A1774" s="60" t="s">
        <v>149</v>
      </c>
      <c r="B1774" s="29" t="s">
        <v>741</v>
      </c>
      <c r="C1774" s="29" t="s">
        <v>148</v>
      </c>
      <c r="D1774" s="29" t="s">
        <v>150</v>
      </c>
      <c r="E1774" s="59" t="s">
        <v>0</v>
      </c>
      <c r="F1774" s="59" t="s">
        <v>0</v>
      </c>
      <c r="G1774" s="36">
        <f>G1775+G1936+G1941</f>
        <v>6727348.2000000002</v>
      </c>
      <c r="H1774" s="36">
        <f>H1775+H1936+H1941+H1949</f>
        <v>6727753.5350000001</v>
      </c>
      <c r="I1774" s="36">
        <f t="shared" ref="I1774:K1774" si="921">I1775+I1936+I1941+I1949</f>
        <v>3832139.6934599984</v>
      </c>
      <c r="J1774" s="36">
        <f t="shared" si="921"/>
        <v>3831782.4251599987</v>
      </c>
      <c r="K1774" s="36">
        <f t="shared" si="921"/>
        <v>3826861.6338400007</v>
      </c>
      <c r="L1774" s="36">
        <f t="shared" si="875"/>
        <v>56.881715626641196</v>
      </c>
      <c r="M1774" s="36">
        <f t="shared" si="876"/>
        <v>99.862268600776602</v>
      </c>
    </row>
    <row r="1775" spans="1:13" ht="38.25">
      <c r="A1775" s="60" t="s">
        <v>299</v>
      </c>
      <c r="B1775" s="29" t="s">
        <v>741</v>
      </c>
      <c r="C1775" s="29" t="s">
        <v>148</v>
      </c>
      <c r="D1775" s="29" t="s">
        <v>150</v>
      </c>
      <c r="E1775" s="29" t="s">
        <v>300</v>
      </c>
      <c r="F1775" s="59" t="s">
        <v>0</v>
      </c>
      <c r="G1775" s="36">
        <f>G1776+G1930</f>
        <v>6326785.4000000004</v>
      </c>
      <c r="H1775" s="36">
        <f t="shared" ref="H1775:K1775" si="922">H1776+H1930</f>
        <v>6326785.4369999999</v>
      </c>
      <c r="I1775" s="36">
        <f t="shared" si="922"/>
        <v>3619112.5897199987</v>
      </c>
      <c r="J1775" s="36">
        <f t="shared" si="922"/>
        <v>3618755.321419999</v>
      </c>
      <c r="K1775" s="36">
        <f t="shared" si="922"/>
        <v>3618025.5457700007</v>
      </c>
      <c r="L1775" s="36">
        <f t="shared" ref="L1775:L1838" si="923">K1775/H1775*100</f>
        <v>57.18584234912155</v>
      </c>
      <c r="M1775" s="36">
        <f t="shared" ref="M1775:M1838" si="924">K1775/I1775*100</f>
        <v>99.969963798498952</v>
      </c>
    </row>
    <row r="1776" spans="1:13" ht="38.25">
      <c r="A1776" s="60" t="s">
        <v>765</v>
      </c>
      <c r="B1776" s="29" t="s">
        <v>741</v>
      </c>
      <c r="C1776" s="29" t="s">
        <v>148</v>
      </c>
      <c r="D1776" s="29" t="s">
        <v>150</v>
      </c>
      <c r="E1776" s="29" t="s">
        <v>766</v>
      </c>
      <c r="F1776" s="59" t="s">
        <v>0</v>
      </c>
      <c r="G1776" s="36">
        <f>G1777+G1780+G1783+G1788+G1793+G1798+G1803+G1808+G1813+G1816+G1821+G1826+G1831+G1836+G1839+G1844+G1849+G1854+G1859+G1864+G1869+G1874+G1879+G1884+G1889+G1894+G1899+G1904+G1909+G1914+G1919+G1924+G1927</f>
        <v>6267193.2000000002</v>
      </c>
      <c r="H1776" s="36">
        <f t="shared" ref="H1776:K1776" si="925">H1777+H1780+H1783+H1788+H1793+H1798+H1803+H1808+H1813+H1816+H1821+H1826+H1831+H1836+H1839+H1844+H1849+H1854+H1859+H1864+H1869+H1874+H1879+H1884+H1889+H1894+H1899+H1904+H1909+H1914+H1919+H1924+H1927</f>
        <v>6267193.2469999995</v>
      </c>
      <c r="I1776" s="36">
        <f t="shared" si="925"/>
        <v>3614468.0113099986</v>
      </c>
      <c r="J1776" s="36">
        <f t="shared" si="925"/>
        <v>3614110.7430099989</v>
      </c>
      <c r="K1776" s="36">
        <f t="shared" si="925"/>
        <v>3613380.9673600006</v>
      </c>
      <c r="L1776" s="36">
        <f t="shared" si="923"/>
        <v>57.65548986525453</v>
      </c>
      <c r="M1776" s="36">
        <f t="shared" si="924"/>
        <v>99.969925202087921</v>
      </c>
    </row>
    <row r="1777" spans="1:13" ht="89.25">
      <c r="A1777" s="60" t="s">
        <v>785</v>
      </c>
      <c r="B1777" s="29" t="s">
        <v>741</v>
      </c>
      <c r="C1777" s="29" t="s">
        <v>148</v>
      </c>
      <c r="D1777" s="29" t="s">
        <v>150</v>
      </c>
      <c r="E1777" s="29" t="s">
        <v>786</v>
      </c>
      <c r="F1777" s="59" t="s">
        <v>0</v>
      </c>
      <c r="G1777" s="36">
        <f>G1778</f>
        <v>7391.3</v>
      </c>
      <c r="H1777" s="36">
        <f t="shared" ref="H1777:K1778" si="926">H1778</f>
        <v>7391.3</v>
      </c>
      <c r="I1777" s="36">
        <f t="shared" si="926"/>
        <v>7391.3</v>
      </c>
      <c r="J1777" s="36">
        <f t="shared" si="926"/>
        <v>7391.3</v>
      </c>
      <c r="K1777" s="36">
        <f t="shared" si="926"/>
        <v>7391.3</v>
      </c>
      <c r="L1777" s="36">
        <f t="shared" si="923"/>
        <v>100</v>
      </c>
      <c r="M1777" s="36">
        <f t="shared" si="924"/>
        <v>100</v>
      </c>
    </row>
    <row r="1778" spans="1:13">
      <c r="A1778" s="60" t="s">
        <v>68</v>
      </c>
      <c r="B1778" s="29" t="s">
        <v>741</v>
      </c>
      <c r="C1778" s="29" t="s">
        <v>148</v>
      </c>
      <c r="D1778" s="29" t="s">
        <v>150</v>
      </c>
      <c r="E1778" s="29" t="s">
        <v>786</v>
      </c>
      <c r="F1778" s="29" t="s">
        <v>69</v>
      </c>
      <c r="G1778" s="36">
        <f>G1779</f>
        <v>7391.3</v>
      </c>
      <c r="H1778" s="36">
        <f t="shared" si="926"/>
        <v>7391.3</v>
      </c>
      <c r="I1778" s="36">
        <f t="shared" si="926"/>
        <v>7391.3</v>
      </c>
      <c r="J1778" s="36">
        <f t="shared" si="926"/>
        <v>7391.3</v>
      </c>
      <c r="K1778" s="36">
        <f t="shared" si="926"/>
        <v>7391.3</v>
      </c>
      <c r="L1778" s="36">
        <f t="shared" si="923"/>
        <v>100</v>
      </c>
      <c r="M1778" s="36">
        <f t="shared" si="924"/>
        <v>100</v>
      </c>
    </row>
    <row r="1779" spans="1:13" ht="25.5">
      <c r="A1779" s="60" t="s">
        <v>151</v>
      </c>
      <c r="B1779" s="29" t="s">
        <v>741</v>
      </c>
      <c r="C1779" s="29" t="s">
        <v>148</v>
      </c>
      <c r="D1779" s="29" t="s">
        <v>150</v>
      </c>
      <c r="E1779" s="29" t="s">
        <v>786</v>
      </c>
      <c r="F1779" s="29" t="s">
        <v>152</v>
      </c>
      <c r="G1779" s="36">
        <v>7391.3</v>
      </c>
      <c r="H1779" s="36">
        <v>7391.3</v>
      </c>
      <c r="I1779" s="36">
        <v>7391.3</v>
      </c>
      <c r="J1779" s="36">
        <v>7391.3</v>
      </c>
      <c r="K1779" s="36">
        <v>7391.3</v>
      </c>
      <c r="L1779" s="36">
        <f t="shared" si="923"/>
        <v>100</v>
      </c>
      <c r="M1779" s="36">
        <f t="shared" si="924"/>
        <v>100</v>
      </c>
    </row>
    <row r="1780" spans="1:13" ht="76.5">
      <c r="A1780" s="60" t="s">
        <v>787</v>
      </c>
      <c r="B1780" s="29" t="s">
        <v>741</v>
      </c>
      <c r="C1780" s="29" t="s">
        <v>148</v>
      </c>
      <c r="D1780" s="29" t="s">
        <v>150</v>
      </c>
      <c r="E1780" s="29" t="s">
        <v>788</v>
      </c>
      <c r="F1780" s="59" t="s">
        <v>0</v>
      </c>
      <c r="G1780" s="36">
        <f>G1781</f>
        <v>33087.199999999997</v>
      </c>
      <c r="H1780" s="36">
        <f t="shared" ref="H1780:K1781" si="927">H1781</f>
        <v>33087.199999999997</v>
      </c>
      <c r="I1780" s="36">
        <f t="shared" si="927"/>
        <v>0</v>
      </c>
      <c r="J1780" s="36">
        <f t="shared" si="927"/>
        <v>0</v>
      </c>
      <c r="K1780" s="36">
        <f t="shared" si="927"/>
        <v>0</v>
      </c>
      <c r="L1780" s="36">
        <f t="shared" si="923"/>
        <v>0</v>
      </c>
      <c r="M1780" s="36">
        <v>0</v>
      </c>
    </row>
    <row r="1781" spans="1:13">
      <c r="A1781" s="60" t="s">
        <v>68</v>
      </c>
      <c r="B1781" s="29" t="s">
        <v>741</v>
      </c>
      <c r="C1781" s="29" t="s">
        <v>148</v>
      </c>
      <c r="D1781" s="29" t="s">
        <v>150</v>
      </c>
      <c r="E1781" s="29" t="s">
        <v>788</v>
      </c>
      <c r="F1781" s="29" t="s">
        <v>69</v>
      </c>
      <c r="G1781" s="36">
        <f>G1782</f>
        <v>33087.199999999997</v>
      </c>
      <c r="H1781" s="36">
        <f t="shared" si="927"/>
        <v>33087.199999999997</v>
      </c>
      <c r="I1781" s="36">
        <f t="shared" si="927"/>
        <v>0</v>
      </c>
      <c r="J1781" s="36">
        <f t="shared" si="927"/>
        <v>0</v>
      </c>
      <c r="K1781" s="36">
        <f t="shared" si="927"/>
        <v>0</v>
      </c>
      <c r="L1781" s="36">
        <f t="shared" si="923"/>
        <v>0</v>
      </c>
      <c r="M1781" s="36">
        <v>0</v>
      </c>
    </row>
    <row r="1782" spans="1:13" ht="25.5">
      <c r="A1782" s="60" t="s">
        <v>151</v>
      </c>
      <c r="B1782" s="29" t="s">
        <v>741</v>
      </c>
      <c r="C1782" s="29" t="s">
        <v>148</v>
      </c>
      <c r="D1782" s="29" t="s">
        <v>150</v>
      </c>
      <c r="E1782" s="29" t="s">
        <v>788</v>
      </c>
      <c r="F1782" s="29" t="s">
        <v>152</v>
      </c>
      <c r="G1782" s="36">
        <v>33087.199999999997</v>
      </c>
      <c r="H1782" s="36">
        <v>33087.199999999997</v>
      </c>
      <c r="I1782" s="36">
        <v>0</v>
      </c>
      <c r="J1782" s="36">
        <v>0</v>
      </c>
      <c r="K1782" s="36">
        <v>0</v>
      </c>
      <c r="L1782" s="36">
        <f t="shared" si="923"/>
        <v>0</v>
      </c>
      <c r="M1782" s="36">
        <v>0</v>
      </c>
    </row>
    <row r="1783" spans="1:13" ht="51">
      <c r="A1783" s="60" t="s">
        <v>789</v>
      </c>
      <c r="B1783" s="29" t="s">
        <v>741</v>
      </c>
      <c r="C1783" s="29" t="s">
        <v>148</v>
      </c>
      <c r="D1783" s="29" t="s">
        <v>150</v>
      </c>
      <c r="E1783" s="29" t="s">
        <v>790</v>
      </c>
      <c r="F1783" s="59" t="s">
        <v>0</v>
      </c>
      <c r="G1783" s="36">
        <f>G1784+G1786</f>
        <v>8799.1999999999989</v>
      </c>
      <c r="H1783" s="36">
        <f t="shared" ref="H1783:K1783" si="928">H1784+H1786</f>
        <v>8799.1999999999989</v>
      </c>
      <c r="I1783" s="36">
        <f t="shared" si="928"/>
        <v>3813.32168</v>
      </c>
      <c r="J1783" s="36">
        <f t="shared" si="928"/>
        <v>3813.1027600000002</v>
      </c>
      <c r="K1783" s="36">
        <f t="shared" si="928"/>
        <v>3813.1027600000002</v>
      </c>
      <c r="L1783" s="36">
        <f t="shared" si="923"/>
        <v>43.334652695699617</v>
      </c>
      <c r="M1783" s="36">
        <f t="shared" si="924"/>
        <v>99.994259073365143</v>
      </c>
    </row>
    <row r="1784" spans="1:13" ht="25.5">
      <c r="A1784" s="60" t="s">
        <v>64</v>
      </c>
      <c r="B1784" s="29" t="s">
        <v>741</v>
      </c>
      <c r="C1784" s="29" t="s">
        <v>148</v>
      </c>
      <c r="D1784" s="29" t="s">
        <v>150</v>
      </c>
      <c r="E1784" s="29" t="s">
        <v>790</v>
      </c>
      <c r="F1784" s="29" t="s">
        <v>65</v>
      </c>
      <c r="G1784" s="36">
        <f>G1785</f>
        <v>0.3</v>
      </c>
      <c r="H1784" s="36">
        <f t="shared" ref="H1784:K1784" si="929">H1785</f>
        <v>0.3</v>
      </c>
      <c r="I1784" s="36">
        <f t="shared" si="929"/>
        <v>0.25919999999999999</v>
      </c>
      <c r="J1784" s="36">
        <f t="shared" si="929"/>
        <v>0.25720999999999999</v>
      </c>
      <c r="K1784" s="36">
        <f t="shared" si="929"/>
        <v>0.25720999999999999</v>
      </c>
      <c r="L1784" s="36">
        <f t="shared" si="923"/>
        <v>85.736666666666679</v>
      </c>
      <c r="M1784" s="36">
        <f t="shared" si="924"/>
        <v>99.232253086419746</v>
      </c>
    </row>
    <row r="1785" spans="1:13" ht="25.5">
      <c r="A1785" s="60" t="s">
        <v>66</v>
      </c>
      <c r="B1785" s="29" t="s">
        <v>741</v>
      </c>
      <c r="C1785" s="29" t="s">
        <v>148</v>
      </c>
      <c r="D1785" s="29" t="s">
        <v>150</v>
      </c>
      <c r="E1785" s="29" t="s">
        <v>790</v>
      </c>
      <c r="F1785" s="29" t="s">
        <v>67</v>
      </c>
      <c r="G1785" s="36">
        <v>0.3</v>
      </c>
      <c r="H1785" s="36">
        <v>0.3</v>
      </c>
      <c r="I1785" s="36">
        <v>0.25919999999999999</v>
      </c>
      <c r="J1785" s="36">
        <v>0.25720999999999999</v>
      </c>
      <c r="K1785" s="36">
        <v>0.25720999999999999</v>
      </c>
      <c r="L1785" s="36">
        <f t="shared" si="923"/>
        <v>85.736666666666679</v>
      </c>
      <c r="M1785" s="36">
        <f t="shared" si="924"/>
        <v>99.232253086419746</v>
      </c>
    </row>
    <row r="1786" spans="1:13">
      <c r="A1786" s="60" t="s">
        <v>68</v>
      </c>
      <c r="B1786" s="29" t="s">
        <v>741</v>
      </c>
      <c r="C1786" s="29" t="s">
        <v>148</v>
      </c>
      <c r="D1786" s="29" t="s">
        <v>150</v>
      </c>
      <c r="E1786" s="29" t="s">
        <v>790</v>
      </c>
      <c r="F1786" s="29" t="s">
        <v>69</v>
      </c>
      <c r="G1786" s="36">
        <f>G1787</f>
        <v>8798.9</v>
      </c>
      <c r="H1786" s="36">
        <f t="shared" ref="H1786:K1786" si="930">H1787</f>
        <v>8798.9</v>
      </c>
      <c r="I1786" s="36">
        <f t="shared" si="930"/>
        <v>3813.0624800000001</v>
      </c>
      <c r="J1786" s="36">
        <f t="shared" si="930"/>
        <v>3812.84555</v>
      </c>
      <c r="K1786" s="36">
        <f t="shared" si="930"/>
        <v>3812.84555</v>
      </c>
      <c r="L1786" s="36">
        <f t="shared" si="923"/>
        <v>43.333206991783065</v>
      </c>
      <c r="M1786" s="36">
        <f t="shared" si="924"/>
        <v>99.994310872136566</v>
      </c>
    </row>
    <row r="1787" spans="1:13" ht="25.5">
      <c r="A1787" s="60" t="s">
        <v>463</v>
      </c>
      <c r="B1787" s="29" t="s">
        <v>741</v>
      </c>
      <c r="C1787" s="29" t="s">
        <v>148</v>
      </c>
      <c r="D1787" s="29" t="s">
        <v>150</v>
      </c>
      <c r="E1787" s="29" t="s">
        <v>790</v>
      </c>
      <c r="F1787" s="29" t="s">
        <v>464</v>
      </c>
      <c r="G1787" s="36">
        <v>8798.9</v>
      </c>
      <c r="H1787" s="36">
        <v>8798.9</v>
      </c>
      <c r="I1787" s="36">
        <v>3813.0624800000001</v>
      </c>
      <c r="J1787" s="36">
        <v>3812.84555</v>
      </c>
      <c r="K1787" s="36">
        <v>3812.84555</v>
      </c>
      <c r="L1787" s="36">
        <f t="shared" si="923"/>
        <v>43.333206991783065</v>
      </c>
      <c r="M1787" s="36">
        <f t="shared" si="924"/>
        <v>99.994310872136566</v>
      </c>
    </row>
    <row r="1788" spans="1:13">
      <c r="A1788" s="60" t="s">
        <v>791</v>
      </c>
      <c r="B1788" s="29" t="s">
        <v>741</v>
      </c>
      <c r="C1788" s="29" t="s">
        <v>148</v>
      </c>
      <c r="D1788" s="29" t="s">
        <v>150</v>
      </c>
      <c r="E1788" s="29" t="s">
        <v>792</v>
      </c>
      <c r="F1788" s="59" t="s">
        <v>0</v>
      </c>
      <c r="G1788" s="36">
        <f>G1789+G1791</f>
        <v>732018.2</v>
      </c>
      <c r="H1788" s="36">
        <f t="shared" ref="H1788:K1788" si="931">H1789+H1791</f>
        <v>732018.22400000005</v>
      </c>
      <c r="I1788" s="36">
        <f t="shared" si="931"/>
        <v>326212.49732999998</v>
      </c>
      <c r="J1788" s="36">
        <f t="shared" si="931"/>
        <v>326212.49725000001</v>
      </c>
      <c r="K1788" s="36">
        <f t="shared" si="931"/>
        <v>326212.19724999997</v>
      </c>
      <c r="L1788" s="36">
        <f t="shared" si="923"/>
        <v>44.563398362880093</v>
      </c>
      <c r="M1788" s="36">
        <f t="shared" si="924"/>
        <v>99.999908010881725</v>
      </c>
    </row>
    <row r="1789" spans="1:13" ht="25.5">
      <c r="A1789" s="60" t="s">
        <v>64</v>
      </c>
      <c r="B1789" s="29" t="s">
        <v>741</v>
      </c>
      <c r="C1789" s="29" t="s">
        <v>148</v>
      </c>
      <c r="D1789" s="29" t="s">
        <v>150</v>
      </c>
      <c r="E1789" s="29" t="s">
        <v>792</v>
      </c>
      <c r="F1789" s="29" t="s">
        <v>65</v>
      </c>
      <c r="G1789" s="36">
        <f>G1790</f>
        <v>9769.5</v>
      </c>
      <c r="H1789" s="36">
        <f t="shared" ref="H1789:K1789" si="932">H1790</f>
        <v>9769.4840000000004</v>
      </c>
      <c r="I1789" s="36">
        <f t="shared" si="932"/>
        <v>4946.6689999999999</v>
      </c>
      <c r="J1789" s="36">
        <f t="shared" si="932"/>
        <v>4946.6689999999999</v>
      </c>
      <c r="K1789" s="36">
        <f t="shared" si="932"/>
        <v>4946.6689999999999</v>
      </c>
      <c r="L1789" s="36">
        <f t="shared" si="923"/>
        <v>50.633881994176967</v>
      </c>
      <c r="M1789" s="36">
        <f t="shared" si="924"/>
        <v>100</v>
      </c>
    </row>
    <row r="1790" spans="1:13" ht="25.5">
      <c r="A1790" s="60" t="s">
        <v>66</v>
      </c>
      <c r="B1790" s="29" t="s">
        <v>741</v>
      </c>
      <c r="C1790" s="29" t="s">
        <v>148</v>
      </c>
      <c r="D1790" s="29" t="s">
        <v>150</v>
      </c>
      <c r="E1790" s="29" t="s">
        <v>792</v>
      </c>
      <c r="F1790" s="29" t="s">
        <v>67</v>
      </c>
      <c r="G1790" s="36">
        <v>9769.5</v>
      </c>
      <c r="H1790" s="36">
        <v>9769.4840000000004</v>
      </c>
      <c r="I1790" s="36">
        <v>4946.6689999999999</v>
      </c>
      <c r="J1790" s="36">
        <v>4946.6689999999999</v>
      </c>
      <c r="K1790" s="36">
        <v>4946.6689999999999</v>
      </c>
      <c r="L1790" s="36">
        <f t="shared" si="923"/>
        <v>50.633881994176967</v>
      </c>
      <c r="M1790" s="36">
        <f t="shared" si="924"/>
        <v>100</v>
      </c>
    </row>
    <row r="1791" spans="1:13">
      <c r="A1791" s="60" t="s">
        <v>68</v>
      </c>
      <c r="B1791" s="29" t="s">
        <v>741</v>
      </c>
      <c r="C1791" s="29" t="s">
        <v>148</v>
      </c>
      <c r="D1791" s="29" t="s">
        <v>150</v>
      </c>
      <c r="E1791" s="29" t="s">
        <v>792</v>
      </c>
      <c r="F1791" s="29" t="s">
        <v>69</v>
      </c>
      <c r="G1791" s="36">
        <f>G1792</f>
        <v>722248.7</v>
      </c>
      <c r="H1791" s="36">
        <f t="shared" ref="H1791:K1791" si="933">H1792</f>
        <v>722248.74</v>
      </c>
      <c r="I1791" s="36">
        <f t="shared" si="933"/>
        <v>321265.82832999999</v>
      </c>
      <c r="J1791" s="36">
        <f t="shared" si="933"/>
        <v>321265.82825000002</v>
      </c>
      <c r="K1791" s="36">
        <f t="shared" si="933"/>
        <v>321265.52824999997</v>
      </c>
      <c r="L1791" s="36">
        <f t="shared" si="923"/>
        <v>44.481286080194479</v>
      </c>
      <c r="M1791" s="36">
        <f t="shared" si="924"/>
        <v>99.999906594485452</v>
      </c>
    </row>
    <row r="1792" spans="1:13" ht="25.5">
      <c r="A1792" s="60" t="s">
        <v>151</v>
      </c>
      <c r="B1792" s="29" t="s">
        <v>741</v>
      </c>
      <c r="C1792" s="29" t="s">
        <v>148</v>
      </c>
      <c r="D1792" s="29" t="s">
        <v>150</v>
      </c>
      <c r="E1792" s="29" t="s">
        <v>792</v>
      </c>
      <c r="F1792" s="29" t="s">
        <v>152</v>
      </c>
      <c r="G1792" s="36">
        <v>722248.7</v>
      </c>
      <c r="H1792" s="36">
        <v>722248.74</v>
      </c>
      <c r="I1792" s="36">
        <v>321265.82832999999</v>
      </c>
      <c r="J1792" s="36">
        <v>321265.82825000002</v>
      </c>
      <c r="K1792" s="36">
        <v>321265.52824999997</v>
      </c>
      <c r="L1792" s="36">
        <f t="shared" si="923"/>
        <v>44.481286080194479</v>
      </c>
      <c r="M1792" s="36">
        <f t="shared" si="924"/>
        <v>99.999906594485452</v>
      </c>
    </row>
    <row r="1793" spans="1:13" ht="51">
      <c r="A1793" s="60" t="s">
        <v>793</v>
      </c>
      <c r="B1793" s="29" t="s">
        <v>741</v>
      </c>
      <c r="C1793" s="29" t="s">
        <v>148</v>
      </c>
      <c r="D1793" s="29" t="s">
        <v>150</v>
      </c>
      <c r="E1793" s="29" t="s">
        <v>794</v>
      </c>
      <c r="F1793" s="59" t="s">
        <v>0</v>
      </c>
      <c r="G1793" s="36">
        <f>G1794+G1796</f>
        <v>105784.5</v>
      </c>
      <c r="H1793" s="36">
        <f t="shared" ref="H1793:K1793" si="934">H1794+H1796</f>
        <v>105784.5</v>
      </c>
      <c r="I1793" s="36">
        <f t="shared" si="934"/>
        <v>104999.04900999999</v>
      </c>
      <c r="J1793" s="36">
        <f t="shared" si="934"/>
        <v>104997.70136000001</v>
      </c>
      <c r="K1793" s="36">
        <f t="shared" si="934"/>
        <v>104997.70136000001</v>
      </c>
      <c r="L1793" s="36">
        <f t="shared" si="923"/>
        <v>99.256225023514787</v>
      </c>
      <c r="M1793" s="36">
        <f t="shared" si="924"/>
        <v>99.998716512184927</v>
      </c>
    </row>
    <row r="1794" spans="1:13" ht="25.5">
      <c r="A1794" s="60" t="s">
        <v>64</v>
      </c>
      <c r="B1794" s="29" t="s">
        <v>741</v>
      </c>
      <c r="C1794" s="29" t="s">
        <v>148</v>
      </c>
      <c r="D1794" s="29" t="s">
        <v>150</v>
      </c>
      <c r="E1794" s="29" t="s">
        <v>794</v>
      </c>
      <c r="F1794" s="29" t="s">
        <v>65</v>
      </c>
      <c r="G1794" s="36">
        <f>G1795</f>
        <v>1350.9</v>
      </c>
      <c r="H1794" s="36">
        <f t="shared" ref="H1794:K1794" si="935">H1795</f>
        <v>1350.9</v>
      </c>
      <c r="I1794" s="36">
        <f t="shared" si="935"/>
        <v>1340.4824000000001</v>
      </c>
      <c r="J1794" s="36">
        <f t="shared" si="935"/>
        <v>1340.4276600000001</v>
      </c>
      <c r="K1794" s="36">
        <f t="shared" si="935"/>
        <v>1340.4276600000001</v>
      </c>
      <c r="L1794" s="36">
        <f t="shared" si="923"/>
        <v>99.22478791916501</v>
      </c>
      <c r="M1794" s="36">
        <f t="shared" si="924"/>
        <v>99.995916395470758</v>
      </c>
    </row>
    <row r="1795" spans="1:13" ht="25.5">
      <c r="A1795" s="60" t="s">
        <v>66</v>
      </c>
      <c r="B1795" s="29" t="s">
        <v>741</v>
      </c>
      <c r="C1795" s="29" t="s">
        <v>148</v>
      </c>
      <c r="D1795" s="29" t="s">
        <v>150</v>
      </c>
      <c r="E1795" s="29" t="s">
        <v>794</v>
      </c>
      <c r="F1795" s="29" t="s">
        <v>67</v>
      </c>
      <c r="G1795" s="36">
        <v>1350.9</v>
      </c>
      <c r="H1795" s="36">
        <v>1350.9</v>
      </c>
      <c r="I1795" s="36">
        <v>1340.4824000000001</v>
      </c>
      <c r="J1795" s="36">
        <v>1340.4276600000001</v>
      </c>
      <c r="K1795" s="36">
        <v>1340.4276600000001</v>
      </c>
      <c r="L1795" s="36">
        <f t="shared" si="923"/>
        <v>99.22478791916501</v>
      </c>
      <c r="M1795" s="36">
        <f t="shared" si="924"/>
        <v>99.995916395470758</v>
      </c>
    </row>
    <row r="1796" spans="1:13">
      <c r="A1796" s="60" t="s">
        <v>68</v>
      </c>
      <c r="B1796" s="29" t="s">
        <v>741</v>
      </c>
      <c r="C1796" s="29" t="s">
        <v>148</v>
      </c>
      <c r="D1796" s="29" t="s">
        <v>150</v>
      </c>
      <c r="E1796" s="29" t="s">
        <v>794</v>
      </c>
      <c r="F1796" s="29" t="s">
        <v>69</v>
      </c>
      <c r="G1796" s="36">
        <f>G1797</f>
        <v>104433.60000000001</v>
      </c>
      <c r="H1796" s="36">
        <f t="shared" ref="H1796:K1796" si="936">H1797</f>
        <v>104433.60000000001</v>
      </c>
      <c r="I1796" s="36">
        <f t="shared" si="936"/>
        <v>103658.56660999999</v>
      </c>
      <c r="J1796" s="36">
        <f t="shared" si="936"/>
        <v>103657.27370000001</v>
      </c>
      <c r="K1796" s="36">
        <f t="shared" si="936"/>
        <v>103657.27370000001</v>
      </c>
      <c r="L1796" s="36">
        <f t="shared" si="923"/>
        <v>99.256631677927416</v>
      </c>
      <c r="M1796" s="36">
        <f t="shared" si="924"/>
        <v>99.99875272247894</v>
      </c>
    </row>
    <row r="1797" spans="1:13" ht="25.5">
      <c r="A1797" s="60" t="s">
        <v>463</v>
      </c>
      <c r="B1797" s="29" t="s">
        <v>741</v>
      </c>
      <c r="C1797" s="29" t="s">
        <v>148</v>
      </c>
      <c r="D1797" s="29" t="s">
        <v>150</v>
      </c>
      <c r="E1797" s="29" t="s">
        <v>794</v>
      </c>
      <c r="F1797" s="29" t="s">
        <v>464</v>
      </c>
      <c r="G1797" s="36">
        <v>104433.60000000001</v>
      </c>
      <c r="H1797" s="36">
        <v>104433.60000000001</v>
      </c>
      <c r="I1797" s="36">
        <v>103658.56660999999</v>
      </c>
      <c r="J1797" s="36">
        <v>103657.27370000001</v>
      </c>
      <c r="K1797" s="36">
        <v>103657.27370000001</v>
      </c>
      <c r="L1797" s="36">
        <f t="shared" si="923"/>
        <v>99.256631677927416</v>
      </c>
      <c r="M1797" s="36">
        <f t="shared" si="924"/>
        <v>99.99875272247894</v>
      </c>
    </row>
    <row r="1798" spans="1:13" ht="76.5">
      <c r="A1798" s="60" t="s">
        <v>795</v>
      </c>
      <c r="B1798" s="29" t="s">
        <v>741</v>
      </c>
      <c r="C1798" s="29" t="s">
        <v>148</v>
      </c>
      <c r="D1798" s="29" t="s">
        <v>150</v>
      </c>
      <c r="E1798" s="29" t="s">
        <v>796</v>
      </c>
      <c r="F1798" s="59" t="s">
        <v>0</v>
      </c>
      <c r="G1798" s="36">
        <f>G1799+G1801</f>
        <v>77.400000000000006</v>
      </c>
      <c r="H1798" s="36">
        <f t="shared" ref="H1798:K1798" si="937">H1799+H1801</f>
        <v>77.400000000000006</v>
      </c>
      <c r="I1798" s="36">
        <f t="shared" si="937"/>
        <v>16.75347</v>
      </c>
      <c r="J1798" s="36">
        <f t="shared" si="937"/>
        <v>16.75347</v>
      </c>
      <c r="K1798" s="36">
        <f t="shared" si="937"/>
        <v>16.75347</v>
      </c>
      <c r="L1798" s="36">
        <f t="shared" si="923"/>
        <v>21.64531007751938</v>
      </c>
      <c r="M1798" s="36">
        <f t="shared" si="924"/>
        <v>100</v>
      </c>
    </row>
    <row r="1799" spans="1:13" ht="25.5">
      <c r="A1799" s="60" t="s">
        <v>64</v>
      </c>
      <c r="B1799" s="29" t="s">
        <v>741</v>
      </c>
      <c r="C1799" s="29" t="s">
        <v>148</v>
      </c>
      <c r="D1799" s="29" t="s">
        <v>150</v>
      </c>
      <c r="E1799" s="29" t="s">
        <v>796</v>
      </c>
      <c r="F1799" s="29" t="s">
        <v>65</v>
      </c>
      <c r="G1799" s="36">
        <f>G1800</f>
        <v>0.2</v>
      </c>
      <c r="H1799" s="36">
        <f t="shared" ref="H1799:K1799" si="938">H1800</f>
        <v>0.2</v>
      </c>
      <c r="I1799" s="36">
        <f t="shared" si="938"/>
        <v>0.16589999999999999</v>
      </c>
      <c r="J1799" s="36">
        <f t="shared" si="938"/>
        <v>0.16589999999999999</v>
      </c>
      <c r="K1799" s="36">
        <f t="shared" si="938"/>
        <v>0.16589999999999999</v>
      </c>
      <c r="L1799" s="36">
        <f t="shared" si="923"/>
        <v>82.949999999999989</v>
      </c>
      <c r="M1799" s="36">
        <f t="shared" si="924"/>
        <v>100</v>
      </c>
    </row>
    <row r="1800" spans="1:13" ht="25.5">
      <c r="A1800" s="60" t="s">
        <v>66</v>
      </c>
      <c r="B1800" s="29" t="s">
        <v>741</v>
      </c>
      <c r="C1800" s="29" t="s">
        <v>148</v>
      </c>
      <c r="D1800" s="29" t="s">
        <v>150</v>
      </c>
      <c r="E1800" s="29" t="s">
        <v>796</v>
      </c>
      <c r="F1800" s="29" t="s">
        <v>67</v>
      </c>
      <c r="G1800" s="36">
        <v>0.2</v>
      </c>
      <c r="H1800" s="36">
        <v>0.2</v>
      </c>
      <c r="I1800" s="36">
        <v>0.16589999999999999</v>
      </c>
      <c r="J1800" s="36">
        <v>0.16589999999999999</v>
      </c>
      <c r="K1800" s="36">
        <v>0.16589999999999999</v>
      </c>
      <c r="L1800" s="36">
        <f t="shared" si="923"/>
        <v>82.949999999999989</v>
      </c>
      <c r="M1800" s="36">
        <f t="shared" si="924"/>
        <v>100</v>
      </c>
    </row>
    <row r="1801" spans="1:13">
      <c r="A1801" s="60" t="s">
        <v>68</v>
      </c>
      <c r="B1801" s="29" t="s">
        <v>741</v>
      </c>
      <c r="C1801" s="29" t="s">
        <v>148</v>
      </c>
      <c r="D1801" s="29" t="s">
        <v>150</v>
      </c>
      <c r="E1801" s="29" t="s">
        <v>796</v>
      </c>
      <c r="F1801" s="29" t="s">
        <v>69</v>
      </c>
      <c r="G1801" s="36">
        <f>G1802</f>
        <v>77.2</v>
      </c>
      <c r="H1801" s="36">
        <f t="shared" ref="H1801:K1801" si="939">H1802</f>
        <v>77.2</v>
      </c>
      <c r="I1801" s="36">
        <f t="shared" si="939"/>
        <v>16.587569999999999</v>
      </c>
      <c r="J1801" s="36">
        <f t="shared" si="939"/>
        <v>16.587569999999999</v>
      </c>
      <c r="K1801" s="36">
        <f t="shared" si="939"/>
        <v>16.587569999999999</v>
      </c>
      <c r="L1801" s="36">
        <f t="shared" si="923"/>
        <v>21.486489637305699</v>
      </c>
      <c r="M1801" s="36">
        <f t="shared" si="924"/>
        <v>100</v>
      </c>
    </row>
    <row r="1802" spans="1:13" ht="25.5">
      <c r="A1802" s="60" t="s">
        <v>463</v>
      </c>
      <c r="B1802" s="29" t="s">
        <v>741</v>
      </c>
      <c r="C1802" s="29" t="s">
        <v>148</v>
      </c>
      <c r="D1802" s="29" t="s">
        <v>150</v>
      </c>
      <c r="E1802" s="29" t="s">
        <v>796</v>
      </c>
      <c r="F1802" s="29" t="s">
        <v>464</v>
      </c>
      <c r="G1802" s="36">
        <v>77.2</v>
      </c>
      <c r="H1802" s="36">
        <v>77.2</v>
      </c>
      <c r="I1802" s="36">
        <v>16.587569999999999</v>
      </c>
      <c r="J1802" s="36">
        <v>16.587569999999999</v>
      </c>
      <c r="K1802" s="36">
        <v>16.587569999999999</v>
      </c>
      <c r="L1802" s="36">
        <f t="shared" si="923"/>
        <v>21.486489637305699</v>
      </c>
      <c r="M1802" s="36">
        <f t="shared" si="924"/>
        <v>100</v>
      </c>
    </row>
    <row r="1803" spans="1:13" ht="25.5">
      <c r="A1803" s="60" t="s">
        <v>797</v>
      </c>
      <c r="B1803" s="29" t="s">
        <v>741</v>
      </c>
      <c r="C1803" s="29" t="s">
        <v>148</v>
      </c>
      <c r="D1803" s="29" t="s">
        <v>150</v>
      </c>
      <c r="E1803" s="29" t="s">
        <v>798</v>
      </c>
      <c r="F1803" s="59" t="s">
        <v>0</v>
      </c>
      <c r="G1803" s="36">
        <f>G1804+G1806</f>
        <v>880598.6</v>
      </c>
      <c r="H1803" s="36">
        <f t="shared" ref="H1803:K1803" si="940">H1804+H1806</f>
        <v>880598.6</v>
      </c>
      <c r="I1803" s="36">
        <f t="shared" si="940"/>
        <v>604189.23410999996</v>
      </c>
      <c r="J1803" s="36">
        <f t="shared" si="940"/>
        <v>604189.23410999996</v>
      </c>
      <c r="K1803" s="36">
        <f t="shared" si="940"/>
        <v>604189.23405999993</v>
      </c>
      <c r="L1803" s="36">
        <f t="shared" si="923"/>
        <v>68.611196299880547</v>
      </c>
      <c r="M1803" s="36">
        <f t="shared" si="924"/>
        <v>99.999999991724437</v>
      </c>
    </row>
    <row r="1804" spans="1:13" ht="25.5">
      <c r="A1804" s="60" t="s">
        <v>64</v>
      </c>
      <c r="B1804" s="29" t="s">
        <v>741</v>
      </c>
      <c r="C1804" s="29" t="s">
        <v>148</v>
      </c>
      <c r="D1804" s="29" t="s">
        <v>150</v>
      </c>
      <c r="E1804" s="29" t="s">
        <v>798</v>
      </c>
      <c r="F1804" s="29" t="s">
        <v>65</v>
      </c>
      <c r="G1804" s="36">
        <f>G1805</f>
        <v>14500</v>
      </c>
      <c r="H1804" s="36">
        <f t="shared" ref="H1804:K1804" si="941">H1805</f>
        <v>14500</v>
      </c>
      <c r="I1804" s="36">
        <f t="shared" si="941"/>
        <v>8619.9339199999995</v>
      </c>
      <c r="J1804" s="36">
        <f t="shared" si="941"/>
        <v>8619.9339199999995</v>
      </c>
      <c r="K1804" s="36">
        <f t="shared" si="941"/>
        <v>8619.9339</v>
      </c>
      <c r="L1804" s="36">
        <f t="shared" si="923"/>
        <v>59.447819999999993</v>
      </c>
      <c r="M1804" s="36">
        <f t="shared" si="924"/>
        <v>99.999999767979659</v>
      </c>
    </row>
    <row r="1805" spans="1:13" ht="25.5">
      <c r="A1805" s="60" t="s">
        <v>66</v>
      </c>
      <c r="B1805" s="29" t="s">
        <v>741</v>
      </c>
      <c r="C1805" s="29" t="s">
        <v>148</v>
      </c>
      <c r="D1805" s="29" t="s">
        <v>150</v>
      </c>
      <c r="E1805" s="29" t="s">
        <v>798</v>
      </c>
      <c r="F1805" s="29" t="s">
        <v>67</v>
      </c>
      <c r="G1805" s="36">
        <v>14500</v>
      </c>
      <c r="H1805" s="36">
        <v>14500</v>
      </c>
      <c r="I1805" s="36">
        <v>8619.9339199999995</v>
      </c>
      <c r="J1805" s="36">
        <v>8619.9339199999995</v>
      </c>
      <c r="K1805" s="36">
        <v>8619.9339</v>
      </c>
      <c r="L1805" s="36">
        <f t="shared" si="923"/>
        <v>59.447819999999993</v>
      </c>
      <c r="M1805" s="36">
        <f t="shared" si="924"/>
        <v>99.999999767979659</v>
      </c>
    </row>
    <row r="1806" spans="1:13">
      <c r="A1806" s="60" t="s">
        <v>68</v>
      </c>
      <c r="B1806" s="29" t="s">
        <v>741</v>
      </c>
      <c r="C1806" s="29" t="s">
        <v>148</v>
      </c>
      <c r="D1806" s="29" t="s">
        <v>150</v>
      </c>
      <c r="E1806" s="29" t="s">
        <v>798</v>
      </c>
      <c r="F1806" s="29" t="s">
        <v>69</v>
      </c>
      <c r="G1806" s="36">
        <f>G1807</f>
        <v>866098.6</v>
      </c>
      <c r="H1806" s="36">
        <f t="shared" ref="H1806:K1806" si="942">H1807</f>
        <v>866098.6</v>
      </c>
      <c r="I1806" s="36">
        <f t="shared" si="942"/>
        <v>595569.30018999998</v>
      </c>
      <c r="J1806" s="36">
        <f t="shared" si="942"/>
        <v>595569.30018999998</v>
      </c>
      <c r="K1806" s="36">
        <f t="shared" si="942"/>
        <v>595569.30015999998</v>
      </c>
      <c r="L1806" s="36">
        <f t="shared" si="923"/>
        <v>68.764607189066012</v>
      </c>
      <c r="M1806" s="36">
        <f t="shared" si="924"/>
        <v>99.999999994962806</v>
      </c>
    </row>
    <row r="1807" spans="1:13" ht="25.5">
      <c r="A1807" s="60" t="s">
        <v>151</v>
      </c>
      <c r="B1807" s="29" t="s">
        <v>741</v>
      </c>
      <c r="C1807" s="29" t="s">
        <v>148</v>
      </c>
      <c r="D1807" s="29" t="s">
        <v>150</v>
      </c>
      <c r="E1807" s="29" t="s">
        <v>798</v>
      </c>
      <c r="F1807" s="29" t="s">
        <v>152</v>
      </c>
      <c r="G1807" s="36">
        <v>866098.6</v>
      </c>
      <c r="H1807" s="36">
        <v>866098.6</v>
      </c>
      <c r="I1807" s="36">
        <v>595569.30018999998</v>
      </c>
      <c r="J1807" s="36">
        <v>595569.30018999998</v>
      </c>
      <c r="K1807" s="36">
        <v>595569.30015999998</v>
      </c>
      <c r="L1807" s="36">
        <f t="shared" si="923"/>
        <v>68.764607189066012</v>
      </c>
      <c r="M1807" s="36">
        <f t="shared" si="924"/>
        <v>99.999999994962806</v>
      </c>
    </row>
    <row r="1808" spans="1:13" ht="89.25">
      <c r="A1808" s="60" t="s">
        <v>799</v>
      </c>
      <c r="B1808" s="29" t="s">
        <v>741</v>
      </c>
      <c r="C1808" s="29" t="s">
        <v>148</v>
      </c>
      <c r="D1808" s="29" t="s">
        <v>150</v>
      </c>
      <c r="E1808" s="29" t="s">
        <v>800</v>
      </c>
      <c r="F1808" s="59" t="s">
        <v>0</v>
      </c>
      <c r="G1808" s="36">
        <f>G1809+G1811</f>
        <v>180.9</v>
      </c>
      <c r="H1808" s="36">
        <f t="shared" ref="H1808:K1808" si="943">H1809+H1811</f>
        <v>180.89999999999998</v>
      </c>
      <c r="I1808" s="36">
        <f t="shared" si="943"/>
        <v>180.89991999999998</v>
      </c>
      <c r="J1808" s="36">
        <f t="shared" si="943"/>
        <v>180.89813000000001</v>
      </c>
      <c r="K1808" s="36">
        <f t="shared" si="943"/>
        <v>180.89765</v>
      </c>
      <c r="L1808" s="36">
        <f t="shared" si="923"/>
        <v>99.998700939745731</v>
      </c>
      <c r="M1808" s="36">
        <f t="shared" si="924"/>
        <v>99.998745162518603</v>
      </c>
    </row>
    <row r="1809" spans="1:13" ht="25.5">
      <c r="A1809" s="60" t="s">
        <v>64</v>
      </c>
      <c r="B1809" s="29" t="s">
        <v>741</v>
      </c>
      <c r="C1809" s="29" t="s">
        <v>148</v>
      </c>
      <c r="D1809" s="29" t="s">
        <v>150</v>
      </c>
      <c r="E1809" s="29" t="s">
        <v>800</v>
      </c>
      <c r="F1809" s="29" t="s">
        <v>65</v>
      </c>
      <c r="G1809" s="36">
        <f>G1810</f>
        <v>5.3</v>
      </c>
      <c r="H1809" s="36">
        <f t="shared" ref="H1809:K1809" si="944">H1810</f>
        <v>1.325</v>
      </c>
      <c r="I1809" s="36">
        <f t="shared" si="944"/>
        <v>1.3249200000000001</v>
      </c>
      <c r="J1809" s="36">
        <f t="shared" si="944"/>
        <v>1.32362</v>
      </c>
      <c r="K1809" s="36">
        <f t="shared" si="944"/>
        <v>1.32362</v>
      </c>
      <c r="L1809" s="36">
        <f t="shared" si="923"/>
        <v>99.89584905660378</v>
      </c>
      <c r="M1809" s="36">
        <f t="shared" si="924"/>
        <v>99.901880868278838</v>
      </c>
    </row>
    <row r="1810" spans="1:13" ht="25.5">
      <c r="A1810" s="60" t="s">
        <v>66</v>
      </c>
      <c r="B1810" s="29" t="s">
        <v>741</v>
      </c>
      <c r="C1810" s="29" t="s">
        <v>148</v>
      </c>
      <c r="D1810" s="29" t="s">
        <v>150</v>
      </c>
      <c r="E1810" s="29" t="s">
        <v>800</v>
      </c>
      <c r="F1810" s="29" t="s">
        <v>67</v>
      </c>
      <c r="G1810" s="36">
        <v>5.3</v>
      </c>
      <c r="H1810" s="36">
        <v>1.325</v>
      </c>
      <c r="I1810" s="36">
        <v>1.3249200000000001</v>
      </c>
      <c r="J1810" s="36">
        <v>1.32362</v>
      </c>
      <c r="K1810" s="36">
        <v>1.32362</v>
      </c>
      <c r="L1810" s="36">
        <f t="shared" si="923"/>
        <v>99.89584905660378</v>
      </c>
      <c r="M1810" s="36">
        <f t="shared" si="924"/>
        <v>99.901880868278838</v>
      </c>
    </row>
    <row r="1811" spans="1:13">
      <c r="A1811" s="60" t="s">
        <v>68</v>
      </c>
      <c r="B1811" s="29" t="s">
        <v>741</v>
      </c>
      <c r="C1811" s="29" t="s">
        <v>148</v>
      </c>
      <c r="D1811" s="29" t="s">
        <v>150</v>
      </c>
      <c r="E1811" s="29" t="s">
        <v>800</v>
      </c>
      <c r="F1811" s="29" t="s">
        <v>69</v>
      </c>
      <c r="G1811" s="36">
        <f>G1812</f>
        <v>175.6</v>
      </c>
      <c r="H1811" s="36">
        <f t="shared" ref="H1811:K1811" si="945">H1812</f>
        <v>179.57499999999999</v>
      </c>
      <c r="I1811" s="36">
        <f t="shared" si="945"/>
        <v>179.57499999999999</v>
      </c>
      <c r="J1811" s="36">
        <f t="shared" si="945"/>
        <v>179.57451</v>
      </c>
      <c r="K1811" s="36">
        <f t="shared" si="945"/>
        <v>179.57402999999999</v>
      </c>
      <c r="L1811" s="36">
        <f t="shared" si="923"/>
        <v>99.999459835723243</v>
      </c>
      <c r="M1811" s="36">
        <f t="shared" si="924"/>
        <v>99.999459835723243</v>
      </c>
    </row>
    <row r="1812" spans="1:13" ht="25.5">
      <c r="A1812" s="60" t="s">
        <v>463</v>
      </c>
      <c r="B1812" s="29" t="s">
        <v>741</v>
      </c>
      <c r="C1812" s="29" t="s">
        <v>148</v>
      </c>
      <c r="D1812" s="29" t="s">
        <v>150</v>
      </c>
      <c r="E1812" s="29" t="s">
        <v>800</v>
      </c>
      <c r="F1812" s="29" t="s">
        <v>464</v>
      </c>
      <c r="G1812" s="36">
        <v>175.6</v>
      </c>
      <c r="H1812" s="36">
        <v>179.57499999999999</v>
      </c>
      <c r="I1812" s="36">
        <v>179.57499999999999</v>
      </c>
      <c r="J1812" s="36">
        <v>179.57451</v>
      </c>
      <c r="K1812" s="36">
        <v>179.57402999999999</v>
      </c>
      <c r="L1812" s="36">
        <f t="shared" si="923"/>
        <v>99.999459835723243</v>
      </c>
      <c r="M1812" s="36">
        <f t="shared" si="924"/>
        <v>99.999459835723243</v>
      </c>
    </row>
    <row r="1813" spans="1:13" ht="25.5">
      <c r="A1813" s="60" t="s">
        <v>774</v>
      </c>
      <c r="B1813" s="29" t="s">
        <v>741</v>
      </c>
      <c r="C1813" s="29" t="s">
        <v>148</v>
      </c>
      <c r="D1813" s="29" t="s">
        <v>150</v>
      </c>
      <c r="E1813" s="29" t="s">
        <v>801</v>
      </c>
      <c r="F1813" s="59" t="s">
        <v>0</v>
      </c>
      <c r="G1813" s="36">
        <f>G1814</f>
        <v>40</v>
      </c>
      <c r="H1813" s="36">
        <f t="shared" ref="H1813:K1814" si="946">H1814</f>
        <v>40</v>
      </c>
      <c r="I1813" s="36">
        <f t="shared" si="946"/>
        <v>4</v>
      </c>
      <c r="J1813" s="36">
        <f t="shared" si="946"/>
        <v>3.2</v>
      </c>
      <c r="K1813" s="36">
        <f t="shared" si="946"/>
        <v>3.2</v>
      </c>
      <c r="L1813" s="36">
        <f t="shared" si="923"/>
        <v>8</v>
      </c>
      <c r="M1813" s="36">
        <f t="shared" si="924"/>
        <v>80</v>
      </c>
    </row>
    <row r="1814" spans="1:13" ht="25.5">
      <c r="A1814" s="60" t="s">
        <v>64</v>
      </c>
      <c r="B1814" s="29" t="s">
        <v>741</v>
      </c>
      <c r="C1814" s="29" t="s">
        <v>148</v>
      </c>
      <c r="D1814" s="29" t="s">
        <v>150</v>
      </c>
      <c r="E1814" s="29" t="s">
        <v>801</v>
      </c>
      <c r="F1814" s="29" t="s">
        <v>65</v>
      </c>
      <c r="G1814" s="36">
        <f>G1815</f>
        <v>40</v>
      </c>
      <c r="H1814" s="36">
        <f t="shared" si="946"/>
        <v>40</v>
      </c>
      <c r="I1814" s="36">
        <f t="shared" si="946"/>
        <v>4</v>
      </c>
      <c r="J1814" s="36">
        <f t="shared" si="946"/>
        <v>3.2</v>
      </c>
      <c r="K1814" s="36">
        <f t="shared" si="946"/>
        <v>3.2</v>
      </c>
      <c r="L1814" s="36">
        <f t="shared" si="923"/>
        <v>8</v>
      </c>
      <c r="M1814" s="36">
        <f t="shared" si="924"/>
        <v>80</v>
      </c>
    </row>
    <row r="1815" spans="1:13" ht="25.5">
      <c r="A1815" s="60" t="s">
        <v>66</v>
      </c>
      <c r="B1815" s="29" t="s">
        <v>741</v>
      </c>
      <c r="C1815" s="29" t="s">
        <v>148</v>
      </c>
      <c r="D1815" s="29" t="s">
        <v>150</v>
      </c>
      <c r="E1815" s="29" t="s">
        <v>801</v>
      </c>
      <c r="F1815" s="29" t="s">
        <v>67</v>
      </c>
      <c r="G1815" s="36">
        <v>40</v>
      </c>
      <c r="H1815" s="36">
        <v>40</v>
      </c>
      <c r="I1815" s="36">
        <v>4</v>
      </c>
      <c r="J1815" s="36">
        <v>3.2</v>
      </c>
      <c r="K1815" s="36">
        <v>3.2</v>
      </c>
      <c r="L1815" s="36">
        <f t="shared" si="923"/>
        <v>8</v>
      </c>
      <c r="M1815" s="36">
        <f t="shared" si="924"/>
        <v>80</v>
      </c>
    </row>
    <row r="1816" spans="1:13" ht="25.5">
      <c r="A1816" s="60" t="s">
        <v>802</v>
      </c>
      <c r="B1816" s="29" t="s">
        <v>741</v>
      </c>
      <c r="C1816" s="29" t="s">
        <v>148</v>
      </c>
      <c r="D1816" s="29" t="s">
        <v>150</v>
      </c>
      <c r="E1816" s="29" t="s">
        <v>803</v>
      </c>
      <c r="F1816" s="59" t="s">
        <v>0</v>
      </c>
      <c r="G1816" s="36">
        <f>G1817+G1819</f>
        <v>225013.2</v>
      </c>
      <c r="H1816" s="36">
        <f t="shared" ref="H1816:K1816" si="947">H1817+H1819</f>
        <v>225013.21400000001</v>
      </c>
      <c r="I1816" s="36">
        <f t="shared" si="947"/>
        <v>225013.21400000001</v>
      </c>
      <c r="J1816" s="36">
        <f t="shared" si="947"/>
        <v>224917.49799999999</v>
      </c>
      <c r="K1816" s="36">
        <f t="shared" si="947"/>
        <v>224909.68569000001</v>
      </c>
      <c r="L1816" s="36">
        <f t="shared" si="923"/>
        <v>99.95399011988691</v>
      </c>
      <c r="M1816" s="36">
        <f t="shared" si="924"/>
        <v>99.95399011988691</v>
      </c>
    </row>
    <row r="1817" spans="1:13" ht="25.5">
      <c r="A1817" s="60" t="s">
        <v>64</v>
      </c>
      <c r="B1817" s="29" t="s">
        <v>741</v>
      </c>
      <c r="C1817" s="29" t="s">
        <v>148</v>
      </c>
      <c r="D1817" s="29" t="s">
        <v>150</v>
      </c>
      <c r="E1817" s="29" t="s">
        <v>803</v>
      </c>
      <c r="F1817" s="29" t="s">
        <v>65</v>
      </c>
      <c r="G1817" s="36">
        <f>G1818</f>
        <v>3016</v>
      </c>
      <c r="H1817" s="36">
        <f t="shared" ref="H1817:K1817" si="948">H1818</f>
        <v>2325.25</v>
      </c>
      <c r="I1817" s="36">
        <f t="shared" si="948"/>
        <v>2325.25</v>
      </c>
      <c r="J1817" s="36">
        <f t="shared" si="948"/>
        <v>2325.25</v>
      </c>
      <c r="K1817" s="36">
        <f t="shared" si="948"/>
        <v>2324.64066</v>
      </c>
      <c r="L1817" s="36">
        <f t="shared" si="923"/>
        <v>99.97379464573703</v>
      </c>
      <c r="M1817" s="36">
        <f t="shared" si="924"/>
        <v>99.97379464573703</v>
      </c>
    </row>
    <row r="1818" spans="1:13" ht="25.5">
      <c r="A1818" s="60" t="s">
        <v>66</v>
      </c>
      <c r="B1818" s="29" t="s">
        <v>741</v>
      </c>
      <c r="C1818" s="29" t="s">
        <v>148</v>
      </c>
      <c r="D1818" s="29" t="s">
        <v>150</v>
      </c>
      <c r="E1818" s="29" t="s">
        <v>803</v>
      </c>
      <c r="F1818" s="29" t="s">
        <v>67</v>
      </c>
      <c r="G1818" s="36">
        <v>3016</v>
      </c>
      <c r="H1818" s="36">
        <v>2325.25</v>
      </c>
      <c r="I1818" s="36">
        <v>2325.25</v>
      </c>
      <c r="J1818" s="36">
        <v>2325.25</v>
      </c>
      <c r="K1818" s="36">
        <v>2324.64066</v>
      </c>
      <c r="L1818" s="36">
        <f t="shared" si="923"/>
        <v>99.97379464573703</v>
      </c>
      <c r="M1818" s="36">
        <f t="shared" si="924"/>
        <v>99.97379464573703</v>
      </c>
    </row>
    <row r="1819" spans="1:13">
      <c r="A1819" s="60" t="s">
        <v>68</v>
      </c>
      <c r="B1819" s="29" t="s">
        <v>741</v>
      </c>
      <c r="C1819" s="29" t="s">
        <v>148</v>
      </c>
      <c r="D1819" s="29" t="s">
        <v>150</v>
      </c>
      <c r="E1819" s="29" t="s">
        <v>803</v>
      </c>
      <c r="F1819" s="29" t="s">
        <v>69</v>
      </c>
      <c r="G1819" s="36">
        <f>G1820</f>
        <v>221997.2</v>
      </c>
      <c r="H1819" s="36">
        <f t="shared" ref="H1819:K1819" si="949">H1820</f>
        <v>222687.96400000001</v>
      </c>
      <c r="I1819" s="36">
        <f t="shared" si="949"/>
        <v>222687.96400000001</v>
      </c>
      <c r="J1819" s="36">
        <f t="shared" si="949"/>
        <v>222592.24799999999</v>
      </c>
      <c r="K1819" s="36">
        <f t="shared" si="949"/>
        <v>222585.04503000001</v>
      </c>
      <c r="L1819" s="36">
        <f t="shared" si="923"/>
        <v>99.953783326161258</v>
      </c>
      <c r="M1819" s="36">
        <f t="shared" si="924"/>
        <v>99.953783326161258</v>
      </c>
    </row>
    <row r="1820" spans="1:13" ht="25.5">
      <c r="A1820" s="60" t="s">
        <v>151</v>
      </c>
      <c r="B1820" s="29" t="s">
        <v>741</v>
      </c>
      <c r="C1820" s="29" t="s">
        <v>148</v>
      </c>
      <c r="D1820" s="29" t="s">
        <v>150</v>
      </c>
      <c r="E1820" s="29" t="s">
        <v>803</v>
      </c>
      <c r="F1820" s="29" t="s">
        <v>152</v>
      </c>
      <c r="G1820" s="36">
        <v>221997.2</v>
      </c>
      <c r="H1820" s="36">
        <v>222687.96400000001</v>
      </c>
      <c r="I1820" s="36">
        <v>222687.96400000001</v>
      </c>
      <c r="J1820" s="36">
        <v>222592.24799999999</v>
      </c>
      <c r="K1820" s="36">
        <v>222585.04503000001</v>
      </c>
      <c r="L1820" s="36">
        <f t="shared" si="923"/>
        <v>99.953783326161258</v>
      </c>
      <c r="M1820" s="36">
        <f t="shared" si="924"/>
        <v>99.953783326161258</v>
      </c>
    </row>
    <row r="1821" spans="1:13" ht="38.25">
      <c r="A1821" s="60" t="s">
        <v>804</v>
      </c>
      <c r="B1821" s="29" t="s">
        <v>741</v>
      </c>
      <c r="C1821" s="29" t="s">
        <v>148</v>
      </c>
      <c r="D1821" s="29" t="s">
        <v>150</v>
      </c>
      <c r="E1821" s="29" t="s">
        <v>805</v>
      </c>
      <c r="F1821" s="59" t="s">
        <v>0</v>
      </c>
      <c r="G1821" s="36">
        <f>G1822+G1824</f>
        <v>11405.4</v>
      </c>
      <c r="H1821" s="36">
        <f t="shared" ref="H1821:K1821" si="950">H1822+H1824</f>
        <v>11405.388000000001</v>
      </c>
      <c r="I1821" s="36">
        <f t="shared" si="950"/>
        <v>5676.7203199999994</v>
      </c>
      <c r="J1821" s="36">
        <f t="shared" si="950"/>
        <v>5664.5730599999997</v>
      </c>
      <c r="K1821" s="36">
        <f t="shared" si="950"/>
        <v>5449.1154699999997</v>
      </c>
      <c r="L1821" s="36">
        <f t="shared" si="923"/>
        <v>47.776677742133799</v>
      </c>
      <c r="M1821" s="36">
        <f t="shared" si="924"/>
        <v>95.990557273041773</v>
      </c>
    </row>
    <row r="1822" spans="1:13" ht="25.5">
      <c r="A1822" s="60" t="s">
        <v>64</v>
      </c>
      <c r="B1822" s="29" t="s">
        <v>741</v>
      </c>
      <c r="C1822" s="29" t="s">
        <v>148</v>
      </c>
      <c r="D1822" s="29" t="s">
        <v>150</v>
      </c>
      <c r="E1822" s="29" t="s">
        <v>805</v>
      </c>
      <c r="F1822" s="29" t="s">
        <v>65</v>
      </c>
      <c r="G1822" s="36">
        <f>G1823</f>
        <v>139.1</v>
      </c>
      <c r="H1822" s="36">
        <f t="shared" ref="H1822:K1822" si="951">H1823</f>
        <v>139.13800000000001</v>
      </c>
      <c r="I1822" s="36">
        <f t="shared" si="951"/>
        <v>64.326359999999994</v>
      </c>
      <c r="J1822" s="36">
        <f t="shared" si="951"/>
        <v>64.326359999999994</v>
      </c>
      <c r="K1822" s="36">
        <f t="shared" si="951"/>
        <v>61.016640000000002</v>
      </c>
      <c r="L1822" s="36">
        <f t="shared" si="923"/>
        <v>43.853325475427276</v>
      </c>
      <c r="M1822" s="36">
        <f t="shared" si="924"/>
        <v>94.854799805243147</v>
      </c>
    </row>
    <row r="1823" spans="1:13" ht="25.5">
      <c r="A1823" s="60" t="s">
        <v>66</v>
      </c>
      <c r="B1823" s="29" t="s">
        <v>741</v>
      </c>
      <c r="C1823" s="29" t="s">
        <v>148</v>
      </c>
      <c r="D1823" s="29" t="s">
        <v>150</v>
      </c>
      <c r="E1823" s="29" t="s">
        <v>805</v>
      </c>
      <c r="F1823" s="29" t="s">
        <v>67</v>
      </c>
      <c r="G1823" s="36">
        <v>139.1</v>
      </c>
      <c r="H1823" s="36">
        <v>139.13800000000001</v>
      </c>
      <c r="I1823" s="36">
        <v>64.326359999999994</v>
      </c>
      <c r="J1823" s="36">
        <v>64.326359999999994</v>
      </c>
      <c r="K1823" s="36">
        <v>61.016640000000002</v>
      </c>
      <c r="L1823" s="36">
        <f t="shared" si="923"/>
        <v>43.853325475427276</v>
      </c>
      <c r="M1823" s="36">
        <f t="shared" si="924"/>
        <v>94.854799805243147</v>
      </c>
    </row>
    <row r="1824" spans="1:13">
      <c r="A1824" s="60" t="s">
        <v>68</v>
      </c>
      <c r="B1824" s="29" t="s">
        <v>741</v>
      </c>
      <c r="C1824" s="29" t="s">
        <v>148</v>
      </c>
      <c r="D1824" s="29" t="s">
        <v>150</v>
      </c>
      <c r="E1824" s="29" t="s">
        <v>805</v>
      </c>
      <c r="F1824" s="29" t="s">
        <v>69</v>
      </c>
      <c r="G1824" s="36">
        <f>G1825</f>
        <v>11266.3</v>
      </c>
      <c r="H1824" s="36">
        <f t="shared" ref="H1824:K1824" si="952">H1825</f>
        <v>11266.25</v>
      </c>
      <c r="I1824" s="36">
        <f t="shared" si="952"/>
        <v>5612.3939599999994</v>
      </c>
      <c r="J1824" s="36">
        <f t="shared" si="952"/>
        <v>5600.2466999999997</v>
      </c>
      <c r="K1824" s="36">
        <f t="shared" si="952"/>
        <v>5388.0988299999999</v>
      </c>
      <c r="L1824" s="36">
        <f t="shared" si="923"/>
        <v>47.825131077332742</v>
      </c>
      <c r="M1824" s="36">
        <f t="shared" si="924"/>
        <v>96.003574738363525</v>
      </c>
    </row>
    <row r="1825" spans="1:13" ht="25.5">
      <c r="A1825" s="60" t="s">
        <v>151</v>
      </c>
      <c r="B1825" s="29" t="s">
        <v>741</v>
      </c>
      <c r="C1825" s="29" t="s">
        <v>148</v>
      </c>
      <c r="D1825" s="29" t="s">
        <v>150</v>
      </c>
      <c r="E1825" s="29" t="s">
        <v>805</v>
      </c>
      <c r="F1825" s="29" t="s">
        <v>152</v>
      </c>
      <c r="G1825" s="36">
        <v>11266.3</v>
      </c>
      <c r="H1825" s="36">
        <v>11266.25</v>
      </c>
      <c r="I1825" s="36">
        <f>4735.82796+876.566</f>
        <v>5612.3939599999994</v>
      </c>
      <c r="J1825" s="36">
        <f>4735.82796+864.41874</f>
        <v>5600.2466999999997</v>
      </c>
      <c r="K1825" s="36">
        <f>4542.679+845.41983</f>
        <v>5388.0988299999999</v>
      </c>
      <c r="L1825" s="36">
        <f t="shared" si="923"/>
        <v>47.825131077332742</v>
      </c>
      <c r="M1825" s="36">
        <f t="shared" si="924"/>
        <v>96.003574738363525</v>
      </c>
    </row>
    <row r="1826" spans="1:13" ht="38.25">
      <c r="A1826" s="60" t="s">
        <v>806</v>
      </c>
      <c r="B1826" s="29" t="s">
        <v>741</v>
      </c>
      <c r="C1826" s="29" t="s">
        <v>148</v>
      </c>
      <c r="D1826" s="29" t="s">
        <v>150</v>
      </c>
      <c r="E1826" s="29" t="s">
        <v>807</v>
      </c>
      <c r="F1826" s="59" t="s">
        <v>0</v>
      </c>
      <c r="G1826" s="36">
        <f>G1827+G1829</f>
        <v>173621.90000000002</v>
      </c>
      <c r="H1826" s="36">
        <f t="shared" ref="H1826:K1826" si="953">H1827+H1829</f>
        <v>173621.899</v>
      </c>
      <c r="I1826" s="36">
        <f t="shared" si="953"/>
        <v>92849.758000000002</v>
      </c>
      <c r="J1826" s="36">
        <f t="shared" si="953"/>
        <v>92849.758000000002</v>
      </c>
      <c r="K1826" s="36">
        <f t="shared" si="953"/>
        <v>92770.250239999994</v>
      </c>
      <c r="L1826" s="36">
        <f t="shared" si="923"/>
        <v>53.432343946428084</v>
      </c>
      <c r="M1826" s="36">
        <f t="shared" si="924"/>
        <v>99.914369448329623</v>
      </c>
    </row>
    <row r="1827" spans="1:13" ht="25.5">
      <c r="A1827" s="60" t="s">
        <v>64</v>
      </c>
      <c r="B1827" s="29" t="s">
        <v>741</v>
      </c>
      <c r="C1827" s="29" t="s">
        <v>148</v>
      </c>
      <c r="D1827" s="29" t="s">
        <v>150</v>
      </c>
      <c r="E1827" s="29" t="s">
        <v>807</v>
      </c>
      <c r="F1827" s="29" t="s">
        <v>65</v>
      </c>
      <c r="G1827" s="36">
        <f>G1828</f>
        <v>2353.1999999999998</v>
      </c>
      <c r="H1827" s="36">
        <f t="shared" ref="H1827:K1827" si="954">H1828</f>
        <v>2353.2310000000002</v>
      </c>
      <c r="I1827" s="36">
        <f t="shared" si="954"/>
        <v>1241.25</v>
      </c>
      <c r="J1827" s="36">
        <f t="shared" si="954"/>
        <v>1241.25</v>
      </c>
      <c r="K1827" s="36">
        <f t="shared" si="954"/>
        <v>1190.9166</v>
      </c>
      <c r="L1827" s="36">
        <f t="shared" si="923"/>
        <v>50.607721893855718</v>
      </c>
      <c r="M1827" s="36">
        <f t="shared" si="924"/>
        <v>95.944942598187311</v>
      </c>
    </row>
    <row r="1828" spans="1:13" ht="25.5">
      <c r="A1828" s="60" t="s">
        <v>66</v>
      </c>
      <c r="B1828" s="29" t="s">
        <v>741</v>
      </c>
      <c r="C1828" s="29" t="s">
        <v>148</v>
      </c>
      <c r="D1828" s="29" t="s">
        <v>150</v>
      </c>
      <c r="E1828" s="29" t="s">
        <v>807</v>
      </c>
      <c r="F1828" s="29" t="s">
        <v>67</v>
      </c>
      <c r="G1828" s="36">
        <v>2353.1999999999998</v>
      </c>
      <c r="H1828" s="36">
        <v>2353.2310000000002</v>
      </c>
      <c r="I1828" s="36">
        <v>1241.25</v>
      </c>
      <c r="J1828" s="36">
        <v>1241.25</v>
      </c>
      <c r="K1828" s="36">
        <v>1190.9166</v>
      </c>
      <c r="L1828" s="36">
        <f t="shared" si="923"/>
        <v>50.607721893855718</v>
      </c>
      <c r="M1828" s="36">
        <f t="shared" si="924"/>
        <v>95.944942598187311</v>
      </c>
    </row>
    <row r="1829" spans="1:13">
      <c r="A1829" s="60" t="s">
        <v>68</v>
      </c>
      <c r="B1829" s="29" t="s">
        <v>741</v>
      </c>
      <c r="C1829" s="29" t="s">
        <v>148</v>
      </c>
      <c r="D1829" s="29" t="s">
        <v>150</v>
      </c>
      <c r="E1829" s="29" t="s">
        <v>807</v>
      </c>
      <c r="F1829" s="29" t="s">
        <v>69</v>
      </c>
      <c r="G1829" s="36">
        <f>G1830</f>
        <v>171268.7</v>
      </c>
      <c r="H1829" s="36">
        <f t="shared" ref="H1829:K1829" si="955">H1830</f>
        <v>171268.66800000001</v>
      </c>
      <c r="I1829" s="36">
        <f t="shared" si="955"/>
        <v>91608.508000000002</v>
      </c>
      <c r="J1829" s="36">
        <f t="shared" si="955"/>
        <v>91608.508000000002</v>
      </c>
      <c r="K1829" s="36">
        <f t="shared" si="955"/>
        <v>91579.333639999997</v>
      </c>
      <c r="L1829" s="36">
        <f t="shared" si="923"/>
        <v>53.47115424521197</v>
      </c>
      <c r="M1829" s="36">
        <f t="shared" si="924"/>
        <v>99.96815322000441</v>
      </c>
    </row>
    <row r="1830" spans="1:13" ht="25.5">
      <c r="A1830" s="60" t="s">
        <v>151</v>
      </c>
      <c r="B1830" s="29" t="s">
        <v>741</v>
      </c>
      <c r="C1830" s="29" t="s">
        <v>148</v>
      </c>
      <c r="D1830" s="29" t="s">
        <v>150</v>
      </c>
      <c r="E1830" s="29" t="s">
        <v>807</v>
      </c>
      <c r="F1830" s="29" t="s">
        <v>152</v>
      </c>
      <c r="G1830" s="36">
        <v>171268.7</v>
      </c>
      <c r="H1830" s="36">
        <v>171268.66800000001</v>
      </c>
      <c r="I1830" s="36">
        <v>91608.508000000002</v>
      </c>
      <c r="J1830" s="36">
        <v>91608.508000000002</v>
      </c>
      <c r="K1830" s="36">
        <v>91579.333639999997</v>
      </c>
      <c r="L1830" s="36">
        <f t="shared" si="923"/>
        <v>53.47115424521197</v>
      </c>
      <c r="M1830" s="36">
        <f t="shared" si="924"/>
        <v>99.96815322000441</v>
      </c>
    </row>
    <row r="1831" spans="1:13" ht="38.25">
      <c r="A1831" s="60" t="s">
        <v>808</v>
      </c>
      <c r="B1831" s="29" t="s">
        <v>741</v>
      </c>
      <c r="C1831" s="29" t="s">
        <v>148</v>
      </c>
      <c r="D1831" s="29" t="s">
        <v>150</v>
      </c>
      <c r="E1831" s="29" t="s">
        <v>809</v>
      </c>
      <c r="F1831" s="59" t="s">
        <v>0</v>
      </c>
      <c r="G1831" s="36">
        <f>G1832+G1834</f>
        <v>1722055.5999999999</v>
      </c>
      <c r="H1831" s="36">
        <f t="shared" ref="H1831:K1831" si="956">H1832+H1834</f>
        <v>1722055.6580000001</v>
      </c>
      <c r="I1831" s="36">
        <f t="shared" si="956"/>
        <v>1024839.8369999999</v>
      </c>
      <c r="J1831" s="36">
        <f t="shared" si="956"/>
        <v>1024828.2424999999</v>
      </c>
      <c r="K1831" s="36">
        <f t="shared" si="956"/>
        <v>1024822.0517899999</v>
      </c>
      <c r="L1831" s="36">
        <f t="shared" si="923"/>
        <v>59.51155219804167</v>
      </c>
      <c r="M1831" s="36">
        <f t="shared" si="924"/>
        <v>99.998264586391173</v>
      </c>
    </row>
    <row r="1832" spans="1:13" ht="25.5">
      <c r="A1832" s="60" t="s">
        <v>64</v>
      </c>
      <c r="B1832" s="29" t="s">
        <v>741</v>
      </c>
      <c r="C1832" s="29" t="s">
        <v>148</v>
      </c>
      <c r="D1832" s="29" t="s">
        <v>150</v>
      </c>
      <c r="E1832" s="29" t="s">
        <v>809</v>
      </c>
      <c r="F1832" s="29" t="s">
        <v>65</v>
      </c>
      <c r="G1832" s="36">
        <f>G1833</f>
        <v>27353.9</v>
      </c>
      <c r="H1832" s="36">
        <f t="shared" ref="H1832:K1832" si="957">H1833</f>
        <v>27353.942999999999</v>
      </c>
      <c r="I1832" s="36">
        <f t="shared" si="957"/>
        <v>13748.165999999999</v>
      </c>
      <c r="J1832" s="36">
        <f t="shared" si="957"/>
        <v>13748.165999999999</v>
      </c>
      <c r="K1832" s="36">
        <f t="shared" si="957"/>
        <v>13748.165580000001</v>
      </c>
      <c r="L1832" s="36">
        <f t="shared" si="923"/>
        <v>50.260269899663101</v>
      </c>
      <c r="M1832" s="36">
        <f t="shared" si="924"/>
        <v>99.999996945047073</v>
      </c>
    </row>
    <row r="1833" spans="1:13" ht="25.5">
      <c r="A1833" s="60" t="s">
        <v>66</v>
      </c>
      <c r="B1833" s="29" t="s">
        <v>741</v>
      </c>
      <c r="C1833" s="29" t="s">
        <v>148</v>
      </c>
      <c r="D1833" s="29" t="s">
        <v>150</v>
      </c>
      <c r="E1833" s="29" t="s">
        <v>809</v>
      </c>
      <c r="F1833" s="29" t="s">
        <v>67</v>
      </c>
      <c r="G1833" s="36">
        <v>27353.9</v>
      </c>
      <c r="H1833" s="36">
        <v>27353.942999999999</v>
      </c>
      <c r="I1833" s="36">
        <v>13748.165999999999</v>
      </c>
      <c r="J1833" s="36">
        <v>13748.165999999999</v>
      </c>
      <c r="K1833" s="36">
        <v>13748.165580000001</v>
      </c>
      <c r="L1833" s="36">
        <f t="shared" si="923"/>
        <v>50.260269899663101</v>
      </c>
      <c r="M1833" s="36">
        <f t="shared" si="924"/>
        <v>99.999996945047073</v>
      </c>
    </row>
    <row r="1834" spans="1:13">
      <c r="A1834" s="60" t="s">
        <v>68</v>
      </c>
      <c r="B1834" s="29" t="s">
        <v>741</v>
      </c>
      <c r="C1834" s="29" t="s">
        <v>148</v>
      </c>
      <c r="D1834" s="29" t="s">
        <v>150</v>
      </c>
      <c r="E1834" s="29" t="s">
        <v>809</v>
      </c>
      <c r="F1834" s="29" t="s">
        <v>69</v>
      </c>
      <c r="G1834" s="36">
        <f>G1835</f>
        <v>1694701.7</v>
      </c>
      <c r="H1834" s="36">
        <f t="shared" ref="H1834:K1834" si="958">H1835</f>
        <v>1694701.7150000001</v>
      </c>
      <c r="I1834" s="36">
        <f t="shared" si="958"/>
        <v>1011091.671</v>
      </c>
      <c r="J1834" s="36">
        <f t="shared" si="958"/>
        <v>1011080.0765</v>
      </c>
      <c r="K1834" s="36">
        <f t="shared" si="958"/>
        <v>1011073.8862099999</v>
      </c>
      <c r="L1834" s="36">
        <f t="shared" si="923"/>
        <v>59.660875849765681</v>
      </c>
      <c r="M1834" s="36">
        <f t="shared" si="924"/>
        <v>99.99824103090647</v>
      </c>
    </row>
    <row r="1835" spans="1:13" ht="25.5">
      <c r="A1835" s="60" t="s">
        <v>151</v>
      </c>
      <c r="B1835" s="29" t="s">
        <v>741</v>
      </c>
      <c r="C1835" s="29" t="s">
        <v>148</v>
      </c>
      <c r="D1835" s="29" t="s">
        <v>150</v>
      </c>
      <c r="E1835" s="29" t="s">
        <v>809</v>
      </c>
      <c r="F1835" s="29" t="s">
        <v>152</v>
      </c>
      <c r="G1835" s="36">
        <v>1694701.7</v>
      </c>
      <c r="H1835" s="36">
        <v>1694701.7150000001</v>
      </c>
      <c r="I1835" s="36">
        <f>1003842.395+7249.276</f>
        <v>1011091.671</v>
      </c>
      <c r="J1835" s="36">
        <f>1003842.395+7237.6815</f>
        <v>1011080.0765</v>
      </c>
      <c r="K1835" s="36">
        <f>1003836.20471+7237.6815</f>
        <v>1011073.8862099999</v>
      </c>
      <c r="L1835" s="36">
        <f t="shared" si="923"/>
        <v>59.660875849765681</v>
      </c>
      <c r="M1835" s="36">
        <f t="shared" si="924"/>
        <v>99.99824103090647</v>
      </c>
    </row>
    <row r="1836" spans="1:13" ht="38.25">
      <c r="A1836" s="60" t="s">
        <v>810</v>
      </c>
      <c r="B1836" s="29" t="s">
        <v>741</v>
      </c>
      <c r="C1836" s="29" t="s">
        <v>148</v>
      </c>
      <c r="D1836" s="29" t="s">
        <v>150</v>
      </c>
      <c r="E1836" s="29" t="s">
        <v>811</v>
      </c>
      <c r="F1836" s="59" t="s">
        <v>0</v>
      </c>
      <c r="G1836" s="36">
        <f>G1837</f>
        <v>49.3</v>
      </c>
      <c r="H1836" s="36">
        <f t="shared" ref="H1836:K1837" si="959">H1837</f>
        <v>49.283000000000001</v>
      </c>
      <c r="I1836" s="36">
        <f t="shared" si="959"/>
        <v>27.4</v>
      </c>
      <c r="J1836" s="36">
        <f t="shared" si="959"/>
        <v>17.448</v>
      </c>
      <c r="K1836" s="36">
        <f t="shared" si="959"/>
        <v>17.447189999999999</v>
      </c>
      <c r="L1836" s="36">
        <f t="shared" si="923"/>
        <v>35.402045330032664</v>
      </c>
      <c r="M1836" s="36">
        <f t="shared" si="924"/>
        <v>63.675875912408763</v>
      </c>
    </row>
    <row r="1837" spans="1:13">
      <c r="A1837" s="60" t="s">
        <v>68</v>
      </c>
      <c r="B1837" s="29" t="s">
        <v>741</v>
      </c>
      <c r="C1837" s="29" t="s">
        <v>148</v>
      </c>
      <c r="D1837" s="29" t="s">
        <v>150</v>
      </c>
      <c r="E1837" s="29" t="s">
        <v>811</v>
      </c>
      <c r="F1837" s="29" t="s">
        <v>69</v>
      </c>
      <c r="G1837" s="36">
        <f>G1838</f>
        <v>49.3</v>
      </c>
      <c r="H1837" s="36">
        <f t="shared" si="959"/>
        <v>49.283000000000001</v>
      </c>
      <c r="I1837" s="36">
        <f t="shared" si="959"/>
        <v>27.4</v>
      </c>
      <c r="J1837" s="36">
        <f t="shared" si="959"/>
        <v>17.448</v>
      </c>
      <c r="K1837" s="36">
        <f t="shared" si="959"/>
        <v>17.447189999999999</v>
      </c>
      <c r="L1837" s="36">
        <f t="shared" si="923"/>
        <v>35.402045330032664</v>
      </c>
      <c r="M1837" s="36">
        <f t="shared" si="924"/>
        <v>63.675875912408763</v>
      </c>
    </row>
    <row r="1838" spans="1:13" ht="25.5">
      <c r="A1838" s="60" t="s">
        <v>151</v>
      </c>
      <c r="B1838" s="29" t="s">
        <v>741</v>
      </c>
      <c r="C1838" s="29" t="s">
        <v>148</v>
      </c>
      <c r="D1838" s="29" t="s">
        <v>150</v>
      </c>
      <c r="E1838" s="29" t="s">
        <v>811</v>
      </c>
      <c r="F1838" s="29" t="s">
        <v>152</v>
      </c>
      <c r="G1838" s="36">
        <v>49.3</v>
      </c>
      <c r="H1838" s="36">
        <v>49.283000000000001</v>
      </c>
      <c r="I1838" s="36">
        <v>27.4</v>
      </c>
      <c r="J1838" s="36">
        <v>17.448</v>
      </c>
      <c r="K1838" s="36">
        <v>17.447189999999999</v>
      </c>
      <c r="L1838" s="36">
        <f t="shared" si="923"/>
        <v>35.402045330032664</v>
      </c>
      <c r="M1838" s="36">
        <f t="shared" si="924"/>
        <v>63.675875912408763</v>
      </c>
    </row>
    <row r="1839" spans="1:13" ht="51">
      <c r="A1839" s="60" t="s">
        <v>812</v>
      </c>
      <c r="B1839" s="29" t="s">
        <v>741</v>
      </c>
      <c r="C1839" s="29" t="s">
        <v>148</v>
      </c>
      <c r="D1839" s="29" t="s">
        <v>150</v>
      </c>
      <c r="E1839" s="29" t="s">
        <v>813</v>
      </c>
      <c r="F1839" s="59" t="s">
        <v>0</v>
      </c>
      <c r="G1839" s="36">
        <f>G1840+G1842</f>
        <v>15481.8</v>
      </c>
      <c r="H1839" s="36">
        <f t="shared" ref="H1839:K1839" si="960">H1840+H1842</f>
        <v>15481.800000000001</v>
      </c>
      <c r="I1839" s="36">
        <f t="shared" si="960"/>
        <v>8355.4279999999999</v>
      </c>
      <c r="J1839" s="36">
        <f t="shared" si="960"/>
        <v>8296.7489999999998</v>
      </c>
      <c r="K1839" s="36">
        <f t="shared" si="960"/>
        <v>8245.4234300000007</v>
      </c>
      <c r="L1839" s="36">
        <f t="shared" ref="L1839:L1902" si="961">K1839/H1839*100</f>
        <v>53.258816352103764</v>
      </c>
      <c r="M1839" s="36">
        <f t="shared" ref="M1839:M1902" si="962">K1839/I1839*100</f>
        <v>98.683435845536593</v>
      </c>
    </row>
    <row r="1840" spans="1:13" ht="25.5">
      <c r="A1840" s="60" t="s">
        <v>64</v>
      </c>
      <c r="B1840" s="29" t="s">
        <v>741</v>
      </c>
      <c r="C1840" s="29" t="s">
        <v>148</v>
      </c>
      <c r="D1840" s="29" t="s">
        <v>150</v>
      </c>
      <c r="E1840" s="29" t="s">
        <v>813</v>
      </c>
      <c r="F1840" s="29" t="s">
        <v>65</v>
      </c>
      <c r="G1840" s="36">
        <f>G1841</f>
        <v>229.3</v>
      </c>
      <c r="H1840" s="36">
        <f t="shared" ref="H1840:K1840" si="963">H1841</f>
        <v>229.279</v>
      </c>
      <c r="I1840" s="36">
        <f t="shared" si="963"/>
        <v>116.73</v>
      </c>
      <c r="J1840" s="36">
        <f t="shared" si="963"/>
        <v>116.73</v>
      </c>
      <c r="K1840" s="36">
        <f t="shared" si="963"/>
        <v>115.32839</v>
      </c>
      <c r="L1840" s="36">
        <f t="shared" si="961"/>
        <v>50.300459265785356</v>
      </c>
      <c r="M1840" s="36">
        <f t="shared" si="962"/>
        <v>98.799271823867045</v>
      </c>
    </row>
    <row r="1841" spans="1:13" ht="25.5">
      <c r="A1841" s="60" t="s">
        <v>66</v>
      </c>
      <c r="B1841" s="29" t="s">
        <v>741</v>
      </c>
      <c r="C1841" s="29" t="s">
        <v>148</v>
      </c>
      <c r="D1841" s="29" t="s">
        <v>150</v>
      </c>
      <c r="E1841" s="29" t="s">
        <v>813</v>
      </c>
      <c r="F1841" s="29" t="s">
        <v>67</v>
      </c>
      <c r="G1841" s="36">
        <v>229.3</v>
      </c>
      <c r="H1841" s="36">
        <v>229.279</v>
      </c>
      <c r="I1841" s="36">
        <v>116.73</v>
      </c>
      <c r="J1841" s="36">
        <v>116.73</v>
      </c>
      <c r="K1841" s="36">
        <v>115.32839</v>
      </c>
      <c r="L1841" s="36">
        <f t="shared" si="961"/>
        <v>50.300459265785356</v>
      </c>
      <c r="M1841" s="36">
        <f t="shared" si="962"/>
        <v>98.799271823867045</v>
      </c>
    </row>
    <row r="1842" spans="1:13">
      <c r="A1842" s="60" t="s">
        <v>68</v>
      </c>
      <c r="B1842" s="29" t="s">
        <v>741</v>
      </c>
      <c r="C1842" s="29" t="s">
        <v>148</v>
      </c>
      <c r="D1842" s="29" t="s">
        <v>150</v>
      </c>
      <c r="E1842" s="29" t="s">
        <v>813</v>
      </c>
      <c r="F1842" s="29" t="s">
        <v>69</v>
      </c>
      <c r="G1842" s="36">
        <f>G1843</f>
        <v>15252.5</v>
      </c>
      <c r="H1842" s="36">
        <f t="shared" ref="H1842:K1842" si="964">H1843</f>
        <v>15252.521000000001</v>
      </c>
      <c r="I1842" s="36">
        <f t="shared" si="964"/>
        <v>8238.6980000000003</v>
      </c>
      <c r="J1842" s="36">
        <f t="shared" si="964"/>
        <v>8180.0189999999993</v>
      </c>
      <c r="K1842" s="36">
        <f t="shared" si="964"/>
        <v>8130.0950400000002</v>
      </c>
      <c r="L1842" s="36">
        <f t="shared" si="961"/>
        <v>53.303286977936303</v>
      </c>
      <c r="M1842" s="36">
        <f t="shared" si="962"/>
        <v>98.681794623373747</v>
      </c>
    </row>
    <row r="1843" spans="1:13" ht="25.5">
      <c r="A1843" s="60" t="s">
        <v>151</v>
      </c>
      <c r="B1843" s="29" t="s">
        <v>741</v>
      </c>
      <c r="C1843" s="29" t="s">
        <v>148</v>
      </c>
      <c r="D1843" s="29" t="s">
        <v>150</v>
      </c>
      <c r="E1843" s="29" t="s">
        <v>813</v>
      </c>
      <c r="F1843" s="29" t="s">
        <v>152</v>
      </c>
      <c r="G1843" s="36">
        <v>15252.5</v>
      </c>
      <c r="H1843" s="36">
        <v>15252.521000000001</v>
      </c>
      <c r="I1843" s="36">
        <f>7686.60842+552.08958</f>
        <v>8238.6980000000003</v>
      </c>
      <c r="J1843" s="36">
        <f>7686.60842+493.41058</f>
        <v>8180.0189999999993</v>
      </c>
      <c r="K1843" s="36">
        <f>7636.6854+493.40964</f>
        <v>8130.0950400000002</v>
      </c>
      <c r="L1843" s="36">
        <f t="shared" si="961"/>
        <v>53.303286977936303</v>
      </c>
      <c r="M1843" s="36">
        <f t="shared" si="962"/>
        <v>98.681794623373747</v>
      </c>
    </row>
    <row r="1844" spans="1:13" ht="63.75">
      <c r="A1844" s="60" t="s">
        <v>814</v>
      </c>
      <c r="B1844" s="29" t="s">
        <v>741</v>
      </c>
      <c r="C1844" s="29" t="s">
        <v>148</v>
      </c>
      <c r="D1844" s="29" t="s">
        <v>150</v>
      </c>
      <c r="E1844" s="29" t="s">
        <v>815</v>
      </c>
      <c r="F1844" s="59" t="s">
        <v>0</v>
      </c>
      <c r="G1844" s="36">
        <f>G1845+G1847</f>
        <v>412.20000000000005</v>
      </c>
      <c r="H1844" s="36">
        <f t="shared" ref="H1844:K1844" si="965">H1845+H1847</f>
        <v>412.178</v>
      </c>
      <c r="I1844" s="36">
        <f t="shared" si="965"/>
        <v>249.60499999999999</v>
      </c>
      <c r="J1844" s="36">
        <f t="shared" si="965"/>
        <v>229.36799999999999</v>
      </c>
      <c r="K1844" s="36">
        <f t="shared" si="965"/>
        <v>225.53249</v>
      </c>
      <c r="L1844" s="36">
        <f t="shared" si="961"/>
        <v>54.717255651684468</v>
      </c>
      <c r="M1844" s="36">
        <f t="shared" si="962"/>
        <v>90.355758097794521</v>
      </c>
    </row>
    <row r="1845" spans="1:13" ht="25.5">
      <c r="A1845" s="60" t="s">
        <v>64</v>
      </c>
      <c r="B1845" s="29" t="s">
        <v>741</v>
      </c>
      <c r="C1845" s="29" t="s">
        <v>148</v>
      </c>
      <c r="D1845" s="29" t="s">
        <v>150</v>
      </c>
      <c r="E1845" s="29" t="s">
        <v>815</v>
      </c>
      <c r="F1845" s="29" t="s">
        <v>65</v>
      </c>
      <c r="G1845" s="36">
        <f>G1846</f>
        <v>6.6</v>
      </c>
      <c r="H1845" s="36">
        <f t="shared" ref="H1845:K1845" si="966">H1846</f>
        <v>6.6109999999999998</v>
      </c>
      <c r="I1845" s="36">
        <f t="shared" si="966"/>
        <v>3.605</v>
      </c>
      <c r="J1845" s="36">
        <f t="shared" si="966"/>
        <v>3.0550000000000002</v>
      </c>
      <c r="K1845" s="36">
        <f t="shared" si="966"/>
        <v>2.8690000000000002</v>
      </c>
      <c r="L1845" s="36">
        <f t="shared" si="961"/>
        <v>43.397368022991991</v>
      </c>
      <c r="M1845" s="36">
        <f t="shared" si="962"/>
        <v>79.58391123439668</v>
      </c>
    </row>
    <row r="1846" spans="1:13" ht="25.5">
      <c r="A1846" s="60" t="s">
        <v>66</v>
      </c>
      <c r="B1846" s="29" t="s">
        <v>741</v>
      </c>
      <c r="C1846" s="29" t="s">
        <v>148</v>
      </c>
      <c r="D1846" s="29" t="s">
        <v>150</v>
      </c>
      <c r="E1846" s="29" t="s">
        <v>815</v>
      </c>
      <c r="F1846" s="29" t="s">
        <v>67</v>
      </c>
      <c r="G1846" s="36">
        <v>6.6</v>
      </c>
      <c r="H1846" s="36">
        <v>6.6109999999999998</v>
      </c>
      <c r="I1846" s="36">
        <v>3.605</v>
      </c>
      <c r="J1846" s="36">
        <v>3.0550000000000002</v>
      </c>
      <c r="K1846" s="36">
        <v>2.8690000000000002</v>
      </c>
      <c r="L1846" s="36">
        <f t="shared" si="961"/>
        <v>43.397368022991991</v>
      </c>
      <c r="M1846" s="36">
        <f t="shared" si="962"/>
        <v>79.58391123439668</v>
      </c>
    </row>
    <row r="1847" spans="1:13">
      <c r="A1847" s="60" t="s">
        <v>68</v>
      </c>
      <c r="B1847" s="29" t="s">
        <v>741</v>
      </c>
      <c r="C1847" s="29" t="s">
        <v>148</v>
      </c>
      <c r="D1847" s="29" t="s">
        <v>150</v>
      </c>
      <c r="E1847" s="29" t="s">
        <v>815</v>
      </c>
      <c r="F1847" s="29" t="s">
        <v>69</v>
      </c>
      <c r="G1847" s="36">
        <f>G1848</f>
        <v>405.6</v>
      </c>
      <c r="H1847" s="36">
        <f t="shared" ref="H1847:K1847" si="967">H1848</f>
        <v>405.56700000000001</v>
      </c>
      <c r="I1847" s="36">
        <f t="shared" si="967"/>
        <v>246</v>
      </c>
      <c r="J1847" s="36">
        <f t="shared" si="967"/>
        <v>226.31299999999999</v>
      </c>
      <c r="K1847" s="36">
        <f t="shared" si="967"/>
        <v>222.66349</v>
      </c>
      <c r="L1847" s="36">
        <f t="shared" si="961"/>
        <v>54.901777018347154</v>
      </c>
      <c r="M1847" s="36">
        <f t="shared" si="962"/>
        <v>90.513613821138208</v>
      </c>
    </row>
    <row r="1848" spans="1:13" ht="25.5">
      <c r="A1848" s="60" t="s">
        <v>151</v>
      </c>
      <c r="B1848" s="29" t="s">
        <v>741</v>
      </c>
      <c r="C1848" s="29" t="s">
        <v>148</v>
      </c>
      <c r="D1848" s="29" t="s">
        <v>150</v>
      </c>
      <c r="E1848" s="29" t="s">
        <v>815</v>
      </c>
      <c r="F1848" s="29" t="s">
        <v>152</v>
      </c>
      <c r="G1848" s="36">
        <v>405.6</v>
      </c>
      <c r="H1848" s="36">
        <v>405.56700000000001</v>
      </c>
      <c r="I1848" s="36">
        <v>246</v>
      </c>
      <c r="J1848" s="36">
        <v>226.31299999999999</v>
      </c>
      <c r="K1848" s="36">
        <v>222.66349</v>
      </c>
      <c r="L1848" s="36">
        <f t="shared" si="961"/>
        <v>54.901777018347154</v>
      </c>
      <c r="M1848" s="36">
        <f t="shared" si="962"/>
        <v>90.513613821138208</v>
      </c>
    </row>
    <row r="1849" spans="1:13" ht="38.25">
      <c r="A1849" s="60" t="s">
        <v>816</v>
      </c>
      <c r="B1849" s="29" t="s">
        <v>741</v>
      </c>
      <c r="C1849" s="29" t="s">
        <v>148</v>
      </c>
      <c r="D1849" s="29" t="s">
        <v>150</v>
      </c>
      <c r="E1849" s="29" t="s">
        <v>817</v>
      </c>
      <c r="F1849" s="59" t="s">
        <v>0</v>
      </c>
      <c r="G1849" s="36">
        <f>G1850+G1852</f>
        <v>44237.2</v>
      </c>
      <c r="H1849" s="36">
        <f t="shared" ref="H1849:K1849" si="968">H1850+H1852</f>
        <v>44237.218000000001</v>
      </c>
      <c r="I1849" s="36">
        <f t="shared" si="968"/>
        <v>30534.566999999999</v>
      </c>
      <c r="J1849" s="36">
        <f t="shared" si="968"/>
        <v>30525.900999999998</v>
      </c>
      <c r="K1849" s="36">
        <f t="shared" si="968"/>
        <v>30468.286939999998</v>
      </c>
      <c r="L1849" s="36">
        <f t="shared" si="961"/>
        <v>68.87478082369465</v>
      </c>
      <c r="M1849" s="36">
        <f t="shared" si="962"/>
        <v>99.782934337991421</v>
      </c>
    </row>
    <row r="1850" spans="1:13" ht="25.5">
      <c r="A1850" s="60" t="s">
        <v>64</v>
      </c>
      <c r="B1850" s="29" t="s">
        <v>741</v>
      </c>
      <c r="C1850" s="29" t="s">
        <v>148</v>
      </c>
      <c r="D1850" s="29" t="s">
        <v>150</v>
      </c>
      <c r="E1850" s="29" t="s">
        <v>817</v>
      </c>
      <c r="F1850" s="29" t="s">
        <v>65</v>
      </c>
      <c r="G1850" s="36">
        <f>G1851</f>
        <v>709.5</v>
      </c>
      <c r="H1850" s="36">
        <f t="shared" ref="H1850:K1850" si="969">H1851</f>
        <v>709.50199999999995</v>
      </c>
      <c r="I1850" s="36">
        <f t="shared" si="969"/>
        <v>370</v>
      </c>
      <c r="J1850" s="36">
        <f t="shared" si="969"/>
        <v>361.334</v>
      </c>
      <c r="K1850" s="36">
        <f t="shared" si="969"/>
        <v>352.4187</v>
      </c>
      <c r="L1850" s="36">
        <f t="shared" si="961"/>
        <v>49.671276472793593</v>
      </c>
      <c r="M1850" s="36">
        <f t="shared" si="962"/>
        <v>95.248297297297299</v>
      </c>
    </row>
    <row r="1851" spans="1:13" ht="25.5">
      <c r="A1851" s="60" t="s">
        <v>66</v>
      </c>
      <c r="B1851" s="29" t="s">
        <v>741</v>
      </c>
      <c r="C1851" s="29" t="s">
        <v>148</v>
      </c>
      <c r="D1851" s="29" t="s">
        <v>150</v>
      </c>
      <c r="E1851" s="29" t="s">
        <v>817</v>
      </c>
      <c r="F1851" s="29" t="s">
        <v>67</v>
      </c>
      <c r="G1851" s="36">
        <v>709.5</v>
      </c>
      <c r="H1851" s="36">
        <v>709.50199999999995</v>
      </c>
      <c r="I1851" s="36">
        <v>370</v>
      </c>
      <c r="J1851" s="36">
        <v>361.334</v>
      </c>
      <c r="K1851" s="36">
        <v>352.4187</v>
      </c>
      <c r="L1851" s="36">
        <f t="shared" si="961"/>
        <v>49.671276472793593</v>
      </c>
      <c r="M1851" s="36">
        <f t="shared" si="962"/>
        <v>95.248297297297299</v>
      </c>
    </row>
    <row r="1852" spans="1:13">
      <c r="A1852" s="60" t="s">
        <v>68</v>
      </c>
      <c r="B1852" s="29" t="s">
        <v>741</v>
      </c>
      <c r="C1852" s="29" t="s">
        <v>148</v>
      </c>
      <c r="D1852" s="29" t="s">
        <v>150</v>
      </c>
      <c r="E1852" s="29" t="s">
        <v>817</v>
      </c>
      <c r="F1852" s="29" t="s">
        <v>69</v>
      </c>
      <c r="G1852" s="37">
        <f>G1853</f>
        <v>43527.7</v>
      </c>
      <c r="H1852" s="37">
        <f t="shared" ref="H1852:K1852" si="970">H1853</f>
        <v>43527.716</v>
      </c>
      <c r="I1852" s="37">
        <f t="shared" si="970"/>
        <v>30164.566999999999</v>
      </c>
      <c r="J1852" s="37">
        <f t="shared" si="970"/>
        <v>30164.566999999999</v>
      </c>
      <c r="K1852" s="37">
        <f t="shared" si="970"/>
        <v>30115.86824</v>
      </c>
      <c r="L1852" s="36">
        <f t="shared" si="961"/>
        <v>69.187798045732521</v>
      </c>
      <c r="M1852" s="36">
        <f t="shared" si="962"/>
        <v>99.838556409578175</v>
      </c>
    </row>
    <row r="1853" spans="1:13" ht="25.5">
      <c r="A1853" s="60" t="s">
        <v>151</v>
      </c>
      <c r="B1853" s="29" t="s">
        <v>741</v>
      </c>
      <c r="C1853" s="29" t="s">
        <v>148</v>
      </c>
      <c r="D1853" s="29" t="s">
        <v>150</v>
      </c>
      <c r="E1853" s="29" t="s">
        <v>817</v>
      </c>
      <c r="F1853" s="29" t="s">
        <v>152</v>
      </c>
      <c r="G1853" s="36">
        <v>43527.7</v>
      </c>
      <c r="H1853" s="36">
        <v>43527.716</v>
      </c>
      <c r="I1853" s="36">
        <v>30164.566999999999</v>
      </c>
      <c r="J1853" s="36">
        <v>30164.566999999999</v>
      </c>
      <c r="K1853" s="36">
        <v>30115.86824</v>
      </c>
      <c r="L1853" s="36">
        <f t="shared" si="961"/>
        <v>69.187798045732521</v>
      </c>
      <c r="M1853" s="36">
        <f t="shared" si="962"/>
        <v>99.838556409578175</v>
      </c>
    </row>
    <row r="1854" spans="1:13">
      <c r="A1854" s="60" t="s">
        <v>818</v>
      </c>
      <c r="B1854" s="29" t="s">
        <v>741</v>
      </c>
      <c r="C1854" s="29" t="s">
        <v>148</v>
      </c>
      <c r="D1854" s="29" t="s">
        <v>150</v>
      </c>
      <c r="E1854" s="29" t="s">
        <v>819</v>
      </c>
      <c r="F1854" s="59" t="s">
        <v>0</v>
      </c>
      <c r="G1854" s="36">
        <f>G1855+G1857</f>
        <v>48765.599999999999</v>
      </c>
      <c r="H1854" s="36">
        <f t="shared" ref="H1854:K1854" si="971">H1855+H1857</f>
        <v>48765.614000000001</v>
      </c>
      <c r="I1854" s="36">
        <f t="shared" si="971"/>
        <v>22324.700000000004</v>
      </c>
      <c r="J1854" s="36">
        <f t="shared" si="971"/>
        <v>22308.9</v>
      </c>
      <c r="K1854" s="36">
        <f t="shared" si="971"/>
        <v>22259.73893</v>
      </c>
      <c r="L1854" s="36">
        <f t="shared" si="961"/>
        <v>45.646382982074215</v>
      </c>
      <c r="M1854" s="36">
        <f t="shared" si="962"/>
        <v>99.709017052860716</v>
      </c>
    </row>
    <row r="1855" spans="1:13" ht="25.5">
      <c r="A1855" s="60" t="s">
        <v>64</v>
      </c>
      <c r="B1855" s="29" t="s">
        <v>741</v>
      </c>
      <c r="C1855" s="29" t="s">
        <v>148</v>
      </c>
      <c r="D1855" s="29" t="s">
        <v>150</v>
      </c>
      <c r="E1855" s="29" t="s">
        <v>819</v>
      </c>
      <c r="F1855" s="29" t="s">
        <v>65</v>
      </c>
      <c r="G1855" s="36">
        <f>G1856</f>
        <v>571.20000000000005</v>
      </c>
      <c r="H1855" s="36">
        <f t="shared" ref="H1855:K1855" si="972">H1856</f>
        <v>571.21400000000006</v>
      </c>
      <c r="I1855" s="36">
        <f t="shared" si="972"/>
        <v>259.89999999999998</v>
      </c>
      <c r="J1855" s="36">
        <f t="shared" si="972"/>
        <v>244.1</v>
      </c>
      <c r="K1855" s="36">
        <f t="shared" si="972"/>
        <v>239.10769999999999</v>
      </c>
      <c r="L1855" s="36">
        <f t="shared" si="961"/>
        <v>41.859565766945487</v>
      </c>
      <c r="M1855" s="36">
        <f t="shared" si="962"/>
        <v>91.99988457098884</v>
      </c>
    </row>
    <row r="1856" spans="1:13" ht="25.5">
      <c r="A1856" s="60" t="s">
        <v>66</v>
      </c>
      <c r="B1856" s="29" t="s">
        <v>741</v>
      </c>
      <c r="C1856" s="29" t="s">
        <v>148</v>
      </c>
      <c r="D1856" s="29" t="s">
        <v>150</v>
      </c>
      <c r="E1856" s="29" t="s">
        <v>819</v>
      </c>
      <c r="F1856" s="29" t="s">
        <v>67</v>
      </c>
      <c r="G1856" s="36">
        <v>571.20000000000005</v>
      </c>
      <c r="H1856" s="36">
        <v>571.21400000000006</v>
      </c>
      <c r="I1856" s="36">
        <v>259.89999999999998</v>
      </c>
      <c r="J1856" s="36">
        <v>244.1</v>
      </c>
      <c r="K1856" s="36">
        <v>239.10769999999999</v>
      </c>
      <c r="L1856" s="36">
        <f t="shared" si="961"/>
        <v>41.859565766945487</v>
      </c>
      <c r="M1856" s="36">
        <f t="shared" si="962"/>
        <v>91.99988457098884</v>
      </c>
    </row>
    <row r="1857" spans="1:13">
      <c r="A1857" s="60" t="s">
        <v>68</v>
      </c>
      <c r="B1857" s="29" t="s">
        <v>741</v>
      </c>
      <c r="C1857" s="29" t="s">
        <v>148</v>
      </c>
      <c r="D1857" s="29" t="s">
        <v>150</v>
      </c>
      <c r="E1857" s="29" t="s">
        <v>819</v>
      </c>
      <c r="F1857" s="29" t="s">
        <v>69</v>
      </c>
      <c r="G1857" s="36">
        <f>G1858</f>
        <v>48194.400000000001</v>
      </c>
      <c r="H1857" s="36">
        <f t="shared" ref="H1857:K1857" si="973">H1858</f>
        <v>48194.400000000001</v>
      </c>
      <c r="I1857" s="36">
        <f t="shared" si="973"/>
        <v>22064.800000000003</v>
      </c>
      <c r="J1857" s="36">
        <f t="shared" si="973"/>
        <v>22064.800000000003</v>
      </c>
      <c r="K1857" s="36">
        <f t="shared" si="973"/>
        <v>22020.631229999999</v>
      </c>
      <c r="L1857" s="36">
        <f t="shared" si="961"/>
        <v>45.691265437478215</v>
      </c>
      <c r="M1857" s="36">
        <f t="shared" si="962"/>
        <v>99.799822477430098</v>
      </c>
    </row>
    <row r="1858" spans="1:13" ht="25.5">
      <c r="A1858" s="60" t="s">
        <v>151</v>
      </c>
      <c r="B1858" s="29" t="s">
        <v>741</v>
      </c>
      <c r="C1858" s="29" t="s">
        <v>148</v>
      </c>
      <c r="D1858" s="29" t="s">
        <v>150</v>
      </c>
      <c r="E1858" s="29" t="s">
        <v>819</v>
      </c>
      <c r="F1858" s="29" t="s">
        <v>152</v>
      </c>
      <c r="G1858" s="36">
        <v>48194.400000000001</v>
      </c>
      <c r="H1858" s="36">
        <v>48194.400000000001</v>
      </c>
      <c r="I1858" s="36">
        <f>18273.201+3791.599</f>
        <v>22064.800000000003</v>
      </c>
      <c r="J1858" s="36">
        <f>18273.201+3791.599</f>
        <v>22064.800000000003</v>
      </c>
      <c r="K1858" s="36">
        <f>18229.03223+3791.599</f>
        <v>22020.631229999999</v>
      </c>
      <c r="L1858" s="36">
        <f t="shared" si="961"/>
        <v>45.691265437478215</v>
      </c>
      <c r="M1858" s="36">
        <f t="shared" si="962"/>
        <v>99.799822477430098</v>
      </c>
    </row>
    <row r="1859" spans="1:13">
      <c r="A1859" s="60" t="s">
        <v>820</v>
      </c>
      <c r="B1859" s="29" t="s">
        <v>741</v>
      </c>
      <c r="C1859" s="29" t="s">
        <v>148</v>
      </c>
      <c r="D1859" s="29" t="s">
        <v>150</v>
      </c>
      <c r="E1859" s="29" t="s">
        <v>821</v>
      </c>
      <c r="F1859" s="59" t="s">
        <v>0</v>
      </c>
      <c r="G1859" s="36">
        <f>G1860+G1862</f>
        <v>1479413.2</v>
      </c>
      <c r="H1859" s="36">
        <f t="shared" ref="H1859:K1859" si="974">H1860+H1862</f>
        <v>1479413.223</v>
      </c>
      <c r="I1859" s="36">
        <f t="shared" si="974"/>
        <v>759028.72311999998</v>
      </c>
      <c r="J1859" s="36">
        <f t="shared" si="974"/>
        <v>759028.72311999998</v>
      </c>
      <c r="K1859" s="36">
        <f t="shared" si="974"/>
        <v>758975.89036000008</v>
      </c>
      <c r="L1859" s="36">
        <f t="shared" si="961"/>
        <v>51.302494702658208</v>
      </c>
      <c r="M1859" s="36">
        <f t="shared" si="962"/>
        <v>99.993039425466961</v>
      </c>
    </row>
    <row r="1860" spans="1:13" ht="25.5">
      <c r="A1860" s="60" t="s">
        <v>64</v>
      </c>
      <c r="B1860" s="29" t="s">
        <v>741</v>
      </c>
      <c r="C1860" s="29" t="s">
        <v>148</v>
      </c>
      <c r="D1860" s="29" t="s">
        <v>150</v>
      </c>
      <c r="E1860" s="29" t="s">
        <v>821</v>
      </c>
      <c r="F1860" s="29" t="s">
        <v>65</v>
      </c>
      <c r="G1860" s="36">
        <f>G1861</f>
        <v>20651</v>
      </c>
      <c r="H1860" s="36">
        <f t="shared" ref="H1860:K1860" si="975">H1861</f>
        <v>20650.983</v>
      </c>
      <c r="I1860" s="36">
        <f t="shared" si="975"/>
        <v>10561.84303</v>
      </c>
      <c r="J1860" s="36">
        <f t="shared" si="975"/>
        <v>10561.84303</v>
      </c>
      <c r="K1860" s="36">
        <f t="shared" si="975"/>
        <v>10561.47394</v>
      </c>
      <c r="L1860" s="36">
        <f t="shared" si="961"/>
        <v>51.142717709854288</v>
      </c>
      <c r="M1860" s="36">
        <f t="shared" si="962"/>
        <v>99.996505439448853</v>
      </c>
    </row>
    <row r="1861" spans="1:13" ht="25.5">
      <c r="A1861" s="60" t="s">
        <v>66</v>
      </c>
      <c r="B1861" s="29" t="s">
        <v>741</v>
      </c>
      <c r="C1861" s="29" t="s">
        <v>148</v>
      </c>
      <c r="D1861" s="29" t="s">
        <v>150</v>
      </c>
      <c r="E1861" s="29" t="s">
        <v>821</v>
      </c>
      <c r="F1861" s="29" t="s">
        <v>67</v>
      </c>
      <c r="G1861" s="36">
        <v>20651</v>
      </c>
      <c r="H1861" s="36">
        <v>20650.983</v>
      </c>
      <c r="I1861" s="36">
        <v>10561.84303</v>
      </c>
      <c r="J1861" s="36">
        <v>10561.84303</v>
      </c>
      <c r="K1861" s="36">
        <v>10561.47394</v>
      </c>
      <c r="L1861" s="36">
        <f t="shared" si="961"/>
        <v>51.142717709854288</v>
      </c>
      <c r="M1861" s="36">
        <f t="shared" si="962"/>
        <v>99.996505439448853</v>
      </c>
    </row>
    <row r="1862" spans="1:13">
      <c r="A1862" s="60" t="s">
        <v>68</v>
      </c>
      <c r="B1862" s="29" t="s">
        <v>741</v>
      </c>
      <c r="C1862" s="29" t="s">
        <v>148</v>
      </c>
      <c r="D1862" s="29" t="s">
        <v>150</v>
      </c>
      <c r="E1862" s="29" t="s">
        <v>821</v>
      </c>
      <c r="F1862" s="29" t="s">
        <v>69</v>
      </c>
      <c r="G1862" s="36">
        <f>G1863</f>
        <v>1458762.2</v>
      </c>
      <c r="H1862" s="36">
        <f t="shared" ref="H1862:K1862" si="976">H1863</f>
        <v>1458762.24</v>
      </c>
      <c r="I1862" s="36">
        <f t="shared" si="976"/>
        <v>748466.88008999999</v>
      </c>
      <c r="J1862" s="36">
        <f t="shared" si="976"/>
        <v>748466.88008999999</v>
      </c>
      <c r="K1862" s="36">
        <f t="shared" si="976"/>
        <v>748414.41642000002</v>
      </c>
      <c r="L1862" s="36">
        <f t="shared" si="961"/>
        <v>51.304756587338041</v>
      </c>
      <c r="M1862" s="36">
        <f t="shared" si="962"/>
        <v>99.992990515492991</v>
      </c>
    </row>
    <row r="1863" spans="1:13" ht="25.5">
      <c r="A1863" s="60" t="s">
        <v>463</v>
      </c>
      <c r="B1863" s="29" t="s">
        <v>741</v>
      </c>
      <c r="C1863" s="29" t="s">
        <v>148</v>
      </c>
      <c r="D1863" s="29" t="s">
        <v>150</v>
      </c>
      <c r="E1863" s="29" t="s">
        <v>821</v>
      </c>
      <c r="F1863" s="29" t="s">
        <v>464</v>
      </c>
      <c r="G1863" s="36">
        <v>1458762.2</v>
      </c>
      <c r="H1863" s="36">
        <v>1458762.24</v>
      </c>
      <c r="I1863" s="36">
        <v>748466.88008999999</v>
      </c>
      <c r="J1863" s="36">
        <v>748466.88008999999</v>
      </c>
      <c r="K1863" s="36">
        <v>748414.41642000002</v>
      </c>
      <c r="L1863" s="36">
        <f t="shared" si="961"/>
        <v>51.304756587338041</v>
      </c>
      <c r="M1863" s="36">
        <f t="shared" si="962"/>
        <v>99.992990515492991</v>
      </c>
    </row>
    <row r="1864" spans="1:13">
      <c r="A1864" s="60" t="s">
        <v>822</v>
      </c>
      <c r="B1864" s="29" t="s">
        <v>741</v>
      </c>
      <c r="C1864" s="29" t="s">
        <v>148</v>
      </c>
      <c r="D1864" s="29" t="s">
        <v>150</v>
      </c>
      <c r="E1864" s="29" t="s">
        <v>823</v>
      </c>
      <c r="F1864" s="59" t="s">
        <v>0</v>
      </c>
      <c r="G1864" s="36">
        <f>G1865+G1867</f>
        <v>267</v>
      </c>
      <c r="H1864" s="36">
        <f t="shared" ref="H1864:K1864" si="977">H1865+H1867</f>
        <v>267.02199999999999</v>
      </c>
      <c r="I1864" s="36">
        <f t="shared" si="977"/>
        <v>122.1</v>
      </c>
      <c r="J1864" s="36">
        <f t="shared" si="977"/>
        <v>110.54900000000001</v>
      </c>
      <c r="K1864" s="36">
        <f t="shared" si="977"/>
        <v>107.54863</v>
      </c>
      <c r="L1864" s="36">
        <f t="shared" si="961"/>
        <v>40.277067058145022</v>
      </c>
      <c r="M1864" s="36">
        <f t="shared" si="962"/>
        <v>88.08241605241605</v>
      </c>
    </row>
    <row r="1865" spans="1:13" ht="25.5">
      <c r="A1865" s="60" t="s">
        <v>64</v>
      </c>
      <c r="B1865" s="29" t="s">
        <v>741</v>
      </c>
      <c r="C1865" s="29" t="s">
        <v>148</v>
      </c>
      <c r="D1865" s="29" t="s">
        <v>150</v>
      </c>
      <c r="E1865" s="29" t="s">
        <v>823</v>
      </c>
      <c r="F1865" s="29" t="s">
        <v>65</v>
      </c>
      <c r="G1865" s="36">
        <f>G1866</f>
        <v>4.4000000000000004</v>
      </c>
      <c r="H1865" s="36">
        <f t="shared" ref="H1865:K1865" si="978">H1866</f>
        <v>4.3780000000000001</v>
      </c>
      <c r="I1865" s="36">
        <f t="shared" si="978"/>
        <v>2.1</v>
      </c>
      <c r="J1865" s="36">
        <f t="shared" si="978"/>
        <v>1.7569999999999999</v>
      </c>
      <c r="K1865" s="36">
        <f t="shared" si="978"/>
        <v>1.7566299999999999</v>
      </c>
      <c r="L1865" s="36">
        <f t="shared" si="961"/>
        <v>40.124029237094561</v>
      </c>
      <c r="M1865" s="36">
        <f t="shared" si="962"/>
        <v>83.649047619047607</v>
      </c>
    </row>
    <row r="1866" spans="1:13" ht="25.5">
      <c r="A1866" s="60" t="s">
        <v>66</v>
      </c>
      <c r="B1866" s="29" t="s">
        <v>741</v>
      </c>
      <c r="C1866" s="29" t="s">
        <v>148</v>
      </c>
      <c r="D1866" s="29" t="s">
        <v>150</v>
      </c>
      <c r="E1866" s="29" t="s">
        <v>823</v>
      </c>
      <c r="F1866" s="29" t="s">
        <v>67</v>
      </c>
      <c r="G1866" s="36">
        <v>4.4000000000000004</v>
      </c>
      <c r="H1866" s="36">
        <v>4.3780000000000001</v>
      </c>
      <c r="I1866" s="36">
        <v>2.1</v>
      </c>
      <c r="J1866" s="36">
        <v>1.7569999999999999</v>
      </c>
      <c r="K1866" s="36">
        <v>1.7566299999999999</v>
      </c>
      <c r="L1866" s="36">
        <f t="shared" si="961"/>
        <v>40.124029237094561</v>
      </c>
      <c r="M1866" s="36">
        <f t="shared" si="962"/>
        <v>83.649047619047607</v>
      </c>
    </row>
    <row r="1867" spans="1:13">
      <c r="A1867" s="60" t="s">
        <v>68</v>
      </c>
      <c r="B1867" s="29" t="s">
        <v>741</v>
      </c>
      <c r="C1867" s="29" t="s">
        <v>148</v>
      </c>
      <c r="D1867" s="29" t="s">
        <v>150</v>
      </c>
      <c r="E1867" s="29" t="s">
        <v>823</v>
      </c>
      <c r="F1867" s="29" t="s">
        <v>69</v>
      </c>
      <c r="G1867" s="36">
        <f>G1868</f>
        <v>262.60000000000002</v>
      </c>
      <c r="H1867" s="36">
        <f t="shared" ref="H1867:K1867" si="979">H1868</f>
        <v>262.64400000000001</v>
      </c>
      <c r="I1867" s="36">
        <f t="shared" si="979"/>
        <v>120</v>
      </c>
      <c r="J1867" s="36">
        <f t="shared" si="979"/>
        <v>108.792</v>
      </c>
      <c r="K1867" s="36">
        <f t="shared" si="979"/>
        <v>105.792</v>
      </c>
      <c r="L1867" s="36">
        <f t="shared" si="961"/>
        <v>40.279618038104807</v>
      </c>
      <c r="M1867" s="36">
        <f t="shared" si="962"/>
        <v>88.160000000000011</v>
      </c>
    </row>
    <row r="1868" spans="1:13" ht="25.5">
      <c r="A1868" s="60" t="s">
        <v>463</v>
      </c>
      <c r="B1868" s="29" t="s">
        <v>741</v>
      </c>
      <c r="C1868" s="29" t="s">
        <v>148</v>
      </c>
      <c r="D1868" s="29" t="s">
        <v>150</v>
      </c>
      <c r="E1868" s="29" t="s">
        <v>823</v>
      </c>
      <c r="F1868" s="29" t="s">
        <v>464</v>
      </c>
      <c r="G1868" s="36">
        <v>262.60000000000002</v>
      </c>
      <c r="H1868" s="36">
        <v>262.64400000000001</v>
      </c>
      <c r="I1868" s="36">
        <v>120</v>
      </c>
      <c r="J1868" s="36">
        <v>108.792</v>
      </c>
      <c r="K1868" s="36">
        <v>105.792</v>
      </c>
      <c r="L1868" s="36">
        <f t="shared" si="961"/>
        <v>40.279618038104807</v>
      </c>
      <c r="M1868" s="36">
        <f t="shared" si="962"/>
        <v>88.160000000000011</v>
      </c>
    </row>
    <row r="1869" spans="1:13" ht="38.25">
      <c r="A1869" s="60" t="s">
        <v>824</v>
      </c>
      <c r="B1869" s="29" t="s">
        <v>741</v>
      </c>
      <c r="C1869" s="29" t="s">
        <v>148</v>
      </c>
      <c r="D1869" s="29" t="s">
        <v>150</v>
      </c>
      <c r="E1869" s="29" t="s">
        <v>825</v>
      </c>
      <c r="F1869" s="59" t="s">
        <v>0</v>
      </c>
      <c r="G1869" s="36">
        <f>G1870+G1872</f>
        <v>11232.400000000001</v>
      </c>
      <c r="H1869" s="36">
        <f t="shared" ref="H1869:K1869" si="980">H1870+H1872</f>
        <v>11232.387000000001</v>
      </c>
      <c r="I1869" s="36">
        <f t="shared" si="980"/>
        <v>5625.8506400000006</v>
      </c>
      <c r="J1869" s="36">
        <f t="shared" si="980"/>
        <v>5625.8506400000006</v>
      </c>
      <c r="K1869" s="36">
        <f t="shared" si="980"/>
        <v>5625.3941000000004</v>
      </c>
      <c r="L1869" s="36">
        <f t="shared" si="961"/>
        <v>50.081911351523054</v>
      </c>
      <c r="M1869" s="36">
        <f t="shared" si="962"/>
        <v>99.991884960529276</v>
      </c>
    </row>
    <row r="1870" spans="1:13" ht="25.5">
      <c r="A1870" s="60" t="s">
        <v>64</v>
      </c>
      <c r="B1870" s="29" t="s">
        <v>741</v>
      </c>
      <c r="C1870" s="29" t="s">
        <v>148</v>
      </c>
      <c r="D1870" s="29" t="s">
        <v>150</v>
      </c>
      <c r="E1870" s="29" t="s">
        <v>825</v>
      </c>
      <c r="F1870" s="29" t="s">
        <v>65</v>
      </c>
      <c r="G1870" s="36">
        <f>G1871</f>
        <v>173.2</v>
      </c>
      <c r="H1870" s="36">
        <f t="shared" ref="H1870:K1870" si="981">H1871</f>
        <v>173.18700000000001</v>
      </c>
      <c r="I1870" s="36">
        <f t="shared" si="981"/>
        <v>85.67313</v>
      </c>
      <c r="J1870" s="36">
        <f t="shared" si="981"/>
        <v>85.67313</v>
      </c>
      <c r="K1870" s="36">
        <f t="shared" si="981"/>
        <v>85.67313</v>
      </c>
      <c r="L1870" s="36">
        <f t="shared" si="961"/>
        <v>49.468568657000809</v>
      </c>
      <c r="M1870" s="36">
        <f t="shared" si="962"/>
        <v>100</v>
      </c>
    </row>
    <row r="1871" spans="1:13" ht="25.5">
      <c r="A1871" s="60" t="s">
        <v>66</v>
      </c>
      <c r="B1871" s="29" t="s">
        <v>741</v>
      </c>
      <c r="C1871" s="29" t="s">
        <v>148</v>
      </c>
      <c r="D1871" s="29" t="s">
        <v>150</v>
      </c>
      <c r="E1871" s="29" t="s">
        <v>825</v>
      </c>
      <c r="F1871" s="29" t="s">
        <v>67</v>
      </c>
      <c r="G1871" s="36">
        <v>173.2</v>
      </c>
      <c r="H1871" s="36">
        <v>173.18700000000001</v>
      </c>
      <c r="I1871" s="36">
        <v>85.67313</v>
      </c>
      <c r="J1871" s="36">
        <v>85.67313</v>
      </c>
      <c r="K1871" s="36">
        <v>85.67313</v>
      </c>
      <c r="L1871" s="36">
        <f t="shared" si="961"/>
        <v>49.468568657000809</v>
      </c>
      <c r="M1871" s="36">
        <f t="shared" si="962"/>
        <v>100</v>
      </c>
    </row>
    <row r="1872" spans="1:13">
      <c r="A1872" s="60" t="s">
        <v>68</v>
      </c>
      <c r="B1872" s="29" t="s">
        <v>741</v>
      </c>
      <c r="C1872" s="29" t="s">
        <v>148</v>
      </c>
      <c r="D1872" s="29" t="s">
        <v>150</v>
      </c>
      <c r="E1872" s="29" t="s">
        <v>825</v>
      </c>
      <c r="F1872" s="29" t="s">
        <v>69</v>
      </c>
      <c r="G1872" s="36">
        <f>G1873</f>
        <v>11059.2</v>
      </c>
      <c r="H1872" s="36">
        <f t="shared" ref="H1872:K1872" si="982">H1873</f>
        <v>11059.2</v>
      </c>
      <c r="I1872" s="36">
        <f t="shared" si="982"/>
        <v>5540.1775100000004</v>
      </c>
      <c r="J1872" s="36">
        <f t="shared" si="982"/>
        <v>5540.1775100000004</v>
      </c>
      <c r="K1872" s="36">
        <f t="shared" si="982"/>
        <v>5539.7209700000003</v>
      </c>
      <c r="L1872" s="36">
        <f t="shared" si="961"/>
        <v>50.091516294126158</v>
      </c>
      <c r="M1872" s="36">
        <f t="shared" si="962"/>
        <v>99.99175946981525</v>
      </c>
    </row>
    <row r="1873" spans="1:13" ht="25.5">
      <c r="A1873" s="60" t="s">
        <v>463</v>
      </c>
      <c r="B1873" s="29" t="s">
        <v>741</v>
      </c>
      <c r="C1873" s="29" t="s">
        <v>148</v>
      </c>
      <c r="D1873" s="29" t="s">
        <v>150</v>
      </c>
      <c r="E1873" s="29" t="s">
        <v>825</v>
      </c>
      <c r="F1873" s="29" t="s">
        <v>464</v>
      </c>
      <c r="G1873" s="36">
        <v>11059.2</v>
      </c>
      <c r="H1873" s="36">
        <v>11059.2</v>
      </c>
      <c r="I1873" s="36">
        <v>5540.1775100000004</v>
      </c>
      <c r="J1873" s="36">
        <v>5540.1775100000004</v>
      </c>
      <c r="K1873" s="36">
        <v>5539.7209700000003</v>
      </c>
      <c r="L1873" s="36">
        <f t="shared" si="961"/>
        <v>50.091516294126158</v>
      </c>
      <c r="M1873" s="36">
        <f t="shared" si="962"/>
        <v>99.99175946981525</v>
      </c>
    </row>
    <row r="1874" spans="1:13" ht="51">
      <c r="A1874" s="60" t="s">
        <v>826</v>
      </c>
      <c r="B1874" s="29" t="s">
        <v>741</v>
      </c>
      <c r="C1874" s="29" t="s">
        <v>148</v>
      </c>
      <c r="D1874" s="29" t="s">
        <v>150</v>
      </c>
      <c r="E1874" s="29" t="s">
        <v>827</v>
      </c>
      <c r="F1874" s="59" t="s">
        <v>0</v>
      </c>
      <c r="G1874" s="36">
        <f>G1875+G1877</f>
        <v>60.4</v>
      </c>
      <c r="H1874" s="36">
        <f t="shared" ref="H1874:K1874" si="983">H1875+H1877</f>
        <v>60.367999999999995</v>
      </c>
      <c r="I1874" s="36">
        <f t="shared" si="983"/>
        <v>30.198</v>
      </c>
      <c r="J1874" s="36">
        <f t="shared" si="983"/>
        <v>28.431999999999999</v>
      </c>
      <c r="K1874" s="36">
        <f t="shared" si="983"/>
        <v>28.431090000000001</v>
      </c>
      <c r="L1874" s="36">
        <f t="shared" si="961"/>
        <v>47.096292737874379</v>
      </c>
      <c r="M1874" s="36">
        <f t="shared" si="962"/>
        <v>94.148917146830925</v>
      </c>
    </row>
    <row r="1875" spans="1:13" ht="25.5">
      <c r="A1875" s="60" t="s">
        <v>64</v>
      </c>
      <c r="B1875" s="29" t="s">
        <v>741</v>
      </c>
      <c r="C1875" s="29" t="s">
        <v>148</v>
      </c>
      <c r="D1875" s="29" t="s">
        <v>150</v>
      </c>
      <c r="E1875" s="29" t="s">
        <v>827</v>
      </c>
      <c r="F1875" s="29" t="s">
        <v>65</v>
      </c>
      <c r="G1875" s="36">
        <f>G1876</f>
        <v>1</v>
      </c>
      <c r="H1875" s="36">
        <f t="shared" ref="H1875:K1875" si="984">H1876</f>
        <v>0.96799999999999997</v>
      </c>
      <c r="I1875" s="36">
        <f t="shared" si="984"/>
        <v>0.498</v>
      </c>
      <c r="J1875" s="36">
        <f t="shared" si="984"/>
        <v>0.38900000000000001</v>
      </c>
      <c r="K1875" s="36">
        <f t="shared" si="984"/>
        <v>0.3881</v>
      </c>
      <c r="L1875" s="36">
        <f t="shared" si="961"/>
        <v>40.09297520661157</v>
      </c>
      <c r="M1875" s="36">
        <f t="shared" si="962"/>
        <v>77.931726907630534</v>
      </c>
    </row>
    <row r="1876" spans="1:13" ht="25.5">
      <c r="A1876" s="60" t="s">
        <v>66</v>
      </c>
      <c r="B1876" s="29" t="s">
        <v>741</v>
      </c>
      <c r="C1876" s="29" t="s">
        <v>148</v>
      </c>
      <c r="D1876" s="29" t="s">
        <v>150</v>
      </c>
      <c r="E1876" s="29" t="s">
        <v>827</v>
      </c>
      <c r="F1876" s="29" t="s">
        <v>67</v>
      </c>
      <c r="G1876" s="36">
        <v>1</v>
      </c>
      <c r="H1876" s="36">
        <v>0.96799999999999997</v>
      </c>
      <c r="I1876" s="36">
        <v>0.498</v>
      </c>
      <c r="J1876" s="36">
        <v>0.38900000000000001</v>
      </c>
      <c r="K1876" s="36">
        <v>0.3881</v>
      </c>
      <c r="L1876" s="36">
        <f t="shared" si="961"/>
        <v>40.09297520661157</v>
      </c>
      <c r="M1876" s="36">
        <f t="shared" si="962"/>
        <v>77.931726907630534</v>
      </c>
    </row>
    <row r="1877" spans="1:13">
      <c r="A1877" s="60" t="s">
        <v>68</v>
      </c>
      <c r="B1877" s="29" t="s">
        <v>741</v>
      </c>
      <c r="C1877" s="29" t="s">
        <v>148</v>
      </c>
      <c r="D1877" s="29" t="s">
        <v>150</v>
      </c>
      <c r="E1877" s="29" t="s">
        <v>827</v>
      </c>
      <c r="F1877" s="29" t="s">
        <v>69</v>
      </c>
      <c r="G1877" s="36">
        <f>G1878</f>
        <v>59.4</v>
      </c>
      <c r="H1877" s="36">
        <f t="shared" ref="H1877:K1877" si="985">H1878</f>
        <v>59.4</v>
      </c>
      <c r="I1877" s="36">
        <f t="shared" si="985"/>
        <v>29.7</v>
      </c>
      <c r="J1877" s="36">
        <f t="shared" si="985"/>
        <v>28.042999999999999</v>
      </c>
      <c r="K1877" s="36">
        <f t="shared" si="985"/>
        <v>28.04299</v>
      </c>
      <c r="L1877" s="36">
        <f t="shared" si="961"/>
        <v>47.21042087542088</v>
      </c>
      <c r="M1877" s="36">
        <f t="shared" si="962"/>
        <v>94.42084175084176</v>
      </c>
    </row>
    <row r="1878" spans="1:13" ht="25.5">
      <c r="A1878" s="60" t="s">
        <v>463</v>
      </c>
      <c r="B1878" s="29" t="s">
        <v>741</v>
      </c>
      <c r="C1878" s="29" t="s">
        <v>148</v>
      </c>
      <c r="D1878" s="29" t="s">
        <v>150</v>
      </c>
      <c r="E1878" s="29" t="s">
        <v>827</v>
      </c>
      <c r="F1878" s="29" t="s">
        <v>464</v>
      </c>
      <c r="G1878" s="36">
        <v>59.4</v>
      </c>
      <c r="H1878" s="36">
        <v>59.4</v>
      </c>
      <c r="I1878" s="36">
        <v>29.7</v>
      </c>
      <c r="J1878" s="36">
        <v>28.042999999999999</v>
      </c>
      <c r="K1878" s="36">
        <v>28.04299</v>
      </c>
      <c r="L1878" s="36">
        <f t="shared" si="961"/>
        <v>47.21042087542088</v>
      </c>
      <c r="M1878" s="36">
        <f t="shared" si="962"/>
        <v>94.42084175084176</v>
      </c>
    </row>
    <row r="1879" spans="1:13" ht="51">
      <c r="A1879" s="60" t="s">
        <v>828</v>
      </c>
      <c r="B1879" s="29" t="s">
        <v>741</v>
      </c>
      <c r="C1879" s="29" t="s">
        <v>148</v>
      </c>
      <c r="D1879" s="29" t="s">
        <v>150</v>
      </c>
      <c r="E1879" s="29" t="s">
        <v>829</v>
      </c>
      <c r="F1879" s="59" t="s">
        <v>0</v>
      </c>
      <c r="G1879" s="36">
        <f>G1880+G1882</f>
        <v>1661.4</v>
      </c>
      <c r="H1879" s="36">
        <f t="shared" ref="H1879:K1879" si="986">H1880+H1882</f>
        <v>1661.402</v>
      </c>
      <c r="I1879" s="36">
        <f t="shared" si="986"/>
        <v>0</v>
      </c>
      <c r="J1879" s="36">
        <f t="shared" si="986"/>
        <v>0</v>
      </c>
      <c r="K1879" s="36">
        <f t="shared" si="986"/>
        <v>0</v>
      </c>
      <c r="L1879" s="36">
        <f t="shared" si="961"/>
        <v>0</v>
      </c>
      <c r="M1879" s="36">
        <v>0</v>
      </c>
    </row>
    <row r="1880" spans="1:13" ht="25.5">
      <c r="A1880" s="60" t="s">
        <v>64</v>
      </c>
      <c r="B1880" s="29" t="s">
        <v>741</v>
      </c>
      <c r="C1880" s="29" t="s">
        <v>148</v>
      </c>
      <c r="D1880" s="29" t="s">
        <v>150</v>
      </c>
      <c r="E1880" s="29" t="s">
        <v>829</v>
      </c>
      <c r="F1880" s="29" t="s">
        <v>65</v>
      </c>
      <c r="G1880" s="36">
        <f>G1881</f>
        <v>21.4</v>
      </c>
      <c r="H1880" s="36">
        <f t="shared" ref="H1880:K1880" si="987">H1881</f>
        <v>21.402000000000001</v>
      </c>
      <c r="I1880" s="36">
        <f t="shared" si="987"/>
        <v>0</v>
      </c>
      <c r="J1880" s="36">
        <f t="shared" si="987"/>
        <v>0</v>
      </c>
      <c r="K1880" s="36">
        <f t="shared" si="987"/>
        <v>0</v>
      </c>
      <c r="L1880" s="36">
        <f t="shared" si="961"/>
        <v>0</v>
      </c>
      <c r="M1880" s="36">
        <v>0</v>
      </c>
    </row>
    <row r="1881" spans="1:13" ht="25.5">
      <c r="A1881" s="60" t="s">
        <v>66</v>
      </c>
      <c r="B1881" s="29" t="s">
        <v>741</v>
      </c>
      <c r="C1881" s="29" t="s">
        <v>148</v>
      </c>
      <c r="D1881" s="29" t="s">
        <v>150</v>
      </c>
      <c r="E1881" s="29" t="s">
        <v>829</v>
      </c>
      <c r="F1881" s="29" t="s">
        <v>67</v>
      </c>
      <c r="G1881" s="36">
        <v>21.4</v>
      </c>
      <c r="H1881" s="36">
        <v>21.402000000000001</v>
      </c>
      <c r="I1881" s="36">
        <v>0</v>
      </c>
      <c r="J1881" s="36">
        <v>0</v>
      </c>
      <c r="K1881" s="36">
        <v>0</v>
      </c>
      <c r="L1881" s="36">
        <f t="shared" si="961"/>
        <v>0</v>
      </c>
      <c r="M1881" s="36">
        <v>0</v>
      </c>
    </row>
    <row r="1882" spans="1:13">
      <c r="A1882" s="60" t="s">
        <v>68</v>
      </c>
      <c r="B1882" s="29" t="s">
        <v>741</v>
      </c>
      <c r="C1882" s="29" t="s">
        <v>148</v>
      </c>
      <c r="D1882" s="29" t="s">
        <v>150</v>
      </c>
      <c r="E1882" s="29" t="s">
        <v>829</v>
      </c>
      <c r="F1882" s="29" t="s">
        <v>69</v>
      </c>
      <c r="G1882" s="36">
        <f>G1883</f>
        <v>1640</v>
      </c>
      <c r="H1882" s="36">
        <f t="shared" ref="H1882:K1882" si="988">H1883</f>
        <v>1640</v>
      </c>
      <c r="I1882" s="36">
        <f t="shared" si="988"/>
        <v>0</v>
      </c>
      <c r="J1882" s="36">
        <f t="shared" si="988"/>
        <v>0</v>
      </c>
      <c r="K1882" s="36">
        <f t="shared" si="988"/>
        <v>0</v>
      </c>
      <c r="L1882" s="36">
        <f t="shared" si="961"/>
        <v>0</v>
      </c>
      <c r="M1882" s="36">
        <v>0</v>
      </c>
    </row>
    <row r="1883" spans="1:13" ht="25.5">
      <c r="A1883" s="60" t="s">
        <v>830</v>
      </c>
      <c r="B1883" s="29" t="s">
        <v>741</v>
      </c>
      <c r="C1883" s="29" t="s">
        <v>148</v>
      </c>
      <c r="D1883" s="29" t="s">
        <v>150</v>
      </c>
      <c r="E1883" s="29" t="s">
        <v>829</v>
      </c>
      <c r="F1883" s="29" t="s">
        <v>831</v>
      </c>
      <c r="G1883" s="36">
        <v>1640</v>
      </c>
      <c r="H1883" s="36">
        <v>1640</v>
      </c>
      <c r="I1883" s="36">
        <v>0</v>
      </c>
      <c r="J1883" s="36">
        <v>0</v>
      </c>
      <c r="K1883" s="36">
        <v>0</v>
      </c>
      <c r="L1883" s="36">
        <f t="shared" si="961"/>
        <v>0</v>
      </c>
      <c r="M1883" s="36">
        <v>0</v>
      </c>
    </row>
    <row r="1884" spans="1:13" ht="25.5">
      <c r="A1884" s="60" t="s">
        <v>832</v>
      </c>
      <c r="B1884" s="29" t="s">
        <v>741</v>
      </c>
      <c r="C1884" s="29" t="s">
        <v>148</v>
      </c>
      <c r="D1884" s="29" t="s">
        <v>150</v>
      </c>
      <c r="E1884" s="29" t="s">
        <v>833</v>
      </c>
      <c r="F1884" s="59" t="s">
        <v>0</v>
      </c>
      <c r="G1884" s="36">
        <f>G1885+G1887</f>
        <v>291389</v>
      </c>
      <c r="H1884" s="36">
        <f t="shared" ref="H1884:K1884" si="989">H1885+H1887</f>
        <v>291388.951</v>
      </c>
      <c r="I1884" s="36">
        <f t="shared" si="989"/>
        <v>182749.49109999998</v>
      </c>
      <c r="J1884" s="36">
        <f t="shared" si="989"/>
        <v>182749.49109999998</v>
      </c>
      <c r="K1884" s="36">
        <f t="shared" si="989"/>
        <v>182731.39713</v>
      </c>
      <c r="L1884" s="36">
        <f t="shared" si="961"/>
        <v>62.710475638453431</v>
      </c>
      <c r="M1884" s="36">
        <f t="shared" si="962"/>
        <v>99.990099031252527</v>
      </c>
    </row>
    <row r="1885" spans="1:13" ht="25.5">
      <c r="A1885" s="60" t="s">
        <v>64</v>
      </c>
      <c r="B1885" s="29" t="s">
        <v>741</v>
      </c>
      <c r="C1885" s="29" t="s">
        <v>148</v>
      </c>
      <c r="D1885" s="29" t="s">
        <v>150</v>
      </c>
      <c r="E1885" s="29" t="s">
        <v>833</v>
      </c>
      <c r="F1885" s="29" t="s">
        <v>65</v>
      </c>
      <c r="G1885" s="36">
        <f>G1886</f>
        <v>3032.6</v>
      </c>
      <c r="H1885" s="36">
        <f t="shared" ref="H1885:K1885" si="990">H1886</f>
        <v>3032.5819999999999</v>
      </c>
      <c r="I1885" s="36">
        <f t="shared" si="990"/>
        <v>1623.0961</v>
      </c>
      <c r="J1885" s="36">
        <f t="shared" si="990"/>
        <v>1623.0961</v>
      </c>
      <c r="K1885" s="36">
        <f t="shared" si="990"/>
        <v>1622.73991</v>
      </c>
      <c r="L1885" s="36">
        <f t="shared" si="961"/>
        <v>53.510174168414906</v>
      </c>
      <c r="M1885" s="36">
        <f t="shared" si="962"/>
        <v>99.978054903834717</v>
      </c>
    </row>
    <row r="1886" spans="1:13" ht="25.5">
      <c r="A1886" s="60" t="s">
        <v>66</v>
      </c>
      <c r="B1886" s="29" t="s">
        <v>741</v>
      </c>
      <c r="C1886" s="29" t="s">
        <v>148</v>
      </c>
      <c r="D1886" s="29" t="s">
        <v>150</v>
      </c>
      <c r="E1886" s="29" t="s">
        <v>833</v>
      </c>
      <c r="F1886" s="29" t="s">
        <v>67</v>
      </c>
      <c r="G1886" s="36">
        <v>3032.6</v>
      </c>
      <c r="H1886" s="36">
        <v>3032.5819999999999</v>
      </c>
      <c r="I1886" s="36">
        <v>1623.0961</v>
      </c>
      <c r="J1886" s="36">
        <v>1623.0961</v>
      </c>
      <c r="K1886" s="36">
        <v>1622.73991</v>
      </c>
      <c r="L1886" s="36">
        <f t="shared" si="961"/>
        <v>53.510174168414906</v>
      </c>
      <c r="M1886" s="36">
        <f t="shared" si="962"/>
        <v>99.978054903834717</v>
      </c>
    </row>
    <row r="1887" spans="1:13">
      <c r="A1887" s="60" t="s">
        <v>68</v>
      </c>
      <c r="B1887" s="29" t="s">
        <v>741</v>
      </c>
      <c r="C1887" s="29" t="s">
        <v>148</v>
      </c>
      <c r="D1887" s="29" t="s">
        <v>150</v>
      </c>
      <c r="E1887" s="29" t="s">
        <v>833</v>
      </c>
      <c r="F1887" s="29" t="s">
        <v>69</v>
      </c>
      <c r="G1887" s="36">
        <f>G1888</f>
        <v>288356.40000000002</v>
      </c>
      <c r="H1887" s="36">
        <f t="shared" ref="H1887:K1887" si="991">H1888</f>
        <v>288356.36900000001</v>
      </c>
      <c r="I1887" s="36">
        <f t="shared" si="991"/>
        <v>181126.39499999999</v>
      </c>
      <c r="J1887" s="36">
        <f t="shared" si="991"/>
        <v>181126.39499999999</v>
      </c>
      <c r="K1887" s="36">
        <f t="shared" si="991"/>
        <v>181108.65721999999</v>
      </c>
      <c r="L1887" s="36">
        <f t="shared" si="961"/>
        <v>62.807233232986079</v>
      </c>
      <c r="M1887" s="36">
        <f t="shared" si="962"/>
        <v>99.990206960172756</v>
      </c>
    </row>
    <row r="1888" spans="1:13" ht="25.5">
      <c r="A1888" s="60" t="s">
        <v>463</v>
      </c>
      <c r="B1888" s="29" t="s">
        <v>741</v>
      </c>
      <c r="C1888" s="29" t="s">
        <v>148</v>
      </c>
      <c r="D1888" s="29" t="s">
        <v>150</v>
      </c>
      <c r="E1888" s="29" t="s">
        <v>833</v>
      </c>
      <c r="F1888" s="29" t="s">
        <v>464</v>
      </c>
      <c r="G1888" s="36">
        <v>288356.40000000002</v>
      </c>
      <c r="H1888" s="36">
        <v>288356.36900000001</v>
      </c>
      <c r="I1888" s="36">
        <v>181126.39499999999</v>
      </c>
      <c r="J1888" s="36">
        <v>181126.39499999999</v>
      </c>
      <c r="K1888" s="36">
        <v>181108.65721999999</v>
      </c>
      <c r="L1888" s="36">
        <f t="shared" si="961"/>
        <v>62.807233232986079</v>
      </c>
      <c r="M1888" s="36">
        <f t="shared" si="962"/>
        <v>99.990206960172756</v>
      </c>
    </row>
    <row r="1889" spans="1:13" ht="63.75">
      <c r="A1889" s="60" t="s">
        <v>834</v>
      </c>
      <c r="B1889" s="29" t="s">
        <v>741</v>
      </c>
      <c r="C1889" s="29" t="s">
        <v>148</v>
      </c>
      <c r="D1889" s="29" t="s">
        <v>150</v>
      </c>
      <c r="E1889" s="29" t="s">
        <v>835</v>
      </c>
      <c r="F1889" s="59" t="s">
        <v>0</v>
      </c>
      <c r="G1889" s="36">
        <f>G1890+G1892</f>
        <v>638.90000000000009</v>
      </c>
      <c r="H1889" s="36">
        <f t="shared" ref="H1889:K1889" si="992">H1890+H1892</f>
        <v>638.90100000000007</v>
      </c>
      <c r="I1889" s="36">
        <f t="shared" si="992"/>
        <v>297.60000000000002</v>
      </c>
      <c r="J1889" s="36">
        <f t="shared" si="992"/>
        <v>296.36500000000001</v>
      </c>
      <c r="K1889" s="36">
        <f t="shared" si="992"/>
        <v>296.32355000000001</v>
      </c>
      <c r="L1889" s="36">
        <f t="shared" si="961"/>
        <v>46.380198184069208</v>
      </c>
      <c r="M1889" s="36">
        <f t="shared" si="962"/>
        <v>99.571085349462365</v>
      </c>
    </row>
    <row r="1890" spans="1:13" ht="25.5">
      <c r="A1890" s="60" t="s">
        <v>64</v>
      </c>
      <c r="B1890" s="29" t="s">
        <v>741</v>
      </c>
      <c r="C1890" s="29" t="s">
        <v>148</v>
      </c>
      <c r="D1890" s="29" t="s">
        <v>150</v>
      </c>
      <c r="E1890" s="29" t="s">
        <v>835</v>
      </c>
      <c r="F1890" s="29" t="s">
        <v>65</v>
      </c>
      <c r="G1890" s="36">
        <f>G1891</f>
        <v>7.7</v>
      </c>
      <c r="H1890" s="36">
        <f t="shared" ref="H1890:K1890" si="993">H1891</f>
        <v>7.7009999999999996</v>
      </c>
      <c r="I1890" s="36">
        <f t="shared" si="993"/>
        <v>3.6</v>
      </c>
      <c r="J1890" s="36">
        <f t="shared" si="993"/>
        <v>3.5649999999999999</v>
      </c>
      <c r="K1890" s="36">
        <f t="shared" si="993"/>
        <v>3.5235500000000002</v>
      </c>
      <c r="L1890" s="36">
        <f t="shared" si="961"/>
        <v>45.754447474353981</v>
      </c>
      <c r="M1890" s="36">
        <f t="shared" si="962"/>
        <v>97.876388888888883</v>
      </c>
    </row>
    <row r="1891" spans="1:13" ht="25.5">
      <c r="A1891" s="60" t="s">
        <v>66</v>
      </c>
      <c r="B1891" s="29" t="s">
        <v>741</v>
      </c>
      <c r="C1891" s="29" t="s">
        <v>148</v>
      </c>
      <c r="D1891" s="29" t="s">
        <v>150</v>
      </c>
      <c r="E1891" s="29" t="s">
        <v>835</v>
      </c>
      <c r="F1891" s="29" t="s">
        <v>67</v>
      </c>
      <c r="G1891" s="36">
        <v>7.7</v>
      </c>
      <c r="H1891" s="36">
        <v>7.7009999999999996</v>
      </c>
      <c r="I1891" s="36">
        <v>3.6</v>
      </c>
      <c r="J1891" s="36">
        <v>3.5649999999999999</v>
      </c>
      <c r="K1891" s="36">
        <v>3.5235500000000002</v>
      </c>
      <c r="L1891" s="36">
        <f t="shared" si="961"/>
        <v>45.754447474353981</v>
      </c>
      <c r="M1891" s="36">
        <f t="shared" si="962"/>
        <v>97.876388888888883</v>
      </c>
    </row>
    <row r="1892" spans="1:13">
      <c r="A1892" s="60" t="s">
        <v>68</v>
      </c>
      <c r="B1892" s="29" t="s">
        <v>741</v>
      </c>
      <c r="C1892" s="29" t="s">
        <v>148</v>
      </c>
      <c r="D1892" s="29" t="s">
        <v>150</v>
      </c>
      <c r="E1892" s="29" t="s">
        <v>835</v>
      </c>
      <c r="F1892" s="29" t="s">
        <v>69</v>
      </c>
      <c r="G1892" s="36">
        <f>G1893</f>
        <v>631.20000000000005</v>
      </c>
      <c r="H1892" s="36">
        <f t="shared" ref="H1892:K1892" si="994">H1893</f>
        <v>631.20000000000005</v>
      </c>
      <c r="I1892" s="36">
        <f t="shared" si="994"/>
        <v>294</v>
      </c>
      <c r="J1892" s="36">
        <f t="shared" si="994"/>
        <v>292.8</v>
      </c>
      <c r="K1892" s="36">
        <f t="shared" si="994"/>
        <v>292.8</v>
      </c>
      <c r="L1892" s="36">
        <f t="shared" si="961"/>
        <v>46.387832699619771</v>
      </c>
      <c r="M1892" s="36">
        <f t="shared" si="962"/>
        <v>99.591836734693885</v>
      </c>
    </row>
    <row r="1893" spans="1:13" ht="25.5">
      <c r="A1893" s="60" t="s">
        <v>463</v>
      </c>
      <c r="B1893" s="29" t="s">
        <v>741</v>
      </c>
      <c r="C1893" s="29" t="s">
        <v>148</v>
      </c>
      <c r="D1893" s="29" t="s">
        <v>150</v>
      </c>
      <c r="E1893" s="29" t="s">
        <v>835</v>
      </c>
      <c r="F1893" s="29" t="s">
        <v>464</v>
      </c>
      <c r="G1893" s="36">
        <v>631.20000000000005</v>
      </c>
      <c r="H1893" s="36">
        <v>631.20000000000005</v>
      </c>
      <c r="I1893" s="36">
        <v>294</v>
      </c>
      <c r="J1893" s="36">
        <v>292.8</v>
      </c>
      <c r="K1893" s="36">
        <v>292.8</v>
      </c>
      <c r="L1893" s="36">
        <f t="shared" si="961"/>
        <v>46.387832699619771</v>
      </c>
      <c r="M1893" s="36">
        <f t="shared" si="962"/>
        <v>99.591836734693885</v>
      </c>
    </row>
    <row r="1894" spans="1:13" ht="63.75">
      <c r="A1894" s="60" t="s">
        <v>836</v>
      </c>
      <c r="B1894" s="29" t="s">
        <v>741</v>
      </c>
      <c r="C1894" s="29" t="s">
        <v>148</v>
      </c>
      <c r="D1894" s="29" t="s">
        <v>150</v>
      </c>
      <c r="E1894" s="29" t="s">
        <v>837</v>
      </c>
      <c r="F1894" s="59" t="s">
        <v>0</v>
      </c>
      <c r="G1894" s="36">
        <f>G1895+G1897</f>
        <v>12.2</v>
      </c>
      <c r="H1894" s="36">
        <f t="shared" ref="H1894:K1894" si="995">H1895+H1897</f>
        <v>12.18</v>
      </c>
      <c r="I1894" s="36">
        <f t="shared" si="995"/>
        <v>6.12</v>
      </c>
      <c r="J1894" s="36">
        <f t="shared" si="995"/>
        <v>6.09</v>
      </c>
      <c r="K1894" s="36">
        <f t="shared" si="995"/>
        <v>6.09</v>
      </c>
      <c r="L1894" s="36">
        <f t="shared" si="961"/>
        <v>50</v>
      </c>
      <c r="M1894" s="36">
        <f t="shared" si="962"/>
        <v>99.509803921568619</v>
      </c>
    </row>
    <row r="1895" spans="1:13" ht="25.5">
      <c r="A1895" s="60" t="s">
        <v>64</v>
      </c>
      <c r="B1895" s="29" t="s">
        <v>741</v>
      </c>
      <c r="C1895" s="29" t="s">
        <v>148</v>
      </c>
      <c r="D1895" s="29" t="s">
        <v>150</v>
      </c>
      <c r="E1895" s="29" t="s">
        <v>837</v>
      </c>
      <c r="F1895" s="29" t="s">
        <v>65</v>
      </c>
      <c r="G1895" s="36">
        <f>G1896</f>
        <v>0.2</v>
      </c>
      <c r="H1895" s="36">
        <f t="shared" ref="H1895:K1895" si="996">H1896</f>
        <v>0.18</v>
      </c>
      <c r="I1895" s="36">
        <f t="shared" si="996"/>
        <v>0.12</v>
      </c>
      <c r="J1895" s="36">
        <f t="shared" si="996"/>
        <v>0.09</v>
      </c>
      <c r="K1895" s="36">
        <f t="shared" si="996"/>
        <v>0.09</v>
      </c>
      <c r="L1895" s="36">
        <f t="shared" si="961"/>
        <v>50</v>
      </c>
      <c r="M1895" s="36">
        <f t="shared" si="962"/>
        <v>75</v>
      </c>
    </row>
    <row r="1896" spans="1:13" ht="25.5">
      <c r="A1896" s="60" t="s">
        <v>66</v>
      </c>
      <c r="B1896" s="29" t="s">
        <v>741</v>
      </c>
      <c r="C1896" s="29" t="s">
        <v>148</v>
      </c>
      <c r="D1896" s="29" t="s">
        <v>150</v>
      </c>
      <c r="E1896" s="29" t="s">
        <v>837</v>
      </c>
      <c r="F1896" s="29" t="s">
        <v>67</v>
      </c>
      <c r="G1896" s="36">
        <v>0.2</v>
      </c>
      <c r="H1896" s="36">
        <v>0.18</v>
      </c>
      <c r="I1896" s="36">
        <v>0.12</v>
      </c>
      <c r="J1896" s="36">
        <v>0.09</v>
      </c>
      <c r="K1896" s="36">
        <v>0.09</v>
      </c>
      <c r="L1896" s="36">
        <f t="shared" si="961"/>
        <v>50</v>
      </c>
      <c r="M1896" s="36">
        <f t="shared" si="962"/>
        <v>75</v>
      </c>
    </row>
    <row r="1897" spans="1:13">
      <c r="A1897" s="60" t="s">
        <v>68</v>
      </c>
      <c r="B1897" s="29" t="s">
        <v>741</v>
      </c>
      <c r="C1897" s="29" t="s">
        <v>148</v>
      </c>
      <c r="D1897" s="29" t="s">
        <v>150</v>
      </c>
      <c r="E1897" s="29" t="s">
        <v>837</v>
      </c>
      <c r="F1897" s="29" t="s">
        <v>69</v>
      </c>
      <c r="G1897" s="36">
        <f>G1898</f>
        <v>12</v>
      </c>
      <c r="H1897" s="36">
        <f t="shared" ref="H1897:K1897" si="997">H1898</f>
        <v>12</v>
      </c>
      <c r="I1897" s="36">
        <f t="shared" si="997"/>
        <v>6</v>
      </c>
      <c r="J1897" s="36">
        <f t="shared" si="997"/>
        <v>6</v>
      </c>
      <c r="K1897" s="36">
        <f t="shared" si="997"/>
        <v>6</v>
      </c>
      <c r="L1897" s="36">
        <f t="shared" si="961"/>
        <v>50</v>
      </c>
      <c r="M1897" s="36">
        <f t="shared" si="962"/>
        <v>100</v>
      </c>
    </row>
    <row r="1898" spans="1:13" ht="25.5">
      <c r="A1898" s="60" t="s">
        <v>463</v>
      </c>
      <c r="B1898" s="29" t="s">
        <v>741</v>
      </c>
      <c r="C1898" s="29" t="s">
        <v>148</v>
      </c>
      <c r="D1898" s="29" t="s">
        <v>150</v>
      </c>
      <c r="E1898" s="29" t="s">
        <v>837</v>
      </c>
      <c r="F1898" s="29" t="s">
        <v>464</v>
      </c>
      <c r="G1898" s="36">
        <v>12</v>
      </c>
      <c r="H1898" s="36">
        <v>12</v>
      </c>
      <c r="I1898" s="36">
        <v>6</v>
      </c>
      <c r="J1898" s="36">
        <v>6</v>
      </c>
      <c r="K1898" s="36">
        <v>6</v>
      </c>
      <c r="L1898" s="36">
        <f t="shared" si="961"/>
        <v>50</v>
      </c>
      <c r="M1898" s="36">
        <f t="shared" si="962"/>
        <v>100</v>
      </c>
    </row>
    <row r="1899" spans="1:13" ht="38.25">
      <c r="A1899" s="60" t="s">
        <v>838</v>
      </c>
      <c r="B1899" s="29" t="s">
        <v>741</v>
      </c>
      <c r="C1899" s="29" t="s">
        <v>148</v>
      </c>
      <c r="D1899" s="29" t="s">
        <v>150</v>
      </c>
      <c r="E1899" s="29" t="s">
        <v>839</v>
      </c>
      <c r="F1899" s="59" t="s">
        <v>0</v>
      </c>
      <c r="G1899" s="36">
        <f>G1900+G1902</f>
        <v>4869.6000000000004</v>
      </c>
      <c r="H1899" s="36">
        <f t="shared" ref="H1899:K1899" si="998">H1900+H1902</f>
        <v>4869.6000000000004</v>
      </c>
      <c r="I1899" s="36">
        <f t="shared" si="998"/>
        <v>2473.29</v>
      </c>
      <c r="J1899" s="36">
        <f t="shared" si="998"/>
        <v>2455.3519999999999</v>
      </c>
      <c r="K1899" s="36">
        <f t="shared" si="998"/>
        <v>2454.8912600000003</v>
      </c>
      <c r="L1899" s="36">
        <f t="shared" si="961"/>
        <v>50.412585427961233</v>
      </c>
      <c r="M1899" s="36">
        <f t="shared" si="962"/>
        <v>99.256102600180341</v>
      </c>
    </row>
    <row r="1900" spans="1:13" ht="25.5">
      <c r="A1900" s="60" t="s">
        <v>64</v>
      </c>
      <c r="B1900" s="29" t="s">
        <v>741</v>
      </c>
      <c r="C1900" s="29" t="s">
        <v>148</v>
      </c>
      <c r="D1900" s="29" t="s">
        <v>150</v>
      </c>
      <c r="E1900" s="29" t="s">
        <v>839</v>
      </c>
      <c r="F1900" s="29" t="s">
        <v>65</v>
      </c>
      <c r="G1900" s="36">
        <f>G1901</f>
        <v>69.599999999999994</v>
      </c>
      <c r="H1900" s="36">
        <f t="shared" ref="H1900:K1900" si="999">H1901</f>
        <v>69.599999999999994</v>
      </c>
      <c r="I1900" s="36">
        <f t="shared" si="999"/>
        <v>30.39</v>
      </c>
      <c r="J1900" s="36">
        <f t="shared" si="999"/>
        <v>28.042000000000002</v>
      </c>
      <c r="K1900" s="36">
        <f t="shared" si="999"/>
        <v>28.034050000000001</v>
      </c>
      <c r="L1900" s="36">
        <f t="shared" si="961"/>
        <v>40.278807471264372</v>
      </c>
      <c r="M1900" s="36">
        <f t="shared" si="962"/>
        <v>92.247614346824619</v>
      </c>
    </row>
    <row r="1901" spans="1:13" ht="25.5">
      <c r="A1901" s="60" t="s">
        <v>66</v>
      </c>
      <c r="B1901" s="29" t="s">
        <v>741</v>
      </c>
      <c r="C1901" s="29" t="s">
        <v>148</v>
      </c>
      <c r="D1901" s="29" t="s">
        <v>150</v>
      </c>
      <c r="E1901" s="29" t="s">
        <v>839</v>
      </c>
      <c r="F1901" s="29" t="s">
        <v>67</v>
      </c>
      <c r="G1901" s="36">
        <v>69.599999999999994</v>
      </c>
      <c r="H1901" s="36">
        <v>69.599999999999994</v>
      </c>
      <c r="I1901" s="36">
        <v>30.39</v>
      </c>
      <c r="J1901" s="36">
        <v>28.042000000000002</v>
      </c>
      <c r="K1901" s="36">
        <v>28.034050000000001</v>
      </c>
      <c r="L1901" s="36">
        <f t="shared" si="961"/>
        <v>40.278807471264372</v>
      </c>
      <c r="M1901" s="36">
        <f t="shared" si="962"/>
        <v>92.247614346824619</v>
      </c>
    </row>
    <row r="1902" spans="1:13">
      <c r="A1902" s="60" t="s">
        <v>68</v>
      </c>
      <c r="B1902" s="29" t="s">
        <v>741</v>
      </c>
      <c r="C1902" s="29" t="s">
        <v>148</v>
      </c>
      <c r="D1902" s="29" t="s">
        <v>150</v>
      </c>
      <c r="E1902" s="29" t="s">
        <v>839</v>
      </c>
      <c r="F1902" s="29" t="s">
        <v>69</v>
      </c>
      <c r="G1902" s="36">
        <f>G1903</f>
        <v>4800</v>
      </c>
      <c r="H1902" s="36">
        <f t="shared" ref="H1902:K1902" si="1000">H1903</f>
        <v>4800</v>
      </c>
      <c r="I1902" s="36">
        <f t="shared" si="1000"/>
        <v>2442.9</v>
      </c>
      <c r="J1902" s="36">
        <f t="shared" si="1000"/>
        <v>2427.31</v>
      </c>
      <c r="K1902" s="36">
        <f t="shared" si="1000"/>
        <v>2426.8572100000001</v>
      </c>
      <c r="L1902" s="36">
        <f t="shared" si="961"/>
        <v>50.559525208333334</v>
      </c>
      <c r="M1902" s="36">
        <f t="shared" si="962"/>
        <v>99.343289123582622</v>
      </c>
    </row>
    <row r="1903" spans="1:13" ht="25.5">
      <c r="A1903" s="60" t="s">
        <v>463</v>
      </c>
      <c r="B1903" s="29" t="s">
        <v>741</v>
      </c>
      <c r="C1903" s="29" t="s">
        <v>148</v>
      </c>
      <c r="D1903" s="29" t="s">
        <v>150</v>
      </c>
      <c r="E1903" s="29" t="s">
        <v>839</v>
      </c>
      <c r="F1903" s="29" t="s">
        <v>464</v>
      </c>
      <c r="G1903" s="36">
        <v>4800</v>
      </c>
      <c r="H1903" s="36">
        <v>4800</v>
      </c>
      <c r="I1903" s="36">
        <v>2442.9</v>
      </c>
      <c r="J1903" s="36">
        <v>2427.31</v>
      </c>
      <c r="K1903" s="36">
        <v>2426.8572100000001</v>
      </c>
      <c r="L1903" s="36">
        <f t="shared" ref="L1903:L1972" si="1001">K1903/H1903*100</f>
        <v>50.559525208333334</v>
      </c>
      <c r="M1903" s="36">
        <f t="shared" ref="M1903:M1972" si="1002">K1903/I1903*100</f>
        <v>99.343289123582622</v>
      </c>
    </row>
    <row r="1904" spans="1:13" ht="38.25">
      <c r="A1904" s="60" t="s">
        <v>840</v>
      </c>
      <c r="B1904" s="29" t="s">
        <v>741</v>
      </c>
      <c r="C1904" s="29" t="s">
        <v>148</v>
      </c>
      <c r="D1904" s="29" t="s">
        <v>150</v>
      </c>
      <c r="E1904" s="29" t="s">
        <v>841</v>
      </c>
      <c r="F1904" s="59" t="s">
        <v>0</v>
      </c>
      <c r="G1904" s="36">
        <f>G1905+G1907</f>
        <v>11353.599999999999</v>
      </c>
      <c r="H1904" s="36">
        <f t="shared" ref="H1904:K1904" si="1003">H1905+H1907</f>
        <v>11353.575000000001</v>
      </c>
      <c r="I1904" s="36">
        <f t="shared" si="1003"/>
        <v>5574.9</v>
      </c>
      <c r="J1904" s="36">
        <f t="shared" si="1003"/>
        <v>5505.5519999999997</v>
      </c>
      <c r="K1904" s="36">
        <f t="shared" si="1003"/>
        <v>5505.4540299999999</v>
      </c>
      <c r="L1904" s="36">
        <f t="shared" si="1001"/>
        <v>48.490929332831286</v>
      </c>
      <c r="M1904" s="36">
        <f t="shared" si="1002"/>
        <v>98.754310032466947</v>
      </c>
    </row>
    <row r="1905" spans="1:13" ht="25.5">
      <c r="A1905" s="60" t="s">
        <v>64</v>
      </c>
      <c r="B1905" s="29" t="s">
        <v>741</v>
      </c>
      <c r="C1905" s="29" t="s">
        <v>148</v>
      </c>
      <c r="D1905" s="29" t="s">
        <v>150</v>
      </c>
      <c r="E1905" s="29" t="s">
        <v>841</v>
      </c>
      <c r="F1905" s="29" t="s">
        <v>65</v>
      </c>
      <c r="G1905" s="36">
        <f>G1906</f>
        <v>167.8</v>
      </c>
      <c r="H1905" s="36">
        <f t="shared" ref="H1905:K1905" si="1004">H1906</f>
        <v>167.78700000000001</v>
      </c>
      <c r="I1905" s="36">
        <f t="shared" si="1004"/>
        <v>74.900000000000006</v>
      </c>
      <c r="J1905" s="36">
        <f t="shared" si="1004"/>
        <v>70.611000000000004</v>
      </c>
      <c r="K1905" s="36">
        <f t="shared" si="1004"/>
        <v>70.541899999999998</v>
      </c>
      <c r="L1905" s="36">
        <f t="shared" si="1001"/>
        <v>42.042530112583215</v>
      </c>
      <c r="M1905" s="36">
        <f t="shared" si="1002"/>
        <v>94.181441922563408</v>
      </c>
    </row>
    <row r="1906" spans="1:13" ht="25.5">
      <c r="A1906" s="60" t="s">
        <v>66</v>
      </c>
      <c r="B1906" s="29" t="s">
        <v>741</v>
      </c>
      <c r="C1906" s="29" t="s">
        <v>148</v>
      </c>
      <c r="D1906" s="29" t="s">
        <v>150</v>
      </c>
      <c r="E1906" s="29" t="s">
        <v>841</v>
      </c>
      <c r="F1906" s="29" t="s">
        <v>67</v>
      </c>
      <c r="G1906" s="36">
        <v>167.8</v>
      </c>
      <c r="H1906" s="36">
        <v>167.78700000000001</v>
      </c>
      <c r="I1906" s="36">
        <v>74.900000000000006</v>
      </c>
      <c r="J1906" s="36">
        <v>70.611000000000004</v>
      </c>
      <c r="K1906" s="36">
        <v>70.541899999999998</v>
      </c>
      <c r="L1906" s="36">
        <f t="shared" si="1001"/>
        <v>42.042530112583215</v>
      </c>
      <c r="M1906" s="36">
        <f t="shared" si="1002"/>
        <v>94.181441922563408</v>
      </c>
    </row>
    <row r="1907" spans="1:13">
      <c r="A1907" s="60" t="s">
        <v>68</v>
      </c>
      <c r="B1907" s="29" t="s">
        <v>741</v>
      </c>
      <c r="C1907" s="29" t="s">
        <v>148</v>
      </c>
      <c r="D1907" s="29" t="s">
        <v>150</v>
      </c>
      <c r="E1907" s="29" t="s">
        <v>841</v>
      </c>
      <c r="F1907" s="29" t="s">
        <v>69</v>
      </c>
      <c r="G1907" s="36">
        <f>G1908</f>
        <v>11185.8</v>
      </c>
      <c r="H1907" s="36">
        <f t="shared" ref="H1907:K1907" si="1005">H1908</f>
        <v>11185.788</v>
      </c>
      <c r="I1907" s="36">
        <f t="shared" si="1005"/>
        <v>5500</v>
      </c>
      <c r="J1907" s="36">
        <f t="shared" si="1005"/>
        <v>5434.9409999999998</v>
      </c>
      <c r="K1907" s="36">
        <f t="shared" si="1005"/>
        <v>5434.9121299999997</v>
      </c>
      <c r="L1907" s="36">
        <f t="shared" si="1001"/>
        <v>48.587655424901669</v>
      </c>
      <c r="M1907" s="36">
        <f t="shared" si="1002"/>
        <v>98.816584181818172</v>
      </c>
    </row>
    <row r="1908" spans="1:13" ht="25.5">
      <c r="A1908" s="60" t="s">
        <v>463</v>
      </c>
      <c r="B1908" s="29" t="s">
        <v>741</v>
      </c>
      <c r="C1908" s="29" t="s">
        <v>148</v>
      </c>
      <c r="D1908" s="29" t="s">
        <v>150</v>
      </c>
      <c r="E1908" s="29" t="s">
        <v>841</v>
      </c>
      <c r="F1908" s="29" t="s">
        <v>464</v>
      </c>
      <c r="G1908" s="36">
        <v>11185.8</v>
      </c>
      <c r="H1908" s="36">
        <v>11185.788</v>
      </c>
      <c r="I1908" s="36">
        <v>5500</v>
      </c>
      <c r="J1908" s="36">
        <v>5434.9409999999998</v>
      </c>
      <c r="K1908" s="36">
        <v>5434.9121299999997</v>
      </c>
      <c r="L1908" s="36">
        <f t="shared" si="1001"/>
        <v>48.587655424901669</v>
      </c>
      <c r="M1908" s="36">
        <f t="shared" si="1002"/>
        <v>98.816584181818172</v>
      </c>
    </row>
    <row r="1909" spans="1:13" ht="38.25">
      <c r="A1909" s="60" t="s">
        <v>842</v>
      </c>
      <c r="B1909" s="29" t="s">
        <v>741</v>
      </c>
      <c r="C1909" s="29" t="s">
        <v>148</v>
      </c>
      <c r="D1909" s="29" t="s">
        <v>150</v>
      </c>
      <c r="E1909" s="29" t="s">
        <v>843</v>
      </c>
      <c r="F1909" s="59" t="s">
        <v>0</v>
      </c>
      <c r="G1909" s="36">
        <f>G1910+G1912</f>
        <v>996.5</v>
      </c>
      <c r="H1909" s="36">
        <f t="shared" ref="H1909:K1909" si="1006">H1910+H1912</f>
        <v>996.52499999999998</v>
      </c>
      <c r="I1909" s="36">
        <f t="shared" si="1006"/>
        <v>655.01600000000008</v>
      </c>
      <c r="J1909" s="36">
        <f t="shared" si="1006"/>
        <v>635.41589999999997</v>
      </c>
      <c r="K1909" s="36">
        <f t="shared" si="1006"/>
        <v>633.79486000000009</v>
      </c>
      <c r="L1909" s="36">
        <f t="shared" si="1001"/>
        <v>63.600497729610403</v>
      </c>
      <c r="M1909" s="36">
        <f t="shared" si="1002"/>
        <v>96.760210437607626</v>
      </c>
    </row>
    <row r="1910" spans="1:13" ht="25.5">
      <c r="A1910" s="60" t="s">
        <v>64</v>
      </c>
      <c r="B1910" s="29" t="s">
        <v>741</v>
      </c>
      <c r="C1910" s="29" t="s">
        <v>148</v>
      </c>
      <c r="D1910" s="29" t="s">
        <v>150</v>
      </c>
      <c r="E1910" s="29" t="s">
        <v>843</v>
      </c>
      <c r="F1910" s="29" t="s">
        <v>65</v>
      </c>
      <c r="G1910" s="36">
        <f>G1911</f>
        <v>11.5</v>
      </c>
      <c r="H1910" s="36">
        <f t="shared" ref="H1910:K1910" si="1007">H1911</f>
        <v>11.525</v>
      </c>
      <c r="I1910" s="36">
        <f t="shared" si="1007"/>
        <v>7.8159999999999998</v>
      </c>
      <c r="J1910" s="36">
        <f t="shared" si="1007"/>
        <v>7.6158999999999999</v>
      </c>
      <c r="K1910" s="36">
        <f t="shared" si="1007"/>
        <v>7.3448599999999997</v>
      </c>
      <c r="L1910" s="36">
        <f t="shared" si="1001"/>
        <v>63.729804772234267</v>
      </c>
      <c r="M1910" s="36">
        <f t="shared" si="1002"/>
        <v>93.972108495394053</v>
      </c>
    </row>
    <row r="1911" spans="1:13" ht="25.5">
      <c r="A1911" s="60" t="s">
        <v>66</v>
      </c>
      <c r="B1911" s="29" t="s">
        <v>741</v>
      </c>
      <c r="C1911" s="29" t="s">
        <v>148</v>
      </c>
      <c r="D1911" s="29" t="s">
        <v>150</v>
      </c>
      <c r="E1911" s="29" t="s">
        <v>843</v>
      </c>
      <c r="F1911" s="29" t="s">
        <v>67</v>
      </c>
      <c r="G1911" s="36">
        <v>11.5</v>
      </c>
      <c r="H1911" s="36">
        <v>11.525</v>
      </c>
      <c r="I1911" s="36">
        <v>7.8159999999999998</v>
      </c>
      <c r="J1911" s="36">
        <v>7.6158999999999999</v>
      </c>
      <c r="K1911" s="36">
        <v>7.3448599999999997</v>
      </c>
      <c r="L1911" s="36">
        <f t="shared" si="1001"/>
        <v>63.729804772234267</v>
      </c>
      <c r="M1911" s="36">
        <f t="shared" si="1002"/>
        <v>93.972108495394053</v>
      </c>
    </row>
    <row r="1912" spans="1:13">
      <c r="A1912" s="60" t="s">
        <v>68</v>
      </c>
      <c r="B1912" s="29" t="s">
        <v>741</v>
      </c>
      <c r="C1912" s="29" t="s">
        <v>148</v>
      </c>
      <c r="D1912" s="29" t="s">
        <v>150</v>
      </c>
      <c r="E1912" s="29" t="s">
        <v>843</v>
      </c>
      <c r="F1912" s="29" t="s">
        <v>69</v>
      </c>
      <c r="G1912" s="36">
        <f>G1913</f>
        <v>985</v>
      </c>
      <c r="H1912" s="36">
        <f t="shared" ref="H1912:K1912" si="1008">H1913</f>
        <v>985</v>
      </c>
      <c r="I1912" s="36">
        <f t="shared" si="1008"/>
        <v>647.20000000000005</v>
      </c>
      <c r="J1912" s="36">
        <f t="shared" si="1008"/>
        <v>627.79999999999995</v>
      </c>
      <c r="K1912" s="36">
        <f t="shared" si="1008"/>
        <v>626.45000000000005</v>
      </c>
      <c r="L1912" s="36">
        <f t="shared" si="1001"/>
        <v>63.598984771573605</v>
      </c>
      <c r="M1912" s="36">
        <f t="shared" si="1002"/>
        <v>96.793881334981464</v>
      </c>
    </row>
    <row r="1913" spans="1:13" ht="25.5">
      <c r="A1913" s="60" t="s">
        <v>463</v>
      </c>
      <c r="B1913" s="29" t="s">
        <v>741</v>
      </c>
      <c r="C1913" s="29" t="s">
        <v>148</v>
      </c>
      <c r="D1913" s="29" t="s">
        <v>150</v>
      </c>
      <c r="E1913" s="29" t="s">
        <v>843</v>
      </c>
      <c r="F1913" s="29" t="s">
        <v>464</v>
      </c>
      <c r="G1913" s="36">
        <v>985</v>
      </c>
      <c r="H1913" s="36">
        <v>985</v>
      </c>
      <c r="I1913" s="36">
        <v>647.20000000000005</v>
      </c>
      <c r="J1913" s="36">
        <v>627.79999999999995</v>
      </c>
      <c r="K1913" s="36">
        <v>626.45000000000005</v>
      </c>
      <c r="L1913" s="36">
        <f t="shared" si="1001"/>
        <v>63.598984771573605</v>
      </c>
      <c r="M1913" s="36">
        <f t="shared" si="1002"/>
        <v>96.793881334981464</v>
      </c>
    </row>
    <row r="1914" spans="1:13" ht="76.5">
      <c r="A1914" s="60" t="s">
        <v>844</v>
      </c>
      <c r="B1914" s="29" t="s">
        <v>741</v>
      </c>
      <c r="C1914" s="29" t="s">
        <v>148</v>
      </c>
      <c r="D1914" s="29" t="s">
        <v>150</v>
      </c>
      <c r="E1914" s="29" t="s">
        <v>845</v>
      </c>
      <c r="F1914" s="59" t="s">
        <v>0</v>
      </c>
      <c r="G1914" s="36">
        <f>G1915+G1917</f>
        <v>485.1</v>
      </c>
      <c r="H1914" s="36">
        <f t="shared" ref="H1914:K1914" si="1009">H1915+H1917</f>
        <v>485.13600000000002</v>
      </c>
      <c r="I1914" s="36">
        <f t="shared" si="1009"/>
        <v>186.7</v>
      </c>
      <c r="J1914" s="36">
        <f t="shared" si="1009"/>
        <v>186.06</v>
      </c>
      <c r="K1914" s="36">
        <f t="shared" si="1009"/>
        <v>186.0514</v>
      </c>
      <c r="L1914" s="36">
        <f t="shared" si="1001"/>
        <v>38.35035948682431</v>
      </c>
      <c r="M1914" s="36">
        <f t="shared" si="1002"/>
        <v>99.652597750401711</v>
      </c>
    </row>
    <row r="1915" spans="1:13" ht="25.5">
      <c r="A1915" s="60" t="s">
        <v>64</v>
      </c>
      <c r="B1915" s="29" t="s">
        <v>741</v>
      </c>
      <c r="C1915" s="29" t="s">
        <v>148</v>
      </c>
      <c r="D1915" s="29" t="s">
        <v>150</v>
      </c>
      <c r="E1915" s="29" t="s">
        <v>845</v>
      </c>
      <c r="F1915" s="29" t="s">
        <v>65</v>
      </c>
      <c r="G1915" s="36">
        <f>G1916</f>
        <v>5.0999999999999996</v>
      </c>
      <c r="H1915" s="36">
        <f t="shared" ref="H1915:K1915" si="1010">H1916</f>
        <v>5.1360000000000001</v>
      </c>
      <c r="I1915" s="36">
        <f t="shared" si="1010"/>
        <v>2.7</v>
      </c>
      <c r="J1915" s="36">
        <f t="shared" si="1010"/>
        <v>2.06</v>
      </c>
      <c r="K1915" s="36">
        <f t="shared" si="1010"/>
        <v>2.0514000000000001</v>
      </c>
      <c r="L1915" s="36">
        <f t="shared" si="1001"/>
        <v>39.941588785046726</v>
      </c>
      <c r="M1915" s="36">
        <f t="shared" si="1002"/>
        <v>75.977777777777774</v>
      </c>
    </row>
    <row r="1916" spans="1:13" ht="25.5">
      <c r="A1916" s="60" t="s">
        <v>66</v>
      </c>
      <c r="B1916" s="29" t="s">
        <v>741</v>
      </c>
      <c r="C1916" s="29" t="s">
        <v>148</v>
      </c>
      <c r="D1916" s="29" t="s">
        <v>150</v>
      </c>
      <c r="E1916" s="29" t="s">
        <v>845</v>
      </c>
      <c r="F1916" s="29" t="s">
        <v>67</v>
      </c>
      <c r="G1916" s="36">
        <v>5.0999999999999996</v>
      </c>
      <c r="H1916" s="36">
        <v>5.1360000000000001</v>
      </c>
      <c r="I1916" s="36">
        <v>2.7</v>
      </c>
      <c r="J1916" s="36">
        <v>2.06</v>
      </c>
      <c r="K1916" s="36">
        <v>2.0514000000000001</v>
      </c>
      <c r="L1916" s="36">
        <f t="shared" si="1001"/>
        <v>39.941588785046726</v>
      </c>
      <c r="M1916" s="36">
        <f t="shared" si="1002"/>
        <v>75.977777777777774</v>
      </c>
    </row>
    <row r="1917" spans="1:13">
      <c r="A1917" s="60" t="s">
        <v>68</v>
      </c>
      <c r="B1917" s="29" t="s">
        <v>741</v>
      </c>
      <c r="C1917" s="29" t="s">
        <v>148</v>
      </c>
      <c r="D1917" s="29" t="s">
        <v>150</v>
      </c>
      <c r="E1917" s="29" t="s">
        <v>845</v>
      </c>
      <c r="F1917" s="29" t="s">
        <v>69</v>
      </c>
      <c r="G1917" s="36">
        <f>G1918</f>
        <v>480</v>
      </c>
      <c r="H1917" s="36">
        <f t="shared" ref="H1917:K1917" si="1011">H1918</f>
        <v>480</v>
      </c>
      <c r="I1917" s="36">
        <f t="shared" si="1011"/>
        <v>184</v>
      </c>
      <c r="J1917" s="36">
        <f t="shared" si="1011"/>
        <v>184</v>
      </c>
      <c r="K1917" s="36">
        <f t="shared" si="1011"/>
        <v>184</v>
      </c>
      <c r="L1917" s="36">
        <f t="shared" si="1001"/>
        <v>38.333333333333336</v>
      </c>
      <c r="M1917" s="36">
        <f t="shared" si="1002"/>
        <v>100</v>
      </c>
    </row>
    <row r="1918" spans="1:13" ht="25.5">
      <c r="A1918" s="60" t="s">
        <v>463</v>
      </c>
      <c r="B1918" s="29" t="s">
        <v>741</v>
      </c>
      <c r="C1918" s="29" t="s">
        <v>148</v>
      </c>
      <c r="D1918" s="29" t="s">
        <v>150</v>
      </c>
      <c r="E1918" s="29" t="s">
        <v>845</v>
      </c>
      <c r="F1918" s="29" t="s">
        <v>464</v>
      </c>
      <c r="G1918" s="36">
        <v>480</v>
      </c>
      <c r="H1918" s="36">
        <v>480</v>
      </c>
      <c r="I1918" s="36">
        <v>184</v>
      </c>
      <c r="J1918" s="36">
        <v>184</v>
      </c>
      <c r="K1918" s="36">
        <v>184</v>
      </c>
      <c r="L1918" s="36">
        <f t="shared" si="1001"/>
        <v>38.333333333333336</v>
      </c>
      <c r="M1918" s="36">
        <f t="shared" si="1002"/>
        <v>100</v>
      </c>
    </row>
    <row r="1919" spans="1:13" ht="51">
      <c r="A1919" s="60" t="s">
        <v>846</v>
      </c>
      <c r="B1919" s="29" t="s">
        <v>741</v>
      </c>
      <c r="C1919" s="29" t="s">
        <v>148</v>
      </c>
      <c r="D1919" s="29" t="s">
        <v>150</v>
      </c>
      <c r="E1919" s="29" t="s">
        <v>847</v>
      </c>
      <c r="F1919" s="59" t="s">
        <v>0</v>
      </c>
      <c r="G1919" s="36">
        <f>G1920+G1922</f>
        <v>25680.300000000003</v>
      </c>
      <c r="H1919" s="36">
        <f t="shared" ref="H1919:K1919" si="1012">H1920+H1922</f>
        <v>25680.300999999999</v>
      </c>
      <c r="I1919" s="36">
        <f t="shared" si="1012"/>
        <v>4645.3440000000001</v>
      </c>
      <c r="J1919" s="36">
        <f t="shared" si="1012"/>
        <v>4645.3440000000001</v>
      </c>
      <c r="K1919" s="36">
        <f t="shared" si="1012"/>
        <v>4645.3428399999993</v>
      </c>
      <c r="L1919" s="36">
        <f t="shared" si="1001"/>
        <v>18.089129251249815</v>
      </c>
      <c r="M1919" s="36">
        <f t="shared" si="1002"/>
        <v>99.999975028759962</v>
      </c>
    </row>
    <row r="1920" spans="1:13" ht="25.5">
      <c r="A1920" s="60" t="s">
        <v>64</v>
      </c>
      <c r="B1920" s="29" t="s">
        <v>741</v>
      </c>
      <c r="C1920" s="29" t="s">
        <v>148</v>
      </c>
      <c r="D1920" s="29" t="s">
        <v>150</v>
      </c>
      <c r="E1920" s="29" t="s">
        <v>847</v>
      </c>
      <c r="F1920" s="29" t="s">
        <v>65</v>
      </c>
      <c r="G1920" s="36">
        <f>G1921</f>
        <v>411.9</v>
      </c>
      <c r="H1920" s="36">
        <f t="shared" ref="H1920:K1920" si="1013">H1921</f>
        <v>411.875</v>
      </c>
      <c r="I1920" s="36">
        <f t="shared" si="1013"/>
        <v>75.018000000000001</v>
      </c>
      <c r="J1920" s="36">
        <f t="shared" si="1013"/>
        <v>75.018000000000001</v>
      </c>
      <c r="K1920" s="36">
        <f t="shared" si="1013"/>
        <v>75.017690000000002</v>
      </c>
      <c r="L1920" s="36">
        <f t="shared" si="1001"/>
        <v>18.213703186646434</v>
      </c>
      <c r="M1920" s="36">
        <f t="shared" si="1002"/>
        <v>99.999586765842864</v>
      </c>
    </row>
    <row r="1921" spans="1:13" ht="25.5">
      <c r="A1921" s="60" t="s">
        <v>66</v>
      </c>
      <c r="B1921" s="29" t="s">
        <v>741</v>
      </c>
      <c r="C1921" s="29" t="s">
        <v>148</v>
      </c>
      <c r="D1921" s="29" t="s">
        <v>150</v>
      </c>
      <c r="E1921" s="29" t="s">
        <v>847</v>
      </c>
      <c r="F1921" s="29" t="s">
        <v>67</v>
      </c>
      <c r="G1921" s="36">
        <v>411.9</v>
      </c>
      <c r="H1921" s="36">
        <v>411.875</v>
      </c>
      <c r="I1921" s="36">
        <v>75.018000000000001</v>
      </c>
      <c r="J1921" s="36">
        <v>75.018000000000001</v>
      </c>
      <c r="K1921" s="36">
        <v>75.017690000000002</v>
      </c>
      <c r="L1921" s="36">
        <f t="shared" si="1001"/>
        <v>18.213703186646434</v>
      </c>
      <c r="M1921" s="36">
        <f t="shared" si="1002"/>
        <v>99.999586765842864</v>
      </c>
    </row>
    <row r="1922" spans="1:13">
      <c r="A1922" s="60" t="s">
        <v>68</v>
      </c>
      <c r="B1922" s="29" t="s">
        <v>741</v>
      </c>
      <c r="C1922" s="29" t="s">
        <v>148</v>
      </c>
      <c r="D1922" s="29" t="s">
        <v>150</v>
      </c>
      <c r="E1922" s="29" t="s">
        <v>847</v>
      </c>
      <c r="F1922" s="29" t="s">
        <v>69</v>
      </c>
      <c r="G1922" s="36">
        <f>G1923</f>
        <v>25268.400000000001</v>
      </c>
      <c r="H1922" s="36">
        <f t="shared" ref="H1922:K1922" si="1014">H1923</f>
        <v>25268.425999999999</v>
      </c>
      <c r="I1922" s="36">
        <f t="shared" si="1014"/>
        <v>4570.326</v>
      </c>
      <c r="J1922" s="36">
        <f t="shared" si="1014"/>
        <v>4570.326</v>
      </c>
      <c r="K1922" s="36">
        <f t="shared" si="1014"/>
        <v>4570.3251499999997</v>
      </c>
      <c r="L1922" s="36">
        <f t="shared" si="1001"/>
        <v>18.087098697797796</v>
      </c>
      <c r="M1922" s="36">
        <f t="shared" si="1002"/>
        <v>99.99998140176433</v>
      </c>
    </row>
    <row r="1923" spans="1:13" ht="25.5">
      <c r="A1923" s="60" t="s">
        <v>151</v>
      </c>
      <c r="B1923" s="29" t="s">
        <v>741</v>
      </c>
      <c r="C1923" s="29" t="s">
        <v>148</v>
      </c>
      <c r="D1923" s="29" t="s">
        <v>150</v>
      </c>
      <c r="E1923" s="29" t="s">
        <v>847</v>
      </c>
      <c r="F1923" s="29" t="s">
        <v>152</v>
      </c>
      <c r="G1923" s="36">
        <v>25268.400000000001</v>
      </c>
      <c r="H1923" s="36">
        <v>25268.425999999999</v>
      </c>
      <c r="I1923" s="36">
        <v>4570.326</v>
      </c>
      <c r="J1923" s="36">
        <v>4570.326</v>
      </c>
      <c r="K1923" s="36">
        <v>4570.3251499999997</v>
      </c>
      <c r="L1923" s="36">
        <f t="shared" si="1001"/>
        <v>18.087098697797796</v>
      </c>
      <c r="M1923" s="36">
        <f t="shared" si="1002"/>
        <v>99.99998140176433</v>
      </c>
    </row>
    <row r="1924" spans="1:13" ht="38.25">
      <c r="A1924" s="60" t="s">
        <v>848</v>
      </c>
      <c r="B1924" s="29" t="s">
        <v>741</v>
      </c>
      <c r="C1924" s="29" t="s">
        <v>148</v>
      </c>
      <c r="D1924" s="29" t="s">
        <v>150</v>
      </c>
      <c r="E1924" s="29" t="s">
        <v>849</v>
      </c>
      <c r="F1924" s="59" t="s">
        <v>0</v>
      </c>
      <c r="G1924" s="36">
        <f>G1925</f>
        <v>422393.9</v>
      </c>
      <c r="H1924" s="36">
        <f t="shared" ref="H1924:K1925" si="1015">H1925</f>
        <v>422393.9</v>
      </c>
      <c r="I1924" s="36">
        <f t="shared" si="1015"/>
        <v>193524.34361000001</v>
      </c>
      <c r="J1924" s="36">
        <f t="shared" si="1015"/>
        <v>193524.34361000001</v>
      </c>
      <c r="K1924" s="36">
        <f t="shared" si="1015"/>
        <v>193481.45250000001</v>
      </c>
      <c r="L1924" s="36">
        <f t="shared" si="1001"/>
        <v>45.805929607411471</v>
      </c>
      <c r="M1924" s="36">
        <f t="shared" si="1002"/>
        <v>99.977836839955174</v>
      </c>
    </row>
    <row r="1925" spans="1:13">
      <c r="A1925" s="60" t="s">
        <v>26</v>
      </c>
      <c r="B1925" s="29" t="s">
        <v>741</v>
      </c>
      <c r="C1925" s="29" t="s">
        <v>148</v>
      </c>
      <c r="D1925" s="29" t="s">
        <v>150</v>
      </c>
      <c r="E1925" s="29" t="s">
        <v>849</v>
      </c>
      <c r="F1925" s="29" t="s">
        <v>27</v>
      </c>
      <c r="G1925" s="36">
        <f>G1926</f>
        <v>422393.9</v>
      </c>
      <c r="H1925" s="36">
        <f t="shared" si="1015"/>
        <v>422393.9</v>
      </c>
      <c r="I1925" s="36">
        <f t="shared" si="1015"/>
        <v>193524.34361000001</v>
      </c>
      <c r="J1925" s="36">
        <f t="shared" si="1015"/>
        <v>193524.34361000001</v>
      </c>
      <c r="K1925" s="36">
        <f t="shared" si="1015"/>
        <v>193481.45250000001</v>
      </c>
      <c r="L1925" s="36">
        <f t="shared" si="1001"/>
        <v>45.805929607411471</v>
      </c>
      <c r="M1925" s="36">
        <f t="shared" si="1002"/>
        <v>99.977836839955174</v>
      </c>
    </row>
    <row r="1926" spans="1:13">
      <c r="A1926" s="60" t="s">
        <v>28</v>
      </c>
      <c r="B1926" s="29" t="s">
        <v>741</v>
      </c>
      <c r="C1926" s="29" t="s">
        <v>148</v>
      </c>
      <c r="D1926" s="29" t="s">
        <v>150</v>
      </c>
      <c r="E1926" s="29" t="s">
        <v>849</v>
      </c>
      <c r="F1926" s="29" t="s">
        <v>29</v>
      </c>
      <c r="G1926" s="36">
        <v>422393.9</v>
      </c>
      <c r="H1926" s="36">
        <v>422393.9</v>
      </c>
      <c r="I1926" s="36">
        <v>193524.34361000001</v>
      </c>
      <c r="J1926" s="36">
        <v>193524.34361000001</v>
      </c>
      <c r="K1926" s="36">
        <v>193481.45250000001</v>
      </c>
      <c r="L1926" s="36">
        <f t="shared" si="1001"/>
        <v>45.805929607411471</v>
      </c>
      <c r="M1926" s="36">
        <f t="shared" si="1002"/>
        <v>99.977836839955174</v>
      </c>
    </row>
    <row r="1927" spans="1:13" ht="51">
      <c r="A1927" s="60" t="s">
        <v>850</v>
      </c>
      <c r="B1927" s="29" t="s">
        <v>741</v>
      </c>
      <c r="C1927" s="29" t="s">
        <v>148</v>
      </c>
      <c r="D1927" s="29" t="s">
        <v>150</v>
      </c>
      <c r="E1927" s="29" t="s">
        <v>851</v>
      </c>
      <c r="F1927" s="59" t="s">
        <v>0</v>
      </c>
      <c r="G1927" s="36">
        <f>G1928</f>
        <v>7720.2</v>
      </c>
      <c r="H1927" s="36">
        <f t="shared" ref="H1927:K1928" si="1016">H1928</f>
        <v>7720.2</v>
      </c>
      <c r="I1927" s="36">
        <f t="shared" si="1016"/>
        <v>2870.05</v>
      </c>
      <c r="J1927" s="36">
        <f t="shared" si="1016"/>
        <v>2870.05</v>
      </c>
      <c r="K1927" s="36">
        <f t="shared" si="1016"/>
        <v>2730.9868900000001</v>
      </c>
      <c r="L1927" s="36">
        <f t="shared" si="1001"/>
        <v>35.374561410326159</v>
      </c>
      <c r="M1927" s="36">
        <f t="shared" si="1002"/>
        <v>95.154679883625718</v>
      </c>
    </row>
    <row r="1928" spans="1:13">
      <c r="A1928" s="60" t="s">
        <v>26</v>
      </c>
      <c r="B1928" s="29" t="s">
        <v>741</v>
      </c>
      <c r="C1928" s="29" t="s">
        <v>148</v>
      </c>
      <c r="D1928" s="29" t="s">
        <v>150</v>
      </c>
      <c r="E1928" s="29" t="s">
        <v>851</v>
      </c>
      <c r="F1928" s="29" t="s">
        <v>27</v>
      </c>
      <c r="G1928" s="36">
        <f>G1929</f>
        <v>7720.2</v>
      </c>
      <c r="H1928" s="36">
        <f t="shared" si="1016"/>
        <v>7720.2</v>
      </c>
      <c r="I1928" s="36">
        <f t="shared" si="1016"/>
        <v>2870.05</v>
      </c>
      <c r="J1928" s="36">
        <f t="shared" si="1016"/>
        <v>2870.05</v>
      </c>
      <c r="K1928" s="36">
        <f t="shared" si="1016"/>
        <v>2730.9868900000001</v>
      </c>
      <c r="L1928" s="36">
        <f t="shared" si="1001"/>
        <v>35.374561410326159</v>
      </c>
      <c r="M1928" s="36">
        <f t="shared" si="1002"/>
        <v>95.154679883625718</v>
      </c>
    </row>
    <row r="1929" spans="1:13">
      <c r="A1929" s="60" t="s">
        <v>352</v>
      </c>
      <c r="B1929" s="29" t="s">
        <v>741</v>
      </c>
      <c r="C1929" s="29" t="s">
        <v>148</v>
      </c>
      <c r="D1929" s="29" t="s">
        <v>150</v>
      </c>
      <c r="E1929" s="29" t="s">
        <v>851</v>
      </c>
      <c r="F1929" s="29" t="s">
        <v>353</v>
      </c>
      <c r="G1929" s="36">
        <v>7720.2</v>
      </c>
      <c r="H1929" s="36">
        <v>7720.2</v>
      </c>
      <c r="I1929" s="36">
        <v>2870.05</v>
      </c>
      <c r="J1929" s="36">
        <v>2870.05</v>
      </c>
      <c r="K1929" s="36">
        <v>2730.9868900000001</v>
      </c>
      <c r="L1929" s="36">
        <f t="shared" si="1001"/>
        <v>35.374561410326159</v>
      </c>
      <c r="M1929" s="36">
        <f t="shared" si="1002"/>
        <v>95.154679883625718</v>
      </c>
    </row>
    <row r="1930" spans="1:13" ht="38.25">
      <c r="A1930" s="60" t="s">
        <v>781</v>
      </c>
      <c r="B1930" s="29" t="s">
        <v>741</v>
      </c>
      <c r="C1930" s="29" t="s">
        <v>148</v>
      </c>
      <c r="D1930" s="29" t="s">
        <v>150</v>
      </c>
      <c r="E1930" s="29" t="s">
        <v>782</v>
      </c>
      <c r="F1930" s="59" t="s">
        <v>0</v>
      </c>
      <c r="G1930" s="36">
        <f>G1931</f>
        <v>59592.2</v>
      </c>
      <c r="H1930" s="36">
        <f t="shared" ref="H1930:K1930" si="1017">H1931</f>
        <v>59592.19</v>
      </c>
      <c r="I1930" s="36">
        <f t="shared" si="1017"/>
        <v>4644.5784100000001</v>
      </c>
      <c r="J1930" s="36">
        <f t="shared" si="1017"/>
        <v>4644.5784100000001</v>
      </c>
      <c r="K1930" s="36">
        <f t="shared" si="1017"/>
        <v>4644.5784100000001</v>
      </c>
      <c r="L1930" s="36">
        <f t="shared" si="1001"/>
        <v>7.7939381150449405</v>
      </c>
      <c r="M1930" s="36">
        <f t="shared" si="1002"/>
        <v>100</v>
      </c>
    </row>
    <row r="1931" spans="1:13" ht="89.25">
      <c r="A1931" s="60" t="s">
        <v>852</v>
      </c>
      <c r="B1931" s="29" t="s">
        <v>741</v>
      </c>
      <c r="C1931" s="29" t="s">
        <v>148</v>
      </c>
      <c r="D1931" s="29" t="s">
        <v>150</v>
      </c>
      <c r="E1931" s="29" t="s">
        <v>853</v>
      </c>
      <c r="F1931" s="59" t="s">
        <v>0</v>
      </c>
      <c r="G1931" s="36">
        <f>G1932+G1935</f>
        <v>59592.2</v>
      </c>
      <c r="H1931" s="36">
        <f t="shared" ref="H1931:K1931" si="1018">H1932+H1935</f>
        <v>59592.19</v>
      </c>
      <c r="I1931" s="36">
        <f t="shared" si="1018"/>
        <v>4644.5784100000001</v>
      </c>
      <c r="J1931" s="36">
        <f t="shared" si="1018"/>
        <v>4644.5784100000001</v>
      </c>
      <c r="K1931" s="36">
        <f t="shared" si="1018"/>
        <v>4644.5784100000001</v>
      </c>
      <c r="L1931" s="36">
        <f t="shared" si="1001"/>
        <v>7.7939381150449405</v>
      </c>
      <c r="M1931" s="36">
        <f t="shared" si="1002"/>
        <v>100</v>
      </c>
    </row>
    <row r="1932" spans="1:13" ht="25.5">
      <c r="A1932" s="60" t="s">
        <v>64</v>
      </c>
      <c r="B1932" s="29" t="s">
        <v>741</v>
      </c>
      <c r="C1932" s="29" t="s">
        <v>148</v>
      </c>
      <c r="D1932" s="29" t="s">
        <v>150</v>
      </c>
      <c r="E1932" s="29" t="s">
        <v>853</v>
      </c>
      <c r="F1932" s="29" t="s">
        <v>65</v>
      </c>
      <c r="G1932" s="36">
        <f>G1933</f>
        <v>811.2</v>
      </c>
      <c r="H1932" s="36">
        <f t="shared" ref="H1932:K1932" si="1019">H1933</f>
        <v>811.19</v>
      </c>
      <c r="I1932" s="36">
        <f t="shared" si="1019"/>
        <v>69.542509999999993</v>
      </c>
      <c r="J1932" s="36">
        <f t="shared" si="1019"/>
        <v>69.542509999999993</v>
      </c>
      <c r="K1932" s="36">
        <f t="shared" si="1019"/>
        <v>69.542509999999993</v>
      </c>
      <c r="L1932" s="36">
        <f t="shared" si="1001"/>
        <v>8.5729003069564449</v>
      </c>
      <c r="M1932" s="36">
        <f t="shared" si="1002"/>
        <v>100</v>
      </c>
    </row>
    <row r="1933" spans="1:13" ht="25.5">
      <c r="A1933" s="60" t="s">
        <v>66</v>
      </c>
      <c r="B1933" s="29" t="s">
        <v>741</v>
      </c>
      <c r="C1933" s="29" t="s">
        <v>148</v>
      </c>
      <c r="D1933" s="29" t="s">
        <v>150</v>
      </c>
      <c r="E1933" s="29" t="s">
        <v>853</v>
      </c>
      <c r="F1933" s="29" t="s">
        <v>67</v>
      </c>
      <c r="G1933" s="36">
        <v>811.2</v>
      </c>
      <c r="H1933" s="36">
        <v>811.19</v>
      </c>
      <c r="I1933" s="36">
        <v>69.542509999999993</v>
      </c>
      <c r="J1933" s="36">
        <v>69.542509999999993</v>
      </c>
      <c r="K1933" s="36">
        <v>69.542509999999993</v>
      </c>
      <c r="L1933" s="36">
        <f t="shared" si="1001"/>
        <v>8.5729003069564449</v>
      </c>
      <c r="M1933" s="36">
        <f t="shared" si="1002"/>
        <v>100</v>
      </c>
    </row>
    <row r="1934" spans="1:13">
      <c r="A1934" s="60" t="s">
        <v>68</v>
      </c>
      <c r="B1934" s="29" t="s">
        <v>741</v>
      </c>
      <c r="C1934" s="29" t="s">
        <v>148</v>
      </c>
      <c r="D1934" s="29" t="s">
        <v>150</v>
      </c>
      <c r="E1934" s="29" t="s">
        <v>853</v>
      </c>
      <c r="F1934" s="29" t="s">
        <v>69</v>
      </c>
      <c r="G1934" s="36">
        <f>G1935</f>
        <v>58781</v>
      </c>
      <c r="H1934" s="36">
        <f t="shared" ref="H1934:K1934" si="1020">H1935</f>
        <v>58781</v>
      </c>
      <c r="I1934" s="36">
        <f t="shared" si="1020"/>
        <v>4575.0358999999999</v>
      </c>
      <c r="J1934" s="36">
        <f t="shared" si="1020"/>
        <v>4575.0358999999999</v>
      </c>
      <c r="K1934" s="36">
        <f t="shared" si="1020"/>
        <v>4575.0358999999999</v>
      </c>
      <c r="L1934" s="36">
        <f t="shared" si="1001"/>
        <v>7.7831882751229138</v>
      </c>
      <c r="M1934" s="36">
        <f t="shared" si="1002"/>
        <v>100</v>
      </c>
    </row>
    <row r="1935" spans="1:13" ht="25.5">
      <c r="A1935" s="60" t="s">
        <v>151</v>
      </c>
      <c r="B1935" s="29" t="s">
        <v>741</v>
      </c>
      <c r="C1935" s="29" t="s">
        <v>148</v>
      </c>
      <c r="D1935" s="29" t="s">
        <v>150</v>
      </c>
      <c r="E1935" s="29" t="s">
        <v>853</v>
      </c>
      <c r="F1935" s="29" t="s">
        <v>152</v>
      </c>
      <c r="G1935" s="36">
        <v>58781</v>
      </c>
      <c r="H1935" s="36">
        <v>58781</v>
      </c>
      <c r="I1935" s="36">
        <v>4575.0358999999999</v>
      </c>
      <c r="J1935" s="36">
        <v>4575.0358999999999</v>
      </c>
      <c r="K1935" s="36">
        <v>4575.0358999999999</v>
      </c>
      <c r="L1935" s="36">
        <f t="shared" si="1001"/>
        <v>7.7831882751229138</v>
      </c>
      <c r="M1935" s="36">
        <f t="shared" si="1002"/>
        <v>100</v>
      </c>
    </row>
    <row r="1936" spans="1:13" ht="51">
      <c r="A1936" s="60" t="s">
        <v>20</v>
      </c>
      <c r="B1936" s="29" t="s">
        <v>741</v>
      </c>
      <c r="C1936" s="29" t="s">
        <v>148</v>
      </c>
      <c r="D1936" s="29" t="s">
        <v>150</v>
      </c>
      <c r="E1936" s="29" t="s">
        <v>21</v>
      </c>
      <c r="F1936" s="59" t="s">
        <v>0</v>
      </c>
      <c r="G1936" s="36">
        <f>G1937</f>
        <v>4000</v>
      </c>
      <c r="H1936" s="36">
        <f t="shared" ref="H1936:K1939" si="1021">H1937</f>
        <v>4000</v>
      </c>
      <c r="I1936" s="36">
        <f t="shared" si="1021"/>
        <v>0</v>
      </c>
      <c r="J1936" s="36">
        <f t="shared" si="1021"/>
        <v>0</v>
      </c>
      <c r="K1936" s="36">
        <f t="shared" si="1021"/>
        <v>0</v>
      </c>
      <c r="L1936" s="36">
        <f t="shared" si="1001"/>
        <v>0</v>
      </c>
      <c r="M1936" s="36">
        <v>0</v>
      </c>
    </row>
    <row r="1937" spans="1:13" ht="38.25">
      <c r="A1937" s="60" t="s">
        <v>52</v>
      </c>
      <c r="B1937" s="29" t="s">
        <v>741</v>
      </c>
      <c r="C1937" s="29" t="s">
        <v>148</v>
      </c>
      <c r="D1937" s="29" t="s">
        <v>150</v>
      </c>
      <c r="E1937" s="29" t="s">
        <v>53</v>
      </c>
      <c r="F1937" s="59" t="s">
        <v>0</v>
      </c>
      <c r="G1937" s="36">
        <f>G1938</f>
        <v>4000</v>
      </c>
      <c r="H1937" s="36">
        <f t="shared" si="1021"/>
        <v>4000</v>
      </c>
      <c r="I1937" s="36">
        <f t="shared" si="1021"/>
        <v>0</v>
      </c>
      <c r="J1937" s="36">
        <f t="shared" si="1021"/>
        <v>0</v>
      </c>
      <c r="K1937" s="36">
        <f t="shared" si="1021"/>
        <v>0</v>
      </c>
      <c r="L1937" s="36">
        <f t="shared" si="1001"/>
        <v>0</v>
      </c>
      <c r="M1937" s="36">
        <v>0</v>
      </c>
    </row>
    <row r="1938" spans="1:13" ht="38.25">
      <c r="A1938" s="60" t="s">
        <v>854</v>
      </c>
      <c r="B1938" s="29" t="s">
        <v>741</v>
      </c>
      <c r="C1938" s="29" t="s">
        <v>148</v>
      </c>
      <c r="D1938" s="29" t="s">
        <v>150</v>
      </c>
      <c r="E1938" s="29" t="s">
        <v>855</v>
      </c>
      <c r="F1938" s="59" t="s">
        <v>0</v>
      </c>
      <c r="G1938" s="36">
        <f>G1939</f>
        <v>4000</v>
      </c>
      <c r="H1938" s="36">
        <f t="shared" si="1021"/>
        <v>4000</v>
      </c>
      <c r="I1938" s="36">
        <f t="shared" si="1021"/>
        <v>0</v>
      </c>
      <c r="J1938" s="36">
        <f t="shared" si="1021"/>
        <v>0</v>
      </c>
      <c r="K1938" s="36">
        <f t="shared" si="1021"/>
        <v>0</v>
      </c>
      <c r="L1938" s="36">
        <f t="shared" si="1001"/>
        <v>0</v>
      </c>
      <c r="M1938" s="36">
        <v>0</v>
      </c>
    </row>
    <row r="1939" spans="1:13">
      <c r="A1939" s="60" t="s">
        <v>68</v>
      </c>
      <c r="B1939" s="29" t="s">
        <v>741</v>
      </c>
      <c r="C1939" s="29" t="s">
        <v>148</v>
      </c>
      <c r="D1939" s="29" t="s">
        <v>150</v>
      </c>
      <c r="E1939" s="29" t="s">
        <v>855</v>
      </c>
      <c r="F1939" s="29" t="s">
        <v>69</v>
      </c>
      <c r="G1939" s="36">
        <f>G1940</f>
        <v>4000</v>
      </c>
      <c r="H1939" s="36">
        <f t="shared" si="1021"/>
        <v>4000</v>
      </c>
      <c r="I1939" s="36">
        <f t="shared" si="1021"/>
        <v>0</v>
      </c>
      <c r="J1939" s="36">
        <f t="shared" si="1021"/>
        <v>0</v>
      </c>
      <c r="K1939" s="36">
        <f t="shared" si="1021"/>
        <v>0</v>
      </c>
      <c r="L1939" s="36">
        <f t="shared" si="1001"/>
        <v>0</v>
      </c>
      <c r="M1939" s="36">
        <v>0</v>
      </c>
    </row>
    <row r="1940" spans="1:13" ht="25.5">
      <c r="A1940" s="60" t="s">
        <v>151</v>
      </c>
      <c r="B1940" s="29" t="s">
        <v>741</v>
      </c>
      <c r="C1940" s="29" t="s">
        <v>148</v>
      </c>
      <c r="D1940" s="29" t="s">
        <v>150</v>
      </c>
      <c r="E1940" s="29" t="s">
        <v>855</v>
      </c>
      <c r="F1940" s="29" t="s">
        <v>152</v>
      </c>
      <c r="G1940" s="36">
        <v>4000</v>
      </c>
      <c r="H1940" s="36">
        <v>4000</v>
      </c>
      <c r="I1940" s="36">
        <v>0</v>
      </c>
      <c r="J1940" s="36">
        <v>0</v>
      </c>
      <c r="K1940" s="36">
        <v>0</v>
      </c>
      <c r="L1940" s="36">
        <f t="shared" si="1001"/>
        <v>0</v>
      </c>
      <c r="M1940" s="36">
        <v>0</v>
      </c>
    </row>
    <row r="1941" spans="1:13" ht="51">
      <c r="A1941" s="60" t="s">
        <v>742</v>
      </c>
      <c r="B1941" s="29" t="s">
        <v>741</v>
      </c>
      <c r="C1941" s="29" t="s">
        <v>148</v>
      </c>
      <c r="D1941" s="29" t="s">
        <v>150</v>
      </c>
      <c r="E1941" s="29" t="s">
        <v>743</v>
      </c>
      <c r="F1941" s="59" t="s">
        <v>0</v>
      </c>
      <c r="G1941" s="36">
        <f>G1942</f>
        <v>396562.8</v>
      </c>
      <c r="H1941" s="36">
        <f t="shared" ref="H1941:K1942" si="1022">H1942</f>
        <v>396562.8</v>
      </c>
      <c r="I1941" s="36">
        <f t="shared" si="1022"/>
        <v>212621.80573999998</v>
      </c>
      <c r="J1941" s="36">
        <f t="shared" si="1022"/>
        <v>212621.80573999998</v>
      </c>
      <c r="K1941" s="36">
        <f t="shared" si="1022"/>
        <v>208430.79006999999</v>
      </c>
      <c r="L1941" s="36">
        <f t="shared" si="1001"/>
        <v>52.559339925479641</v>
      </c>
      <c r="M1941" s="36">
        <f t="shared" si="1002"/>
        <v>98.028887180496966</v>
      </c>
    </row>
    <row r="1942" spans="1:13" ht="38.25">
      <c r="A1942" s="60" t="s">
        <v>750</v>
      </c>
      <c r="B1942" s="29" t="s">
        <v>741</v>
      </c>
      <c r="C1942" s="29" t="s">
        <v>148</v>
      </c>
      <c r="D1942" s="29" t="s">
        <v>150</v>
      </c>
      <c r="E1942" s="29" t="s">
        <v>751</v>
      </c>
      <c r="F1942" s="59" t="s">
        <v>0</v>
      </c>
      <c r="G1942" s="36">
        <f>G1943</f>
        <v>396562.8</v>
      </c>
      <c r="H1942" s="36">
        <f t="shared" si="1022"/>
        <v>396562.8</v>
      </c>
      <c r="I1942" s="36">
        <f t="shared" si="1022"/>
        <v>212621.80573999998</v>
      </c>
      <c r="J1942" s="36">
        <f t="shared" si="1022"/>
        <v>212621.80573999998</v>
      </c>
      <c r="K1942" s="36">
        <f t="shared" si="1022"/>
        <v>208430.79006999999</v>
      </c>
      <c r="L1942" s="36">
        <f t="shared" si="1001"/>
        <v>52.559339925479641</v>
      </c>
      <c r="M1942" s="36">
        <f t="shared" si="1002"/>
        <v>98.028887180496966</v>
      </c>
    </row>
    <row r="1943" spans="1:13" ht="51">
      <c r="A1943" s="60" t="s">
        <v>856</v>
      </c>
      <c r="B1943" s="29" t="s">
        <v>741</v>
      </c>
      <c r="C1943" s="29" t="s">
        <v>148</v>
      </c>
      <c r="D1943" s="29" t="s">
        <v>150</v>
      </c>
      <c r="E1943" s="29" t="s">
        <v>857</v>
      </c>
      <c r="F1943" s="59" t="s">
        <v>0</v>
      </c>
      <c r="G1943" s="36">
        <f>G1944+G1946</f>
        <v>396562.8</v>
      </c>
      <c r="H1943" s="36">
        <f t="shared" ref="H1943:K1943" si="1023">H1944+H1946</f>
        <v>396562.8</v>
      </c>
      <c r="I1943" s="36">
        <f t="shared" si="1023"/>
        <v>212621.80573999998</v>
      </c>
      <c r="J1943" s="36">
        <f t="shared" si="1023"/>
        <v>212621.80573999998</v>
      </c>
      <c r="K1943" s="36">
        <f t="shared" si="1023"/>
        <v>208430.79006999999</v>
      </c>
      <c r="L1943" s="36">
        <f t="shared" si="1001"/>
        <v>52.559339925479641</v>
      </c>
      <c r="M1943" s="36">
        <f t="shared" si="1002"/>
        <v>98.028887180496966</v>
      </c>
    </row>
    <row r="1944" spans="1:13" ht="25.5">
      <c r="A1944" s="60" t="s">
        <v>64</v>
      </c>
      <c r="B1944" s="29" t="s">
        <v>741</v>
      </c>
      <c r="C1944" s="29" t="s">
        <v>148</v>
      </c>
      <c r="D1944" s="29" t="s">
        <v>150</v>
      </c>
      <c r="E1944" s="29" t="s">
        <v>857</v>
      </c>
      <c r="F1944" s="29" t="s">
        <v>65</v>
      </c>
      <c r="G1944" s="36">
        <f>G1945</f>
        <v>9338.4</v>
      </c>
      <c r="H1944" s="36">
        <f t="shared" ref="H1944:K1944" si="1024">H1945</f>
        <v>9338.4</v>
      </c>
      <c r="I1944" s="36">
        <f t="shared" si="1024"/>
        <v>3515.20874</v>
      </c>
      <c r="J1944" s="36">
        <f t="shared" si="1024"/>
        <v>3515.20874</v>
      </c>
      <c r="K1944" s="36">
        <f t="shared" si="1024"/>
        <v>3233.8234200000002</v>
      </c>
      <c r="L1944" s="36">
        <f t="shared" si="1001"/>
        <v>34.629309303520948</v>
      </c>
      <c r="M1944" s="36">
        <f t="shared" si="1002"/>
        <v>91.995203107056454</v>
      </c>
    </row>
    <row r="1945" spans="1:13" ht="25.5">
      <c r="A1945" s="60" t="s">
        <v>66</v>
      </c>
      <c r="B1945" s="29" t="s">
        <v>741</v>
      </c>
      <c r="C1945" s="29" t="s">
        <v>148</v>
      </c>
      <c r="D1945" s="29" t="s">
        <v>150</v>
      </c>
      <c r="E1945" s="29" t="s">
        <v>857</v>
      </c>
      <c r="F1945" s="29" t="s">
        <v>67</v>
      </c>
      <c r="G1945" s="36">
        <v>9338.4</v>
      </c>
      <c r="H1945" s="36">
        <v>9338.4</v>
      </c>
      <c r="I1945" s="36">
        <v>3515.20874</v>
      </c>
      <c r="J1945" s="36">
        <v>3515.20874</v>
      </c>
      <c r="K1945" s="36">
        <v>3233.8234200000002</v>
      </c>
      <c r="L1945" s="36">
        <f t="shared" si="1001"/>
        <v>34.629309303520948</v>
      </c>
      <c r="M1945" s="36">
        <f t="shared" si="1002"/>
        <v>91.995203107056454</v>
      </c>
    </row>
    <row r="1946" spans="1:13">
      <c r="A1946" s="60" t="s">
        <v>68</v>
      </c>
      <c r="B1946" s="29" t="s">
        <v>741</v>
      </c>
      <c r="C1946" s="29" t="s">
        <v>148</v>
      </c>
      <c r="D1946" s="29" t="s">
        <v>150</v>
      </c>
      <c r="E1946" s="29" t="s">
        <v>857</v>
      </c>
      <c r="F1946" s="29" t="s">
        <v>69</v>
      </c>
      <c r="G1946" s="36">
        <f>G1947+G1948</f>
        <v>387224.39999999997</v>
      </c>
      <c r="H1946" s="36">
        <f t="shared" ref="H1946:K1946" si="1025">H1947+H1948</f>
        <v>387224.39999999997</v>
      </c>
      <c r="I1946" s="36">
        <f t="shared" si="1025"/>
        <v>209106.59699999998</v>
      </c>
      <c r="J1946" s="36">
        <f t="shared" si="1025"/>
        <v>209106.59699999998</v>
      </c>
      <c r="K1946" s="36">
        <f t="shared" si="1025"/>
        <v>205196.96664999999</v>
      </c>
      <c r="L1946" s="36">
        <f t="shared" si="1001"/>
        <v>52.991745006254774</v>
      </c>
      <c r="M1946" s="36">
        <f t="shared" si="1002"/>
        <v>98.130317069814879</v>
      </c>
    </row>
    <row r="1947" spans="1:13" ht="25.5">
      <c r="A1947" s="60" t="s">
        <v>151</v>
      </c>
      <c r="B1947" s="29" t="s">
        <v>741</v>
      </c>
      <c r="C1947" s="29" t="s">
        <v>148</v>
      </c>
      <c r="D1947" s="29" t="s">
        <v>150</v>
      </c>
      <c r="E1947" s="29" t="s">
        <v>857</v>
      </c>
      <c r="F1947" s="29" t="s">
        <v>152</v>
      </c>
      <c r="G1947" s="36">
        <v>371255.8</v>
      </c>
      <c r="H1947" s="36">
        <v>371255.8</v>
      </c>
      <c r="I1947" s="36">
        <v>202133.98947999999</v>
      </c>
      <c r="J1947" s="36">
        <v>202133.98947999999</v>
      </c>
      <c r="K1947" s="36">
        <v>198273.65552</v>
      </c>
      <c r="L1947" s="36">
        <f t="shared" si="1001"/>
        <v>53.406210898253981</v>
      </c>
      <c r="M1947" s="36">
        <f t="shared" si="1002"/>
        <v>98.090210374845469</v>
      </c>
    </row>
    <row r="1948" spans="1:13">
      <c r="A1948" s="60" t="s">
        <v>858</v>
      </c>
      <c r="B1948" s="29" t="s">
        <v>741</v>
      </c>
      <c r="C1948" s="29" t="s">
        <v>148</v>
      </c>
      <c r="D1948" s="29" t="s">
        <v>150</v>
      </c>
      <c r="E1948" s="29" t="s">
        <v>857</v>
      </c>
      <c r="F1948" s="29" t="s">
        <v>859</v>
      </c>
      <c r="G1948" s="36">
        <v>15968.6</v>
      </c>
      <c r="H1948" s="36">
        <v>15968.6</v>
      </c>
      <c r="I1948" s="36">
        <v>6972.6075199999996</v>
      </c>
      <c r="J1948" s="36">
        <v>6972.6075199999996</v>
      </c>
      <c r="K1948" s="36">
        <v>6923.31113</v>
      </c>
      <c r="L1948" s="36">
        <f t="shared" si="1001"/>
        <v>43.355780281302053</v>
      </c>
      <c r="M1948" s="36">
        <f t="shared" si="1002"/>
        <v>99.29299921358546</v>
      </c>
    </row>
    <row r="1949" spans="1:13">
      <c r="A1949" s="63" t="s">
        <v>612</v>
      </c>
      <c r="B1949" s="29" t="s">
        <v>741</v>
      </c>
      <c r="C1949" s="29" t="s">
        <v>148</v>
      </c>
      <c r="D1949" s="29" t="s">
        <v>150</v>
      </c>
      <c r="E1949" s="30" t="s">
        <v>613</v>
      </c>
      <c r="F1949" s="29"/>
      <c r="G1949" s="36"/>
      <c r="H1949" s="36">
        <f>H1950</f>
        <v>405.298</v>
      </c>
      <c r="I1949" s="36">
        <f t="shared" ref="I1949:K1949" si="1026">I1950</f>
        <v>405.298</v>
      </c>
      <c r="J1949" s="36">
        <f t="shared" si="1026"/>
        <v>405.298</v>
      </c>
      <c r="K1949" s="36">
        <f t="shared" si="1026"/>
        <v>405.298</v>
      </c>
      <c r="L1949" s="36">
        <f t="shared" ref="L1949:L1954" si="1027">K1949/H1949*100</f>
        <v>100</v>
      </c>
      <c r="M1949" s="36">
        <f t="shared" ref="M1949:M1954" si="1028">K1949/I1949*100</f>
        <v>100</v>
      </c>
    </row>
    <row r="1950" spans="1:13">
      <c r="A1950" s="63" t="s">
        <v>612</v>
      </c>
      <c r="B1950" s="29" t="s">
        <v>741</v>
      </c>
      <c r="C1950" s="29" t="s">
        <v>148</v>
      </c>
      <c r="D1950" s="29" t="s">
        <v>150</v>
      </c>
      <c r="E1950" s="30" t="s">
        <v>614</v>
      </c>
      <c r="F1950" s="29"/>
      <c r="G1950" s="36"/>
      <c r="H1950" s="36">
        <f>H1951+H1953</f>
        <v>405.298</v>
      </c>
      <c r="I1950" s="36">
        <f t="shared" ref="I1950:K1950" si="1029">I1951+I1953</f>
        <v>405.298</v>
      </c>
      <c r="J1950" s="36">
        <f t="shared" si="1029"/>
        <v>405.298</v>
      </c>
      <c r="K1950" s="36">
        <f t="shared" si="1029"/>
        <v>405.298</v>
      </c>
      <c r="L1950" s="36">
        <f t="shared" si="1027"/>
        <v>100</v>
      </c>
      <c r="M1950" s="36">
        <f t="shared" si="1028"/>
        <v>100</v>
      </c>
    </row>
    <row r="1951" spans="1:13">
      <c r="A1951" s="60" t="s">
        <v>68</v>
      </c>
      <c r="B1951" s="29" t="s">
        <v>741</v>
      </c>
      <c r="C1951" s="29" t="s">
        <v>148</v>
      </c>
      <c r="D1951" s="29" t="s">
        <v>150</v>
      </c>
      <c r="E1951" s="30" t="s">
        <v>614</v>
      </c>
      <c r="F1951" s="29">
        <v>300</v>
      </c>
      <c r="G1951" s="36"/>
      <c r="H1951" s="36">
        <f>H1952</f>
        <v>83.488</v>
      </c>
      <c r="I1951" s="36">
        <f t="shared" ref="I1951:K1951" si="1030">I1952</f>
        <v>83.488</v>
      </c>
      <c r="J1951" s="36">
        <f t="shared" si="1030"/>
        <v>83.488</v>
      </c>
      <c r="K1951" s="36">
        <f t="shared" si="1030"/>
        <v>83.488</v>
      </c>
      <c r="L1951" s="36">
        <f t="shared" si="1027"/>
        <v>100</v>
      </c>
      <c r="M1951" s="36">
        <f t="shared" si="1028"/>
        <v>100</v>
      </c>
    </row>
    <row r="1952" spans="1:13" ht="25.5">
      <c r="A1952" s="60" t="s">
        <v>151</v>
      </c>
      <c r="B1952" s="29" t="s">
        <v>741</v>
      </c>
      <c r="C1952" s="29" t="s">
        <v>148</v>
      </c>
      <c r="D1952" s="29" t="s">
        <v>150</v>
      </c>
      <c r="E1952" s="30" t="s">
        <v>614</v>
      </c>
      <c r="F1952" s="29">
        <v>320</v>
      </c>
      <c r="G1952" s="36"/>
      <c r="H1952" s="36">
        <v>83.488</v>
      </c>
      <c r="I1952" s="36">
        <v>83.488</v>
      </c>
      <c r="J1952" s="36">
        <v>83.488</v>
      </c>
      <c r="K1952" s="36">
        <v>83.488</v>
      </c>
      <c r="L1952" s="36">
        <f t="shared" si="1027"/>
        <v>100</v>
      </c>
      <c r="M1952" s="36">
        <f t="shared" si="1028"/>
        <v>100</v>
      </c>
    </row>
    <row r="1953" spans="1:13">
      <c r="A1953" s="63" t="s">
        <v>26</v>
      </c>
      <c r="B1953" s="29" t="s">
        <v>741</v>
      </c>
      <c r="C1953" s="29" t="s">
        <v>148</v>
      </c>
      <c r="D1953" s="29" t="s">
        <v>150</v>
      </c>
      <c r="E1953" s="30" t="s">
        <v>614</v>
      </c>
      <c r="F1953" s="29">
        <v>500</v>
      </c>
      <c r="G1953" s="36"/>
      <c r="H1953" s="36">
        <f>H1954</f>
        <v>321.81</v>
      </c>
      <c r="I1953" s="36">
        <f t="shared" ref="I1953:K1953" si="1031">I1954</f>
        <v>321.81</v>
      </c>
      <c r="J1953" s="36">
        <f t="shared" si="1031"/>
        <v>321.81</v>
      </c>
      <c r="K1953" s="36">
        <f t="shared" si="1031"/>
        <v>321.81</v>
      </c>
      <c r="L1953" s="36">
        <f t="shared" si="1027"/>
        <v>100</v>
      </c>
      <c r="M1953" s="36">
        <f t="shared" si="1028"/>
        <v>100</v>
      </c>
    </row>
    <row r="1954" spans="1:13">
      <c r="A1954" s="63" t="s">
        <v>352</v>
      </c>
      <c r="B1954" s="29" t="s">
        <v>741</v>
      </c>
      <c r="C1954" s="29" t="s">
        <v>148</v>
      </c>
      <c r="D1954" s="29" t="s">
        <v>150</v>
      </c>
      <c r="E1954" s="30" t="s">
        <v>614</v>
      </c>
      <c r="F1954" s="29">
        <v>540</v>
      </c>
      <c r="G1954" s="36"/>
      <c r="H1954" s="36">
        <v>321.81</v>
      </c>
      <c r="I1954" s="36">
        <v>321.81</v>
      </c>
      <c r="J1954" s="36">
        <v>321.81</v>
      </c>
      <c r="K1954" s="36">
        <v>321.81</v>
      </c>
      <c r="L1954" s="36">
        <f t="shared" si="1027"/>
        <v>100</v>
      </c>
      <c r="M1954" s="36">
        <f t="shared" si="1028"/>
        <v>100</v>
      </c>
    </row>
    <row r="1955" spans="1:13">
      <c r="A1955" s="60" t="s">
        <v>454</v>
      </c>
      <c r="B1955" s="29" t="s">
        <v>741</v>
      </c>
      <c r="C1955" s="29" t="s">
        <v>148</v>
      </c>
      <c r="D1955" s="29" t="s">
        <v>19</v>
      </c>
      <c r="E1955" s="59" t="s">
        <v>0</v>
      </c>
      <c r="F1955" s="59"/>
      <c r="G1955" s="36">
        <f>G1956</f>
        <v>1612611.4000000004</v>
      </c>
      <c r="H1955" s="36">
        <f t="shared" ref="H1955:K1955" si="1032">H1956</f>
        <v>1612611.3840000001</v>
      </c>
      <c r="I1955" s="36">
        <f t="shared" si="1032"/>
        <v>794754.18443000002</v>
      </c>
      <c r="J1955" s="36">
        <f t="shared" si="1032"/>
        <v>794712.79526000004</v>
      </c>
      <c r="K1955" s="36">
        <f t="shared" si="1032"/>
        <v>794279.97170000011</v>
      </c>
      <c r="L1955" s="36">
        <f t="shared" si="1001"/>
        <v>49.254270407655767</v>
      </c>
      <c r="M1955" s="36">
        <f t="shared" si="1002"/>
        <v>99.940332150583131</v>
      </c>
    </row>
    <row r="1956" spans="1:13" ht="38.25">
      <c r="A1956" s="60" t="s">
        <v>299</v>
      </c>
      <c r="B1956" s="29" t="s">
        <v>741</v>
      </c>
      <c r="C1956" s="29" t="s">
        <v>148</v>
      </c>
      <c r="D1956" s="29" t="s">
        <v>19</v>
      </c>
      <c r="E1956" s="29" t="s">
        <v>300</v>
      </c>
      <c r="F1956" s="59" t="s">
        <v>0</v>
      </c>
      <c r="G1956" s="36">
        <f>G1957+G1964</f>
        <v>1612611.4000000004</v>
      </c>
      <c r="H1956" s="36">
        <f t="shared" ref="H1956:K1956" si="1033">H1957+H1964</f>
        <v>1612611.3840000001</v>
      </c>
      <c r="I1956" s="36">
        <f t="shared" si="1033"/>
        <v>794754.18443000002</v>
      </c>
      <c r="J1956" s="36">
        <f t="shared" si="1033"/>
        <v>794712.79526000004</v>
      </c>
      <c r="K1956" s="36">
        <f t="shared" si="1033"/>
        <v>794279.97170000011</v>
      </c>
      <c r="L1956" s="36">
        <f t="shared" si="1001"/>
        <v>49.254270407655767</v>
      </c>
      <c r="M1956" s="36">
        <f t="shared" si="1002"/>
        <v>99.940332150583131</v>
      </c>
    </row>
    <row r="1957" spans="1:13" ht="38.25">
      <c r="A1957" s="60" t="s">
        <v>770</v>
      </c>
      <c r="B1957" s="29" t="s">
        <v>741</v>
      </c>
      <c r="C1957" s="29" t="s">
        <v>148</v>
      </c>
      <c r="D1957" s="29" t="s">
        <v>19</v>
      </c>
      <c r="E1957" s="29" t="s">
        <v>771</v>
      </c>
      <c r="F1957" s="59" t="s">
        <v>0</v>
      </c>
      <c r="G1957" s="36">
        <f>G1958+G1961</f>
        <v>189.1</v>
      </c>
      <c r="H1957" s="36">
        <f t="shared" ref="H1957:K1957" si="1034">H1958+H1961</f>
        <v>189.1</v>
      </c>
      <c r="I1957" s="36">
        <f t="shared" si="1034"/>
        <v>4.3000999999999996</v>
      </c>
      <c r="J1957" s="36">
        <f t="shared" si="1034"/>
        <v>4.3000999999999996</v>
      </c>
      <c r="K1957" s="36">
        <f t="shared" si="1034"/>
        <v>4.3000999999999996</v>
      </c>
      <c r="L1957" s="36">
        <f t="shared" si="1001"/>
        <v>2.2739820200951879</v>
      </c>
      <c r="M1957" s="36">
        <f t="shared" si="1002"/>
        <v>100</v>
      </c>
    </row>
    <row r="1958" spans="1:13" ht="178.5">
      <c r="A1958" s="60" t="s">
        <v>860</v>
      </c>
      <c r="B1958" s="29" t="s">
        <v>741</v>
      </c>
      <c r="C1958" s="29" t="s">
        <v>148</v>
      </c>
      <c r="D1958" s="29" t="s">
        <v>19</v>
      </c>
      <c r="E1958" s="29" t="s">
        <v>861</v>
      </c>
      <c r="F1958" s="59" t="s">
        <v>0</v>
      </c>
      <c r="G1958" s="36">
        <f>G1959</f>
        <v>164.1</v>
      </c>
      <c r="H1958" s="36">
        <f t="shared" ref="H1958:K1959" si="1035">H1959</f>
        <v>164.1</v>
      </c>
      <c r="I1958" s="36">
        <f t="shared" si="1035"/>
        <v>0</v>
      </c>
      <c r="J1958" s="36">
        <f t="shared" si="1035"/>
        <v>0</v>
      </c>
      <c r="K1958" s="36">
        <f t="shared" si="1035"/>
        <v>0</v>
      </c>
      <c r="L1958" s="36">
        <f t="shared" si="1001"/>
        <v>0</v>
      </c>
      <c r="M1958" s="36">
        <v>0</v>
      </c>
    </row>
    <row r="1959" spans="1:13" ht="25.5">
      <c r="A1959" s="60" t="s">
        <v>80</v>
      </c>
      <c r="B1959" s="29" t="s">
        <v>741</v>
      </c>
      <c r="C1959" s="29" t="s">
        <v>148</v>
      </c>
      <c r="D1959" s="29" t="s">
        <v>19</v>
      </c>
      <c r="E1959" s="29" t="s">
        <v>861</v>
      </c>
      <c r="F1959" s="29" t="s">
        <v>81</v>
      </c>
      <c r="G1959" s="36">
        <f>G1960</f>
        <v>164.1</v>
      </c>
      <c r="H1959" s="36">
        <f t="shared" si="1035"/>
        <v>164.1</v>
      </c>
      <c r="I1959" s="36">
        <f t="shared" si="1035"/>
        <v>0</v>
      </c>
      <c r="J1959" s="36">
        <f t="shared" si="1035"/>
        <v>0</v>
      </c>
      <c r="K1959" s="36">
        <f t="shared" si="1035"/>
        <v>0</v>
      </c>
      <c r="L1959" s="36">
        <f t="shared" si="1001"/>
        <v>0</v>
      </c>
      <c r="M1959" s="36">
        <v>0</v>
      </c>
    </row>
    <row r="1960" spans="1:13">
      <c r="A1960" s="60" t="s">
        <v>271</v>
      </c>
      <c r="B1960" s="29" t="s">
        <v>741</v>
      </c>
      <c r="C1960" s="29" t="s">
        <v>148</v>
      </c>
      <c r="D1960" s="29" t="s">
        <v>19</v>
      </c>
      <c r="E1960" s="29" t="s">
        <v>861</v>
      </c>
      <c r="F1960" s="29" t="s">
        <v>272</v>
      </c>
      <c r="G1960" s="36">
        <v>164.1</v>
      </c>
      <c r="H1960" s="36">
        <v>164.1</v>
      </c>
      <c r="I1960" s="36">
        <v>0</v>
      </c>
      <c r="J1960" s="36">
        <v>0</v>
      </c>
      <c r="K1960" s="36">
        <v>0</v>
      </c>
      <c r="L1960" s="36">
        <f t="shared" si="1001"/>
        <v>0</v>
      </c>
      <c r="M1960" s="36">
        <v>0</v>
      </c>
    </row>
    <row r="1961" spans="1:13" ht="51">
      <c r="A1961" s="60" t="s">
        <v>862</v>
      </c>
      <c r="B1961" s="29" t="s">
        <v>741</v>
      </c>
      <c r="C1961" s="29" t="s">
        <v>148</v>
      </c>
      <c r="D1961" s="29" t="s">
        <v>19</v>
      </c>
      <c r="E1961" s="29" t="s">
        <v>863</v>
      </c>
      <c r="F1961" s="59" t="s">
        <v>0</v>
      </c>
      <c r="G1961" s="36">
        <f>G1962</f>
        <v>25</v>
      </c>
      <c r="H1961" s="36">
        <f t="shared" ref="H1961:K1962" si="1036">H1962</f>
        <v>25</v>
      </c>
      <c r="I1961" s="36">
        <f t="shared" si="1036"/>
        <v>4.3000999999999996</v>
      </c>
      <c r="J1961" s="36">
        <f t="shared" si="1036"/>
        <v>4.3000999999999996</v>
      </c>
      <c r="K1961" s="36">
        <f t="shared" si="1036"/>
        <v>4.3000999999999996</v>
      </c>
      <c r="L1961" s="36">
        <f t="shared" si="1001"/>
        <v>17.200399999999998</v>
      </c>
      <c r="M1961" s="36">
        <f t="shared" si="1002"/>
        <v>100</v>
      </c>
    </row>
    <row r="1962" spans="1:13" ht="25.5">
      <c r="A1962" s="60" t="s">
        <v>80</v>
      </c>
      <c r="B1962" s="29" t="s">
        <v>741</v>
      </c>
      <c r="C1962" s="29" t="s">
        <v>148</v>
      </c>
      <c r="D1962" s="29" t="s">
        <v>19</v>
      </c>
      <c r="E1962" s="29" t="s">
        <v>863</v>
      </c>
      <c r="F1962" s="29" t="s">
        <v>81</v>
      </c>
      <c r="G1962" s="36">
        <f>G1963</f>
        <v>25</v>
      </c>
      <c r="H1962" s="36">
        <f t="shared" si="1036"/>
        <v>25</v>
      </c>
      <c r="I1962" s="36">
        <f t="shared" si="1036"/>
        <v>4.3000999999999996</v>
      </c>
      <c r="J1962" s="36">
        <f t="shared" si="1036"/>
        <v>4.3000999999999996</v>
      </c>
      <c r="K1962" s="36">
        <f t="shared" si="1036"/>
        <v>4.3000999999999996</v>
      </c>
      <c r="L1962" s="36">
        <f t="shared" si="1001"/>
        <v>17.200399999999998</v>
      </c>
      <c r="M1962" s="36">
        <f t="shared" si="1002"/>
        <v>100</v>
      </c>
    </row>
    <row r="1963" spans="1:13">
      <c r="A1963" s="60" t="s">
        <v>271</v>
      </c>
      <c r="B1963" s="29" t="s">
        <v>741</v>
      </c>
      <c r="C1963" s="29" t="s">
        <v>148</v>
      </c>
      <c r="D1963" s="29" t="s">
        <v>19</v>
      </c>
      <c r="E1963" s="29" t="s">
        <v>863</v>
      </c>
      <c r="F1963" s="29" t="s">
        <v>272</v>
      </c>
      <c r="G1963" s="36">
        <v>25</v>
      </c>
      <c r="H1963" s="36">
        <v>25</v>
      </c>
      <c r="I1963" s="36">
        <v>4.3000999999999996</v>
      </c>
      <c r="J1963" s="36">
        <v>4.3000999999999996</v>
      </c>
      <c r="K1963" s="36">
        <v>4.3000999999999996</v>
      </c>
      <c r="L1963" s="36">
        <f t="shared" si="1001"/>
        <v>17.200399999999998</v>
      </c>
      <c r="M1963" s="36">
        <f t="shared" si="1002"/>
        <v>100</v>
      </c>
    </row>
    <row r="1964" spans="1:13" ht="38.25">
      <c r="A1964" s="60" t="s">
        <v>765</v>
      </c>
      <c r="B1964" s="29" t="s">
        <v>741</v>
      </c>
      <c r="C1964" s="29" t="s">
        <v>148</v>
      </c>
      <c r="D1964" s="29" t="s">
        <v>19</v>
      </c>
      <c r="E1964" s="29" t="s">
        <v>766</v>
      </c>
      <c r="F1964" s="59" t="s">
        <v>0</v>
      </c>
      <c r="G1964" s="36">
        <f>G1965+G1968+G1973+G1978+G1983+G1988+G1993</f>
        <v>1612422.3000000003</v>
      </c>
      <c r="H1964" s="36">
        <f t="shared" ref="H1964:K1964" si="1037">H1965+H1968+H1973+H1978+H1983+H1988+H1993</f>
        <v>1612422.284</v>
      </c>
      <c r="I1964" s="36">
        <f t="shared" si="1037"/>
        <v>794749.88433000003</v>
      </c>
      <c r="J1964" s="36">
        <f t="shared" si="1037"/>
        <v>794708.49516000005</v>
      </c>
      <c r="K1964" s="36">
        <f t="shared" si="1037"/>
        <v>794275.67160000012</v>
      </c>
      <c r="L1964" s="36">
        <f t="shared" si="1001"/>
        <v>49.259780113532599</v>
      </c>
      <c r="M1964" s="36">
        <f t="shared" si="1002"/>
        <v>99.940331827742298</v>
      </c>
    </row>
    <row r="1965" spans="1:13" ht="38.25">
      <c r="A1965" s="60" t="s">
        <v>864</v>
      </c>
      <c r="B1965" s="29" t="s">
        <v>741</v>
      </c>
      <c r="C1965" s="29" t="s">
        <v>148</v>
      </c>
      <c r="D1965" s="29" t="s">
        <v>19</v>
      </c>
      <c r="E1965" s="29" t="s">
        <v>865</v>
      </c>
      <c r="F1965" s="59" t="s">
        <v>0</v>
      </c>
      <c r="G1965" s="36">
        <f>G1966</f>
        <v>384193</v>
      </c>
      <c r="H1965" s="36">
        <f t="shared" ref="H1965:K1966" si="1038">H1966</f>
        <v>384193</v>
      </c>
      <c r="I1965" s="36">
        <f t="shared" si="1038"/>
        <v>206908.29148000001</v>
      </c>
      <c r="J1965" s="36">
        <f t="shared" si="1038"/>
        <v>206908.29148000001</v>
      </c>
      <c r="K1965" s="36">
        <f t="shared" si="1038"/>
        <v>206908.29148000001</v>
      </c>
      <c r="L1965" s="36">
        <f t="shared" si="1001"/>
        <v>53.85529967490298</v>
      </c>
      <c r="M1965" s="36">
        <f t="shared" si="1002"/>
        <v>100</v>
      </c>
    </row>
    <row r="1966" spans="1:13">
      <c r="A1966" s="60" t="s">
        <v>68</v>
      </c>
      <c r="B1966" s="29" t="s">
        <v>741</v>
      </c>
      <c r="C1966" s="29" t="s">
        <v>148</v>
      </c>
      <c r="D1966" s="29" t="s">
        <v>19</v>
      </c>
      <c r="E1966" s="29" t="s">
        <v>865</v>
      </c>
      <c r="F1966" s="29" t="s">
        <v>69</v>
      </c>
      <c r="G1966" s="36">
        <f>G1967</f>
        <v>384193</v>
      </c>
      <c r="H1966" s="36">
        <f t="shared" si="1038"/>
        <v>384193</v>
      </c>
      <c r="I1966" s="36">
        <f t="shared" si="1038"/>
        <v>206908.29148000001</v>
      </c>
      <c r="J1966" s="36">
        <f t="shared" si="1038"/>
        <v>206908.29148000001</v>
      </c>
      <c r="K1966" s="36">
        <f t="shared" si="1038"/>
        <v>206908.29148000001</v>
      </c>
      <c r="L1966" s="36">
        <f t="shared" si="1001"/>
        <v>53.85529967490298</v>
      </c>
      <c r="M1966" s="36">
        <f t="shared" si="1002"/>
        <v>100</v>
      </c>
    </row>
    <row r="1967" spans="1:13" ht="25.5">
      <c r="A1967" s="60" t="s">
        <v>463</v>
      </c>
      <c r="B1967" s="29" t="s">
        <v>741</v>
      </c>
      <c r="C1967" s="29" t="s">
        <v>148</v>
      </c>
      <c r="D1967" s="29" t="s">
        <v>19</v>
      </c>
      <c r="E1967" s="29" t="s">
        <v>865</v>
      </c>
      <c r="F1967" s="29" t="s">
        <v>464</v>
      </c>
      <c r="G1967" s="36">
        <v>384193</v>
      </c>
      <c r="H1967" s="36">
        <v>384193</v>
      </c>
      <c r="I1967" s="36">
        <v>206908.29148000001</v>
      </c>
      <c r="J1967" s="36">
        <v>206908.29148000001</v>
      </c>
      <c r="K1967" s="36">
        <v>206908.29148000001</v>
      </c>
      <c r="L1967" s="36">
        <f t="shared" si="1001"/>
        <v>53.85529967490298</v>
      </c>
      <c r="M1967" s="36">
        <f t="shared" si="1002"/>
        <v>100</v>
      </c>
    </row>
    <row r="1968" spans="1:13" ht="89.25">
      <c r="A1968" s="60" t="s">
        <v>866</v>
      </c>
      <c r="B1968" s="29" t="s">
        <v>741</v>
      </c>
      <c r="C1968" s="29" t="s">
        <v>148</v>
      </c>
      <c r="D1968" s="29" t="s">
        <v>19</v>
      </c>
      <c r="E1968" s="29" t="s">
        <v>867</v>
      </c>
      <c r="F1968" s="59" t="s">
        <v>0</v>
      </c>
      <c r="G1968" s="36">
        <f>G1969+G1971</f>
        <v>14746.199999999999</v>
      </c>
      <c r="H1968" s="36">
        <f t="shared" ref="H1968:K1968" si="1039">H1969+H1971</f>
        <v>14746.199999999999</v>
      </c>
      <c r="I1968" s="36">
        <f t="shared" si="1039"/>
        <v>4724.7391799999996</v>
      </c>
      <c r="J1968" s="36">
        <f t="shared" si="1039"/>
        <v>4724.6114399999997</v>
      </c>
      <c r="K1968" s="36">
        <f t="shared" si="1039"/>
        <v>4724.6114399999997</v>
      </c>
      <c r="L1968" s="36">
        <f t="shared" si="1001"/>
        <v>32.03951824876917</v>
      </c>
      <c r="M1968" s="36">
        <f t="shared" si="1002"/>
        <v>99.997296358695507</v>
      </c>
    </row>
    <row r="1969" spans="1:13" ht="25.5">
      <c r="A1969" s="60" t="s">
        <v>64</v>
      </c>
      <c r="B1969" s="29" t="s">
        <v>741</v>
      </c>
      <c r="C1969" s="29" t="s">
        <v>148</v>
      </c>
      <c r="D1969" s="29" t="s">
        <v>19</v>
      </c>
      <c r="E1969" s="29" t="s">
        <v>867</v>
      </c>
      <c r="F1969" s="29" t="s">
        <v>65</v>
      </c>
      <c r="G1969" s="36">
        <f>G1970</f>
        <v>10.9</v>
      </c>
      <c r="H1969" s="36">
        <f t="shared" ref="H1969:K1969" si="1040">H1970</f>
        <v>10.9</v>
      </c>
      <c r="I1969" s="36">
        <f t="shared" si="1040"/>
        <v>1.5349999999999999</v>
      </c>
      <c r="J1969" s="36">
        <f t="shared" si="1040"/>
        <v>1.40726</v>
      </c>
      <c r="K1969" s="36">
        <f t="shared" si="1040"/>
        <v>1.40726</v>
      </c>
      <c r="L1969" s="36">
        <f t="shared" si="1001"/>
        <v>12.910642201834863</v>
      </c>
      <c r="M1969" s="36">
        <f t="shared" si="1002"/>
        <v>91.678175895765477</v>
      </c>
    </row>
    <row r="1970" spans="1:13" ht="25.5">
      <c r="A1970" s="60" t="s">
        <v>66</v>
      </c>
      <c r="B1970" s="29" t="s">
        <v>741</v>
      </c>
      <c r="C1970" s="29" t="s">
        <v>148</v>
      </c>
      <c r="D1970" s="29" t="s">
        <v>19</v>
      </c>
      <c r="E1970" s="29" t="s">
        <v>867</v>
      </c>
      <c r="F1970" s="29" t="s">
        <v>67</v>
      </c>
      <c r="G1970" s="36">
        <v>10.9</v>
      </c>
      <c r="H1970" s="36">
        <v>10.9</v>
      </c>
      <c r="I1970" s="36">
        <v>1.5349999999999999</v>
      </c>
      <c r="J1970" s="36">
        <v>1.40726</v>
      </c>
      <c r="K1970" s="36">
        <v>1.40726</v>
      </c>
      <c r="L1970" s="36">
        <f t="shared" si="1001"/>
        <v>12.910642201834863</v>
      </c>
      <c r="M1970" s="36">
        <f t="shared" si="1002"/>
        <v>91.678175895765477</v>
      </c>
    </row>
    <row r="1971" spans="1:13">
      <c r="A1971" s="60" t="s">
        <v>68</v>
      </c>
      <c r="B1971" s="29" t="s">
        <v>741</v>
      </c>
      <c r="C1971" s="29" t="s">
        <v>148</v>
      </c>
      <c r="D1971" s="29" t="s">
        <v>19</v>
      </c>
      <c r="E1971" s="29" t="s">
        <v>867</v>
      </c>
      <c r="F1971" s="29" t="s">
        <v>69</v>
      </c>
      <c r="G1971" s="36">
        <f>G1972</f>
        <v>14735.3</v>
      </c>
      <c r="H1971" s="36">
        <f t="shared" ref="H1971:K1971" si="1041">H1972</f>
        <v>14735.3</v>
      </c>
      <c r="I1971" s="36">
        <f t="shared" si="1041"/>
        <v>4723.2041799999997</v>
      </c>
      <c r="J1971" s="36">
        <f t="shared" si="1041"/>
        <v>4723.2041799999997</v>
      </c>
      <c r="K1971" s="36">
        <f t="shared" si="1041"/>
        <v>4723.2041799999997</v>
      </c>
      <c r="L1971" s="36">
        <f t="shared" si="1001"/>
        <v>32.053668266000692</v>
      </c>
      <c r="M1971" s="36">
        <f t="shared" si="1002"/>
        <v>100</v>
      </c>
    </row>
    <row r="1972" spans="1:13" ht="25.5">
      <c r="A1972" s="60" t="s">
        <v>463</v>
      </c>
      <c r="B1972" s="29" t="s">
        <v>741</v>
      </c>
      <c r="C1972" s="29" t="s">
        <v>148</v>
      </c>
      <c r="D1972" s="29" t="s">
        <v>19</v>
      </c>
      <c r="E1972" s="29" t="s">
        <v>867</v>
      </c>
      <c r="F1972" s="29" t="s">
        <v>464</v>
      </c>
      <c r="G1972" s="36">
        <v>14735.3</v>
      </c>
      <c r="H1972" s="36">
        <v>14735.3</v>
      </c>
      <c r="I1972" s="36">
        <v>4723.2041799999997</v>
      </c>
      <c r="J1972" s="36">
        <v>4723.2041799999997</v>
      </c>
      <c r="K1972" s="36">
        <v>4723.2041799999997</v>
      </c>
      <c r="L1972" s="36">
        <f t="shared" si="1001"/>
        <v>32.053668266000692</v>
      </c>
      <c r="M1972" s="36">
        <f t="shared" si="1002"/>
        <v>100</v>
      </c>
    </row>
    <row r="1973" spans="1:13" ht="127.5">
      <c r="A1973" s="60" t="s">
        <v>868</v>
      </c>
      <c r="B1973" s="29" t="s">
        <v>741</v>
      </c>
      <c r="C1973" s="29" t="s">
        <v>148</v>
      </c>
      <c r="D1973" s="29" t="s">
        <v>19</v>
      </c>
      <c r="E1973" s="29" t="s">
        <v>869</v>
      </c>
      <c r="F1973" s="59" t="s">
        <v>0</v>
      </c>
      <c r="G1973" s="36">
        <f>G1974+G1976</f>
        <v>420734.6</v>
      </c>
      <c r="H1973" s="36">
        <f t="shared" ref="H1973:K1973" si="1042">H1974+H1976</f>
        <v>420734.6</v>
      </c>
      <c r="I1973" s="36">
        <f t="shared" si="1042"/>
        <v>197356.71166999999</v>
      </c>
      <c r="J1973" s="36">
        <f t="shared" si="1042"/>
        <v>197315.45024000001</v>
      </c>
      <c r="K1973" s="36">
        <f t="shared" si="1042"/>
        <v>197315.45023000002</v>
      </c>
      <c r="L1973" s="36">
        <f t="shared" ref="L1973:L2043" si="1043">K1973/H1973*100</f>
        <v>46.897842542543458</v>
      </c>
      <c r="M1973" s="36">
        <f t="shared" ref="M1973:M2043" si="1044">K1973/I1973*100</f>
        <v>99.97909296337032</v>
      </c>
    </row>
    <row r="1974" spans="1:13" ht="25.5">
      <c r="A1974" s="60" t="s">
        <v>64</v>
      </c>
      <c r="B1974" s="29" t="s">
        <v>741</v>
      </c>
      <c r="C1974" s="29" t="s">
        <v>148</v>
      </c>
      <c r="D1974" s="29" t="s">
        <v>19</v>
      </c>
      <c r="E1974" s="29" t="s">
        <v>869</v>
      </c>
      <c r="F1974" s="29" t="s">
        <v>65</v>
      </c>
      <c r="G1974" s="36">
        <f>G1975</f>
        <v>480</v>
      </c>
      <c r="H1974" s="36">
        <f t="shared" ref="H1974:K1974" si="1045">H1975</f>
        <v>480</v>
      </c>
      <c r="I1974" s="36">
        <f t="shared" si="1045"/>
        <v>213.821</v>
      </c>
      <c r="J1974" s="36">
        <f t="shared" si="1045"/>
        <v>211.97707</v>
      </c>
      <c r="K1974" s="36">
        <f t="shared" si="1045"/>
        <v>211.97705999999999</v>
      </c>
      <c r="L1974" s="36">
        <f t="shared" si="1043"/>
        <v>44.161887499999999</v>
      </c>
      <c r="M1974" s="36">
        <f t="shared" si="1044"/>
        <v>99.137624461582348</v>
      </c>
    </row>
    <row r="1975" spans="1:13" ht="25.5">
      <c r="A1975" s="60" t="s">
        <v>66</v>
      </c>
      <c r="B1975" s="29" t="s">
        <v>741</v>
      </c>
      <c r="C1975" s="29" t="s">
        <v>148</v>
      </c>
      <c r="D1975" s="29" t="s">
        <v>19</v>
      </c>
      <c r="E1975" s="29" t="s">
        <v>869</v>
      </c>
      <c r="F1975" s="29" t="s">
        <v>67</v>
      </c>
      <c r="G1975" s="36">
        <v>480</v>
      </c>
      <c r="H1975" s="36">
        <v>480</v>
      </c>
      <c r="I1975" s="36">
        <v>213.821</v>
      </c>
      <c r="J1975" s="36">
        <v>211.97707</v>
      </c>
      <c r="K1975" s="36">
        <v>211.97705999999999</v>
      </c>
      <c r="L1975" s="36">
        <f t="shared" si="1043"/>
        <v>44.161887499999999</v>
      </c>
      <c r="M1975" s="36">
        <f t="shared" si="1044"/>
        <v>99.137624461582348</v>
      </c>
    </row>
    <row r="1976" spans="1:13">
      <c r="A1976" s="60" t="s">
        <v>68</v>
      </c>
      <c r="B1976" s="29" t="s">
        <v>741</v>
      </c>
      <c r="C1976" s="29" t="s">
        <v>148</v>
      </c>
      <c r="D1976" s="29" t="s">
        <v>19</v>
      </c>
      <c r="E1976" s="29" t="s">
        <v>869</v>
      </c>
      <c r="F1976" s="29" t="s">
        <v>69</v>
      </c>
      <c r="G1976" s="36">
        <f>G1977</f>
        <v>420254.6</v>
      </c>
      <c r="H1976" s="36">
        <f t="shared" ref="H1976:K1976" si="1046">H1977</f>
        <v>420254.6</v>
      </c>
      <c r="I1976" s="36">
        <f t="shared" si="1046"/>
        <v>197142.89066999999</v>
      </c>
      <c r="J1976" s="36">
        <f t="shared" si="1046"/>
        <v>197103.47317000001</v>
      </c>
      <c r="K1976" s="36">
        <f t="shared" si="1046"/>
        <v>197103.47317000001</v>
      </c>
      <c r="L1976" s="36">
        <f t="shared" si="1043"/>
        <v>46.900967454014783</v>
      </c>
      <c r="M1976" s="36">
        <f t="shared" si="1044"/>
        <v>99.980005619342379</v>
      </c>
    </row>
    <row r="1977" spans="1:13" ht="25.5">
      <c r="A1977" s="60" t="s">
        <v>463</v>
      </c>
      <c r="B1977" s="29" t="s">
        <v>741</v>
      </c>
      <c r="C1977" s="29" t="s">
        <v>148</v>
      </c>
      <c r="D1977" s="29" t="s">
        <v>19</v>
      </c>
      <c r="E1977" s="29" t="s">
        <v>869</v>
      </c>
      <c r="F1977" s="29" t="s">
        <v>464</v>
      </c>
      <c r="G1977" s="36">
        <v>420254.6</v>
      </c>
      <c r="H1977" s="36">
        <v>420254.6</v>
      </c>
      <c r="I1977" s="36">
        <v>197142.89066999999</v>
      </c>
      <c r="J1977" s="36">
        <v>197103.47317000001</v>
      </c>
      <c r="K1977" s="36">
        <v>197103.47317000001</v>
      </c>
      <c r="L1977" s="36">
        <f t="shared" si="1043"/>
        <v>46.900967454014783</v>
      </c>
      <c r="M1977" s="36">
        <f t="shared" si="1044"/>
        <v>99.980005619342379</v>
      </c>
    </row>
    <row r="1978" spans="1:13">
      <c r="A1978" s="60" t="s">
        <v>870</v>
      </c>
      <c r="B1978" s="29" t="s">
        <v>741</v>
      </c>
      <c r="C1978" s="29" t="s">
        <v>148</v>
      </c>
      <c r="D1978" s="29" t="s">
        <v>19</v>
      </c>
      <c r="E1978" s="29" t="s">
        <v>871</v>
      </c>
      <c r="F1978" s="59" t="s">
        <v>0</v>
      </c>
      <c r="G1978" s="36">
        <f>G1979+G1981</f>
        <v>203833.19999999998</v>
      </c>
      <c r="H1978" s="36">
        <f t="shared" ref="H1978:K1978" si="1047">H1979+H1981</f>
        <v>203833.17800000001</v>
      </c>
      <c r="I1978" s="36">
        <f t="shared" si="1047"/>
        <v>99736.365000000005</v>
      </c>
      <c r="J1978" s="36">
        <f t="shared" si="1047"/>
        <v>99736.365000000005</v>
      </c>
      <c r="K1978" s="36">
        <f t="shared" si="1047"/>
        <v>99368.425719999999</v>
      </c>
      <c r="L1978" s="36">
        <f t="shared" si="1043"/>
        <v>48.749878059596355</v>
      </c>
      <c r="M1978" s="36">
        <f t="shared" si="1044"/>
        <v>99.631088139215819</v>
      </c>
    </row>
    <row r="1979" spans="1:13" ht="25.5">
      <c r="A1979" s="60" t="s">
        <v>64</v>
      </c>
      <c r="B1979" s="29" t="s">
        <v>741</v>
      </c>
      <c r="C1979" s="29" t="s">
        <v>148</v>
      </c>
      <c r="D1979" s="29" t="s">
        <v>19</v>
      </c>
      <c r="E1979" s="29" t="s">
        <v>871</v>
      </c>
      <c r="F1979" s="29" t="s">
        <v>65</v>
      </c>
      <c r="G1979" s="36">
        <f>G1980</f>
        <v>2691.3</v>
      </c>
      <c r="H1979" s="36">
        <f t="shared" ref="H1979:K1979" si="1048">H1980</f>
        <v>2691.277</v>
      </c>
      <c r="I1979" s="36">
        <f t="shared" si="1048"/>
        <v>1206.778</v>
      </c>
      <c r="J1979" s="36">
        <f t="shared" si="1048"/>
        <v>1206.778</v>
      </c>
      <c r="K1979" s="36">
        <f t="shared" si="1048"/>
        <v>1196.6827699999999</v>
      </c>
      <c r="L1979" s="36">
        <f t="shared" si="1043"/>
        <v>44.465239735634789</v>
      </c>
      <c r="M1979" s="36">
        <f t="shared" si="1044"/>
        <v>99.163455913183682</v>
      </c>
    </row>
    <row r="1980" spans="1:13" ht="25.5">
      <c r="A1980" s="60" t="s">
        <v>66</v>
      </c>
      <c r="B1980" s="29" t="s">
        <v>741</v>
      </c>
      <c r="C1980" s="29" t="s">
        <v>148</v>
      </c>
      <c r="D1980" s="29" t="s">
        <v>19</v>
      </c>
      <c r="E1980" s="29" t="s">
        <v>871</v>
      </c>
      <c r="F1980" s="29" t="s">
        <v>67</v>
      </c>
      <c r="G1980" s="36">
        <v>2691.3</v>
      </c>
      <c r="H1980" s="36">
        <v>2691.277</v>
      </c>
      <c r="I1980" s="36">
        <v>1206.778</v>
      </c>
      <c r="J1980" s="36">
        <v>1206.778</v>
      </c>
      <c r="K1980" s="36">
        <v>1196.6827699999999</v>
      </c>
      <c r="L1980" s="36">
        <f t="shared" si="1043"/>
        <v>44.465239735634789</v>
      </c>
      <c r="M1980" s="36">
        <f t="shared" si="1044"/>
        <v>99.163455913183682</v>
      </c>
    </row>
    <row r="1981" spans="1:13">
      <c r="A1981" s="60" t="s">
        <v>68</v>
      </c>
      <c r="B1981" s="29" t="s">
        <v>741</v>
      </c>
      <c r="C1981" s="29" t="s">
        <v>148</v>
      </c>
      <c r="D1981" s="29" t="s">
        <v>19</v>
      </c>
      <c r="E1981" s="29" t="s">
        <v>871</v>
      </c>
      <c r="F1981" s="29" t="s">
        <v>69</v>
      </c>
      <c r="G1981" s="36">
        <f>G1982</f>
        <v>201141.9</v>
      </c>
      <c r="H1981" s="36">
        <f t="shared" ref="H1981:K1981" si="1049">H1982</f>
        <v>201141.90100000001</v>
      </c>
      <c r="I1981" s="36">
        <f t="shared" si="1049"/>
        <v>98529.587</v>
      </c>
      <c r="J1981" s="36">
        <f t="shared" si="1049"/>
        <v>98529.587</v>
      </c>
      <c r="K1981" s="36">
        <f t="shared" si="1049"/>
        <v>98171.74295</v>
      </c>
      <c r="L1981" s="36">
        <f t="shared" si="1043"/>
        <v>48.807206485534806</v>
      </c>
      <c r="M1981" s="36">
        <f t="shared" si="1044"/>
        <v>99.636815639955941</v>
      </c>
    </row>
    <row r="1982" spans="1:13" ht="25.5">
      <c r="A1982" s="60" t="s">
        <v>463</v>
      </c>
      <c r="B1982" s="29" t="s">
        <v>741</v>
      </c>
      <c r="C1982" s="29" t="s">
        <v>148</v>
      </c>
      <c r="D1982" s="29" t="s">
        <v>19</v>
      </c>
      <c r="E1982" s="29" t="s">
        <v>871</v>
      </c>
      <c r="F1982" s="29" t="s">
        <v>464</v>
      </c>
      <c r="G1982" s="36">
        <v>201141.9</v>
      </c>
      <c r="H1982" s="36">
        <v>201141.90100000001</v>
      </c>
      <c r="I1982" s="36">
        <v>98529.587</v>
      </c>
      <c r="J1982" s="36">
        <v>98529.587</v>
      </c>
      <c r="K1982" s="36">
        <v>98171.74295</v>
      </c>
      <c r="L1982" s="36">
        <f t="shared" si="1043"/>
        <v>48.807206485534806</v>
      </c>
      <c r="M1982" s="36">
        <f t="shared" si="1044"/>
        <v>99.636815639955941</v>
      </c>
    </row>
    <row r="1983" spans="1:13" ht="25.5">
      <c r="A1983" s="60" t="s">
        <v>872</v>
      </c>
      <c r="B1983" s="29" t="s">
        <v>741</v>
      </c>
      <c r="C1983" s="29" t="s">
        <v>148</v>
      </c>
      <c r="D1983" s="29" t="s">
        <v>19</v>
      </c>
      <c r="E1983" s="29" t="s">
        <v>873</v>
      </c>
      <c r="F1983" s="59" t="s">
        <v>0</v>
      </c>
      <c r="G1983" s="36">
        <f>G1984+G1986</f>
        <v>166698.6</v>
      </c>
      <c r="H1983" s="36">
        <f t="shared" ref="H1983:K1983" si="1050">H1984+H1986</f>
        <v>166698.61600000001</v>
      </c>
      <c r="I1983" s="36">
        <f t="shared" si="1050"/>
        <v>124782.433</v>
      </c>
      <c r="J1983" s="36">
        <f t="shared" si="1050"/>
        <v>124782.433</v>
      </c>
      <c r="K1983" s="36">
        <f t="shared" si="1050"/>
        <v>124717.54943</v>
      </c>
      <c r="L1983" s="36">
        <f t="shared" si="1043"/>
        <v>74.816187694083794</v>
      </c>
      <c r="M1983" s="36">
        <f t="shared" si="1044"/>
        <v>99.948002640724269</v>
      </c>
    </row>
    <row r="1984" spans="1:13" ht="25.5">
      <c r="A1984" s="60" t="s">
        <v>64</v>
      </c>
      <c r="B1984" s="29" t="s">
        <v>741</v>
      </c>
      <c r="C1984" s="29" t="s">
        <v>148</v>
      </c>
      <c r="D1984" s="29" t="s">
        <v>19</v>
      </c>
      <c r="E1984" s="29" t="s">
        <v>873</v>
      </c>
      <c r="F1984" s="29" t="s">
        <v>65</v>
      </c>
      <c r="G1984" s="36">
        <f>G1985</f>
        <v>1918.6</v>
      </c>
      <c r="H1984" s="36">
        <f t="shared" ref="H1984:K1984" si="1051">H1985</f>
        <v>1918.616</v>
      </c>
      <c r="I1984" s="36">
        <f t="shared" si="1051"/>
        <v>1380.2080000000001</v>
      </c>
      <c r="J1984" s="36">
        <f t="shared" si="1051"/>
        <v>1380.2080000000001</v>
      </c>
      <c r="K1984" s="36">
        <f t="shared" si="1051"/>
        <v>1353.6471300000001</v>
      </c>
      <c r="L1984" s="36">
        <f t="shared" si="1043"/>
        <v>70.553311866470409</v>
      </c>
      <c r="M1984" s="36">
        <f t="shared" si="1044"/>
        <v>98.075589331463092</v>
      </c>
    </row>
    <row r="1985" spans="1:13" ht="25.5">
      <c r="A1985" s="60" t="s">
        <v>66</v>
      </c>
      <c r="B1985" s="29" t="s">
        <v>741</v>
      </c>
      <c r="C1985" s="29" t="s">
        <v>148</v>
      </c>
      <c r="D1985" s="29" t="s">
        <v>19</v>
      </c>
      <c r="E1985" s="29" t="s">
        <v>873</v>
      </c>
      <c r="F1985" s="29" t="s">
        <v>67</v>
      </c>
      <c r="G1985" s="36">
        <v>1918.6</v>
      </c>
      <c r="H1985" s="36">
        <v>1918.616</v>
      </c>
      <c r="I1985" s="36">
        <v>1380.2080000000001</v>
      </c>
      <c r="J1985" s="36">
        <v>1380.2080000000001</v>
      </c>
      <c r="K1985" s="36">
        <v>1353.6471300000001</v>
      </c>
      <c r="L1985" s="36">
        <f t="shared" si="1043"/>
        <v>70.553311866470409</v>
      </c>
      <c r="M1985" s="36">
        <f t="shared" si="1044"/>
        <v>98.075589331463092</v>
      </c>
    </row>
    <row r="1986" spans="1:13">
      <c r="A1986" s="60" t="s">
        <v>68</v>
      </c>
      <c r="B1986" s="29" t="s">
        <v>741</v>
      </c>
      <c r="C1986" s="29" t="s">
        <v>148</v>
      </c>
      <c r="D1986" s="29" t="s">
        <v>19</v>
      </c>
      <c r="E1986" s="29" t="s">
        <v>873</v>
      </c>
      <c r="F1986" s="29" t="s">
        <v>69</v>
      </c>
      <c r="G1986" s="36">
        <f>G1987</f>
        <v>164780</v>
      </c>
      <c r="H1986" s="36">
        <f t="shared" ref="H1986:K1986" si="1052">H1987</f>
        <v>164780</v>
      </c>
      <c r="I1986" s="36">
        <f t="shared" si="1052"/>
        <v>123402.22500000001</v>
      </c>
      <c r="J1986" s="36">
        <f t="shared" si="1052"/>
        <v>123402.22500000001</v>
      </c>
      <c r="K1986" s="36">
        <f t="shared" si="1052"/>
        <v>123363.9023</v>
      </c>
      <c r="L1986" s="36">
        <f t="shared" si="1043"/>
        <v>74.865822490593516</v>
      </c>
      <c r="M1986" s="36">
        <f t="shared" si="1044"/>
        <v>99.968944887338935</v>
      </c>
    </row>
    <row r="1987" spans="1:13" ht="25.5">
      <c r="A1987" s="60" t="s">
        <v>463</v>
      </c>
      <c r="B1987" s="29" t="s">
        <v>741</v>
      </c>
      <c r="C1987" s="29" t="s">
        <v>148</v>
      </c>
      <c r="D1987" s="29" t="s">
        <v>19</v>
      </c>
      <c r="E1987" s="29" t="s">
        <v>873</v>
      </c>
      <c r="F1987" s="29" t="s">
        <v>464</v>
      </c>
      <c r="G1987" s="36">
        <v>164780</v>
      </c>
      <c r="H1987" s="36">
        <v>164780</v>
      </c>
      <c r="I1987" s="36">
        <v>123402.22500000001</v>
      </c>
      <c r="J1987" s="36">
        <v>123402.22500000001</v>
      </c>
      <c r="K1987" s="36">
        <v>123363.9023</v>
      </c>
      <c r="L1987" s="36">
        <f t="shared" si="1043"/>
        <v>74.865822490593516</v>
      </c>
      <c r="M1987" s="36">
        <f t="shared" si="1044"/>
        <v>99.968944887338935</v>
      </c>
    </row>
    <row r="1988" spans="1:13" ht="38.25">
      <c r="A1988" s="60" t="s">
        <v>874</v>
      </c>
      <c r="B1988" s="29" t="s">
        <v>741</v>
      </c>
      <c r="C1988" s="29" t="s">
        <v>148</v>
      </c>
      <c r="D1988" s="29" t="s">
        <v>19</v>
      </c>
      <c r="E1988" s="29" t="s">
        <v>875</v>
      </c>
      <c r="F1988" s="59" t="s">
        <v>0</v>
      </c>
      <c r="G1988" s="36">
        <f>G1989+G1991</f>
        <v>37227.1</v>
      </c>
      <c r="H1988" s="36">
        <f t="shared" ref="H1988:K1988" si="1053">H1989+H1991</f>
        <v>37227.07</v>
      </c>
      <c r="I1988" s="36">
        <f t="shared" si="1053"/>
        <v>1545.231</v>
      </c>
      <c r="J1988" s="36">
        <f t="shared" si="1053"/>
        <v>1545.231</v>
      </c>
      <c r="K1988" s="36">
        <f t="shared" si="1053"/>
        <v>1545.231</v>
      </c>
      <c r="L1988" s="36">
        <f t="shared" si="1043"/>
        <v>4.1508262670148364</v>
      </c>
      <c r="M1988" s="36">
        <f t="shared" si="1044"/>
        <v>100</v>
      </c>
    </row>
    <row r="1989" spans="1:13" ht="25.5">
      <c r="A1989" s="60" t="s">
        <v>64</v>
      </c>
      <c r="B1989" s="29" t="s">
        <v>741</v>
      </c>
      <c r="C1989" s="29" t="s">
        <v>148</v>
      </c>
      <c r="D1989" s="29" t="s">
        <v>19</v>
      </c>
      <c r="E1989" s="29" t="s">
        <v>875</v>
      </c>
      <c r="F1989" s="29" t="s">
        <v>65</v>
      </c>
      <c r="G1989" s="36">
        <f>G1990</f>
        <v>597.1</v>
      </c>
      <c r="H1989" s="36">
        <f t="shared" ref="H1989:K1989" si="1054">H1990</f>
        <v>597.07000000000005</v>
      </c>
      <c r="I1989" s="36">
        <f t="shared" si="1054"/>
        <v>15.231</v>
      </c>
      <c r="J1989" s="36">
        <f t="shared" si="1054"/>
        <v>15.231</v>
      </c>
      <c r="K1989" s="36">
        <f t="shared" si="1054"/>
        <v>15.231</v>
      </c>
      <c r="L1989" s="36">
        <f t="shared" si="1043"/>
        <v>2.55095717420068</v>
      </c>
      <c r="M1989" s="36">
        <f t="shared" si="1044"/>
        <v>100</v>
      </c>
    </row>
    <row r="1990" spans="1:13" ht="25.5">
      <c r="A1990" s="60" t="s">
        <v>66</v>
      </c>
      <c r="B1990" s="29" t="s">
        <v>741</v>
      </c>
      <c r="C1990" s="29" t="s">
        <v>148</v>
      </c>
      <c r="D1990" s="29" t="s">
        <v>19</v>
      </c>
      <c r="E1990" s="29" t="s">
        <v>875</v>
      </c>
      <c r="F1990" s="29" t="s">
        <v>67</v>
      </c>
      <c r="G1990" s="36">
        <v>597.1</v>
      </c>
      <c r="H1990" s="36">
        <v>597.07000000000005</v>
      </c>
      <c r="I1990" s="36">
        <v>15.231</v>
      </c>
      <c r="J1990" s="36">
        <v>15.231</v>
      </c>
      <c r="K1990" s="36">
        <v>15.231</v>
      </c>
      <c r="L1990" s="36">
        <f t="shared" si="1043"/>
        <v>2.55095717420068</v>
      </c>
      <c r="M1990" s="36">
        <f t="shared" si="1044"/>
        <v>100</v>
      </c>
    </row>
    <row r="1991" spans="1:13">
      <c r="A1991" s="60" t="s">
        <v>68</v>
      </c>
      <c r="B1991" s="29" t="s">
        <v>741</v>
      </c>
      <c r="C1991" s="29" t="s">
        <v>148</v>
      </c>
      <c r="D1991" s="29" t="s">
        <v>19</v>
      </c>
      <c r="E1991" s="29" t="s">
        <v>875</v>
      </c>
      <c r="F1991" s="29" t="s">
        <v>69</v>
      </c>
      <c r="G1991" s="36">
        <f>G1992</f>
        <v>36630</v>
      </c>
      <c r="H1991" s="36">
        <f t="shared" ref="H1991:K1991" si="1055">H1992</f>
        <v>36630</v>
      </c>
      <c r="I1991" s="36">
        <f t="shared" si="1055"/>
        <v>1530</v>
      </c>
      <c r="J1991" s="36">
        <f t="shared" si="1055"/>
        <v>1530</v>
      </c>
      <c r="K1991" s="36">
        <f t="shared" si="1055"/>
        <v>1530</v>
      </c>
      <c r="L1991" s="36">
        <f t="shared" si="1043"/>
        <v>4.176904176904177</v>
      </c>
      <c r="M1991" s="36">
        <f t="shared" si="1044"/>
        <v>100</v>
      </c>
    </row>
    <row r="1992" spans="1:13" ht="25.5">
      <c r="A1992" s="60" t="s">
        <v>463</v>
      </c>
      <c r="B1992" s="29" t="s">
        <v>741</v>
      </c>
      <c r="C1992" s="29" t="s">
        <v>148</v>
      </c>
      <c r="D1992" s="29" t="s">
        <v>19</v>
      </c>
      <c r="E1992" s="29" t="s">
        <v>875</v>
      </c>
      <c r="F1992" s="29" t="s">
        <v>464</v>
      </c>
      <c r="G1992" s="36">
        <v>36630</v>
      </c>
      <c r="H1992" s="36">
        <v>36630</v>
      </c>
      <c r="I1992" s="36">
        <v>1530</v>
      </c>
      <c r="J1992" s="36">
        <v>1530</v>
      </c>
      <c r="K1992" s="36">
        <v>1530</v>
      </c>
      <c r="L1992" s="36">
        <f t="shared" si="1043"/>
        <v>4.176904176904177</v>
      </c>
      <c r="M1992" s="36">
        <f t="shared" si="1044"/>
        <v>100</v>
      </c>
    </row>
    <row r="1993" spans="1:13" ht="51">
      <c r="A1993" s="60" t="s">
        <v>876</v>
      </c>
      <c r="B1993" s="29" t="s">
        <v>741</v>
      </c>
      <c r="C1993" s="29" t="s">
        <v>148</v>
      </c>
      <c r="D1993" s="29" t="s">
        <v>19</v>
      </c>
      <c r="E1993" s="29" t="s">
        <v>877</v>
      </c>
      <c r="F1993" s="59" t="s">
        <v>0</v>
      </c>
      <c r="G1993" s="36">
        <f>G1994+G1996</f>
        <v>384989.6</v>
      </c>
      <c r="H1993" s="36">
        <f t="shared" ref="H1993:K1993" si="1056">H1994+H1996</f>
        <v>384989.62</v>
      </c>
      <c r="I1993" s="36">
        <f t="shared" si="1056"/>
        <v>159696.11300000001</v>
      </c>
      <c r="J1993" s="36">
        <f t="shared" si="1056"/>
        <v>159696.11300000001</v>
      </c>
      <c r="K1993" s="36">
        <f t="shared" si="1056"/>
        <v>159696.11230000001</v>
      </c>
      <c r="L1993" s="36">
        <f t="shared" si="1043"/>
        <v>41.480628049140648</v>
      </c>
      <c r="M1993" s="36">
        <f t="shared" si="1044"/>
        <v>99.999999561667479</v>
      </c>
    </row>
    <row r="1994" spans="1:13" ht="25.5">
      <c r="A1994" s="60" t="s">
        <v>64</v>
      </c>
      <c r="B1994" s="29" t="s">
        <v>741</v>
      </c>
      <c r="C1994" s="29" t="s">
        <v>148</v>
      </c>
      <c r="D1994" s="29" t="s">
        <v>19</v>
      </c>
      <c r="E1994" s="29" t="s">
        <v>877</v>
      </c>
      <c r="F1994" s="29" t="s">
        <v>65</v>
      </c>
      <c r="G1994" s="36">
        <f>G1995</f>
        <v>11718.3</v>
      </c>
      <c r="H1994" s="36">
        <f t="shared" ref="H1994:K1994" si="1057">H1995</f>
        <v>11718.334000000001</v>
      </c>
      <c r="I1994" s="36">
        <f t="shared" si="1057"/>
        <v>4209.5720000000001</v>
      </c>
      <c r="J1994" s="36">
        <f t="shared" si="1057"/>
        <v>4209.5720000000001</v>
      </c>
      <c r="K1994" s="36">
        <f t="shared" si="1057"/>
        <v>4209.5719799999997</v>
      </c>
      <c r="L1994" s="36">
        <f t="shared" si="1043"/>
        <v>35.922956113044734</v>
      </c>
      <c r="M1994" s="36">
        <f t="shared" si="1044"/>
        <v>99.999999524892303</v>
      </c>
    </row>
    <row r="1995" spans="1:13" ht="25.5">
      <c r="A1995" s="60" t="s">
        <v>66</v>
      </c>
      <c r="B1995" s="29" t="s">
        <v>741</v>
      </c>
      <c r="C1995" s="29" t="s">
        <v>148</v>
      </c>
      <c r="D1995" s="29" t="s">
        <v>19</v>
      </c>
      <c r="E1995" s="29" t="s">
        <v>877</v>
      </c>
      <c r="F1995" s="29" t="s">
        <v>67</v>
      </c>
      <c r="G1995" s="36">
        <v>11718.3</v>
      </c>
      <c r="H1995" s="36">
        <v>11718.334000000001</v>
      </c>
      <c r="I1995" s="36">
        <v>4209.5720000000001</v>
      </c>
      <c r="J1995" s="36">
        <v>4209.5720000000001</v>
      </c>
      <c r="K1995" s="36">
        <v>4209.5719799999997</v>
      </c>
      <c r="L1995" s="36">
        <f t="shared" si="1043"/>
        <v>35.922956113044734</v>
      </c>
      <c r="M1995" s="36">
        <f t="shared" si="1044"/>
        <v>99.999999524892303</v>
      </c>
    </row>
    <row r="1996" spans="1:13">
      <c r="A1996" s="60" t="s">
        <v>68</v>
      </c>
      <c r="B1996" s="29" t="s">
        <v>741</v>
      </c>
      <c r="C1996" s="29" t="s">
        <v>148</v>
      </c>
      <c r="D1996" s="29" t="s">
        <v>19</v>
      </c>
      <c r="E1996" s="29" t="s">
        <v>877</v>
      </c>
      <c r="F1996" s="29" t="s">
        <v>69</v>
      </c>
      <c r="G1996" s="36">
        <f>G1997</f>
        <v>373271.3</v>
      </c>
      <c r="H1996" s="36">
        <f t="shared" ref="H1996:K1996" si="1058">H1997</f>
        <v>373271.28600000002</v>
      </c>
      <c r="I1996" s="36">
        <f t="shared" si="1058"/>
        <v>155486.541</v>
      </c>
      <c r="J1996" s="36">
        <f t="shared" si="1058"/>
        <v>155486.541</v>
      </c>
      <c r="K1996" s="36">
        <f t="shared" si="1058"/>
        <v>155486.54032</v>
      </c>
      <c r="L1996" s="36">
        <f t="shared" si="1043"/>
        <v>41.655103446665862</v>
      </c>
      <c r="M1996" s="36">
        <f t="shared" si="1044"/>
        <v>99.999999562663106</v>
      </c>
    </row>
    <row r="1997" spans="1:13" ht="25.5">
      <c r="A1997" s="60" t="s">
        <v>463</v>
      </c>
      <c r="B1997" s="29" t="s">
        <v>741</v>
      </c>
      <c r="C1997" s="29" t="s">
        <v>148</v>
      </c>
      <c r="D1997" s="29" t="s">
        <v>19</v>
      </c>
      <c r="E1997" s="29" t="s">
        <v>877</v>
      </c>
      <c r="F1997" s="29" t="s">
        <v>464</v>
      </c>
      <c r="G1997" s="36">
        <v>373271.3</v>
      </c>
      <c r="H1997" s="36">
        <v>373271.28600000002</v>
      </c>
      <c r="I1997" s="36">
        <v>155486.541</v>
      </c>
      <c r="J1997" s="36">
        <v>155486.541</v>
      </c>
      <c r="K1997" s="36">
        <v>155486.54032</v>
      </c>
      <c r="L1997" s="36">
        <f t="shared" si="1043"/>
        <v>41.655103446665862</v>
      </c>
      <c r="M1997" s="36">
        <f t="shared" si="1044"/>
        <v>99.999999562663106</v>
      </c>
    </row>
    <row r="1998" spans="1:13">
      <c r="A1998" s="60" t="s">
        <v>477</v>
      </c>
      <c r="B1998" s="29" t="s">
        <v>741</v>
      </c>
      <c r="C1998" s="29" t="s">
        <v>148</v>
      </c>
      <c r="D1998" s="29" t="s">
        <v>32</v>
      </c>
      <c r="E1998" s="59" t="s">
        <v>0</v>
      </c>
      <c r="F1998" s="59" t="s">
        <v>0</v>
      </c>
      <c r="G1998" s="36">
        <f>G1999+G2029</f>
        <v>77679.799999999988</v>
      </c>
      <c r="H1998" s="36">
        <f>H1999+H2029+H2038</f>
        <v>77690.579999999987</v>
      </c>
      <c r="I1998" s="36">
        <f t="shared" ref="I1998:K1998" si="1059">I1999+I2029+I2038</f>
        <v>31965.666589999997</v>
      </c>
      <c r="J1998" s="36">
        <f t="shared" si="1059"/>
        <v>31765.666589999997</v>
      </c>
      <c r="K1998" s="36">
        <f t="shared" si="1059"/>
        <v>30255.640919999998</v>
      </c>
      <c r="L1998" s="36">
        <f t="shared" si="1043"/>
        <v>38.943770171364413</v>
      </c>
      <c r="M1998" s="36">
        <f t="shared" si="1044"/>
        <v>94.650430125755747</v>
      </c>
    </row>
    <row r="1999" spans="1:13" ht="38.25">
      <c r="A1999" s="60" t="s">
        <v>299</v>
      </c>
      <c r="B1999" s="29" t="s">
        <v>741</v>
      </c>
      <c r="C1999" s="29" t="s">
        <v>148</v>
      </c>
      <c r="D1999" s="29" t="s">
        <v>32</v>
      </c>
      <c r="E1999" s="29" t="s">
        <v>300</v>
      </c>
      <c r="F1999" s="59" t="s">
        <v>0</v>
      </c>
      <c r="G1999" s="36">
        <f>G2000+G2004+G2011+G2018++G2025</f>
        <v>38394.799999999996</v>
      </c>
      <c r="H1999" s="36">
        <f t="shared" ref="H1999:K1999" si="1060">H2000+H2004+H2011+H2018++H2025</f>
        <v>38394.799999999996</v>
      </c>
      <c r="I1999" s="36">
        <f t="shared" si="1060"/>
        <v>19035.494999999999</v>
      </c>
      <c r="J1999" s="36">
        <f t="shared" si="1060"/>
        <v>18835.494999999999</v>
      </c>
      <c r="K1999" s="36">
        <f t="shared" si="1060"/>
        <v>17725.639940000001</v>
      </c>
      <c r="L1999" s="36">
        <f t="shared" si="1043"/>
        <v>46.166772427516236</v>
      </c>
      <c r="M1999" s="36">
        <f t="shared" si="1044"/>
        <v>93.118881016753193</v>
      </c>
    </row>
    <row r="2000" spans="1:13" ht="38.25">
      <c r="A2000" s="60" t="s">
        <v>770</v>
      </c>
      <c r="B2000" s="29" t="s">
        <v>741</v>
      </c>
      <c r="C2000" s="29" t="s">
        <v>148</v>
      </c>
      <c r="D2000" s="29" t="s">
        <v>32</v>
      </c>
      <c r="E2000" s="29" t="s">
        <v>771</v>
      </c>
      <c r="F2000" s="59" t="s">
        <v>0</v>
      </c>
      <c r="G2000" s="36">
        <f>G2001</f>
        <v>32145.1</v>
      </c>
      <c r="H2000" s="36">
        <f t="shared" ref="H2000:K2002" si="1061">H2001</f>
        <v>32145.1</v>
      </c>
      <c r="I2000" s="36">
        <f t="shared" si="1061"/>
        <v>16072.56</v>
      </c>
      <c r="J2000" s="36">
        <f t="shared" si="1061"/>
        <v>16072.56</v>
      </c>
      <c r="K2000" s="36">
        <f t="shared" si="1061"/>
        <v>14962.7215</v>
      </c>
      <c r="L2000" s="36">
        <f t="shared" si="1043"/>
        <v>46.54744113410753</v>
      </c>
      <c r="M2000" s="36">
        <f t="shared" si="1044"/>
        <v>93.094824346588226</v>
      </c>
    </row>
    <row r="2001" spans="1:13" ht="38.25">
      <c r="A2001" s="60" t="s">
        <v>878</v>
      </c>
      <c r="B2001" s="29" t="s">
        <v>741</v>
      </c>
      <c r="C2001" s="29" t="s">
        <v>148</v>
      </c>
      <c r="D2001" s="29" t="s">
        <v>32</v>
      </c>
      <c r="E2001" s="29" t="s">
        <v>879</v>
      </c>
      <c r="F2001" s="59" t="s">
        <v>0</v>
      </c>
      <c r="G2001" s="36">
        <f>G2002</f>
        <v>32145.1</v>
      </c>
      <c r="H2001" s="36">
        <f t="shared" si="1061"/>
        <v>32145.1</v>
      </c>
      <c r="I2001" s="36">
        <f t="shared" si="1061"/>
        <v>16072.56</v>
      </c>
      <c r="J2001" s="36">
        <f t="shared" si="1061"/>
        <v>16072.56</v>
      </c>
      <c r="K2001" s="36">
        <f t="shared" si="1061"/>
        <v>14962.7215</v>
      </c>
      <c r="L2001" s="36">
        <f t="shared" si="1043"/>
        <v>46.54744113410753</v>
      </c>
      <c r="M2001" s="36">
        <f t="shared" si="1044"/>
        <v>93.094824346588226</v>
      </c>
    </row>
    <row r="2002" spans="1:13">
      <c r="A2002" s="60" t="s">
        <v>26</v>
      </c>
      <c r="B2002" s="29" t="s">
        <v>741</v>
      </c>
      <c r="C2002" s="29" t="s">
        <v>148</v>
      </c>
      <c r="D2002" s="29" t="s">
        <v>32</v>
      </c>
      <c r="E2002" s="29" t="s">
        <v>879</v>
      </c>
      <c r="F2002" s="29" t="s">
        <v>27</v>
      </c>
      <c r="G2002" s="36">
        <f>G2003</f>
        <v>32145.1</v>
      </c>
      <c r="H2002" s="36">
        <f t="shared" si="1061"/>
        <v>32145.1</v>
      </c>
      <c r="I2002" s="36">
        <f t="shared" si="1061"/>
        <v>16072.56</v>
      </c>
      <c r="J2002" s="36">
        <f t="shared" si="1061"/>
        <v>16072.56</v>
      </c>
      <c r="K2002" s="36">
        <f t="shared" si="1061"/>
        <v>14962.7215</v>
      </c>
      <c r="L2002" s="36">
        <f t="shared" si="1043"/>
        <v>46.54744113410753</v>
      </c>
      <c r="M2002" s="36">
        <f t="shared" si="1044"/>
        <v>93.094824346588226</v>
      </c>
    </row>
    <row r="2003" spans="1:13">
      <c r="A2003" s="60" t="s">
        <v>28</v>
      </c>
      <c r="B2003" s="29" t="s">
        <v>741</v>
      </c>
      <c r="C2003" s="29" t="s">
        <v>148</v>
      </c>
      <c r="D2003" s="29" t="s">
        <v>32</v>
      </c>
      <c r="E2003" s="29" t="s">
        <v>879</v>
      </c>
      <c r="F2003" s="29" t="s">
        <v>29</v>
      </c>
      <c r="G2003" s="36">
        <v>32145.1</v>
      </c>
      <c r="H2003" s="36">
        <v>32145.1</v>
      </c>
      <c r="I2003" s="36">
        <v>16072.56</v>
      </c>
      <c r="J2003" s="36">
        <v>16072.56</v>
      </c>
      <c r="K2003" s="36">
        <v>14962.7215</v>
      </c>
      <c r="L2003" s="36">
        <f t="shared" si="1043"/>
        <v>46.54744113410753</v>
      </c>
      <c r="M2003" s="36">
        <f t="shared" si="1044"/>
        <v>93.094824346588226</v>
      </c>
    </row>
    <row r="2004" spans="1:13" ht="38.25">
      <c r="A2004" s="60" t="s">
        <v>781</v>
      </c>
      <c r="B2004" s="29" t="s">
        <v>741</v>
      </c>
      <c r="C2004" s="29" t="s">
        <v>148</v>
      </c>
      <c r="D2004" s="29" t="s">
        <v>32</v>
      </c>
      <c r="E2004" s="29" t="s">
        <v>782</v>
      </c>
      <c r="F2004" s="59" t="s">
        <v>0</v>
      </c>
      <c r="G2004" s="36">
        <f>G2005+G2008</f>
        <v>3583.1</v>
      </c>
      <c r="H2004" s="36">
        <f t="shared" ref="H2004:K2004" si="1062">H2005+H2008</f>
        <v>3583.1</v>
      </c>
      <c r="I2004" s="36">
        <f t="shared" si="1062"/>
        <v>1982.9349999999999</v>
      </c>
      <c r="J2004" s="36">
        <f t="shared" si="1062"/>
        <v>1882.9349999999999</v>
      </c>
      <c r="K2004" s="36">
        <f t="shared" si="1062"/>
        <v>1882.9184399999999</v>
      </c>
      <c r="L2004" s="36">
        <f t="shared" si="1043"/>
        <v>52.549982975635622</v>
      </c>
      <c r="M2004" s="36">
        <f t="shared" si="1044"/>
        <v>94.956135223797048</v>
      </c>
    </row>
    <row r="2005" spans="1:13" ht="25.5">
      <c r="A2005" s="60" t="s">
        <v>880</v>
      </c>
      <c r="B2005" s="29" t="s">
        <v>741</v>
      </c>
      <c r="C2005" s="29" t="s">
        <v>148</v>
      </c>
      <c r="D2005" s="29" t="s">
        <v>32</v>
      </c>
      <c r="E2005" s="29" t="s">
        <v>881</v>
      </c>
      <c r="F2005" s="59" t="s">
        <v>0</v>
      </c>
      <c r="G2005" s="36">
        <f>G2006</f>
        <v>520</v>
      </c>
      <c r="H2005" s="36">
        <f t="shared" ref="H2005:K2006" si="1063">H2006</f>
        <v>520</v>
      </c>
      <c r="I2005" s="36">
        <f t="shared" si="1063"/>
        <v>270</v>
      </c>
      <c r="J2005" s="36">
        <f t="shared" si="1063"/>
        <v>170</v>
      </c>
      <c r="K2005" s="36">
        <f t="shared" si="1063"/>
        <v>170</v>
      </c>
      <c r="L2005" s="36">
        <f t="shared" si="1043"/>
        <v>32.692307692307693</v>
      </c>
      <c r="M2005" s="36">
        <f t="shared" si="1044"/>
        <v>62.962962962962962</v>
      </c>
    </row>
    <row r="2006" spans="1:13" ht="25.5">
      <c r="A2006" s="60" t="s">
        <v>80</v>
      </c>
      <c r="B2006" s="29" t="s">
        <v>741</v>
      </c>
      <c r="C2006" s="29" t="s">
        <v>148</v>
      </c>
      <c r="D2006" s="29" t="s">
        <v>32</v>
      </c>
      <c r="E2006" s="29" t="s">
        <v>881</v>
      </c>
      <c r="F2006" s="29" t="s">
        <v>81</v>
      </c>
      <c r="G2006" s="36">
        <f>G2007</f>
        <v>520</v>
      </c>
      <c r="H2006" s="36">
        <f t="shared" si="1063"/>
        <v>520</v>
      </c>
      <c r="I2006" s="36">
        <f t="shared" si="1063"/>
        <v>270</v>
      </c>
      <c r="J2006" s="36">
        <f t="shared" si="1063"/>
        <v>170</v>
      </c>
      <c r="K2006" s="36">
        <f t="shared" si="1063"/>
        <v>170</v>
      </c>
      <c r="L2006" s="36">
        <f t="shared" si="1043"/>
        <v>32.692307692307693</v>
      </c>
      <c r="M2006" s="36">
        <f t="shared" si="1044"/>
        <v>62.962962962962962</v>
      </c>
    </row>
    <row r="2007" spans="1:13">
      <c r="A2007" s="60" t="s">
        <v>271</v>
      </c>
      <c r="B2007" s="29" t="s">
        <v>741</v>
      </c>
      <c r="C2007" s="29" t="s">
        <v>148</v>
      </c>
      <c r="D2007" s="29" t="s">
        <v>32</v>
      </c>
      <c r="E2007" s="29" t="s">
        <v>881</v>
      </c>
      <c r="F2007" s="29" t="s">
        <v>272</v>
      </c>
      <c r="G2007" s="36">
        <v>520</v>
      </c>
      <c r="H2007" s="36">
        <v>520</v>
      </c>
      <c r="I2007" s="36">
        <v>270</v>
      </c>
      <c r="J2007" s="36">
        <v>170</v>
      </c>
      <c r="K2007" s="36">
        <v>170</v>
      </c>
      <c r="L2007" s="36">
        <f t="shared" si="1043"/>
        <v>32.692307692307693</v>
      </c>
      <c r="M2007" s="36">
        <f t="shared" si="1044"/>
        <v>62.962962962962962</v>
      </c>
    </row>
    <row r="2008" spans="1:13" ht="38.25">
      <c r="A2008" s="60" t="s">
        <v>882</v>
      </c>
      <c r="B2008" s="29" t="s">
        <v>741</v>
      </c>
      <c r="C2008" s="29" t="s">
        <v>148</v>
      </c>
      <c r="D2008" s="29" t="s">
        <v>32</v>
      </c>
      <c r="E2008" s="29" t="s">
        <v>883</v>
      </c>
      <c r="F2008" s="59" t="s">
        <v>0</v>
      </c>
      <c r="G2008" s="36">
        <f>G2009</f>
        <v>3063.1</v>
      </c>
      <c r="H2008" s="36">
        <f t="shared" ref="H2008:K2009" si="1064">H2009</f>
        <v>3063.1</v>
      </c>
      <c r="I2008" s="36">
        <f t="shared" si="1064"/>
        <v>1712.9349999999999</v>
      </c>
      <c r="J2008" s="36">
        <f t="shared" si="1064"/>
        <v>1712.9349999999999</v>
      </c>
      <c r="K2008" s="36">
        <f t="shared" si="1064"/>
        <v>1712.9184399999999</v>
      </c>
      <c r="L2008" s="36">
        <f t="shared" si="1043"/>
        <v>55.92107472821651</v>
      </c>
      <c r="M2008" s="36">
        <f t="shared" si="1044"/>
        <v>99.999033238272318</v>
      </c>
    </row>
    <row r="2009" spans="1:13">
      <c r="A2009" s="60" t="s">
        <v>26</v>
      </c>
      <c r="B2009" s="29" t="s">
        <v>741</v>
      </c>
      <c r="C2009" s="29" t="s">
        <v>148</v>
      </c>
      <c r="D2009" s="29" t="s">
        <v>32</v>
      </c>
      <c r="E2009" s="29" t="s">
        <v>883</v>
      </c>
      <c r="F2009" s="29" t="s">
        <v>27</v>
      </c>
      <c r="G2009" s="36">
        <f>G2010</f>
        <v>3063.1</v>
      </c>
      <c r="H2009" s="36">
        <f t="shared" si="1064"/>
        <v>3063.1</v>
      </c>
      <c r="I2009" s="36">
        <f t="shared" si="1064"/>
        <v>1712.9349999999999</v>
      </c>
      <c r="J2009" s="36">
        <f t="shared" si="1064"/>
        <v>1712.9349999999999</v>
      </c>
      <c r="K2009" s="36">
        <f t="shared" si="1064"/>
        <v>1712.9184399999999</v>
      </c>
      <c r="L2009" s="36">
        <f t="shared" si="1043"/>
        <v>55.92107472821651</v>
      </c>
      <c r="M2009" s="36">
        <f t="shared" si="1044"/>
        <v>99.999033238272318</v>
      </c>
    </row>
    <row r="2010" spans="1:13">
      <c r="A2010" s="60" t="s">
        <v>28</v>
      </c>
      <c r="B2010" s="29" t="s">
        <v>741</v>
      </c>
      <c r="C2010" s="29" t="s">
        <v>148</v>
      </c>
      <c r="D2010" s="29" t="s">
        <v>32</v>
      </c>
      <c r="E2010" s="29" t="s">
        <v>883</v>
      </c>
      <c r="F2010" s="29" t="s">
        <v>29</v>
      </c>
      <c r="G2010" s="36">
        <v>3063.1</v>
      </c>
      <c r="H2010" s="36">
        <v>3063.1</v>
      </c>
      <c r="I2010" s="36">
        <v>1712.9349999999999</v>
      </c>
      <c r="J2010" s="36">
        <v>1712.9349999999999</v>
      </c>
      <c r="K2010" s="36">
        <v>1712.9184399999999</v>
      </c>
      <c r="L2010" s="36">
        <f t="shared" si="1043"/>
        <v>55.92107472821651</v>
      </c>
      <c r="M2010" s="36">
        <f t="shared" si="1044"/>
        <v>99.999033238272318</v>
      </c>
    </row>
    <row r="2011" spans="1:13" ht="38.25">
      <c r="A2011" s="60" t="s">
        <v>884</v>
      </c>
      <c r="B2011" s="29" t="s">
        <v>741</v>
      </c>
      <c r="C2011" s="29" t="s">
        <v>148</v>
      </c>
      <c r="D2011" s="29" t="s">
        <v>32</v>
      </c>
      <c r="E2011" s="29" t="s">
        <v>885</v>
      </c>
      <c r="F2011" s="59" t="s">
        <v>0</v>
      </c>
      <c r="G2011" s="36">
        <f>G2012+G2015</f>
        <v>2149.4</v>
      </c>
      <c r="H2011" s="36">
        <f t="shared" ref="H2011:K2011" si="1065">H2012+H2015</f>
        <v>2149.4</v>
      </c>
      <c r="I2011" s="36">
        <f t="shared" si="1065"/>
        <v>880</v>
      </c>
      <c r="J2011" s="36">
        <f t="shared" si="1065"/>
        <v>880</v>
      </c>
      <c r="K2011" s="36">
        <f t="shared" si="1065"/>
        <v>880</v>
      </c>
      <c r="L2011" s="36">
        <f t="shared" si="1043"/>
        <v>40.941658137154555</v>
      </c>
      <c r="M2011" s="36">
        <f t="shared" si="1044"/>
        <v>100</v>
      </c>
    </row>
    <row r="2012" spans="1:13" ht="25.5">
      <c r="A2012" s="60" t="s">
        <v>774</v>
      </c>
      <c r="B2012" s="29" t="s">
        <v>741</v>
      </c>
      <c r="C2012" s="29" t="s">
        <v>148</v>
      </c>
      <c r="D2012" s="29" t="s">
        <v>32</v>
      </c>
      <c r="E2012" s="29" t="s">
        <v>886</v>
      </c>
      <c r="F2012" s="59" t="s">
        <v>0</v>
      </c>
      <c r="G2012" s="36">
        <f>G2013</f>
        <v>150</v>
      </c>
      <c r="H2012" s="36">
        <f t="shared" ref="H2012:K2013" si="1066">H2013</f>
        <v>150</v>
      </c>
      <c r="I2012" s="36">
        <f t="shared" si="1066"/>
        <v>0</v>
      </c>
      <c r="J2012" s="36">
        <f t="shared" si="1066"/>
        <v>0</v>
      </c>
      <c r="K2012" s="36">
        <f t="shared" si="1066"/>
        <v>0</v>
      </c>
      <c r="L2012" s="36">
        <f t="shared" si="1043"/>
        <v>0</v>
      </c>
      <c r="M2012" s="36">
        <v>0</v>
      </c>
    </row>
    <row r="2013" spans="1:13" ht="25.5">
      <c r="A2013" s="60" t="s">
        <v>64</v>
      </c>
      <c r="B2013" s="29" t="s">
        <v>741</v>
      </c>
      <c r="C2013" s="29" t="s">
        <v>148</v>
      </c>
      <c r="D2013" s="29" t="s">
        <v>32</v>
      </c>
      <c r="E2013" s="29" t="s">
        <v>886</v>
      </c>
      <c r="F2013" s="29" t="s">
        <v>65</v>
      </c>
      <c r="G2013" s="36">
        <f>G2014</f>
        <v>150</v>
      </c>
      <c r="H2013" s="36">
        <f t="shared" si="1066"/>
        <v>150</v>
      </c>
      <c r="I2013" s="36">
        <f t="shared" si="1066"/>
        <v>0</v>
      </c>
      <c r="J2013" s="36">
        <f t="shared" si="1066"/>
        <v>0</v>
      </c>
      <c r="K2013" s="36">
        <f t="shared" si="1066"/>
        <v>0</v>
      </c>
      <c r="L2013" s="36">
        <f t="shared" si="1043"/>
        <v>0</v>
      </c>
      <c r="M2013" s="36">
        <v>0</v>
      </c>
    </row>
    <row r="2014" spans="1:13" ht="25.5">
      <c r="A2014" s="60" t="s">
        <v>66</v>
      </c>
      <c r="B2014" s="29" t="s">
        <v>741</v>
      </c>
      <c r="C2014" s="29" t="s">
        <v>148</v>
      </c>
      <c r="D2014" s="29" t="s">
        <v>32</v>
      </c>
      <c r="E2014" s="29" t="s">
        <v>886</v>
      </c>
      <c r="F2014" s="29" t="s">
        <v>67</v>
      </c>
      <c r="G2014" s="36">
        <v>150</v>
      </c>
      <c r="H2014" s="36">
        <v>150</v>
      </c>
      <c r="I2014" s="36">
        <v>0</v>
      </c>
      <c r="J2014" s="36">
        <v>0</v>
      </c>
      <c r="K2014" s="36">
        <v>0</v>
      </c>
      <c r="L2014" s="36">
        <f t="shared" si="1043"/>
        <v>0</v>
      </c>
      <c r="M2014" s="36">
        <v>0</v>
      </c>
    </row>
    <row r="2015" spans="1:13" ht="25.5">
      <c r="A2015" s="60" t="s">
        <v>880</v>
      </c>
      <c r="B2015" s="29" t="s">
        <v>741</v>
      </c>
      <c r="C2015" s="29" t="s">
        <v>148</v>
      </c>
      <c r="D2015" s="29" t="s">
        <v>32</v>
      </c>
      <c r="E2015" s="29" t="s">
        <v>887</v>
      </c>
      <c r="F2015" s="59" t="s">
        <v>0</v>
      </c>
      <c r="G2015" s="36">
        <f>G2016</f>
        <v>1999.4</v>
      </c>
      <c r="H2015" s="36">
        <f t="shared" ref="H2015:K2016" si="1067">H2016</f>
        <v>1999.4</v>
      </c>
      <c r="I2015" s="36">
        <f t="shared" si="1067"/>
        <v>880</v>
      </c>
      <c r="J2015" s="36">
        <f t="shared" si="1067"/>
        <v>880</v>
      </c>
      <c r="K2015" s="36">
        <f t="shared" si="1067"/>
        <v>880</v>
      </c>
      <c r="L2015" s="36">
        <f t="shared" si="1043"/>
        <v>44.013203961188353</v>
      </c>
      <c r="M2015" s="36">
        <f t="shared" si="1044"/>
        <v>100</v>
      </c>
    </row>
    <row r="2016" spans="1:13" ht="25.5">
      <c r="A2016" s="60" t="s">
        <v>80</v>
      </c>
      <c r="B2016" s="29" t="s">
        <v>741</v>
      </c>
      <c r="C2016" s="29" t="s">
        <v>148</v>
      </c>
      <c r="D2016" s="29" t="s">
        <v>32</v>
      </c>
      <c r="E2016" s="29" t="s">
        <v>887</v>
      </c>
      <c r="F2016" s="29" t="s">
        <v>81</v>
      </c>
      <c r="G2016" s="36">
        <f>G2017</f>
        <v>1999.4</v>
      </c>
      <c r="H2016" s="36">
        <f t="shared" si="1067"/>
        <v>1999.4</v>
      </c>
      <c r="I2016" s="36">
        <f t="shared" si="1067"/>
        <v>880</v>
      </c>
      <c r="J2016" s="36">
        <f t="shared" si="1067"/>
        <v>880</v>
      </c>
      <c r="K2016" s="36">
        <f t="shared" si="1067"/>
        <v>880</v>
      </c>
      <c r="L2016" s="36">
        <f t="shared" si="1043"/>
        <v>44.013203961188353</v>
      </c>
      <c r="M2016" s="36">
        <f t="shared" si="1044"/>
        <v>100</v>
      </c>
    </row>
    <row r="2017" spans="1:13">
      <c r="A2017" s="60" t="s">
        <v>271</v>
      </c>
      <c r="B2017" s="29" t="s">
        <v>741</v>
      </c>
      <c r="C2017" s="29" t="s">
        <v>148</v>
      </c>
      <c r="D2017" s="29" t="s">
        <v>32</v>
      </c>
      <c r="E2017" s="29" t="s">
        <v>887</v>
      </c>
      <c r="F2017" s="29" t="s">
        <v>272</v>
      </c>
      <c r="G2017" s="36">
        <v>1999.4</v>
      </c>
      <c r="H2017" s="36">
        <v>1999.4</v>
      </c>
      <c r="I2017" s="36">
        <v>880</v>
      </c>
      <c r="J2017" s="36">
        <v>880</v>
      </c>
      <c r="K2017" s="36">
        <v>880</v>
      </c>
      <c r="L2017" s="36">
        <f t="shared" si="1043"/>
        <v>44.013203961188353</v>
      </c>
      <c r="M2017" s="36">
        <f t="shared" si="1044"/>
        <v>100</v>
      </c>
    </row>
    <row r="2018" spans="1:13">
      <c r="A2018" s="60" t="s">
        <v>301</v>
      </c>
      <c r="B2018" s="29" t="s">
        <v>741</v>
      </c>
      <c r="C2018" s="29" t="s">
        <v>148</v>
      </c>
      <c r="D2018" s="29" t="s">
        <v>32</v>
      </c>
      <c r="E2018" s="29" t="s">
        <v>302</v>
      </c>
      <c r="F2018" s="59" t="s">
        <v>0</v>
      </c>
      <c r="G2018" s="36">
        <f>G2019</f>
        <v>100</v>
      </c>
      <c r="H2018" s="36">
        <f>H2019+H2022</f>
        <v>100</v>
      </c>
      <c r="I2018" s="36">
        <f t="shared" ref="I2018:K2018" si="1068">I2019+I2022</f>
        <v>0</v>
      </c>
      <c r="J2018" s="36">
        <f t="shared" si="1068"/>
        <v>0</v>
      </c>
      <c r="K2018" s="36">
        <f t="shared" si="1068"/>
        <v>0</v>
      </c>
      <c r="L2018" s="36">
        <f t="shared" si="1043"/>
        <v>0</v>
      </c>
      <c r="M2018" s="36">
        <v>0</v>
      </c>
    </row>
    <row r="2019" spans="1:13" ht="25.5">
      <c r="A2019" s="60" t="s">
        <v>880</v>
      </c>
      <c r="B2019" s="29" t="s">
        <v>741</v>
      </c>
      <c r="C2019" s="29" t="s">
        <v>148</v>
      </c>
      <c r="D2019" s="29" t="s">
        <v>32</v>
      </c>
      <c r="E2019" s="29" t="s">
        <v>888</v>
      </c>
      <c r="F2019" s="59" t="s">
        <v>0</v>
      </c>
      <c r="G2019" s="36">
        <f>G2020</f>
        <v>100</v>
      </c>
      <c r="H2019" s="36">
        <f t="shared" ref="H2019:K2020" si="1069">H2020</f>
        <v>0</v>
      </c>
      <c r="I2019" s="36">
        <f t="shared" si="1069"/>
        <v>0</v>
      </c>
      <c r="J2019" s="36">
        <f t="shared" si="1069"/>
        <v>0</v>
      </c>
      <c r="K2019" s="36">
        <f t="shared" si="1069"/>
        <v>0</v>
      </c>
      <c r="L2019" s="36">
        <v>0</v>
      </c>
      <c r="M2019" s="36">
        <v>0</v>
      </c>
    </row>
    <row r="2020" spans="1:13" ht="25.5">
      <c r="A2020" s="60" t="s">
        <v>80</v>
      </c>
      <c r="B2020" s="29" t="s">
        <v>741</v>
      </c>
      <c r="C2020" s="29" t="s">
        <v>148</v>
      </c>
      <c r="D2020" s="29" t="s">
        <v>32</v>
      </c>
      <c r="E2020" s="29" t="s">
        <v>888</v>
      </c>
      <c r="F2020" s="29" t="s">
        <v>81</v>
      </c>
      <c r="G2020" s="36">
        <f>G2021</f>
        <v>100</v>
      </c>
      <c r="H2020" s="36">
        <f t="shared" si="1069"/>
        <v>0</v>
      </c>
      <c r="I2020" s="36">
        <f t="shared" si="1069"/>
        <v>0</v>
      </c>
      <c r="J2020" s="36">
        <f t="shared" si="1069"/>
        <v>0</v>
      </c>
      <c r="K2020" s="36">
        <f t="shared" si="1069"/>
        <v>0</v>
      </c>
      <c r="L2020" s="36">
        <v>0</v>
      </c>
      <c r="M2020" s="36">
        <v>0</v>
      </c>
    </row>
    <row r="2021" spans="1:13">
      <c r="A2021" s="60" t="s">
        <v>271</v>
      </c>
      <c r="B2021" s="29" t="s">
        <v>741</v>
      </c>
      <c r="C2021" s="29" t="s">
        <v>148</v>
      </c>
      <c r="D2021" s="29" t="s">
        <v>32</v>
      </c>
      <c r="E2021" s="29" t="s">
        <v>888</v>
      </c>
      <c r="F2021" s="29" t="s">
        <v>272</v>
      </c>
      <c r="G2021" s="36">
        <v>100</v>
      </c>
      <c r="H2021" s="36">
        <v>0</v>
      </c>
      <c r="I2021" s="36">
        <v>0</v>
      </c>
      <c r="J2021" s="36">
        <v>0</v>
      </c>
      <c r="K2021" s="36">
        <v>0</v>
      </c>
      <c r="L2021" s="36">
        <v>0</v>
      </c>
      <c r="M2021" s="36">
        <v>0</v>
      </c>
    </row>
    <row r="2022" spans="1:13" ht="42.75" customHeight="1">
      <c r="A2022" s="60" t="s">
        <v>1126</v>
      </c>
      <c r="B2022" s="29" t="s">
        <v>741</v>
      </c>
      <c r="C2022" s="29" t="s">
        <v>148</v>
      </c>
      <c r="D2022" s="29" t="s">
        <v>32</v>
      </c>
      <c r="E2022" s="30" t="s">
        <v>1125</v>
      </c>
      <c r="F2022" s="29"/>
      <c r="G2022" s="36"/>
      <c r="H2022" s="36">
        <f>H2023</f>
        <v>100</v>
      </c>
      <c r="I2022" s="36">
        <f t="shared" ref="I2022:K2023" si="1070">I2023</f>
        <v>0</v>
      </c>
      <c r="J2022" s="36">
        <f t="shared" si="1070"/>
        <v>0</v>
      </c>
      <c r="K2022" s="36">
        <f t="shared" si="1070"/>
        <v>0</v>
      </c>
      <c r="L2022" s="36">
        <f t="shared" ref="L2022:L2024" si="1071">K2022/H2022*100</f>
        <v>0</v>
      </c>
      <c r="M2022" s="36">
        <v>0</v>
      </c>
    </row>
    <row r="2023" spans="1:13" ht="25.5">
      <c r="A2023" s="60" t="s">
        <v>80</v>
      </c>
      <c r="B2023" s="29" t="s">
        <v>741</v>
      </c>
      <c r="C2023" s="29" t="s">
        <v>148</v>
      </c>
      <c r="D2023" s="29" t="s">
        <v>32</v>
      </c>
      <c r="E2023" s="30" t="s">
        <v>1125</v>
      </c>
      <c r="F2023" s="29">
        <v>600</v>
      </c>
      <c r="G2023" s="36"/>
      <c r="H2023" s="36">
        <f>H2024</f>
        <v>100</v>
      </c>
      <c r="I2023" s="36">
        <f t="shared" si="1070"/>
        <v>0</v>
      </c>
      <c r="J2023" s="36">
        <f t="shared" si="1070"/>
        <v>0</v>
      </c>
      <c r="K2023" s="36">
        <f t="shared" si="1070"/>
        <v>0</v>
      </c>
      <c r="L2023" s="36">
        <f t="shared" si="1071"/>
        <v>0</v>
      </c>
      <c r="M2023" s="36">
        <v>0</v>
      </c>
    </row>
    <row r="2024" spans="1:13">
      <c r="A2024" s="60" t="s">
        <v>271</v>
      </c>
      <c r="B2024" s="29" t="s">
        <v>741</v>
      </c>
      <c r="C2024" s="29" t="s">
        <v>148</v>
      </c>
      <c r="D2024" s="29" t="s">
        <v>32</v>
      </c>
      <c r="E2024" s="30" t="s">
        <v>1125</v>
      </c>
      <c r="F2024" s="29">
        <v>610</v>
      </c>
      <c r="G2024" s="36"/>
      <c r="H2024" s="36">
        <v>100</v>
      </c>
      <c r="I2024" s="36">
        <v>0</v>
      </c>
      <c r="J2024" s="36">
        <v>0</v>
      </c>
      <c r="K2024" s="36">
        <v>0</v>
      </c>
      <c r="L2024" s="36">
        <f t="shared" si="1071"/>
        <v>0</v>
      </c>
      <c r="M2024" s="36">
        <v>0</v>
      </c>
    </row>
    <row r="2025" spans="1:13">
      <c r="A2025" s="60" t="s">
        <v>440</v>
      </c>
      <c r="B2025" s="29" t="s">
        <v>741</v>
      </c>
      <c r="C2025" s="29" t="s">
        <v>148</v>
      </c>
      <c r="D2025" s="29" t="s">
        <v>32</v>
      </c>
      <c r="E2025" s="29" t="s">
        <v>441</v>
      </c>
      <c r="F2025" s="59" t="s">
        <v>0</v>
      </c>
      <c r="G2025" s="36">
        <f>G2026</f>
        <v>417.2</v>
      </c>
      <c r="H2025" s="36">
        <f t="shared" ref="H2025:K2027" si="1072">H2026</f>
        <v>417.2</v>
      </c>
      <c r="I2025" s="36">
        <f t="shared" si="1072"/>
        <v>100</v>
      </c>
      <c r="J2025" s="36">
        <f t="shared" si="1072"/>
        <v>0</v>
      </c>
      <c r="K2025" s="36">
        <f t="shared" si="1072"/>
        <v>0</v>
      </c>
      <c r="L2025" s="36">
        <f t="shared" si="1043"/>
        <v>0</v>
      </c>
      <c r="M2025" s="36">
        <f t="shared" si="1044"/>
        <v>0</v>
      </c>
    </row>
    <row r="2026" spans="1:13" ht="25.5">
      <c r="A2026" s="60" t="s">
        <v>774</v>
      </c>
      <c r="B2026" s="29" t="s">
        <v>741</v>
      </c>
      <c r="C2026" s="29" t="s">
        <v>148</v>
      </c>
      <c r="D2026" s="29" t="s">
        <v>32</v>
      </c>
      <c r="E2026" s="29" t="s">
        <v>889</v>
      </c>
      <c r="F2026" s="59" t="s">
        <v>0</v>
      </c>
      <c r="G2026" s="36">
        <f>G2027</f>
        <v>417.2</v>
      </c>
      <c r="H2026" s="36">
        <f t="shared" si="1072"/>
        <v>417.2</v>
      </c>
      <c r="I2026" s="36">
        <f t="shared" si="1072"/>
        <v>100</v>
      </c>
      <c r="J2026" s="36">
        <f t="shared" si="1072"/>
        <v>0</v>
      </c>
      <c r="K2026" s="36">
        <f t="shared" si="1072"/>
        <v>0</v>
      </c>
      <c r="L2026" s="36">
        <f t="shared" si="1043"/>
        <v>0</v>
      </c>
      <c r="M2026" s="36">
        <f t="shared" si="1044"/>
        <v>0</v>
      </c>
    </row>
    <row r="2027" spans="1:13" ht="25.5">
      <c r="A2027" s="60" t="s">
        <v>64</v>
      </c>
      <c r="B2027" s="29" t="s">
        <v>741</v>
      </c>
      <c r="C2027" s="29" t="s">
        <v>148</v>
      </c>
      <c r="D2027" s="29" t="s">
        <v>32</v>
      </c>
      <c r="E2027" s="29" t="s">
        <v>889</v>
      </c>
      <c r="F2027" s="29" t="s">
        <v>65</v>
      </c>
      <c r="G2027" s="36">
        <f>G2028</f>
        <v>417.2</v>
      </c>
      <c r="H2027" s="36">
        <f t="shared" si="1072"/>
        <v>417.2</v>
      </c>
      <c r="I2027" s="36">
        <f t="shared" si="1072"/>
        <v>100</v>
      </c>
      <c r="J2027" s="36">
        <f t="shared" si="1072"/>
        <v>0</v>
      </c>
      <c r="K2027" s="36">
        <f t="shared" si="1072"/>
        <v>0</v>
      </c>
      <c r="L2027" s="36">
        <f t="shared" si="1043"/>
        <v>0</v>
      </c>
      <c r="M2027" s="36">
        <f t="shared" si="1044"/>
        <v>0</v>
      </c>
    </row>
    <row r="2028" spans="1:13" ht="25.5">
      <c r="A2028" s="60" t="s">
        <v>66</v>
      </c>
      <c r="B2028" s="29" t="s">
        <v>741</v>
      </c>
      <c r="C2028" s="29" t="s">
        <v>148</v>
      </c>
      <c r="D2028" s="29" t="s">
        <v>32</v>
      </c>
      <c r="E2028" s="29" t="s">
        <v>889</v>
      </c>
      <c r="F2028" s="29" t="s">
        <v>67</v>
      </c>
      <c r="G2028" s="36">
        <v>417.2</v>
      </c>
      <c r="H2028" s="36">
        <v>417.2</v>
      </c>
      <c r="I2028" s="36">
        <v>100</v>
      </c>
      <c r="J2028" s="36">
        <v>0</v>
      </c>
      <c r="K2028" s="36">
        <v>0</v>
      </c>
      <c r="L2028" s="36">
        <f t="shared" si="1043"/>
        <v>0</v>
      </c>
      <c r="M2028" s="36">
        <f t="shared" si="1044"/>
        <v>0</v>
      </c>
    </row>
    <row r="2029" spans="1:13" ht="51">
      <c r="A2029" s="60" t="s">
        <v>742</v>
      </c>
      <c r="B2029" s="29" t="s">
        <v>741</v>
      </c>
      <c r="C2029" s="29" t="s">
        <v>148</v>
      </c>
      <c r="D2029" s="29" t="s">
        <v>32</v>
      </c>
      <c r="E2029" s="29" t="s">
        <v>743</v>
      </c>
      <c r="F2029" s="59" t="s">
        <v>0</v>
      </c>
      <c r="G2029" s="36">
        <f>G2030+G2034</f>
        <v>39285</v>
      </c>
      <c r="H2029" s="36">
        <f t="shared" ref="H2029:K2029" si="1073">H2030+H2034</f>
        <v>39285</v>
      </c>
      <c r="I2029" s="36">
        <f t="shared" si="1073"/>
        <v>12919.391589999999</v>
      </c>
      <c r="J2029" s="36">
        <f t="shared" si="1073"/>
        <v>12919.391589999999</v>
      </c>
      <c r="K2029" s="36">
        <f t="shared" si="1073"/>
        <v>12519.22098</v>
      </c>
      <c r="L2029" s="36">
        <f t="shared" si="1043"/>
        <v>31.867687361588391</v>
      </c>
      <c r="M2029" s="36">
        <f t="shared" si="1044"/>
        <v>96.902558396714724</v>
      </c>
    </row>
    <row r="2030" spans="1:13" ht="38.25">
      <c r="A2030" s="60" t="s">
        <v>750</v>
      </c>
      <c r="B2030" s="29" t="s">
        <v>741</v>
      </c>
      <c r="C2030" s="29" t="s">
        <v>148</v>
      </c>
      <c r="D2030" s="29" t="s">
        <v>32</v>
      </c>
      <c r="E2030" s="29" t="s">
        <v>751</v>
      </c>
      <c r="F2030" s="59" t="s">
        <v>0</v>
      </c>
      <c r="G2030" s="36">
        <f>G2031</f>
        <v>38925</v>
      </c>
      <c r="H2030" s="36">
        <f t="shared" ref="H2030:K2032" si="1074">H2031</f>
        <v>38925</v>
      </c>
      <c r="I2030" s="36">
        <f t="shared" si="1074"/>
        <v>12919.391589999999</v>
      </c>
      <c r="J2030" s="36">
        <f t="shared" si="1074"/>
        <v>12919.391589999999</v>
      </c>
      <c r="K2030" s="36">
        <f t="shared" si="1074"/>
        <v>12519.22098</v>
      </c>
      <c r="L2030" s="36">
        <f t="shared" si="1043"/>
        <v>32.162417418111758</v>
      </c>
      <c r="M2030" s="36">
        <f t="shared" si="1044"/>
        <v>96.902558396714724</v>
      </c>
    </row>
    <row r="2031" spans="1:13" ht="51">
      <c r="A2031" s="60" t="s">
        <v>856</v>
      </c>
      <c r="B2031" s="29" t="s">
        <v>741</v>
      </c>
      <c r="C2031" s="29" t="s">
        <v>148</v>
      </c>
      <c r="D2031" s="29" t="s">
        <v>32</v>
      </c>
      <c r="E2031" s="29" t="s">
        <v>857</v>
      </c>
      <c r="F2031" s="59" t="s">
        <v>0</v>
      </c>
      <c r="G2031" s="36">
        <f>G2032</f>
        <v>38925</v>
      </c>
      <c r="H2031" s="36">
        <f t="shared" si="1074"/>
        <v>38925</v>
      </c>
      <c r="I2031" s="36">
        <f t="shared" si="1074"/>
        <v>12919.391589999999</v>
      </c>
      <c r="J2031" s="36">
        <f t="shared" si="1074"/>
        <v>12919.391589999999</v>
      </c>
      <c r="K2031" s="36">
        <f t="shared" si="1074"/>
        <v>12519.22098</v>
      </c>
      <c r="L2031" s="36">
        <f t="shared" si="1043"/>
        <v>32.162417418111758</v>
      </c>
      <c r="M2031" s="36">
        <f t="shared" si="1044"/>
        <v>96.902558396714724</v>
      </c>
    </row>
    <row r="2032" spans="1:13">
      <c r="A2032" s="60" t="s">
        <v>26</v>
      </c>
      <c r="B2032" s="29" t="s">
        <v>741</v>
      </c>
      <c r="C2032" s="29" t="s">
        <v>148</v>
      </c>
      <c r="D2032" s="29" t="s">
        <v>32</v>
      </c>
      <c r="E2032" s="29" t="s">
        <v>857</v>
      </c>
      <c r="F2032" s="29" t="s">
        <v>27</v>
      </c>
      <c r="G2032" s="36">
        <f>G2033</f>
        <v>38925</v>
      </c>
      <c r="H2032" s="36">
        <f t="shared" si="1074"/>
        <v>38925</v>
      </c>
      <c r="I2032" s="36">
        <f t="shared" si="1074"/>
        <v>12919.391589999999</v>
      </c>
      <c r="J2032" s="36">
        <f t="shared" si="1074"/>
        <v>12919.391589999999</v>
      </c>
      <c r="K2032" s="36">
        <f t="shared" si="1074"/>
        <v>12519.22098</v>
      </c>
      <c r="L2032" s="36">
        <f t="shared" si="1043"/>
        <v>32.162417418111758</v>
      </c>
      <c r="M2032" s="36">
        <f t="shared" si="1044"/>
        <v>96.902558396714724</v>
      </c>
    </row>
    <row r="2033" spans="1:13" ht="25.5">
      <c r="A2033" s="60" t="s">
        <v>890</v>
      </c>
      <c r="B2033" s="29" t="s">
        <v>741</v>
      </c>
      <c r="C2033" s="29" t="s">
        <v>148</v>
      </c>
      <c r="D2033" s="29" t="s">
        <v>32</v>
      </c>
      <c r="E2033" s="29" t="s">
        <v>857</v>
      </c>
      <c r="F2033" s="29" t="s">
        <v>891</v>
      </c>
      <c r="G2033" s="36">
        <v>38925</v>
      </c>
      <c r="H2033" s="36">
        <v>38925</v>
      </c>
      <c r="I2033" s="36">
        <v>12919.391589999999</v>
      </c>
      <c r="J2033" s="36">
        <v>12919.391589999999</v>
      </c>
      <c r="K2033" s="36">
        <v>12519.22098</v>
      </c>
      <c r="L2033" s="36">
        <f t="shared" si="1043"/>
        <v>32.162417418111758</v>
      </c>
      <c r="M2033" s="36">
        <f t="shared" si="1044"/>
        <v>96.902558396714724</v>
      </c>
    </row>
    <row r="2034" spans="1:13" ht="51">
      <c r="A2034" s="60" t="s">
        <v>892</v>
      </c>
      <c r="B2034" s="29" t="s">
        <v>741</v>
      </c>
      <c r="C2034" s="29" t="s">
        <v>148</v>
      </c>
      <c r="D2034" s="29" t="s">
        <v>32</v>
      </c>
      <c r="E2034" s="29" t="s">
        <v>893</v>
      </c>
      <c r="F2034" s="59" t="s">
        <v>0</v>
      </c>
      <c r="G2034" s="36">
        <f>G2035</f>
        <v>360</v>
      </c>
      <c r="H2034" s="36">
        <f t="shared" ref="H2034:K2036" si="1075">H2035</f>
        <v>360</v>
      </c>
      <c r="I2034" s="36">
        <f t="shared" si="1075"/>
        <v>0</v>
      </c>
      <c r="J2034" s="36">
        <f t="shared" si="1075"/>
        <v>0</v>
      </c>
      <c r="K2034" s="36">
        <f t="shared" si="1075"/>
        <v>0</v>
      </c>
      <c r="L2034" s="36">
        <f t="shared" si="1043"/>
        <v>0</v>
      </c>
      <c r="M2034" s="36">
        <v>0</v>
      </c>
    </row>
    <row r="2035" spans="1:13" ht="76.5">
      <c r="A2035" s="60" t="s">
        <v>894</v>
      </c>
      <c r="B2035" s="29" t="s">
        <v>741</v>
      </c>
      <c r="C2035" s="29" t="s">
        <v>148</v>
      </c>
      <c r="D2035" s="29" t="s">
        <v>32</v>
      </c>
      <c r="E2035" s="29" t="s">
        <v>895</v>
      </c>
      <c r="F2035" s="59" t="s">
        <v>0</v>
      </c>
      <c r="G2035" s="36">
        <f>G2036</f>
        <v>360</v>
      </c>
      <c r="H2035" s="36">
        <f t="shared" si="1075"/>
        <v>360</v>
      </c>
      <c r="I2035" s="36">
        <f t="shared" si="1075"/>
        <v>0</v>
      </c>
      <c r="J2035" s="36">
        <f t="shared" si="1075"/>
        <v>0</v>
      </c>
      <c r="K2035" s="36">
        <f t="shared" si="1075"/>
        <v>0</v>
      </c>
      <c r="L2035" s="36">
        <f t="shared" si="1043"/>
        <v>0</v>
      </c>
      <c r="M2035" s="36">
        <v>0</v>
      </c>
    </row>
    <row r="2036" spans="1:13">
      <c r="A2036" s="60" t="s">
        <v>68</v>
      </c>
      <c r="B2036" s="29" t="s">
        <v>741</v>
      </c>
      <c r="C2036" s="29" t="s">
        <v>148</v>
      </c>
      <c r="D2036" s="29" t="s">
        <v>32</v>
      </c>
      <c r="E2036" s="29" t="s">
        <v>895</v>
      </c>
      <c r="F2036" s="29" t="s">
        <v>69</v>
      </c>
      <c r="G2036" s="36">
        <f>G2037</f>
        <v>360</v>
      </c>
      <c r="H2036" s="36">
        <f t="shared" si="1075"/>
        <v>360</v>
      </c>
      <c r="I2036" s="36">
        <f t="shared" si="1075"/>
        <v>0</v>
      </c>
      <c r="J2036" s="36">
        <f t="shared" si="1075"/>
        <v>0</v>
      </c>
      <c r="K2036" s="36">
        <f t="shared" si="1075"/>
        <v>0</v>
      </c>
      <c r="L2036" s="36">
        <f t="shared" si="1043"/>
        <v>0</v>
      </c>
      <c r="M2036" s="36">
        <v>0</v>
      </c>
    </row>
    <row r="2037" spans="1:13">
      <c r="A2037" s="60" t="s">
        <v>70</v>
      </c>
      <c r="B2037" s="29" t="s">
        <v>741</v>
      </c>
      <c r="C2037" s="29" t="s">
        <v>148</v>
      </c>
      <c r="D2037" s="29" t="s">
        <v>32</v>
      </c>
      <c r="E2037" s="29" t="s">
        <v>895</v>
      </c>
      <c r="F2037" s="29" t="s">
        <v>71</v>
      </c>
      <c r="G2037" s="36">
        <v>360</v>
      </c>
      <c r="H2037" s="36">
        <v>360</v>
      </c>
      <c r="I2037" s="36">
        <v>0</v>
      </c>
      <c r="J2037" s="36">
        <v>0</v>
      </c>
      <c r="K2037" s="36">
        <v>0</v>
      </c>
      <c r="L2037" s="36">
        <f t="shared" si="1043"/>
        <v>0</v>
      </c>
      <c r="M2037" s="36">
        <v>0</v>
      </c>
    </row>
    <row r="2038" spans="1:13">
      <c r="A2038" s="63" t="s">
        <v>612</v>
      </c>
      <c r="B2038" s="29" t="s">
        <v>741</v>
      </c>
      <c r="C2038" s="29" t="s">
        <v>148</v>
      </c>
      <c r="D2038" s="29" t="s">
        <v>32</v>
      </c>
      <c r="E2038" s="30" t="s">
        <v>613</v>
      </c>
      <c r="F2038" s="29"/>
      <c r="G2038" s="36"/>
      <c r="H2038" s="36">
        <f>H2039</f>
        <v>10.78</v>
      </c>
      <c r="I2038" s="36">
        <f t="shared" ref="I2038:K2040" si="1076">I2039</f>
        <v>10.78</v>
      </c>
      <c r="J2038" s="36">
        <f t="shared" si="1076"/>
        <v>10.78</v>
      </c>
      <c r="K2038" s="36">
        <f t="shared" si="1076"/>
        <v>10.78</v>
      </c>
      <c r="L2038" s="36">
        <f t="shared" ref="L2038:L2041" si="1077">K2038/H2038*100</f>
        <v>100</v>
      </c>
      <c r="M2038" s="36">
        <f t="shared" ref="M2038:M2041" si="1078">K2038/I2038*100</f>
        <v>100</v>
      </c>
    </row>
    <row r="2039" spans="1:13">
      <c r="A2039" s="63" t="s">
        <v>612</v>
      </c>
      <c r="B2039" s="29" t="s">
        <v>741</v>
      </c>
      <c r="C2039" s="29" t="s">
        <v>148</v>
      </c>
      <c r="D2039" s="29" t="s">
        <v>32</v>
      </c>
      <c r="E2039" s="30" t="s">
        <v>614</v>
      </c>
      <c r="F2039" s="29"/>
      <c r="G2039" s="36"/>
      <c r="H2039" s="36">
        <f>H2040</f>
        <v>10.78</v>
      </c>
      <c r="I2039" s="36">
        <f t="shared" si="1076"/>
        <v>10.78</v>
      </c>
      <c r="J2039" s="36">
        <f t="shared" si="1076"/>
        <v>10.78</v>
      </c>
      <c r="K2039" s="36">
        <f t="shared" si="1076"/>
        <v>10.78</v>
      </c>
      <c r="L2039" s="36">
        <f t="shared" si="1077"/>
        <v>100</v>
      </c>
      <c r="M2039" s="36">
        <f t="shared" si="1078"/>
        <v>100</v>
      </c>
    </row>
    <row r="2040" spans="1:13" ht="25.5">
      <c r="A2040" s="60" t="s">
        <v>80</v>
      </c>
      <c r="B2040" s="29" t="s">
        <v>741</v>
      </c>
      <c r="C2040" s="29" t="s">
        <v>148</v>
      </c>
      <c r="D2040" s="29" t="s">
        <v>32</v>
      </c>
      <c r="E2040" s="30" t="s">
        <v>614</v>
      </c>
      <c r="F2040" s="29">
        <v>600</v>
      </c>
      <c r="G2040" s="36"/>
      <c r="H2040" s="36">
        <f>H2041</f>
        <v>10.78</v>
      </c>
      <c r="I2040" s="36">
        <f t="shared" si="1076"/>
        <v>10.78</v>
      </c>
      <c r="J2040" s="36">
        <f t="shared" si="1076"/>
        <v>10.78</v>
      </c>
      <c r="K2040" s="36">
        <f t="shared" si="1076"/>
        <v>10.78</v>
      </c>
      <c r="L2040" s="36">
        <f t="shared" si="1077"/>
        <v>100</v>
      </c>
      <c r="M2040" s="36">
        <f t="shared" si="1078"/>
        <v>100</v>
      </c>
    </row>
    <row r="2041" spans="1:13" ht="38.25">
      <c r="A2041" s="60" t="s">
        <v>195</v>
      </c>
      <c r="B2041" s="29" t="s">
        <v>741</v>
      </c>
      <c r="C2041" s="29" t="s">
        <v>148</v>
      </c>
      <c r="D2041" s="29" t="s">
        <v>32</v>
      </c>
      <c r="E2041" s="30" t="s">
        <v>614</v>
      </c>
      <c r="F2041" s="29">
        <v>630</v>
      </c>
      <c r="G2041" s="36"/>
      <c r="H2041" s="36">
        <v>10.78</v>
      </c>
      <c r="I2041" s="36">
        <v>10.78</v>
      </c>
      <c r="J2041" s="36">
        <v>10.78</v>
      </c>
      <c r="K2041" s="36">
        <v>10.78</v>
      </c>
      <c r="L2041" s="36">
        <f t="shared" si="1077"/>
        <v>100</v>
      </c>
      <c r="M2041" s="36">
        <f t="shared" si="1078"/>
        <v>100</v>
      </c>
    </row>
    <row r="2042" spans="1:13">
      <c r="A2042" s="65" t="s">
        <v>0</v>
      </c>
      <c r="B2042" s="66" t="s">
        <v>0</v>
      </c>
      <c r="C2042" s="59" t="s">
        <v>0</v>
      </c>
      <c r="D2042" s="59" t="s">
        <v>0</v>
      </c>
      <c r="E2042" s="59" t="s">
        <v>0</v>
      </c>
      <c r="F2042" s="59" t="s">
        <v>0</v>
      </c>
      <c r="G2042" s="67" t="s">
        <v>0</v>
      </c>
      <c r="H2042" s="67" t="s">
        <v>0</v>
      </c>
      <c r="I2042" s="67" t="s">
        <v>0</v>
      </c>
      <c r="J2042" s="67" t="s">
        <v>0</v>
      </c>
      <c r="K2042" s="67" t="s">
        <v>0</v>
      </c>
      <c r="L2042" s="67"/>
      <c r="M2042" s="67"/>
    </row>
    <row r="2043" spans="1:13" ht="25.5">
      <c r="A2043" s="57" t="s">
        <v>896</v>
      </c>
      <c r="B2043" s="58" t="s">
        <v>897</v>
      </c>
      <c r="C2043" s="59" t="s">
        <v>0</v>
      </c>
      <c r="D2043" s="59" t="s">
        <v>0</v>
      </c>
      <c r="E2043" s="59" t="s">
        <v>0</v>
      </c>
      <c r="F2043" s="59" t="s">
        <v>0</v>
      </c>
      <c r="G2043" s="31">
        <f>G2044</f>
        <v>57880</v>
      </c>
      <c r="H2043" s="31">
        <f t="shared" ref="H2043:K2045" si="1079">H2044</f>
        <v>57880</v>
      </c>
      <c r="I2043" s="31">
        <f t="shared" si="1079"/>
        <v>30033</v>
      </c>
      <c r="J2043" s="31">
        <f t="shared" si="1079"/>
        <v>30033</v>
      </c>
      <c r="K2043" s="31">
        <f t="shared" si="1079"/>
        <v>25263.34087</v>
      </c>
      <c r="L2043" s="31">
        <f t="shared" si="1043"/>
        <v>43.647790031098829</v>
      </c>
      <c r="M2043" s="31">
        <f t="shared" si="1044"/>
        <v>84.118605766989646</v>
      </c>
    </row>
    <row r="2044" spans="1:13">
      <c r="A2044" s="60" t="s">
        <v>16</v>
      </c>
      <c r="B2044" s="29" t="s">
        <v>897</v>
      </c>
      <c r="C2044" s="29" t="s">
        <v>17</v>
      </c>
      <c r="D2044" s="59" t="s">
        <v>0</v>
      </c>
      <c r="E2044" s="59" t="s">
        <v>0</v>
      </c>
      <c r="F2044" s="59" t="s">
        <v>0</v>
      </c>
      <c r="G2044" s="36">
        <f>G2045</f>
        <v>57880</v>
      </c>
      <c r="H2044" s="36">
        <f t="shared" si="1079"/>
        <v>57880</v>
      </c>
      <c r="I2044" s="36">
        <f t="shared" si="1079"/>
        <v>30033</v>
      </c>
      <c r="J2044" s="36">
        <f t="shared" si="1079"/>
        <v>30033</v>
      </c>
      <c r="K2044" s="36">
        <f t="shared" si="1079"/>
        <v>25263.34087</v>
      </c>
      <c r="L2044" s="36">
        <f t="shared" ref="L2044:L2123" si="1080">K2044/H2044*100</f>
        <v>43.647790031098829</v>
      </c>
      <c r="M2044" s="36">
        <f t="shared" ref="M2044:M2123" si="1081">K2044/I2044*100</f>
        <v>84.118605766989646</v>
      </c>
    </row>
    <row r="2045" spans="1:13">
      <c r="A2045" s="60" t="s">
        <v>386</v>
      </c>
      <c r="B2045" s="29" t="s">
        <v>897</v>
      </c>
      <c r="C2045" s="29" t="s">
        <v>17</v>
      </c>
      <c r="D2045" s="29" t="s">
        <v>387</v>
      </c>
      <c r="E2045" s="59" t="s">
        <v>0</v>
      </c>
      <c r="F2045" s="59" t="s">
        <v>0</v>
      </c>
      <c r="G2045" s="36">
        <f>G2046</f>
        <v>57880</v>
      </c>
      <c r="H2045" s="36">
        <f t="shared" si="1079"/>
        <v>57880</v>
      </c>
      <c r="I2045" s="36">
        <f t="shared" si="1079"/>
        <v>30033</v>
      </c>
      <c r="J2045" s="36">
        <f t="shared" si="1079"/>
        <v>30033</v>
      </c>
      <c r="K2045" s="36">
        <f t="shared" si="1079"/>
        <v>25263.34087</v>
      </c>
      <c r="L2045" s="36">
        <f t="shared" si="1080"/>
        <v>43.647790031098829</v>
      </c>
      <c r="M2045" s="36">
        <f t="shared" si="1081"/>
        <v>84.118605766989646</v>
      </c>
    </row>
    <row r="2046" spans="1:13" ht="38.25">
      <c r="A2046" s="60" t="s">
        <v>898</v>
      </c>
      <c r="B2046" s="29" t="s">
        <v>897</v>
      </c>
      <c r="C2046" s="29" t="s">
        <v>17</v>
      </c>
      <c r="D2046" s="29" t="s">
        <v>387</v>
      </c>
      <c r="E2046" s="29" t="s">
        <v>899</v>
      </c>
      <c r="F2046" s="59" t="s">
        <v>0</v>
      </c>
      <c r="G2046" s="36">
        <f>G2047+G2055</f>
        <v>57880</v>
      </c>
      <c r="H2046" s="36">
        <f t="shared" ref="H2046:K2046" si="1082">H2047+H2055</f>
        <v>57880</v>
      </c>
      <c r="I2046" s="36">
        <f t="shared" si="1082"/>
        <v>30033</v>
      </c>
      <c r="J2046" s="36">
        <f t="shared" si="1082"/>
        <v>30033</v>
      </c>
      <c r="K2046" s="36">
        <f t="shared" si="1082"/>
        <v>25263.34087</v>
      </c>
      <c r="L2046" s="36">
        <f t="shared" si="1080"/>
        <v>43.647790031098829</v>
      </c>
      <c r="M2046" s="36">
        <f t="shared" si="1081"/>
        <v>84.118605766989646</v>
      </c>
    </row>
    <row r="2047" spans="1:13" ht="25.5">
      <c r="A2047" s="60" t="s">
        <v>58</v>
      </c>
      <c r="B2047" s="29" t="s">
        <v>897</v>
      </c>
      <c r="C2047" s="29" t="s">
        <v>17</v>
      </c>
      <c r="D2047" s="29" t="s">
        <v>387</v>
      </c>
      <c r="E2047" s="29" t="s">
        <v>900</v>
      </c>
      <c r="F2047" s="59" t="s">
        <v>0</v>
      </c>
      <c r="G2047" s="36">
        <f>G2048+G2050+G2052</f>
        <v>53830</v>
      </c>
      <c r="H2047" s="36">
        <f t="shared" ref="H2047:K2047" si="1083">H2048+H2050+H2052</f>
        <v>53830</v>
      </c>
      <c r="I2047" s="36">
        <f t="shared" si="1083"/>
        <v>29183</v>
      </c>
      <c r="J2047" s="36">
        <f t="shared" si="1083"/>
        <v>29183</v>
      </c>
      <c r="K2047" s="36">
        <f t="shared" si="1083"/>
        <v>24891.267370000001</v>
      </c>
      <c r="L2047" s="36">
        <f t="shared" si="1080"/>
        <v>46.240511554895043</v>
      </c>
      <c r="M2047" s="36">
        <f t="shared" si="1081"/>
        <v>85.293723640475633</v>
      </c>
    </row>
    <row r="2048" spans="1:13" ht="63.75">
      <c r="A2048" s="60" t="s">
        <v>60</v>
      </c>
      <c r="B2048" s="29" t="s">
        <v>897</v>
      </c>
      <c r="C2048" s="29" t="s">
        <v>17</v>
      </c>
      <c r="D2048" s="29" t="s">
        <v>387</v>
      </c>
      <c r="E2048" s="29" t="s">
        <v>900</v>
      </c>
      <c r="F2048" s="29" t="s">
        <v>61</v>
      </c>
      <c r="G2048" s="36">
        <f>G2049</f>
        <v>51457.599999999999</v>
      </c>
      <c r="H2048" s="36">
        <f t="shared" ref="H2048:K2048" si="1084">H2049</f>
        <v>51457.599999999999</v>
      </c>
      <c r="I2048" s="36">
        <f t="shared" si="1084"/>
        <v>27915</v>
      </c>
      <c r="J2048" s="36">
        <f t="shared" si="1084"/>
        <v>27915</v>
      </c>
      <c r="K2048" s="36">
        <f t="shared" si="1084"/>
        <v>24179.594160000001</v>
      </c>
      <c r="L2048" s="36">
        <f t="shared" si="1080"/>
        <v>46.989354653151331</v>
      </c>
      <c r="M2048" s="36">
        <f t="shared" si="1081"/>
        <v>86.618642880171947</v>
      </c>
    </row>
    <row r="2049" spans="1:13" ht="25.5">
      <c r="A2049" s="60" t="s">
        <v>62</v>
      </c>
      <c r="B2049" s="29" t="s">
        <v>897</v>
      </c>
      <c r="C2049" s="29" t="s">
        <v>17</v>
      </c>
      <c r="D2049" s="29" t="s">
        <v>387</v>
      </c>
      <c r="E2049" s="29" t="s">
        <v>900</v>
      </c>
      <c r="F2049" s="29" t="s">
        <v>63</v>
      </c>
      <c r="G2049" s="36">
        <v>51457.599999999999</v>
      </c>
      <c r="H2049" s="36">
        <v>51457.599999999999</v>
      </c>
      <c r="I2049" s="36">
        <f>20300+645+6970</f>
        <v>27915</v>
      </c>
      <c r="J2049" s="36">
        <f>20300+645+6970</f>
        <v>27915</v>
      </c>
      <c r="K2049" s="36">
        <f>17824.21793+313.0723+6042.30393</f>
        <v>24179.594160000001</v>
      </c>
      <c r="L2049" s="36">
        <f t="shared" si="1080"/>
        <v>46.989354653151331</v>
      </c>
      <c r="M2049" s="36">
        <f t="shared" si="1081"/>
        <v>86.618642880171947</v>
      </c>
    </row>
    <row r="2050" spans="1:13" ht="25.5">
      <c r="A2050" s="60" t="s">
        <v>64</v>
      </c>
      <c r="B2050" s="29" t="s">
        <v>897</v>
      </c>
      <c r="C2050" s="29" t="s">
        <v>17</v>
      </c>
      <c r="D2050" s="29" t="s">
        <v>387</v>
      </c>
      <c r="E2050" s="29" t="s">
        <v>900</v>
      </c>
      <c r="F2050" s="29" t="s">
        <v>65</v>
      </c>
      <c r="G2050" s="36">
        <f>G2051</f>
        <v>2228.4</v>
      </c>
      <c r="H2050" s="36">
        <f t="shared" ref="H2050:K2050" si="1085">H2051</f>
        <v>2228.4</v>
      </c>
      <c r="I2050" s="36">
        <f t="shared" si="1085"/>
        <v>1195</v>
      </c>
      <c r="J2050" s="36">
        <f t="shared" si="1085"/>
        <v>1195</v>
      </c>
      <c r="K2050" s="36">
        <f t="shared" si="1085"/>
        <v>711.08208999999999</v>
      </c>
      <c r="L2050" s="36">
        <f t="shared" si="1080"/>
        <v>31.909984293663612</v>
      </c>
      <c r="M2050" s="36">
        <f t="shared" si="1081"/>
        <v>59.504777405857745</v>
      </c>
    </row>
    <row r="2051" spans="1:13" ht="25.5">
      <c r="A2051" s="60" t="s">
        <v>66</v>
      </c>
      <c r="B2051" s="29" t="s">
        <v>897</v>
      </c>
      <c r="C2051" s="29" t="s">
        <v>17</v>
      </c>
      <c r="D2051" s="29" t="s">
        <v>387</v>
      </c>
      <c r="E2051" s="29" t="s">
        <v>900</v>
      </c>
      <c r="F2051" s="29" t="s">
        <v>67</v>
      </c>
      <c r="G2051" s="36">
        <v>2228.4</v>
      </c>
      <c r="H2051" s="36">
        <v>2228.4</v>
      </c>
      <c r="I2051" s="36">
        <v>1195</v>
      </c>
      <c r="J2051" s="36">
        <v>1195</v>
      </c>
      <c r="K2051" s="36">
        <v>711.08208999999999</v>
      </c>
      <c r="L2051" s="36">
        <f t="shared" si="1080"/>
        <v>31.909984293663612</v>
      </c>
      <c r="M2051" s="36">
        <f t="shared" si="1081"/>
        <v>59.504777405857745</v>
      </c>
    </row>
    <row r="2052" spans="1:13">
      <c r="A2052" s="60" t="s">
        <v>72</v>
      </c>
      <c r="B2052" s="29" t="s">
        <v>897</v>
      </c>
      <c r="C2052" s="29" t="s">
        <v>17</v>
      </c>
      <c r="D2052" s="29" t="s">
        <v>387</v>
      </c>
      <c r="E2052" s="29" t="s">
        <v>900</v>
      </c>
      <c r="F2052" s="29" t="s">
        <v>73</v>
      </c>
      <c r="G2052" s="36">
        <f>G2053+G2054</f>
        <v>144</v>
      </c>
      <c r="H2052" s="36">
        <f t="shared" ref="H2052:K2052" si="1086">H2053+H2054</f>
        <v>144</v>
      </c>
      <c r="I2052" s="36">
        <f t="shared" si="1086"/>
        <v>73</v>
      </c>
      <c r="J2052" s="36">
        <f t="shared" si="1086"/>
        <v>73</v>
      </c>
      <c r="K2052" s="36">
        <f t="shared" si="1086"/>
        <v>0.59112000000000009</v>
      </c>
      <c r="L2052" s="36">
        <f t="shared" si="1080"/>
        <v>0.41050000000000009</v>
      </c>
      <c r="M2052" s="36">
        <f t="shared" si="1081"/>
        <v>0.8097534246575343</v>
      </c>
    </row>
    <row r="2053" spans="1:13">
      <c r="A2053" s="60" t="s">
        <v>84</v>
      </c>
      <c r="B2053" s="29" t="s">
        <v>897</v>
      </c>
      <c r="C2053" s="29" t="s">
        <v>17</v>
      </c>
      <c r="D2053" s="29" t="s">
        <v>387</v>
      </c>
      <c r="E2053" s="29" t="s">
        <v>900</v>
      </c>
      <c r="F2053" s="29" t="s">
        <v>85</v>
      </c>
      <c r="G2053" s="36">
        <v>140</v>
      </c>
      <c r="H2053" s="36">
        <v>140</v>
      </c>
      <c r="I2053" s="36">
        <v>70</v>
      </c>
      <c r="J2053" s="36">
        <v>70</v>
      </c>
      <c r="K2053" s="36">
        <v>0</v>
      </c>
      <c r="L2053" s="36">
        <f t="shared" si="1080"/>
        <v>0</v>
      </c>
      <c r="M2053" s="36">
        <f t="shared" si="1081"/>
        <v>0</v>
      </c>
    </row>
    <row r="2054" spans="1:13">
      <c r="A2054" s="60" t="s">
        <v>74</v>
      </c>
      <c r="B2054" s="29" t="s">
        <v>897</v>
      </c>
      <c r="C2054" s="29" t="s">
        <v>17</v>
      </c>
      <c r="D2054" s="29" t="s">
        <v>387</v>
      </c>
      <c r="E2054" s="29" t="s">
        <v>900</v>
      </c>
      <c r="F2054" s="29" t="s">
        <v>75</v>
      </c>
      <c r="G2054" s="36">
        <v>4</v>
      </c>
      <c r="H2054" s="36">
        <v>4</v>
      </c>
      <c r="I2054" s="36">
        <v>3</v>
      </c>
      <c r="J2054" s="36">
        <v>3</v>
      </c>
      <c r="K2054" s="36">
        <f>0.406+0.18512</f>
        <v>0.59112000000000009</v>
      </c>
      <c r="L2054" s="36">
        <f t="shared" si="1080"/>
        <v>14.778000000000002</v>
      </c>
      <c r="M2054" s="36">
        <f t="shared" si="1081"/>
        <v>19.704000000000001</v>
      </c>
    </row>
    <row r="2055" spans="1:13">
      <c r="A2055" s="60" t="s">
        <v>609</v>
      </c>
      <c r="B2055" s="29" t="s">
        <v>897</v>
      </c>
      <c r="C2055" s="29" t="s">
        <v>17</v>
      </c>
      <c r="D2055" s="29" t="s">
        <v>387</v>
      </c>
      <c r="E2055" s="29" t="s">
        <v>901</v>
      </c>
      <c r="F2055" s="59" t="s">
        <v>0</v>
      </c>
      <c r="G2055" s="36">
        <f>G2056</f>
        <v>4050</v>
      </c>
      <c r="H2055" s="36">
        <f t="shared" ref="H2055:K2056" si="1087">H2056</f>
        <v>4050</v>
      </c>
      <c r="I2055" s="36">
        <f t="shared" si="1087"/>
        <v>850</v>
      </c>
      <c r="J2055" s="36">
        <f t="shared" si="1087"/>
        <v>850</v>
      </c>
      <c r="K2055" s="36">
        <f t="shared" si="1087"/>
        <v>372.07350000000002</v>
      </c>
      <c r="L2055" s="36">
        <f t="shared" si="1080"/>
        <v>9.1870000000000012</v>
      </c>
      <c r="M2055" s="36">
        <f t="shared" si="1081"/>
        <v>43.773352941176476</v>
      </c>
    </row>
    <row r="2056" spans="1:13" ht="25.5">
      <c r="A2056" s="60" t="s">
        <v>64</v>
      </c>
      <c r="B2056" s="29" t="s">
        <v>897</v>
      </c>
      <c r="C2056" s="29" t="s">
        <v>17</v>
      </c>
      <c r="D2056" s="29" t="s">
        <v>387</v>
      </c>
      <c r="E2056" s="29" t="s">
        <v>901</v>
      </c>
      <c r="F2056" s="29" t="s">
        <v>65</v>
      </c>
      <c r="G2056" s="36">
        <f>G2057</f>
        <v>4050</v>
      </c>
      <c r="H2056" s="36">
        <f t="shared" si="1087"/>
        <v>4050</v>
      </c>
      <c r="I2056" s="36">
        <f t="shared" si="1087"/>
        <v>850</v>
      </c>
      <c r="J2056" s="36">
        <f t="shared" si="1087"/>
        <v>850</v>
      </c>
      <c r="K2056" s="36">
        <f t="shared" si="1087"/>
        <v>372.07350000000002</v>
      </c>
      <c r="L2056" s="36">
        <f t="shared" si="1080"/>
        <v>9.1870000000000012</v>
      </c>
      <c r="M2056" s="36">
        <f t="shared" si="1081"/>
        <v>43.773352941176476</v>
      </c>
    </row>
    <row r="2057" spans="1:13" ht="25.5">
      <c r="A2057" s="60" t="s">
        <v>66</v>
      </c>
      <c r="B2057" s="29" t="s">
        <v>897</v>
      </c>
      <c r="C2057" s="29" t="s">
        <v>17</v>
      </c>
      <c r="D2057" s="29" t="s">
        <v>387</v>
      </c>
      <c r="E2057" s="29" t="s">
        <v>901</v>
      </c>
      <c r="F2057" s="29" t="s">
        <v>67</v>
      </c>
      <c r="G2057" s="36">
        <v>4050</v>
      </c>
      <c r="H2057" s="36">
        <v>4050</v>
      </c>
      <c r="I2057" s="36">
        <v>850</v>
      </c>
      <c r="J2057" s="36">
        <v>850</v>
      </c>
      <c r="K2057" s="36">
        <v>372.07350000000002</v>
      </c>
      <c r="L2057" s="36">
        <f t="shared" si="1080"/>
        <v>9.1870000000000012</v>
      </c>
      <c r="M2057" s="36">
        <f t="shared" si="1081"/>
        <v>43.773352941176476</v>
      </c>
    </row>
    <row r="2058" spans="1:13">
      <c r="A2058" s="65" t="s">
        <v>0</v>
      </c>
      <c r="B2058" s="66" t="s">
        <v>0</v>
      </c>
      <c r="C2058" s="59" t="s">
        <v>0</v>
      </c>
      <c r="D2058" s="59" t="s">
        <v>0</v>
      </c>
      <c r="E2058" s="59" t="s">
        <v>0</v>
      </c>
      <c r="F2058" s="59" t="s">
        <v>0</v>
      </c>
      <c r="G2058" s="67" t="s">
        <v>0</v>
      </c>
      <c r="H2058" s="67" t="s">
        <v>0</v>
      </c>
      <c r="I2058" s="67" t="s">
        <v>0</v>
      </c>
      <c r="J2058" s="67" t="s">
        <v>0</v>
      </c>
      <c r="K2058" s="67" t="s">
        <v>0</v>
      </c>
      <c r="L2058" s="67"/>
      <c r="M2058" s="67"/>
    </row>
    <row r="2059" spans="1:13" ht="51">
      <c r="A2059" s="57" t="s">
        <v>902</v>
      </c>
      <c r="B2059" s="58" t="s">
        <v>903</v>
      </c>
      <c r="C2059" s="59" t="s">
        <v>0</v>
      </c>
      <c r="D2059" s="59" t="s">
        <v>0</v>
      </c>
      <c r="E2059" s="59" t="s">
        <v>0</v>
      </c>
      <c r="F2059" s="59" t="s">
        <v>0</v>
      </c>
      <c r="G2059" s="31">
        <f>G2060+G2120</f>
        <v>1088067.8</v>
      </c>
      <c r="H2059" s="31">
        <f t="shared" ref="H2059:K2059" si="1088">H2060+H2120</f>
        <v>1091316.7999999998</v>
      </c>
      <c r="I2059" s="31">
        <f t="shared" si="1088"/>
        <v>539357.88326999999</v>
      </c>
      <c r="J2059" s="31">
        <f t="shared" si="1088"/>
        <v>539357.88326999999</v>
      </c>
      <c r="K2059" s="31">
        <f t="shared" si="1088"/>
        <v>533423.52251000004</v>
      </c>
      <c r="L2059" s="76">
        <f t="shared" si="1080"/>
        <v>48.87888856013214</v>
      </c>
      <c r="M2059" s="31">
        <f t="shared" si="1081"/>
        <v>98.899735974188175</v>
      </c>
    </row>
    <row r="2060" spans="1:13" ht="25.5">
      <c r="A2060" s="60" t="s">
        <v>164</v>
      </c>
      <c r="B2060" s="29" t="s">
        <v>903</v>
      </c>
      <c r="C2060" s="29" t="s">
        <v>150</v>
      </c>
      <c r="D2060" s="59" t="s">
        <v>0</v>
      </c>
      <c r="E2060" s="59" t="s">
        <v>0</v>
      </c>
      <c r="F2060" s="59" t="s">
        <v>0</v>
      </c>
      <c r="G2060" s="36">
        <f>G2061+G2099</f>
        <v>1077743.7</v>
      </c>
      <c r="H2060" s="36">
        <f t="shared" ref="H2060:K2060" si="1089">H2061+H2099</f>
        <v>1080992.6999999997</v>
      </c>
      <c r="I2060" s="36">
        <f t="shared" si="1089"/>
        <v>533578.48326999997</v>
      </c>
      <c r="J2060" s="36">
        <f t="shared" si="1089"/>
        <v>533578.48326999997</v>
      </c>
      <c r="K2060" s="36">
        <f t="shared" si="1089"/>
        <v>527644.12251000002</v>
      </c>
      <c r="L2060" s="36">
        <f t="shared" si="1080"/>
        <v>48.81107175931902</v>
      </c>
      <c r="M2060" s="36">
        <f t="shared" si="1081"/>
        <v>98.887818578509453</v>
      </c>
    </row>
    <row r="2061" spans="1:13" ht="38.25">
      <c r="A2061" s="60" t="s">
        <v>165</v>
      </c>
      <c r="B2061" s="29" t="s">
        <v>903</v>
      </c>
      <c r="C2061" s="29" t="s">
        <v>150</v>
      </c>
      <c r="D2061" s="29" t="s">
        <v>46</v>
      </c>
      <c r="E2061" s="59" t="s">
        <v>0</v>
      </c>
      <c r="F2061" s="59" t="s">
        <v>0</v>
      </c>
      <c r="G2061" s="36">
        <f>G2062</f>
        <v>203353.3</v>
      </c>
      <c r="H2061" s="36">
        <f>H2062+H2095</f>
        <v>206123.72528999997</v>
      </c>
      <c r="I2061" s="36">
        <f t="shared" ref="I2061:K2061" si="1090">I2062+I2095</f>
        <v>96567.456269999981</v>
      </c>
      <c r="J2061" s="36">
        <f t="shared" si="1090"/>
        <v>96567.456269999981</v>
      </c>
      <c r="K2061" s="36">
        <f t="shared" si="1090"/>
        <v>95994.57561</v>
      </c>
      <c r="L2061" s="36">
        <f t="shared" si="1080"/>
        <v>46.57133742122268</v>
      </c>
      <c r="M2061" s="36">
        <f t="shared" si="1081"/>
        <v>99.406755979573262</v>
      </c>
    </row>
    <row r="2062" spans="1:13" ht="63.75">
      <c r="A2062" s="60" t="s">
        <v>166</v>
      </c>
      <c r="B2062" s="29" t="s">
        <v>903</v>
      </c>
      <c r="C2062" s="29" t="s">
        <v>150</v>
      </c>
      <c r="D2062" s="29" t="s">
        <v>46</v>
      </c>
      <c r="E2062" s="29" t="s">
        <v>167</v>
      </c>
      <c r="F2062" s="59" t="s">
        <v>0</v>
      </c>
      <c r="G2062" s="36">
        <f>G2063+G2082+G2091</f>
        <v>203353.3</v>
      </c>
      <c r="H2062" s="36">
        <f t="shared" ref="H2062:K2062" si="1091">H2063+H2082+H2091</f>
        <v>203474.72528999997</v>
      </c>
      <c r="I2062" s="36">
        <f t="shared" si="1091"/>
        <v>93918.456269999981</v>
      </c>
      <c r="J2062" s="36">
        <f t="shared" si="1091"/>
        <v>93918.456269999981</v>
      </c>
      <c r="K2062" s="36">
        <f t="shared" si="1091"/>
        <v>93345.57561</v>
      </c>
      <c r="L2062" s="36">
        <f t="shared" si="1080"/>
        <v>45.875759496399517</v>
      </c>
      <c r="M2062" s="36">
        <f t="shared" si="1081"/>
        <v>99.390023342852814</v>
      </c>
    </row>
    <row r="2063" spans="1:13" ht="63.75">
      <c r="A2063" s="60" t="s">
        <v>168</v>
      </c>
      <c r="B2063" s="29" t="s">
        <v>903</v>
      </c>
      <c r="C2063" s="29" t="s">
        <v>150</v>
      </c>
      <c r="D2063" s="29" t="s">
        <v>46</v>
      </c>
      <c r="E2063" s="29" t="s">
        <v>169</v>
      </c>
      <c r="F2063" s="59" t="s">
        <v>0</v>
      </c>
      <c r="G2063" s="36">
        <f>G2064+G2075</f>
        <v>167862.5</v>
      </c>
      <c r="H2063" s="36">
        <f t="shared" ref="H2063:K2063" si="1092">H2064+H2075</f>
        <v>167862.49999999997</v>
      </c>
      <c r="I2063" s="36">
        <f t="shared" si="1092"/>
        <v>86768.599999999991</v>
      </c>
      <c r="J2063" s="36">
        <f t="shared" si="1092"/>
        <v>86768.599999999991</v>
      </c>
      <c r="K2063" s="36">
        <f t="shared" si="1092"/>
        <v>86361.294200000004</v>
      </c>
      <c r="L2063" s="36">
        <f t="shared" si="1080"/>
        <v>51.447639705115812</v>
      </c>
      <c r="M2063" s="36">
        <f t="shared" si="1081"/>
        <v>99.530583874811867</v>
      </c>
    </row>
    <row r="2064" spans="1:13" ht="25.5">
      <c r="A2064" s="60" t="s">
        <v>76</v>
      </c>
      <c r="B2064" s="29" t="s">
        <v>903</v>
      </c>
      <c r="C2064" s="29" t="s">
        <v>150</v>
      </c>
      <c r="D2064" s="29" t="s">
        <v>46</v>
      </c>
      <c r="E2064" s="29" t="s">
        <v>904</v>
      </c>
      <c r="F2064" s="59" t="s">
        <v>0</v>
      </c>
      <c r="G2064" s="36">
        <f>G2065+G2067+G2071+G2073</f>
        <v>153862.5</v>
      </c>
      <c r="H2064" s="36">
        <f>H2065+H2067+H2071+H2073+H2069</f>
        <v>153862.49999999997</v>
      </c>
      <c r="I2064" s="36">
        <f t="shared" ref="I2064:K2064" si="1093">I2065+I2067+I2071+I2073+I2069</f>
        <v>76100.2</v>
      </c>
      <c r="J2064" s="36">
        <f t="shared" si="1093"/>
        <v>76100.2</v>
      </c>
      <c r="K2064" s="36">
        <f t="shared" si="1093"/>
        <v>76020.769260000001</v>
      </c>
      <c r="L2064" s="36">
        <f t="shared" si="1080"/>
        <v>49.408250392395821</v>
      </c>
      <c r="M2064" s="36">
        <f t="shared" si="1081"/>
        <v>99.895623480621609</v>
      </c>
    </row>
    <row r="2065" spans="1:13" ht="63.75">
      <c r="A2065" s="60" t="s">
        <v>60</v>
      </c>
      <c r="B2065" s="29" t="s">
        <v>903</v>
      </c>
      <c r="C2065" s="29" t="s">
        <v>150</v>
      </c>
      <c r="D2065" s="29" t="s">
        <v>46</v>
      </c>
      <c r="E2065" s="29" t="s">
        <v>904</v>
      </c>
      <c r="F2065" s="29" t="s">
        <v>61</v>
      </c>
      <c r="G2065" s="36">
        <f>G2066</f>
        <v>51838.9</v>
      </c>
      <c r="H2065" s="36">
        <f t="shared" ref="H2065:K2065" si="1094">H2066</f>
        <v>51838.9</v>
      </c>
      <c r="I2065" s="36">
        <f t="shared" si="1094"/>
        <v>26435.200000000001</v>
      </c>
      <c r="J2065" s="36">
        <f t="shared" si="1094"/>
        <v>26435.200000000001</v>
      </c>
      <c r="K2065" s="36">
        <f t="shared" si="1094"/>
        <v>26381.52219</v>
      </c>
      <c r="L2065" s="36">
        <f t="shared" si="1080"/>
        <v>50.891361873033567</v>
      </c>
      <c r="M2065" s="36">
        <f t="shared" si="1081"/>
        <v>99.796945701186289</v>
      </c>
    </row>
    <row r="2066" spans="1:13">
      <c r="A2066" s="60" t="s">
        <v>78</v>
      </c>
      <c r="B2066" s="29" t="s">
        <v>903</v>
      </c>
      <c r="C2066" s="29" t="s">
        <v>150</v>
      </c>
      <c r="D2066" s="29" t="s">
        <v>46</v>
      </c>
      <c r="E2066" s="29" t="s">
        <v>904</v>
      </c>
      <c r="F2066" s="29" t="s">
        <v>79</v>
      </c>
      <c r="G2066" s="36">
        <v>51838.9</v>
      </c>
      <c r="H2066" s="36">
        <v>51838.9</v>
      </c>
      <c r="I2066" s="36">
        <f>19000+1293.2+6142</f>
        <v>26435.200000000001</v>
      </c>
      <c r="J2066" s="36">
        <f>19000+1293.2+6142</f>
        <v>26435.200000000001</v>
      </c>
      <c r="K2066" s="36">
        <f>18946.32219+1293.2+6142</f>
        <v>26381.52219</v>
      </c>
      <c r="L2066" s="36">
        <f t="shared" si="1080"/>
        <v>50.891361873033567</v>
      </c>
      <c r="M2066" s="36">
        <f t="shared" si="1081"/>
        <v>99.796945701186289</v>
      </c>
    </row>
    <row r="2067" spans="1:13" ht="25.5">
      <c r="A2067" s="60" t="s">
        <v>64</v>
      </c>
      <c r="B2067" s="29" t="s">
        <v>903</v>
      </c>
      <c r="C2067" s="29" t="s">
        <v>150</v>
      </c>
      <c r="D2067" s="29" t="s">
        <v>46</v>
      </c>
      <c r="E2067" s="29" t="s">
        <v>904</v>
      </c>
      <c r="F2067" s="29" t="s">
        <v>65</v>
      </c>
      <c r="G2067" s="36">
        <f>G2068</f>
        <v>23956.1</v>
      </c>
      <c r="H2067" s="36">
        <f t="shared" ref="H2067:K2067" si="1095">H2068</f>
        <v>23833.467000000001</v>
      </c>
      <c r="I2067" s="36">
        <f t="shared" si="1095"/>
        <v>10055.166999999999</v>
      </c>
      <c r="J2067" s="36">
        <f t="shared" si="1095"/>
        <v>10055.166999999999</v>
      </c>
      <c r="K2067" s="36">
        <f t="shared" si="1095"/>
        <v>10055.166999999999</v>
      </c>
      <c r="L2067" s="36">
        <f t="shared" si="1080"/>
        <v>42.189275274134474</v>
      </c>
      <c r="M2067" s="36">
        <f t="shared" si="1081"/>
        <v>100</v>
      </c>
    </row>
    <row r="2068" spans="1:13" ht="25.5">
      <c r="A2068" s="60" t="s">
        <v>66</v>
      </c>
      <c r="B2068" s="29" t="s">
        <v>903</v>
      </c>
      <c r="C2068" s="29" t="s">
        <v>150</v>
      </c>
      <c r="D2068" s="29" t="s">
        <v>46</v>
      </c>
      <c r="E2068" s="29" t="s">
        <v>904</v>
      </c>
      <c r="F2068" s="29" t="s">
        <v>67</v>
      </c>
      <c r="G2068" s="36">
        <v>23956.1</v>
      </c>
      <c r="H2068" s="36">
        <v>23833.467000000001</v>
      </c>
      <c r="I2068" s="36">
        <v>10055.166999999999</v>
      </c>
      <c r="J2068" s="36">
        <v>10055.166999999999</v>
      </c>
      <c r="K2068" s="36">
        <v>10055.166999999999</v>
      </c>
      <c r="L2068" s="36">
        <f t="shared" si="1080"/>
        <v>42.189275274134474</v>
      </c>
      <c r="M2068" s="36">
        <f t="shared" si="1081"/>
        <v>100</v>
      </c>
    </row>
    <row r="2069" spans="1:13">
      <c r="A2069" s="60" t="s">
        <v>68</v>
      </c>
      <c r="B2069" s="29" t="s">
        <v>903</v>
      </c>
      <c r="C2069" s="29" t="s">
        <v>150</v>
      </c>
      <c r="D2069" s="29" t="s">
        <v>46</v>
      </c>
      <c r="E2069" s="29" t="s">
        <v>904</v>
      </c>
      <c r="F2069" s="29">
        <v>300</v>
      </c>
      <c r="G2069" s="36"/>
      <c r="H2069" s="36">
        <f>H2070</f>
        <v>122.633</v>
      </c>
      <c r="I2069" s="36">
        <f t="shared" ref="I2069:K2069" si="1096">I2070</f>
        <v>122.633</v>
      </c>
      <c r="J2069" s="36">
        <f t="shared" si="1096"/>
        <v>122.633</v>
      </c>
      <c r="K2069" s="36">
        <f t="shared" si="1096"/>
        <v>96.880070000000003</v>
      </c>
      <c r="L2069" s="36"/>
      <c r="M2069" s="36"/>
    </row>
    <row r="2070" spans="1:13" ht="25.5">
      <c r="A2070" s="60" t="s">
        <v>151</v>
      </c>
      <c r="B2070" s="29" t="s">
        <v>903</v>
      </c>
      <c r="C2070" s="29" t="s">
        <v>150</v>
      </c>
      <c r="D2070" s="29" t="s">
        <v>46</v>
      </c>
      <c r="E2070" s="29" t="s">
        <v>904</v>
      </c>
      <c r="F2070" s="29">
        <v>320</v>
      </c>
      <c r="G2070" s="36"/>
      <c r="H2070" s="36">
        <v>122.633</v>
      </c>
      <c r="I2070" s="36">
        <v>122.633</v>
      </c>
      <c r="J2070" s="36">
        <v>122.633</v>
      </c>
      <c r="K2070" s="36">
        <v>96.880070000000003</v>
      </c>
      <c r="L2070" s="36"/>
      <c r="M2070" s="36"/>
    </row>
    <row r="2071" spans="1:13" ht="25.5">
      <c r="A2071" s="60" t="s">
        <v>80</v>
      </c>
      <c r="B2071" s="29" t="s">
        <v>903</v>
      </c>
      <c r="C2071" s="29" t="s">
        <v>150</v>
      </c>
      <c r="D2071" s="29" t="s">
        <v>46</v>
      </c>
      <c r="E2071" s="29" t="s">
        <v>904</v>
      </c>
      <c r="F2071" s="29" t="s">
        <v>81</v>
      </c>
      <c r="G2071" s="36">
        <f>G2072</f>
        <v>76393.2</v>
      </c>
      <c r="H2071" s="36">
        <f t="shared" ref="H2071:K2071" si="1097">H2072</f>
        <v>76393.2</v>
      </c>
      <c r="I2071" s="36">
        <f t="shared" si="1097"/>
        <v>38650</v>
      </c>
      <c r="J2071" s="36">
        <f t="shared" si="1097"/>
        <v>38650</v>
      </c>
      <c r="K2071" s="36">
        <f t="shared" si="1097"/>
        <v>38650</v>
      </c>
      <c r="L2071" s="36">
        <f t="shared" si="1080"/>
        <v>50.593508322730294</v>
      </c>
      <c r="M2071" s="36">
        <f t="shared" si="1081"/>
        <v>100</v>
      </c>
    </row>
    <row r="2072" spans="1:13">
      <c r="A2072" s="60" t="s">
        <v>271</v>
      </c>
      <c r="B2072" s="29" t="s">
        <v>903</v>
      </c>
      <c r="C2072" s="29" t="s">
        <v>150</v>
      </c>
      <c r="D2072" s="29" t="s">
        <v>46</v>
      </c>
      <c r="E2072" s="29" t="s">
        <v>904</v>
      </c>
      <c r="F2072" s="29" t="s">
        <v>272</v>
      </c>
      <c r="G2072" s="36">
        <v>76393.2</v>
      </c>
      <c r="H2072" s="36">
        <v>76393.2</v>
      </c>
      <c r="I2072" s="36">
        <v>38650</v>
      </c>
      <c r="J2072" s="36">
        <v>38650</v>
      </c>
      <c r="K2072" s="36">
        <v>38650</v>
      </c>
      <c r="L2072" s="36">
        <f t="shared" si="1080"/>
        <v>50.593508322730294</v>
      </c>
      <c r="M2072" s="36">
        <f t="shared" si="1081"/>
        <v>100</v>
      </c>
    </row>
    <row r="2073" spans="1:13">
      <c r="A2073" s="60" t="s">
        <v>72</v>
      </c>
      <c r="B2073" s="29" t="s">
        <v>903</v>
      </c>
      <c r="C2073" s="29" t="s">
        <v>150</v>
      </c>
      <c r="D2073" s="29" t="s">
        <v>46</v>
      </c>
      <c r="E2073" s="29" t="s">
        <v>904</v>
      </c>
      <c r="F2073" s="29" t="s">
        <v>73</v>
      </c>
      <c r="G2073" s="36">
        <f>G2074</f>
        <v>1674.3</v>
      </c>
      <c r="H2073" s="36">
        <f t="shared" ref="H2073:K2073" si="1098">H2074</f>
        <v>1674.3</v>
      </c>
      <c r="I2073" s="36">
        <f t="shared" si="1098"/>
        <v>837.2</v>
      </c>
      <c r="J2073" s="36">
        <f t="shared" si="1098"/>
        <v>837.2</v>
      </c>
      <c r="K2073" s="36">
        <f t="shared" si="1098"/>
        <v>837.2</v>
      </c>
      <c r="L2073" s="36">
        <f t="shared" si="1080"/>
        <v>50.002986322642307</v>
      </c>
      <c r="M2073" s="36">
        <f t="shared" si="1081"/>
        <v>100</v>
      </c>
    </row>
    <row r="2074" spans="1:13">
      <c r="A2074" s="60" t="s">
        <v>74</v>
      </c>
      <c r="B2074" s="29" t="s">
        <v>903</v>
      </c>
      <c r="C2074" s="29" t="s">
        <v>150</v>
      </c>
      <c r="D2074" s="29" t="s">
        <v>46</v>
      </c>
      <c r="E2074" s="29" t="s">
        <v>904</v>
      </c>
      <c r="F2074" s="29" t="s">
        <v>75</v>
      </c>
      <c r="G2074" s="36">
        <v>1674.3</v>
      </c>
      <c r="H2074" s="36">
        <v>1674.3</v>
      </c>
      <c r="I2074" s="36">
        <f>685.7+151.5</f>
        <v>837.2</v>
      </c>
      <c r="J2074" s="36">
        <f t="shared" ref="J2074:K2074" si="1099">685.7+151.5</f>
        <v>837.2</v>
      </c>
      <c r="K2074" s="36">
        <f t="shared" si="1099"/>
        <v>837.2</v>
      </c>
      <c r="L2074" s="36">
        <f t="shared" si="1080"/>
        <v>50.002986322642307</v>
      </c>
      <c r="M2074" s="36">
        <f t="shared" si="1081"/>
        <v>100</v>
      </c>
    </row>
    <row r="2075" spans="1:13" ht="51">
      <c r="A2075" s="60" t="s">
        <v>905</v>
      </c>
      <c r="B2075" s="29" t="s">
        <v>903</v>
      </c>
      <c r="C2075" s="29" t="s">
        <v>150</v>
      </c>
      <c r="D2075" s="29" t="s">
        <v>46</v>
      </c>
      <c r="E2075" s="29" t="s">
        <v>906</v>
      </c>
      <c r="F2075" s="59" t="s">
        <v>0</v>
      </c>
      <c r="G2075" s="36">
        <f>G2080</f>
        <v>14000</v>
      </c>
      <c r="H2075" s="36">
        <f>H2080+H2076+H2078</f>
        <v>14000</v>
      </c>
      <c r="I2075" s="36">
        <f t="shared" ref="I2075:K2075" si="1100">I2080+I2076+I2078</f>
        <v>10668.4</v>
      </c>
      <c r="J2075" s="36">
        <f t="shared" si="1100"/>
        <v>10668.4</v>
      </c>
      <c r="K2075" s="36">
        <f t="shared" si="1100"/>
        <v>10340.524939999999</v>
      </c>
      <c r="L2075" s="36">
        <f t="shared" si="1080"/>
        <v>73.860892428571418</v>
      </c>
      <c r="M2075" s="36">
        <f t="shared" si="1081"/>
        <v>96.926670728506608</v>
      </c>
    </row>
    <row r="2076" spans="1:13" ht="63.75">
      <c r="A2076" s="60" t="s">
        <v>60</v>
      </c>
      <c r="B2076" s="29" t="s">
        <v>903</v>
      </c>
      <c r="C2076" s="29" t="s">
        <v>150</v>
      </c>
      <c r="D2076" s="29" t="s">
        <v>46</v>
      </c>
      <c r="E2076" s="29" t="s">
        <v>906</v>
      </c>
      <c r="F2076" s="29">
        <v>100</v>
      </c>
      <c r="G2076" s="36"/>
      <c r="H2076" s="36">
        <f>H2077</f>
        <v>385</v>
      </c>
      <c r="I2076" s="36">
        <f t="shared" ref="I2076:K2076" si="1101">I2077</f>
        <v>385</v>
      </c>
      <c r="J2076" s="36">
        <f t="shared" si="1101"/>
        <v>385</v>
      </c>
      <c r="K2076" s="36">
        <f t="shared" si="1101"/>
        <v>385</v>
      </c>
      <c r="L2076" s="36">
        <f t="shared" ref="L2076:L2079" si="1102">K2076/H2076*100</f>
        <v>100</v>
      </c>
      <c r="M2076" s="36">
        <f t="shared" ref="M2076:M2079" si="1103">K2076/I2076*100</f>
        <v>100</v>
      </c>
    </row>
    <row r="2077" spans="1:13">
      <c r="A2077" s="60" t="s">
        <v>78</v>
      </c>
      <c r="B2077" s="29" t="s">
        <v>903</v>
      </c>
      <c r="C2077" s="29" t="s">
        <v>150</v>
      </c>
      <c r="D2077" s="29" t="s">
        <v>46</v>
      </c>
      <c r="E2077" s="29" t="s">
        <v>906</v>
      </c>
      <c r="F2077" s="29">
        <v>110</v>
      </c>
      <c r="G2077" s="36"/>
      <c r="H2077" s="36">
        <v>385</v>
      </c>
      <c r="I2077" s="36">
        <v>385</v>
      </c>
      <c r="J2077" s="36">
        <v>385</v>
      </c>
      <c r="K2077" s="36">
        <v>385</v>
      </c>
      <c r="L2077" s="36">
        <f t="shared" si="1102"/>
        <v>100</v>
      </c>
      <c r="M2077" s="36">
        <f t="shared" si="1103"/>
        <v>100</v>
      </c>
    </row>
    <row r="2078" spans="1:13" ht="25.5">
      <c r="A2078" s="60" t="s">
        <v>64</v>
      </c>
      <c r="B2078" s="29" t="s">
        <v>903</v>
      </c>
      <c r="C2078" s="29" t="s">
        <v>150</v>
      </c>
      <c r="D2078" s="29" t="s">
        <v>46</v>
      </c>
      <c r="E2078" s="29" t="s">
        <v>906</v>
      </c>
      <c r="F2078" s="29">
        <v>200</v>
      </c>
      <c r="G2078" s="36"/>
      <c r="H2078" s="36">
        <f>H2079</f>
        <v>10283.4</v>
      </c>
      <c r="I2078" s="36">
        <f t="shared" ref="I2078:K2078" si="1104">I2079</f>
        <v>10283.4</v>
      </c>
      <c r="J2078" s="36">
        <f t="shared" si="1104"/>
        <v>10283.4</v>
      </c>
      <c r="K2078" s="36">
        <f t="shared" si="1104"/>
        <v>9955.5249399999993</v>
      </c>
      <c r="L2078" s="36">
        <f t="shared" si="1102"/>
        <v>96.811608417449477</v>
      </c>
      <c r="M2078" s="36">
        <f t="shared" si="1103"/>
        <v>96.811608417449477</v>
      </c>
    </row>
    <row r="2079" spans="1:13" ht="25.5">
      <c r="A2079" s="60" t="s">
        <v>66</v>
      </c>
      <c r="B2079" s="29" t="s">
        <v>903</v>
      </c>
      <c r="C2079" s="29" t="s">
        <v>150</v>
      </c>
      <c r="D2079" s="29" t="s">
        <v>46</v>
      </c>
      <c r="E2079" s="29" t="s">
        <v>906</v>
      </c>
      <c r="F2079" s="29">
        <v>240</v>
      </c>
      <c r="G2079" s="36"/>
      <c r="H2079" s="36">
        <v>10283.4</v>
      </c>
      <c r="I2079" s="36">
        <v>10283.4</v>
      </c>
      <c r="J2079" s="36">
        <v>10283.4</v>
      </c>
      <c r="K2079" s="36">
        <v>9955.5249399999993</v>
      </c>
      <c r="L2079" s="36">
        <f t="shared" si="1102"/>
        <v>96.811608417449477</v>
      </c>
      <c r="M2079" s="36">
        <f t="shared" si="1103"/>
        <v>96.811608417449477</v>
      </c>
    </row>
    <row r="2080" spans="1:13">
      <c r="A2080" s="60" t="s">
        <v>72</v>
      </c>
      <c r="B2080" s="29" t="s">
        <v>903</v>
      </c>
      <c r="C2080" s="29" t="s">
        <v>150</v>
      </c>
      <c r="D2080" s="29" t="s">
        <v>46</v>
      </c>
      <c r="E2080" s="29" t="s">
        <v>906</v>
      </c>
      <c r="F2080" s="29" t="s">
        <v>73</v>
      </c>
      <c r="G2080" s="36">
        <f>G2081</f>
        <v>14000</v>
      </c>
      <c r="H2080" s="36">
        <f t="shared" ref="H2080:K2080" si="1105">H2081</f>
        <v>3331.6</v>
      </c>
      <c r="I2080" s="36">
        <f t="shared" si="1105"/>
        <v>0</v>
      </c>
      <c r="J2080" s="36">
        <f t="shared" si="1105"/>
        <v>0</v>
      </c>
      <c r="K2080" s="36">
        <f t="shared" si="1105"/>
        <v>0</v>
      </c>
      <c r="L2080" s="36">
        <f t="shared" si="1080"/>
        <v>0</v>
      </c>
      <c r="M2080" s="36">
        <v>0</v>
      </c>
    </row>
    <row r="2081" spans="1:13">
      <c r="A2081" s="60" t="s">
        <v>369</v>
      </c>
      <c r="B2081" s="29" t="s">
        <v>903</v>
      </c>
      <c r="C2081" s="29" t="s">
        <v>150</v>
      </c>
      <c r="D2081" s="29" t="s">
        <v>46</v>
      </c>
      <c r="E2081" s="29" t="s">
        <v>906</v>
      </c>
      <c r="F2081" s="29" t="s">
        <v>370</v>
      </c>
      <c r="G2081" s="36">
        <v>14000</v>
      </c>
      <c r="H2081" s="36">
        <v>3331.6</v>
      </c>
      <c r="I2081" s="36">
        <v>0</v>
      </c>
      <c r="J2081" s="36">
        <v>0</v>
      </c>
      <c r="K2081" s="36">
        <v>0</v>
      </c>
      <c r="L2081" s="36">
        <f t="shared" si="1080"/>
        <v>0</v>
      </c>
      <c r="M2081" s="36">
        <v>0</v>
      </c>
    </row>
    <row r="2082" spans="1:13" ht="38.25">
      <c r="A2082" s="60" t="s">
        <v>907</v>
      </c>
      <c r="B2082" s="29" t="s">
        <v>903</v>
      </c>
      <c r="C2082" s="29" t="s">
        <v>150</v>
      </c>
      <c r="D2082" s="29" t="s">
        <v>46</v>
      </c>
      <c r="E2082" s="29" t="s">
        <v>908</v>
      </c>
      <c r="F2082" s="59" t="s">
        <v>0</v>
      </c>
      <c r="G2082" s="36">
        <f>G2083</f>
        <v>18490.8</v>
      </c>
      <c r="H2082" s="36">
        <f t="shared" ref="H2082:K2082" si="1106">H2083</f>
        <v>18612.225289999998</v>
      </c>
      <c r="I2082" s="36">
        <f t="shared" si="1106"/>
        <v>7149.8252899999998</v>
      </c>
      <c r="J2082" s="36">
        <f t="shared" si="1106"/>
        <v>7149.8252899999998</v>
      </c>
      <c r="K2082" s="36">
        <f t="shared" si="1106"/>
        <v>6984.2504300000001</v>
      </c>
      <c r="L2082" s="36">
        <f t="shared" si="1080"/>
        <v>37.525069255165896</v>
      </c>
      <c r="M2082" s="36">
        <f t="shared" si="1081"/>
        <v>97.684211106087048</v>
      </c>
    </row>
    <row r="2083" spans="1:13" ht="25.5">
      <c r="A2083" s="60" t="s">
        <v>58</v>
      </c>
      <c r="B2083" s="29" t="s">
        <v>903</v>
      </c>
      <c r="C2083" s="29" t="s">
        <v>150</v>
      </c>
      <c r="D2083" s="29" t="s">
        <v>46</v>
      </c>
      <c r="E2083" s="29" t="s">
        <v>909</v>
      </c>
      <c r="F2083" s="59" t="s">
        <v>0</v>
      </c>
      <c r="G2083" s="36">
        <f>G2084+G2086+G2088</f>
        <v>18490.8</v>
      </c>
      <c r="H2083" s="36">
        <f t="shared" ref="H2083:K2083" si="1107">H2084+H2086+H2088</f>
        <v>18612.225289999998</v>
      </c>
      <c r="I2083" s="36">
        <f t="shared" si="1107"/>
        <v>7149.8252899999998</v>
      </c>
      <c r="J2083" s="36">
        <f t="shared" si="1107"/>
        <v>7149.8252899999998</v>
      </c>
      <c r="K2083" s="36">
        <f t="shared" si="1107"/>
        <v>6984.2504300000001</v>
      </c>
      <c r="L2083" s="36">
        <f t="shared" si="1080"/>
        <v>37.525069255165896</v>
      </c>
      <c r="M2083" s="36">
        <f t="shared" si="1081"/>
        <v>97.684211106087048</v>
      </c>
    </row>
    <row r="2084" spans="1:13" ht="63.75">
      <c r="A2084" s="60" t="s">
        <v>60</v>
      </c>
      <c r="B2084" s="29" t="s">
        <v>903</v>
      </c>
      <c r="C2084" s="29" t="s">
        <v>150</v>
      </c>
      <c r="D2084" s="29" t="s">
        <v>46</v>
      </c>
      <c r="E2084" s="29" t="s">
        <v>909</v>
      </c>
      <c r="F2084" s="29" t="s">
        <v>61</v>
      </c>
      <c r="G2084" s="36">
        <f>G2085</f>
        <v>16221.8</v>
      </c>
      <c r="H2084" s="36">
        <f t="shared" ref="H2084:K2084" si="1108">H2085</f>
        <v>16221.8</v>
      </c>
      <c r="I2084" s="36">
        <f t="shared" si="1108"/>
        <v>5810</v>
      </c>
      <c r="J2084" s="36">
        <f t="shared" si="1108"/>
        <v>5810</v>
      </c>
      <c r="K2084" s="36">
        <f t="shared" si="1108"/>
        <v>5650.6476199999997</v>
      </c>
      <c r="L2084" s="36">
        <f t="shared" si="1080"/>
        <v>34.833665931031085</v>
      </c>
      <c r="M2084" s="36">
        <f t="shared" si="1081"/>
        <v>97.257274010327023</v>
      </c>
    </row>
    <row r="2085" spans="1:13" ht="25.5">
      <c r="A2085" s="60" t="s">
        <v>62</v>
      </c>
      <c r="B2085" s="29" t="s">
        <v>903</v>
      </c>
      <c r="C2085" s="29" t="s">
        <v>150</v>
      </c>
      <c r="D2085" s="29" t="s">
        <v>46</v>
      </c>
      <c r="E2085" s="29" t="s">
        <v>909</v>
      </c>
      <c r="F2085" s="29" t="s">
        <v>63</v>
      </c>
      <c r="G2085" s="36">
        <v>16221.8</v>
      </c>
      <c r="H2085" s="36">
        <v>16221.8</v>
      </c>
      <c r="I2085" s="36">
        <f>4230+300+1280</f>
        <v>5810</v>
      </c>
      <c r="J2085" s="36">
        <v>5810</v>
      </c>
      <c r="K2085" s="36">
        <f>4123.24894+299.10838+1228.2903</f>
        <v>5650.6476199999997</v>
      </c>
      <c r="L2085" s="36">
        <f t="shared" si="1080"/>
        <v>34.833665931031085</v>
      </c>
      <c r="M2085" s="36">
        <f t="shared" si="1081"/>
        <v>97.257274010327023</v>
      </c>
    </row>
    <row r="2086" spans="1:13" ht="25.5">
      <c r="A2086" s="60" t="s">
        <v>64</v>
      </c>
      <c r="B2086" s="29" t="s">
        <v>903</v>
      </c>
      <c r="C2086" s="29" t="s">
        <v>150</v>
      </c>
      <c r="D2086" s="29" t="s">
        <v>46</v>
      </c>
      <c r="E2086" s="29" t="s">
        <v>909</v>
      </c>
      <c r="F2086" s="29" t="s">
        <v>65</v>
      </c>
      <c r="G2086" s="36">
        <f>G2087</f>
        <v>2233.5</v>
      </c>
      <c r="H2086" s="36">
        <f t="shared" ref="H2086:K2086" si="1109">H2087</f>
        <v>2233.5</v>
      </c>
      <c r="I2086" s="36">
        <f t="shared" si="1109"/>
        <v>1200</v>
      </c>
      <c r="J2086" s="36">
        <f t="shared" si="1109"/>
        <v>1200</v>
      </c>
      <c r="K2086" s="36">
        <f t="shared" si="1109"/>
        <v>1196.22552</v>
      </c>
      <c r="L2086" s="36">
        <f t="shared" si="1080"/>
        <v>53.558339825386156</v>
      </c>
      <c r="M2086" s="36">
        <f t="shared" si="1081"/>
        <v>99.685459999999992</v>
      </c>
    </row>
    <row r="2087" spans="1:13" ht="25.5">
      <c r="A2087" s="60" t="s">
        <v>66</v>
      </c>
      <c r="B2087" s="29" t="s">
        <v>903</v>
      </c>
      <c r="C2087" s="29" t="s">
        <v>150</v>
      </c>
      <c r="D2087" s="29" t="s">
        <v>46</v>
      </c>
      <c r="E2087" s="29" t="s">
        <v>909</v>
      </c>
      <c r="F2087" s="29" t="s">
        <v>67</v>
      </c>
      <c r="G2087" s="36">
        <v>2233.5</v>
      </c>
      <c r="H2087" s="36">
        <v>2233.5</v>
      </c>
      <c r="I2087" s="36">
        <v>1200</v>
      </c>
      <c r="J2087" s="36">
        <v>1200</v>
      </c>
      <c r="K2087" s="36">
        <v>1196.22552</v>
      </c>
      <c r="L2087" s="36">
        <f t="shared" si="1080"/>
        <v>53.558339825386156</v>
      </c>
      <c r="M2087" s="36">
        <f t="shared" si="1081"/>
        <v>99.685459999999992</v>
      </c>
    </row>
    <row r="2088" spans="1:13">
      <c r="A2088" s="60" t="s">
        <v>72</v>
      </c>
      <c r="B2088" s="29" t="s">
        <v>903</v>
      </c>
      <c r="C2088" s="29" t="s">
        <v>150</v>
      </c>
      <c r="D2088" s="29" t="s">
        <v>46</v>
      </c>
      <c r="E2088" s="29" t="s">
        <v>909</v>
      </c>
      <c r="F2088" s="29" t="s">
        <v>73</v>
      </c>
      <c r="G2088" s="36">
        <f>G2090</f>
        <v>35.5</v>
      </c>
      <c r="H2088" s="36">
        <f>H2090+H2089</f>
        <v>156.92529000000002</v>
      </c>
      <c r="I2088" s="36">
        <f t="shared" ref="I2088:K2088" si="1110">I2090+I2089</f>
        <v>139.82529</v>
      </c>
      <c r="J2088" s="36">
        <f t="shared" si="1110"/>
        <v>139.82529</v>
      </c>
      <c r="K2088" s="36">
        <f t="shared" si="1110"/>
        <v>137.37729000000002</v>
      </c>
      <c r="L2088" s="36">
        <f t="shared" si="1080"/>
        <v>87.543116855160818</v>
      </c>
      <c r="M2088" s="36">
        <f t="shared" si="1081"/>
        <v>98.249243752685956</v>
      </c>
    </row>
    <row r="2089" spans="1:13">
      <c r="A2089" s="60" t="s">
        <v>84</v>
      </c>
      <c r="B2089" s="29" t="s">
        <v>903</v>
      </c>
      <c r="C2089" s="29" t="s">
        <v>150</v>
      </c>
      <c r="D2089" s="29" t="s">
        <v>46</v>
      </c>
      <c r="E2089" s="29" t="s">
        <v>909</v>
      </c>
      <c r="F2089" s="29">
        <v>830</v>
      </c>
      <c r="G2089" s="36"/>
      <c r="H2089" s="36">
        <v>121.42529</v>
      </c>
      <c r="I2089" s="36">
        <v>121.42529</v>
      </c>
      <c r="J2089" s="36">
        <v>121.42529</v>
      </c>
      <c r="K2089" s="36">
        <v>121.42529</v>
      </c>
      <c r="L2089" s="36">
        <f t="shared" ref="L2089" si="1111">K2089/H2089*100</f>
        <v>100</v>
      </c>
      <c r="M2089" s="36">
        <f t="shared" ref="M2089" si="1112">K2089/I2089*100</f>
        <v>100</v>
      </c>
    </row>
    <row r="2090" spans="1:13">
      <c r="A2090" s="60" t="s">
        <v>74</v>
      </c>
      <c r="B2090" s="29" t="s">
        <v>903</v>
      </c>
      <c r="C2090" s="29" t="s">
        <v>150</v>
      </c>
      <c r="D2090" s="29" t="s">
        <v>46</v>
      </c>
      <c r="E2090" s="29" t="s">
        <v>909</v>
      </c>
      <c r="F2090" s="29" t="s">
        <v>75</v>
      </c>
      <c r="G2090" s="36">
        <v>35.5</v>
      </c>
      <c r="H2090" s="36">
        <v>35.5</v>
      </c>
      <c r="I2090" s="36">
        <v>18.399999999999999</v>
      </c>
      <c r="J2090" s="36">
        <v>18.399999999999999</v>
      </c>
      <c r="K2090" s="36">
        <v>15.952</v>
      </c>
      <c r="L2090" s="36">
        <f t="shared" si="1080"/>
        <v>44.935211267605638</v>
      </c>
      <c r="M2090" s="36">
        <f t="shared" si="1081"/>
        <v>86.695652173913047</v>
      </c>
    </row>
    <row r="2091" spans="1:13" ht="38.25">
      <c r="A2091" s="60" t="s">
        <v>910</v>
      </c>
      <c r="B2091" s="29" t="s">
        <v>903</v>
      </c>
      <c r="C2091" s="29" t="s">
        <v>150</v>
      </c>
      <c r="D2091" s="29" t="s">
        <v>46</v>
      </c>
      <c r="E2091" s="29" t="s">
        <v>911</v>
      </c>
      <c r="F2091" s="59" t="s">
        <v>0</v>
      </c>
      <c r="G2091" s="36">
        <f>G2092</f>
        <v>17000</v>
      </c>
      <c r="H2091" s="36">
        <f t="shared" ref="H2091:K2093" si="1113">H2092</f>
        <v>17000</v>
      </c>
      <c r="I2091" s="36">
        <f t="shared" si="1113"/>
        <v>3.0980000000000001E-2</v>
      </c>
      <c r="J2091" s="36">
        <f t="shared" si="1113"/>
        <v>3.0980000000000001E-2</v>
      </c>
      <c r="K2091" s="36">
        <f t="shared" si="1113"/>
        <v>3.0980000000000001E-2</v>
      </c>
      <c r="L2091" s="36">
        <f t="shared" si="1080"/>
        <v>1.8223529411764706E-4</v>
      </c>
      <c r="M2091" s="36">
        <f t="shared" si="1081"/>
        <v>100</v>
      </c>
    </row>
    <row r="2092" spans="1:13" ht="38.25">
      <c r="A2092" s="60" t="s">
        <v>912</v>
      </c>
      <c r="B2092" s="29" t="s">
        <v>903</v>
      </c>
      <c r="C2092" s="29" t="s">
        <v>150</v>
      </c>
      <c r="D2092" s="29" t="s">
        <v>46</v>
      </c>
      <c r="E2092" s="29" t="s">
        <v>913</v>
      </c>
      <c r="F2092" s="59" t="s">
        <v>0</v>
      </c>
      <c r="G2092" s="36">
        <f>G2093</f>
        <v>17000</v>
      </c>
      <c r="H2092" s="36">
        <f t="shared" si="1113"/>
        <v>17000</v>
      </c>
      <c r="I2092" s="36">
        <f t="shared" si="1113"/>
        <v>3.0980000000000001E-2</v>
      </c>
      <c r="J2092" s="36">
        <f t="shared" si="1113"/>
        <v>3.0980000000000001E-2</v>
      </c>
      <c r="K2092" s="36">
        <f t="shared" si="1113"/>
        <v>3.0980000000000001E-2</v>
      </c>
      <c r="L2092" s="36">
        <f t="shared" si="1080"/>
        <v>1.8223529411764706E-4</v>
      </c>
      <c r="M2092" s="36">
        <f t="shared" si="1081"/>
        <v>100</v>
      </c>
    </row>
    <row r="2093" spans="1:13" ht="25.5">
      <c r="A2093" s="60" t="s">
        <v>64</v>
      </c>
      <c r="B2093" s="29" t="s">
        <v>903</v>
      </c>
      <c r="C2093" s="29" t="s">
        <v>150</v>
      </c>
      <c r="D2093" s="29" t="s">
        <v>46</v>
      </c>
      <c r="E2093" s="29" t="s">
        <v>913</v>
      </c>
      <c r="F2093" s="29" t="s">
        <v>65</v>
      </c>
      <c r="G2093" s="36">
        <f>G2094</f>
        <v>17000</v>
      </c>
      <c r="H2093" s="36">
        <f t="shared" si="1113"/>
        <v>17000</v>
      </c>
      <c r="I2093" s="36">
        <f t="shared" si="1113"/>
        <v>3.0980000000000001E-2</v>
      </c>
      <c r="J2093" s="36">
        <f t="shared" si="1113"/>
        <v>3.0980000000000001E-2</v>
      </c>
      <c r="K2093" s="36">
        <f t="shared" si="1113"/>
        <v>3.0980000000000001E-2</v>
      </c>
      <c r="L2093" s="36">
        <f t="shared" si="1080"/>
        <v>1.8223529411764706E-4</v>
      </c>
      <c r="M2093" s="36">
        <f t="shared" si="1081"/>
        <v>100</v>
      </c>
    </row>
    <row r="2094" spans="1:13" ht="25.5">
      <c r="A2094" s="60" t="s">
        <v>66</v>
      </c>
      <c r="B2094" s="29" t="s">
        <v>903</v>
      </c>
      <c r="C2094" s="29" t="s">
        <v>150</v>
      </c>
      <c r="D2094" s="29" t="s">
        <v>46</v>
      </c>
      <c r="E2094" s="29" t="s">
        <v>913</v>
      </c>
      <c r="F2094" s="29" t="s">
        <v>67</v>
      </c>
      <c r="G2094" s="36">
        <v>17000</v>
      </c>
      <c r="H2094" s="36">
        <v>17000</v>
      </c>
      <c r="I2094" s="36">
        <v>3.0980000000000001E-2</v>
      </c>
      <c r="J2094" s="36">
        <v>3.0980000000000001E-2</v>
      </c>
      <c r="K2094" s="36">
        <v>3.0980000000000001E-2</v>
      </c>
      <c r="L2094" s="36">
        <f t="shared" si="1080"/>
        <v>1.8223529411764706E-4</v>
      </c>
      <c r="M2094" s="36">
        <f t="shared" si="1081"/>
        <v>100</v>
      </c>
    </row>
    <row r="2095" spans="1:13">
      <c r="A2095" s="63" t="s">
        <v>612</v>
      </c>
      <c r="B2095" s="29" t="s">
        <v>903</v>
      </c>
      <c r="C2095" s="29" t="s">
        <v>150</v>
      </c>
      <c r="D2095" s="29" t="s">
        <v>46</v>
      </c>
      <c r="E2095" s="30" t="s">
        <v>613</v>
      </c>
      <c r="F2095" s="29"/>
      <c r="G2095" s="36"/>
      <c r="H2095" s="36">
        <f>H2096</f>
        <v>2649</v>
      </c>
      <c r="I2095" s="36">
        <f t="shared" ref="I2095:K2097" si="1114">I2096</f>
        <v>2649</v>
      </c>
      <c r="J2095" s="36">
        <f t="shared" si="1114"/>
        <v>2649</v>
      </c>
      <c r="K2095" s="36">
        <f t="shared" si="1114"/>
        <v>2649</v>
      </c>
      <c r="L2095" s="36">
        <f t="shared" ref="L2095:L2098" si="1115">K2095/H2095*100</f>
        <v>100</v>
      </c>
      <c r="M2095" s="36">
        <f t="shared" ref="M2095:M2098" si="1116">K2095/I2095*100</f>
        <v>100</v>
      </c>
    </row>
    <row r="2096" spans="1:13">
      <c r="A2096" s="63" t="s">
        <v>612</v>
      </c>
      <c r="B2096" s="29" t="s">
        <v>903</v>
      </c>
      <c r="C2096" s="29" t="s">
        <v>150</v>
      </c>
      <c r="D2096" s="29" t="s">
        <v>46</v>
      </c>
      <c r="E2096" s="30" t="s">
        <v>614</v>
      </c>
      <c r="F2096" s="29"/>
      <c r="G2096" s="36"/>
      <c r="H2096" s="36">
        <f>H2097</f>
        <v>2649</v>
      </c>
      <c r="I2096" s="36">
        <f t="shared" si="1114"/>
        <v>2649</v>
      </c>
      <c r="J2096" s="36">
        <f t="shared" si="1114"/>
        <v>2649</v>
      </c>
      <c r="K2096" s="36">
        <f t="shared" si="1114"/>
        <v>2649</v>
      </c>
      <c r="L2096" s="36">
        <f t="shared" si="1115"/>
        <v>100</v>
      </c>
      <c r="M2096" s="36">
        <f t="shared" si="1116"/>
        <v>100</v>
      </c>
    </row>
    <row r="2097" spans="1:13">
      <c r="A2097" s="63" t="s">
        <v>26</v>
      </c>
      <c r="B2097" s="29" t="s">
        <v>903</v>
      </c>
      <c r="C2097" s="29" t="s">
        <v>150</v>
      </c>
      <c r="D2097" s="29" t="s">
        <v>46</v>
      </c>
      <c r="E2097" s="30" t="s">
        <v>614</v>
      </c>
      <c r="F2097" s="29">
        <v>500</v>
      </c>
      <c r="G2097" s="36"/>
      <c r="H2097" s="36">
        <f>H2098</f>
        <v>2649</v>
      </c>
      <c r="I2097" s="36">
        <f t="shared" si="1114"/>
        <v>2649</v>
      </c>
      <c r="J2097" s="36">
        <f t="shared" si="1114"/>
        <v>2649</v>
      </c>
      <c r="K2097" s="36">
        <f t="shared" si="1114"/>
        <v>2649</v>
      </c>
      <c r="L2097" s="36">
        <f t="shared" si="1115"/>
        <v>100</v>
      </c>
      <c r="M2097" s="36">
        <f t="shared" si="1116"/>
        <v>100</v>
      </c>
    </row>
    <row r="2098" spans="1:13">
      <c r="A2098" s="63" t="s">
        <v>352</v>
      </c>
      <c r="B2098" s="29" t="s">
        <v>903</v>
      </c>
      <c r="C2098" s="29" t="s">
        <v>150</v>
      </c>
      <c r="D2098" s="29" t="s">
        <v>46</v>
      </c>
      <c r="E2098" s="30" t="s">
        <v>614</v>
      </c>
      <c r="F2098" s="29">
        <v>540</v>
      </c>
      <c r="G2098" s="36"/>
      <c r="H2098" s="36">
        <v>2649</v>
      </c>
      <c r="I2098" s="36">
        <v>2649</v>
      </c>
      <c r="J2098" s="36">
        <v>2649</v>
      </c>
      <c r="K2098" s="36">
        <v>2649</v>
      </c>
      <c r="L2098" s="36">
        <f t="shared" si="1115"/>
        <v>100</v>
      </c>
      <c r="M2098" s="36">
        <f t="shared" si="1116"/>
        <v>100</v>
      </c>
    </row>
    <row r="2099" spans="1:13">
      <c r="A2099" s="60" t="s">
        <v>914</v>
      </c>
      <c r="B2099" s="29" t="s">
        <v>903</v>
      </c>
      <c r="C2099" s="29" t="s">
        <v>150</v>
      </c>
      <c r="D2099" s="29" t="s">
        <v>148</v>
      </c>
      <c r="E2099" s="59" t="s">
        <v>0</v>
      </c>
      <c r="F2099" s="59" t="s">
        <v>0</v>
      </c>
      <c r="G2099" s="36">
        <f>G2100</f>
        <v>874390.39999999991</v>
      </c>
      <c r="H2099" s="36">
        <f>H2100+H2115</f>
        <v>874868.97470999986</v>
      </c>
      <c r="I2099" s="36">
        <f t="shared" ref="I2099:K2099" si="1117">I2100+I2115</f>
        <v>437011.02699999994</v>
      </c>
      <c r="J2099" s="36">
        <f t="shared" si="1117"/>
        <v>437011.02699999994</v>
      </c>
      <c r="K2099" s="36">
        <f t="shared" si="1117"/>
        <v>431649.54690000002</v>
      </c>
      <c r="L2099" s="36">
        <f t="shared" si="1080"/>
        <v>49.338764932552614</v>
      </c>
      <c r="M2099" s="36">
        <f t="shared" si="1081"/>
        <v>98.773147639590348</v>
      </c>
    </row>
    <row r="2100" spans="1:13" ht="63.75">
      <c r="A2100" s="60" t="s">
        <v>166</v>
      </c>
      <c r="B2100" s="29" t="s">
        <v>903</v>
      </c>
      <c r="C2100" s="29" t="s">
        <v>150</v>
      </c>
      <c r="D2100" s="29" t="s">
        <v>148</v>
      </c>
      <c r="E2100" s="29" t="s">
        <v>167</v>
      </c>
      <c r="F2100" s="59" t="s">
        <v>0</v>
      </c>
      <c r="G2100" s="36">
        <f>G2101</f>
        <v>874390.39999999991</v>
      </c>
      <c r="H2100" s="36">
        <f t="shared" ref="H2100:K2100" si="1118">H2101</f>
        <v>874268.97470999986</v>
      </c>
      <c r="I2100" s="36">
        <f t="shared" si="1118"/>
        <v>436411.02699999994</v>
      </c>
      <c r="J2100" s="36">
        <f t="shared" si="1118"/>
        <v>436411.02699999994</v>
      </c>
      <c r="K2100" s="36">
        <f t="shared" si="1118"/>
        <v>431049.54690000002</v>
      </c>
      <c r="L2100" s="36">
        <f t="shared" si="1080"/>
        <v>49.303996752599126</v>
      </c>
      <c r="M2100" s="36">
        <f t="shared" si="1081"/>
        <v>98.77146090078061</v>
      </c>
    </row>
    <row r="2101" spans="1:13" ht="25.5">
      <c r="A2101" s="60" t="s">
        <v>915</v>
      </c>
      <c r="B2101" s="29" t="s">
        <v>903</v>
      </c>
      <c r="C2101" s="29" t="s">
        <v>150</v>
      </c>
      <c r="D2101" s="29" t="s">
        <v>148</v>
      </c>
      <c r="E2101" s="29" t="s">
        <v>916</v>
      </c>
      <c r="F2101" s="59" t="s">
        <v>0</v>
      </c>
      <c r="G2101" s="36">
        <f>G2102+G2112</f>
        <v>874390.39999999991</v>
      </c>
      <c r="H2101" s="36">
        <f t="shared" ref="H2101:K2101" si="1119">H2102+H2112</f>
        <v>874268.97470999986</v>
      </c>
      <c r="I2101" s="36">
        <f t="shared" si="1119"/>
        <v>436411.02699999994</v>
      </c>
      <c r="J2101" s="36">
        <f t="shared" si="1119"/>
        <v>436411.02699999994</v>
      </c>
      <c r="K2101" s="36">
        <f t="shared" si="1119"/>
        <v>431049.54690000002</v>
      </c>
      <c r="L2101" s="36">
        <f t="shared" si="1080"/>
        <v>49.303996752599126</v>
      </c>
      <c r="M2101" s="36">
        <f t="shared" si="1081"/>
        <v>98.77146090078061</v>
      </c>
    </row>
    <row r="2102" spans="1:13" ht="25.5">
      <c r="A2102" s="60" t="s">
        <v>76</v>
      </c>
      <c r="B2102" s="29" t="s">
        <v>903</v>
      </c>
      <c r="C2102" s="29" t="s">
        <v>150</v>
      </c>
      <c r="D2102" s="29" t="s">
        <v>148</v>
      </c>
      <c r="E2102" s="29" t="s">
        <v>917</v>
      </c>
      <c r="F2102" s="59" t="s">
        <v>0</v>
      </c>
      <c r="G2102" s="36">
        <f>G2103+G2105+G2107+G2109</f>
        <v>866372.89999999991</v>
      </c>
      <c r="H2102" s="36">
        <f t="shared" ref="H2102:K2102" si="1120">H2103+H2105+H2107+H2109</f>
        <v>866251.47470999986</v>
      </c>
      <c r="I2102" s="36">
        <f t="shared" si="1120"/>
        <v>431311.02699999994</v>
      </c>
      <c r="J2102" s="36">
        <f t="shared" si="1120"/>
        <v>431311.02699999994</v>
      </c>
      <c r="K2102" s="36">
        <f t="shared" si="1120"/>
        <v>425949.54690000002</v>
      </c>
      <c r="L2102" s="36">
        <f t="shared" si="1080"/>
        <v>49.171581155760535</v>
      </c>
      <c r="M2102" s="36">
        <f t="shared" si="1081"/>
        <v>98.756934146272144</v>
      </c>
    </row>
    <row r="2103" spans="1:13" ht="63.75">
      <c r="A2103" s="60" t="s">
        <v>60</v>
      </c>
      <c r="B2103" s="29" t="s">
        <v>903</v>
      </c>
      <c r="C2103" s="29" t="s">
        <v>150</v>
      </c>
      <c r="D2103" s="29" t="s">
        <v>148</v>
      </c>
      <c r="E2103" s="29" t="s">
        <v>917</v>
      </c>
      <c r="F2103" s="29" t="s">
        <v>61</v>
      </c>
      <c r="G2103" s="36">
        <f>G2104</f>
        <v>719202</v>
      </c>
      <c r="H2103" s="36">
        <f t="shared" ref="H2103:K2103" si="1121">H2104</f>
        <v>719080.57470999996</v>
      </c>
      <c r="I2103" s="36">
        <f t="shared" si="1121"/>
        <v>352630.74199999997</v>
      </c>
      <c r="J2103" s="36">
        <f t="shared" si="1121"/>
        <v>352630.74199999997</v>
      </c>
      <c r="K2103" s="36">
        <f t="shared" si="1121"/>
        <v>347731.79879000003</v>
      </c>
      <c r="L2103" s="36">
        <f t="shared" si="1080"/>
        <v>48.35783513276489</v>
      </c>
      <c r="M2103" s="36">
        <f t="shared" si="1081"/>
        <v>98.610744150605015</v>
      </c>
    </row>
    <row r="2104" spans="1:13">
      <c r="A2104" s="60" t="s">
        <v>78</v>
      </c>
      <c r="B2104" s="29" t="s">
        <v>903</v>
      </c>
      <c r="C2104" s="29" t="s">
        <v>150</v>
      </c>
      <c r="D2104" s="29" t="s">
        <v>148</v>
      </c>
      <c r="E2104" s="29" t="s">
        <v>917</v>
      </c>
      <c r="F2104" s="29" t="s">
        <v>79</v>
      </c>
      <c r="G2104" s="36">
        <v>719202</v>
      </c>
      <c r="H2104" s="36">
        <v>719080.57470999996</v>
      </c>
      <c r="I2104" s="36">
        <f>267772.198+4324.83+80533.714</f>
        <v>352630.74199999997</v>
      </c>
      <c r="J2104" s="36">
        <f>267772.198+4324.83+80533.714</f>
        <v>352630.74199999997</v>
      </c>
      <c r="K2104" s="36">
        <f>264704.56627+4275.38387+78751.84865</f>
        <v>347731.79879000003</v>
      </c>
      <c r="L2104" s="36">
        <f t="shared" si="1080"/>
        <v>48.35783513276489</v>
      </c>
      <c r="M2104" s="36">
        <f t="shared" si="1081"/>
        <v>98.610744150605015</v>
      </c>
    </row>
    <row r="2105" spans="1:13" ht="25.5">
      <c r="A2105" s="60" t="s">
        <v>64</v>
      </c>
      <c r="B2105" s="29" t="s">
        <v>903</v>
      </c>
      <c r="C2105" s="29" t="s">
        <v>150</v>
      </c>
      <c r="D2105" s="29" t="s">
        <v>148</v>
      </c>
      <c r="E2105" s="29" t="s">
        <v>917</v>
      </c>
      <c r="F2105" s="29" t="s">
        <v>65</v>
      </c>
      <c r="G2105" s="36">
        <f>G2106</f>
        <v>62401</v>
      </c>
      <c r="H2105" s="36">
        <f t="shared" ref="H2105:K2105" si="1122">H2106</f>
        <v>62401</v>
      </c>
      <c r="I2105" s="36">
        <f t="shared" si="1122"/>
        <v>31748.175999999999</v>
      </c>
      <c r="J2105" s="36">
        <f t="shared" si="1122"/>
        <v>31748.175999999999</v>
      </c>
      <c r="K2105" s="36">
        <f t="shared" si="1122"/>
        <v>31315.719239999999</v>
      </c>
      <c r="L2105" s="36">
        <f t="shared" si="1080"/>
        <v>50.184643258922137</v>
      </c>
      <c r="M2105" s="36">
        <f t="shared" si="1081"/>
        <v>98.637853210842721</v>
      </c>
    </row>
    <row r="2106" spans="1:13" ht="25.5">
      <c r="A2106" s="60" t="s">
        <v>66</v>
      </c>
      <c r="B2106" s="29" t="s">
        <v>903</v>
      </c>
      <c r="C2106" s="29" t="s">
        <v>150</v>
      </c>
      <c r="D2106" s="29" t="s">
        <v>148</v>
      </c>
      <c r="E2106" s="29" t="s">
        <v>917</v>
      </c>
      <c r="F2106" s="29" t="s">
        <v>67</v>
      </c>
      <c r="G2106" s="36">
        <v>62401</v>
      </c>
      <c r="H2106" s="36">
        <v>62401</v>
      </c>
      <c r="I2106" s="36">
        <v>31748.175999999999</v>
      </c>
      <c r="J2106" s="36">
        <v>31748.175999999999</v>
      </c>
      <c r="K2106" s="36">
        <v>31315.719239999999</v>
      </c>
      <c r="L2106" s="36">
        <f t="shared" si="1080"/>
        <v>50.184643258922137</v>
      </c>
      <c r="M2106" s="36">
        <f t="shared" si="1081"/>
        <v>98.637853210842721</v>
      </c>
    </row>
    <row r="2107" spans="1:13" ht="25.5">
      <c r="A2107" s="60" t="s">
        <v>80</v>
      </c>
      <c r="B2107" s="29" t="s">
        <v>903</v>
      </c>
      <c r="C2107" s="29" t="s">
        <v>150</v>
      </c>
      <c r="D2107" s="29" t="s">
        <v>148</v>
      </c>
      <c r="E2107" s="29" t="s">
        <v>917</v>
      </c>
      <c r="F2107" s="29" t="s">
        <v>81</v>
      </c>
      <c r="G2107" s="36">
        <f>G2108</f>
        <v>78263.199999999997</v>
      </c>
      <c r="H2107" s="36">
        <f t="shared" ref="H2107:K2107" si="1123">H2108</f>
        <v>78263.199999999997</v>
      </c>
      <c r="I2107" s="36">
        <f t="shared" si="1123"/>
        <v>43300</v>
      </c>
      <c r="J2107" s="36">
        <f t="shared" si="1123"/>
        <v>43300</v>
      </c>
      <c r="K2107" s="36">
        <f t="shared" si="1123"/>
        <v>43300</v>
      </c>
      <c r="L2107" s="36">
        <f t="shared" si="1080"/>
        <v>55.326130288564748</v>
      </c>
      <c r="M2107" s="36">
        <f t="shared" si="1081"/>
        <v>100</v>
      </c>
    </row>
    <row r="2108" spans="1:13">
      <c r="A2108" s="60" t="s">
        <v>271</v>
      </c>
      <c r="B2108" s="29" t="s">
        <v>903</v>
      </c>
      <c r="C2108" s="29" t="s">
        <v>150</v>
      </c>
      <c r="D2108" s="29" t="s">
        <v>148</v>
      </c>
      <c r="E2108" s="29" t="s">
        <v>917</v>
      </c>
      <c r="F2108" s="29" t="s">
        <v>272</v>
      </c>
      <c r="G2108" s="36">
        <v>78263.199999999997</v>
      </c>
      <c r="H2108" s="36">
        <v>78263.199999999997</v>
      </c>
      <c r="I2108" s="36">
        <v>43300</v>
      </c>
      <c r="J2108" s="36">
        <v>43300</v>
      </c>
      <c r="K2108" s="36">
        <v>43300</v>
      </c>
      <c r="L2108" s="36">
        <f t="shared" si="1080"/>
        <v>55.326130288564748</v>
      </c>
      <c r="M2108" s="36">
        <f t="shared" si="1081"/>
        <v>100</v>
      </c>
    </row>
    <row r="2109" spans="1:13">
      <c r="A2109" s="60" t="s">
        <v>72</v>
      </c>
      <c r="B2109" s="29" t="s">
        <v>903</v>
      </c>
      <c r="C2109" s="29" t="s">
        <v>150</v>
      </c>
      <c r="D2109" s="29" t="s">
        <v>148</v>
      </c>
      <c r="E2109" s="29" t="s">
        <v>917</v>
      </c>
      <c r="F2109" s="29" t="s">
        <v>73</v>
      </c>
      <c r="G2109" s="36">
        <f>G2111</f>
        <v>6506.7</v>
      </c>
      <c r="H2109" s="36">
        <f>H2111+H2110</f>
        <v>6506.7</v>
      </c>
      <c r="I2109" s="36">
        <f t="shared" ref="I2109:K2109" si="1124">I2111+I2110</f>
        <v>3632.1090000000004</v>
      </c>
      <c r="J2109" s="36">
        <f t="shared" si="1124"/>
        <v>3632.1090000000004</v>
      </c>
      <c r="K2109" s="36">
        <f t="shared" si="1124"/>
        <v>3602.0288700000001</v>
      </c>
      <c r="L2109" s="36">
        <f t="shared" si="1080"/>
        <v>55.358766655908532</v>
      </c>
      <c r="M2109" s="36">
        <f t="shared" si="1081"/>
        <v>99.171827442403298</v>
      </c>
    </row>
    <row r="2110" spans="1:13">
      <c r="A2110" s="60" t="s">
        <v>84</v>
      </c>
      <c r="B2110" s="29" t="s">
        <v>903</v>
      </c>
      <c r="C2110" s="29" t="s">
        <v>150</v>
      </c>
      <c r="D2110" s="29" t="s">
        <v>148</v>
      </c>
      <c r="E2110" s="29" t="s">
        <v>917</v>
      </c>
      <c r="F2110" s="29">
        <v>830</v>
      </c>
      <c r="G2110" s="36"/>
      <c r="H2110" s="36">
        <v>14.808999999999999</v>
      </c>
      <c r="I2110" s="36">
        <v>14.808999999999999</v>
      </c>
      <c r="J2110" s="36">
        <v>14.808999999999999</v>
      </c>
      <c r="K2110" s="36">
        <v>14.808999999999999</v>
      </c>
      <c r="L2110" s="36">
        <f t="shared" ref="L2110" si="1125">K2110/H2110*100</f>
        <v>100</v>
      </c>
      <c r="M2110" s="36">
        <f t="shared" ref="M2110" si="1126">K2110/I2110*100</f>
        <v>100</v>
      </c>
    </row>
    <row r="2111" spans="1:13">
      <c r="A2111" s="60" t="s">
        <v>74</v>
      </c>
      <c r="B2111" s="29" t="s">
        <v>903</v>
      </c>
      <c r="C2111" s="29" t="s">
        <v>150</v>
      </c>
      <c r="D2111" s="29" t="s">
        <v>148</v>
      </c>
      <c r="E2111" s="29" t="s">
        <v>917</v>
      </c>
      <c r="F2111" s="29" t="s">
        <v>75</v>
      </c>
      <c r="G2111" s="36">
        <v>6506.7</v>
      </c>
      <c r="H2111" s="36">
        <f>4104.891+2337+50</f>
        <v>6491.8909999999996</v>
      </c>
      <c r="I2111" s="36">
        <f>2311.5+1255.8+50</f>
        <v>3617.3</v>
      </c>
      <c r="J2111" s="36">
        <f>2311.5+1255.8+50</f>
        <v>3617.3</v>
      </c>
      <c r="K2111" s="36">
        <f>2306.1006+1231.11927+50</f>
        <v>3587.2198699999999</v>
      </c>
      <c r="L2111" s="36">
        <f t="shared" si="1080"/>
        <v>55.256933149370504</v>
      </c>
      <c r="M2111" s="36">
        <f t="shared" si="1081"/>
        <v>99.168436955740461</v>
      </c>
    </row>
    <row r="2112" spans="1:13" ht="25.5">
      <c r="A2112" s="60" t="s">
        <v>918</v>
      </c>
      <c r="B2112" s="29" t="s">
        <v>903</v>
      </c>
      <c r="C2112" s="29" t="s">
        <v>150</v>
      </c>
      <c r="D2112" s="29" t="s">
        <v>148</v>
      </c>
      <c r="E2112" s="29" t="s">
        <v>919</v>
      </c>
      <c r="F2112" s="59" t="s">
        <v>0</v>
      </c>
      <c r="G2112" s="36">
        <f>G2113</f>
        <v>8017.5</v>
      </c>
      <c r="H2112" s="36">
        <f t="shared" ref="H2112:K2113" si="1127">H2113</f>
        <v>8017.5</v>
      </c>
      <c r="I2112" s="36">
        <f t="shared" si="1127"/>
        <v>5100</v>
      </c>
      <c r="J2112" s="36">
        <f t="shared" si="1127"/>
        <v>5100</v>
      </c>
      <c r="K2112" s="36">
        <f t="shared" si="1127"/>
        <v>5100</v>
      </c>
      <c r="L2112" s="36">
        <f t="shared" si="1080"/>
        <v>63.610851262862489</v>
      </c>
      <c r="M2112" s="36">
        <f t="shared" si="1081"/>
        <v>100</v>
      </c>
    </row>
    <row r="2113" spans="1:13" ht="25.5">
      <c r="A2113" s="60" t="s">
        <v>80</v>
      </c>
      <c r="B2113" s="29" t="s">
        <v>903</v>
      </c>
      <c r="C2113" s="29" t="s">
        <v>150</v>
      </c>
      <c r="D2113" s="29" t="s">
        <v>148</v>
      </c>
      <c r="E2113" s="29" t="s">
        <v>919</v>
      </c>
      <c r="F2113" s="29" t="s">
        <v>81</v>
      </c>
      <c r="G2113" s="36">
        <f>G2114</f>
        <v>8017.5</v>
      </c>
      <c r="H2113" s="36">
        <f t="shared" si="1127"/>
        <v>8017.5</v>
      </c>
      <c r="I2113" s="36">
        <f t="shared" si="1127"/>
        <v>5100</v>
      </c>
      <c r="J2113" s="36">
        <f t="shared" si="1127"/>
        <v>5100</v>
      </c>
      <c r="K2113" s="36">
        <f t="shared" si="1127"/>
        <v>5100</v>
      </c>
      <c r="L2113" s="36">
        <f t="shared" si="1080"/>
        <v>63.610851262862489</v>
      </c>
      <c r="M2113" s="36">
        <f t="shared" si="1081"/>
        <v>100</v>
      </c>
    </row>
    <row r="2114" spans="1:13" ht="38.25">
      <c r="A2114" s="60" t="s">
        <v>195</v>
      </c>
      <c r="B2114" s="29" t="s">
        <v>903</v>
      </c>
      <c r="C2114" s="29" t="s">
        <v>150</v>
      </c>
      <c r="D2114" s="29" t="s">
        <v>148</v>
      </c>
      <c r="E2114" s="29" t="s">
        <v>919</v>
      </c>
      <c r="F2114" s="29" t="s">
        <v>196</v>
      </c>
      <c r="G2114" s="36">
        <v>8017.5</v>
      </c>
      <c r="H2114" s="36">
        <v>8017.5</v>
      </c>
      <c r="I2114" s="36">
        <v>5100</v>
      </c>
      <c r="J2114" s="36">
        <v>5100</v>
      </c>
      <c r="K2114" s="36">
        <v>5100</v>
      </c>
      <c r="L2114" s="36">
        <f t="shared" si="1080"/>
        <v>63.610851262862489</v>
      </c>
      <c r="M2114" s="36">
        <f t="shared" si="1081"/>
        <v>100</v>
      </c>
    </row>
    <row r="2115" spans="1:13">
      <c r="A2115" s="63" t="s">
        <v>612</v>
      </c>
      <c r="B2115" s="29" t="s">
        <v>903</v>
      </c>
      <c r="C2115" s="29" t="s">
        <v>150</v>
      </c>
      <c r="D2115" s="29" t="s">
        <v>148</v>
      </c>
      <c r="E2115" s="30" t="s">
        <v>613</v>
      </c>
      <c r="F2115" s="29"/>
      <c r="G2115" s="36"/>
      <c r="H2115" s="36">
        <f>H2116</f>
        <v>600</v>
      </c>
      <c r="I2115" s="36">
        <f t="shared" ref="I2115:K2117" si="1128">I2116</f>
        <v>600</v>
      </c>
      <c r="J2115" s="36">
        <f t="shared" si="1128"/>
        <v>600</v>
      </c>
      <c r="K2115" s="36">
        <f t="shared" si="1128"/>
        <v>600</v>
      </c>
      <c r="L2115" s="36">
        <f t="shared" ref="L2115:L2118" si="1129">K2115/H2115*100</f>
        <v>100</v>
      </c>
      <c r="M2115" s="36">
        <f t="shared" ref="M2115:M2118" si="1130">K2115/I2115*100</f>
        <v>100</v>
      </c>
    </row>
    <row r="2116" spans="1:13">
      <c r="A2116" s="63" t="s">
        <v>612</v>
      </c>
      <c r="B2116" s="29" t="s">
        <v>903</v>
      </c>
      <c r="C2116" s="29" t="s">
        <v>150</v>
      </c>
      <c r="D2116" s="29" t="s">
        <v>148</v>
      </c>
      <c r="E2116" s="30" t="s">
        <v>614</v>
      </c>
      <c r="F2116" s="29"/>
      <c r="G2116" s="36"/>
      <c r="H2116" s="36">
        <f>H2117</f>
        <v>600</v>
      </c>
      <c r="I2116" s="36">
        <f t="shared" si="1128"/>
        <v>600</v>
      </c>
      <c r="J2116" s="36">
        <f t="shared" si="1128"/>
        <v>600</v>
      </c>
      <c r="K2116" s="36">
        <f t="shared" si="1128"/>
        <v>600</v>
      </c>
      <c r="L2116" s="36">
        <f t="shared" si="1129"/>
        <v>100</v>
      </c>
      <c r="M2116" s="36">
        <f t="shared" si="1130"/>
        <v>100</v>
      </c>
    </row>
    <row r="2117" spans="1:13">
      <c r="A2117" s="63" t="s">
        <v>26</v>
      </c>
      <c r="B2117" s="29" t="s">
        <v>903</v>
      </c>
      <c r="C2117" s="29" t="s">
        <v>150</v>
      </c>
      <c r="D2117" s="29" t="s">
        <v>148</v>
      </c>
      <c r="E2117" s="30" t="s">
        <v>614</v>
      </c>
      <c r="F2117" s="29">
        <v>500</v>
      </c>
      <c r="G2117" s="36"/>
      <c r="H2117" s="36">
        <f>H2118</f>
        <v>600</v>
      </c>
      <c r="I2117" s="36">
        <f t="shared" si="1128"/>
        <v>600</v>
      </c>
      <c r="J2117" s="36">
        <f t="shared" si="1128"/>
        <v>600</v>
      </c>
      <c r="K2117" s="36">
        <f t="shared" si="1128"/>
        <v>600</v>
      </c>
      <c r="L2117" s="36">
        <f t="shared" si="1129"/>
        <v>100</v>
      </c>
      <c r="M2117" s="36">
        <f t="shared" si="1130"/>
        <v>100</v>
      </c>
    </row>
    <row r="2118" spans="1:13">
      <c r="A2118" s="63" t="s">
        <v>352</v>
      </c>
      <c r="B2118" s="29" t="s">
        <v>903</v>
      </c>
      <c r="C2118" s="29" t="s">
        <v>150</v>
      </c>
      <c r="D2118" s="29" t="s">
        <v>148</v>
      </c>
      <c r="E2118" s="30" t="s">
        <v>614</v>
      </c>
      <c r="F2118" s="29">
        <v>540</v>
      </c>
      <c r="G2118" s="36"/>
      <c r="H2118" s="36">
        <v>600</v>
      </c>
      <c r="I2118" s="36">
        <v>600</v>
      </c>
      <c r="J2118" s="36">
        <v>600</v>
      </c>
      <c r="K2118" s="36">
        <v>600</v>
      </c>
      <c r="L2118" s="36">
        <f t="shared" si="1129"/>
        <v>100</v>
      </c>
      <c r="M2118" s="36">
        <f t="shared" si="1130"/>
        <v>100</v>
      </c>
    </row>
    <row r="2119" spans="1:13">
      <c r="A2119" s="61" t="s">
        <v>0</v>
      </c>
      <c r="B2119" s="59" t="s">
        <v>0</v>
      </c>
      <c r="C2119" s="59" t="s">
        <v>0</v>
      </c>
      <c r="D2119" s="59" t="s">
        <v>0</v>
      </c>
      <c r="E2119" s="59" t="s">
        <v>0</v>
      </c>
      <c r="F2119" s="59" t="s">
        <v>0</v>
      </c>
      <c r="G2119" s="62" t="s">
        <v>0</v>
      </c>
      <c r="H2119" s="62" t="s">
        <v>0</v>
      </c>
      <c r="I2119" s="62" t="s">
        <v>0</v>
      </c>
      <c r="J2119" s="62" t="s">
        <v>0</v>
      </c>
      <c r="K2119" s="62" t="s">
        <v>0</v>
      </c>
      <c r="L2119" s="36"/>
      <c r="M2119" s="62"/>
    </row>
    <row r="2120" spans="1:13">
      <c r="A2120" s="60" t="s">
        <v>109</v>
      </c>
      <c r="B2120" s="29" t="s">
        <v>903</v>
      </c>
      <c r="C2120" s="29" t="s">
        <v>110</v>
      </c>
      <c r="D2120" s="59" t="s">
        <v>0</v>
      </c>
      <c r="E2120" s="59" t="s">
        <v>0</v>
      </c>
      <c r="F2120" s="59" t="s">
        <v>0</v>
      </c>
      <c r="G2120" s="36">
        <f t="shared" ref="G2120:G2125" si="1131">G2121</f>
        <v>10324.1</v>
      </c>
      <c r="H2120" s="36">
        <f t="shared" ref="H2120:K2125" si="1132">H2121</f>
        <v>10324.1</v>
      </c>
      <c r="I2120" s="36">
        <f t="shared" si="1132"/>
        <v>5779.4</v>
      </c>
      <c r="J2120" s="36">
        <f t="shared" si="1132"/>
        <v>5779.4</v>
      </c>
      <c r="K2120" s="36">
        <f t="shared" si="1132"/>
        <v>5779.4</v>
      </c>
      <c r="L2120" s="36">
        <f t="shared" si="1080"/>
        <v>55.979697988202361</v>
      </c>
      <c r="M2120" s="36">
        <f t="shared" si="1081"/>
        <v>100</v>
      </c>
    </row>
    <row r="2121" spans="1:13" ht="25.5">
      <c r="A2121" s="60" t="s">
        <v>288</v>
      </c>
      <c r="B2121" s="29" t="s">
        <v>903</v>
      </c>
      <c r="C2121" s="29" t="s">
        <v>110</v>
      </c>
      <c r="D2121" s="29" t="s">
        <v>93</v>
      </c>
      <c r="E2121" s="59" t="s">
        <v>0</v>
      </c>
      <c r="F2121" s="59" t="s">
        <v>0</v>
      </c>
      <c r="G2121" s="36">
        <f t="shared" si="1131"/>
        <v>10324.1</v>
      </c>
      <c r="H2121" s="36">
        <f t="shared" si="1132"/>
        <v>10324.1</v>
      </c>
      <c r="I2121" s="36">
        <f t="shared" si="1132"/>
        <v>5779.4</v>
      </c>
      <c r="J2121" s="36">
        <f t="shared" si="1132"/>
        <v>5779.4</v>
      </c>
      <c r="K2121" s="36">
        <f t="shared" si="1132"/>
        <v>5779.4</v>
      </c>
      <c r="L2121" s="36">
        <f t="shared" si="1080"/>
        <v>55.979697988202361</v>
      </c>
      <c r="M2121" s="36">
        <f t="shared" si="1081"/>
        <v>100</v>
      </c>
    </row>
    <row r="2122" spans="1:13" ht="63.75">
      <c r="A2122" s="60" t="s">
        <v>166</v>
      </c>
      <c r="B2122" s="29" t="s">
        <v>903</v>
      </c>
      <c r="C2122" s="29" t="s">
        <v>110</v>
      </c>
      <c r="D2122" s="29" t="s">
        <v>93</v>
      </c>
      <c r="E2122" s="29" t="s">
        <v>167</v>
      </c>
      <c r="F2122" s="59" t="s">
        <v>0</v>
      </c>
      <c r="G2122" s="36">
        <f t="shared" si="1131"/>
        <v>10324.1</v>
      </c>
      <c r="H2122" s="36">
        <f t="shared" si="1132"/>
        <v>10324.1</v>
      </c>
      <c r="I2122" s="36">
        <f t="shared" si="1132"/>
        <v>5779.4</v>
      </c>
      <c r="J2122" s="36">
        <f t="shared" si="1132"/>
        <v>5779.4</v>
      </c>
      <c r="K2122" s="36">
        <f t="shared" si="1132"/>
        <v>5779.4</v>
      </c>
      <c r="L2122" s="36">
        <f t="shared" si="1080"/>
        <v>55.979697988202361</v>
      </c>
      <c r="M2122" s="36">
        <f t="shared" si="1081"/>
        <v>100</v>
      </c>
    </row>
    <row r="2123" spans="1:13" ht="63.75">
      <c r="A2123" s="60" t="s">
        <v>168</v>
      </c>
      <c r="B2123" s="29" t="s">
        <v>903</v>
      </c>
      <c r="C2123" s="29" t="s">
        <v>110</v>
      </c>
      <c r="D2123" s="29" t="s">
        <v>93</v>
      </c>
      <c r="E2123" s="29" t="s">
        <v>169</v>
      </c>
      <c r="F2123" s="59" t="s">
        <v>0</v>
      </c>
      <c r="G2123" s="36">
        <f t="shared" si="1131"/>
        <v>10324.1</v>
      </c>
      <c r="H2123" s="36">
        <f t="shared" si="1132"/>
        <v>10324.1</v>
      </c>
      <c r="I2123" s="36">
        <f t="shared" si="1132"/>
        <v>5779.4</v>
      </c>
      <c r="J2123" s="36">
        <f t="shared" si="1132"/>
        <v>5779.4</v>
      </c>
      <c r="K2123" s="36">
        <f t="shared" si="1132"/>
        <v>5779.4</v>
      </c>
      <c r="L2123" s="36">
        <f t="shared" si="1080"/>
        <v>55.979697988202361</v>
      </c>
      <c r="M2123" s="36">
        <f t="shared" si="1081"/>
        <v>100</v>
      </c>
    </row>
    <row r="2124" spans="1:13" ht="25.5">
      <c r="A2124" s="60" t="s">
        <v>76</v>
      </c>
      <c r="B2124" s="29" t="s">
        <v>903</v>
      </c>
      <c r="C2124" s="29" t="s">
        <v>110</v>
      </c>
      <c r="D2124" s="29" t="s">
        <v>93</v>
      </c>
      <c r="E2124" s="29" t="s">
        <v>904</v>
      </c>
      <c r="F2124" s="59" t="s">
        <v>0</v>
      </c>
      <c r="G2124" s="36">
        <f t="shared" si="1131"/>
        <v>10324.1</v>
      </c>
      <c r="H2124" s="36">
        <f t="shared" si="1132"/>
        <v>10324.1</v>
      </c>
      <c r="I2124" s="36">
        <f t="shared" si="1132"/>
        <v>5779.4</v>
      </c>
      <c r="J2124" s="36">
        <f t="shared" si="1132"/>
        <v>5779.4</v>
      </c>
      <c r="K2124" s="36">
        <f t="shared" si="1132"/>
        <v>5779.4</v>
      </c>
      <c r="L2124" s="36">
        <f t="shared" ref="L2124:L2126" si="1133">K2124/H2124*100</f>
        <v>55.979697988202361</v>
      </c>
      <c r="M2124" s="36">
        <f t="shared" ref="M2124:M2215" si="1134">K2124/I2124*100</f>
        <v>100</v>
      </c>
    </row>
    <row r="2125" spans="1:13" ht="25.5">
      <c r="A2125" s="60" t="s">
        <v>80</v>
      </c>
      <c r="B2125" s="29" t="s">
        <v>903</v>
      </c>
      <c r="C2125" s="29" t="s">
        <v>110</v>
      </c>
      <c r="D2125" s="29" t="s">
        <v>93</v>
      </c>
      <c r="E2125" s="29" t="s">
        <v>904</v>
      </c>
      <c r="F2125" s="29" t="s">
        <v>81</v>
      </c>
      <c r="G2125" s="36">
        <f t="shared" si="1131"/>
        <v>10324.1</v>
      </c>
      <c r="H2125" s="36">
        <f t="shared" si="1132"/>
        <v>10324.1</v>
      </c>
      <c r="I2125" s="36">
        <f t="shared" si="1132"/>
        <v>5779.4</v>
      </c>
      <c r="J2125" s="36">
        <f t="shared" si="1132"/>
        <v>5779.4</v>
      </c>
      <c r="K2125" s="36">
        <f t="shared" si="1132"/>
        <v>5779.4</v>
      </c>
      <c r="L2125" s="36">
        <f t="shared" si="1133"/>
        <v>55.979697988202361</v>
      </c>
      <c r="M2125" s="36">
        <f t="shared" si="1134"/>
        <v>100</v>
      </c>
    </row>
    <row r="2126" spans="1:13">
      <c r="A2126" s="60" t="s">
        <v>271</v>
      </c>
      <c r="B2126" s="29" t="s">
        <v>903</v>
      </c>
      <c r="C2126" s="29" t="s">
        <v>110</v>
      </c>
      <c r="D2126" s="29" t="s">
        <v>93</v>
      </c>
      <c r="E2126" s="29" t="s">
        <v>904</v>
      </c>
      <c r="F2126" s="29" t="s">
        <v>272</v>
      </c>
      <c r="G2126" s="36">
        <v>10324.1</v>
      </c>
      <c r="H2126" s="36">
        <v>10324.1</v>
      </c>
      <c r="I2126" s="36">
        <v>5779.4</v>
      </c>
      <c r="J2126" s="36">
        <v>5779.4</v>
      </c>
      <c r="K2126" s="36">
        <v>5779.4</v>
      </c>
      <c r="L2126" s="36">
        <f t="shared" si="1133"/>
        <v>55.979697988202361</v>
      </c>
      <c r="M2126" s="36">
        <f t="shared" si="1134"/>
        <v>100</v>
      </c>
    </row>
    <row r="2127" spans="1:13">
      <c r="A2127" s="65" t="s">
        <v>0</v>
      </c>
      <c r="B2127" s="66" t="s">
        <v>0</v>
      </c>
      <c r="C2127" s="59" t="s">
        <v>0</v>
      </c>
      <c r="D2127" s="59" t="s">
        <v>0</v>
      </c>
      <c r="E2127" s="59" t="s">
        <v>0</v>
      </c>
      <c r="F2127" s="59" t="s">
        <v>0</v>
      </c>
      <c r="G2127" s="67" t="s">
        <v>0</v>
      </c>
      <c r="H2127" s="67" t="s">
        <v>0</v>
      </c>
      <c r="I2127" s="67" t="s">
        <v>0</v>
      </c>
      <c r="J2127" s="67" t="s">
        <v>0</v>
      </c>
      <c r="K2127" s="67" t="s">
        <v>0</v>
      </c>
      <c r="L2127" s="67"/>
      <c r="M2127" s="67"/>
    </row>
    <row r="2128" spans="1:13" ht="25.5">
      <c r="A2128" s="57" t="s">
        <v>920</v>
      </c>
      <c r="B2128" s="58" t="s">
        <v>921</v>
      </c>
      <c r="C2128" s="59" t="s">
        <v>0</v>
      </c>
      <c r="D2128" s="59" t="s">
        <v>0</v>
      </c>
      <c r="E2128" s="59" t="s">
        <v>0</v>
      </c>
      <c r="F2128" s="59" t="s">
        <v>0</v>
      </c>
      <c r="G2128" s="31">
        <f>G2129+G2141</f>
        <v>436623.4</v>
      </c>
      <c r="H2128" s="31">
        <f t="shared" ref="H2128:K2128" si="1135">H2129+H2141</f>
        <v>454413.9500800001</v>
      </c>
      <c r="I2128" s="31">
        <f t="shared" si="1135"/>
        <v>260558.54</v>
      </c>
      <c r="J2128" s="31">
        <f t="shared" si="1135"/>
        <v>260558.54</v>
      </c>
      <c r="K2128" s="31">
        <f t="shared" si="1135"/>
        <v>243827.53168000001</v>
      </c>
      <c r="L2128" s="31">
        <f t="shared" ref="L2128:L2215" si="1136">K2128/H2128*100</f>
        <v>53.657580634809712</v>
      </c>
      <c r="M2128" s="31">
        <f t="shared" si="1134"/>
        <v>93.578791038666395</v>
      </c>
    </row>
    <row r="2129" spans="1:13">
      <c r="A2129" s="60" t="s">
        <v>16</v>
      </c>
      <c r="B2129" s="29" t="s">
        <v>921</v>
      </c>
      <c r="C2129" s="29" t="s">
        <v>17</v>
      </c>
      <c r="D2129" s="59" t="s">
        <v>0</v>
      </c>
      <c r="E2129" s="59" t="s">
        <v>0</v>
      </c>
      <c r="F2129" s="59" t="s">
        <v>0</v>
      </c>
      <c r="G2129" s="36">
        <f>G2130</f>
        <v>31624.3</v>
      </c>
      <c r="H2129" s="36">
        <f t="shared" ref="H2129:K2132" si="1137">H2130</f>
        <v>25140.310079999999</v>
      </c>
      <c r="I2129" s="36">
        <f t="shared" si="1137"/>
        <v>14132.3</v>
      </c>
      <c r="J2129" s="36">
        <f t="shared" si="1137"/>
        <v>14132.3</v>
      </c>
      <c r="K2129" s="36">
        <f t="shared" si="1137"/>
        <v>12546.491679999999</v>
      </c>
      <c r="L2129" s="36">
        <f t="shared" si="1136"/>
        <v>49.905874828414213</v>
      </c>
      <c r="M2129" s="36">
        <f t="shared" si="1134"/>
        <v>88.77883769803924</v>
      </c>
    </row>
    <row r="2130" spans="1:13">
      <c r="A2130" s="60" t="s">
        <v>386</v>
      </c>
      <c r="B2130" s="29" t="s">
        <v>921</v>
      </c>
      <c r="C2130" s="29" t="s">
        <v>17</v>
      </c>
      <c r="D2130" s="29" t="s">
        <v>387</v>
      </c>
      <c r="E2130" s="59" t="s">
        <v>0</v>
      </c>
      <c r="F2130" s="59" t="s">
        <v>0</v>
      </c>
      <c r="G2130" s="36">
        <f>G2131</f>
        <v>31624.3</v>
      </c>
      <c r="H2130" s="36">
        <f t="shared" si="1137"/>
        <v>25140.310079999999</v>
      </c>
      <c r="I2130" s="36">
        <f t="shared" si="1137"/>
        <v>14132.3</v>
      </c>
      <c r="J2130" s="36">
        <f t="shared" si="1137"/>
        <v>14132.3</v>
      </c>
      <c r="K2130" s="36">
        <f t="shared" si="1137"/>
        <v>12546.491679999999</v>
      </c>
      <c r="L2130" s="36">
        <f t="shared" si="1136"/>
        <v>49.905874828414213</v>
      </c>
      <c r="M2130" s="36">
        <f t="shared" si="1134"/>
        <v>88.77883769803924</v>
      </c>
    </row>
    <row r="2131" spans="1:13" ht="63.75">
      <c r="A2131" s="60" t="s">
        <v>156</v>
      </c>
      <c r="B2131" s="29" t="s">
        <v>921</v>
      </c>
      <c r="C2131" s="29" t="s">
        <v>17</v>
      </c>
      <c r="D2131" s="29" t="s">
        <v>387</v>
      </c>
      <c r="E2131" s="29" t="s">
        <v>157</v>
      </c>
      <c r="F2131" s="59" t="s">
        <v>0</v>
      </c>
      <c r="G2131" s="36">
        <f>G2132</f>
        <v>31624.3</v>
      </c>
      <c r="H2131" s="36">
        <f t="shared" si="1137"/>
        <v>25140.310079999999</v>
      </c>
      <c r="I2131" s="36">
        <f t="shared" si="1137"/>
        <v>14132.3</v>
      </c>
      <c r="J2131" s="36">
        <f t="shared" si="1137"/>
        <v>14132.3</v>
      </c>
      <c r="K2131" s="36">
        <f t="shared" si="1137"/>
        <v>12546.491679999999</v>
      </c>
      <c r="L2131" s="36">
        <f t="shared" si="1136"/>
        <v>49.905874828414213</v>
      </c>
      <c r="M2131" s="36">
        <f t="shared" si="1134"/>
        <v>88.77883769803924</v>
      </c>
    </row>
    <row r="2132" spans="1:13" ht="25.5">
      <c r="A2132" s="60" t="s">
        <v>22</v>
      </c>
      <c r="B2132" s="29" t="s">
        <v>921</v>
      </c>
      <c r="C2132" s="29" t="s">
        <v>17</v>
      </c>
      <c r="D2132" s="29" t="s">
        <v>387</v>
      </c>
      <c r="E2132" s="29" t="s">
        <v>922</v>
      </c>
      <c r="F2132" s="59" t="s">
        <v>0</v>
      </c>
      <c r="G2132" s="36">
        <f>G2133</f>
        <v>31624.3</v>
      </c>
      <c r="H2132" s="36">
        <f t="shared" si="1137"/>
        <v>25140.310079999999</v>
      </c>
      <c r="I2132" s="36">
        <f t="shared" si="1137"/>
        <v>14132.3</v>
      </c>
      <c r="J2132" s="36">
        <f t="shared" si="1137"/>
        <v>14132.3</v>
      </c>
      <c r="K2132" s="36">
        <f t="shared" si="1137"/>
        <v>12546.491679999999</v>
      </c>
      <c r="L2132" s="36">
        <f t="shared" si="1136"/>
        <v>49.905874828414213</v>
      </c>
      <c r="M2132" s="36">
        <f t="shared" si="1134"/>
        <v>88.77883769803924</v>
      </c>
    </row>
    <row r="2133" spans="1:13" ht="25.5">
      <c r="A2133" s="60" t="s">
        <v>58</v>
      </c>
      <c r="B2133" s="29" t="s">
        <v>921</v>
      </c>
      <c r="C2133" s="29" t="s">
        <v>17</v>
      </c>
      <c r="D2133" s="29" t="s">
        <v>387</v>
      </c>
      <c r="E2133" s="29" t="s">
        <v>923</v>
      </c>
      <c r="F2133" s="59" t="s">
        <v>0</v>
      </c>
      <c r="G2133" s="36">
        <f>G2134+G2136+G2138</f>
        <v>31624.3</v>
      </c>
      <c r="H2133" s="36">
        <f t="shared" ref="H2133:K2133" si="1138">H2134+H2136+H2138</f>
        <v>25140.310079999999</v>
      </c>
      <c r="I2133" s="36">
        <f t="shared" si="1138"/>
        <v>14132.3</v>
      </c>
      <c r="J2133" s="36">
        <f t="shared" si="1138"/>
        <v>14132.3</v>
      </c>
      <c r="K2133" s="36">
        <f t="shared" si="1138"/>
        <v>12546.491679999999</v>
      </c>
      <c r="L2133" s="36">
        <f t="shared" si="1136"/>
        <v>49.905874828414213</v>
      </c>
      <c r="M2133" s="36">
        <f t="shared" si="1134"/>
        <v>88.77883769803924</v>
      </c>
    </row>
    <row r="2134" spans="1:13" ht="63.75">
      <c r="A2134" s="60" t="s">
        <v>60</v>
      </c>
      <c r="B2134" s="29" t="s">
        <v>921</v>
      </c>
      <c r="C2134" s="29" t="s">
        <v>17</v>
      </c>
      <c r="D2134" s="29" t="s">
        <v>387</v>
      </c>
      <c r="E2134" s="29" t="s">
        <v>923</v>
      </c>
      <c r="F2134" s="29" t="s">
        <v>61</v>
      </c>
      <c r="G2134" s="36">
        <f>G2135</f>
        <v>30789</v>
      </c>
      <c r="H2134" s="36">
        <f t="shared" ref="H2134:K2134" si="1139">H2135</f>
        <v>24420.76008</v>
      </c>
      <c r="I2134" s="36">
        <f t="shared" si="1139"/>
        <v>13659.6</v>
      </c>
      <c r="J2134" s="36">
        <f t="shared" si="1139"/>
        <v>13659.6</v>
      </c>
      <c r="K2134" s="36">
        <f t="shared" si="1139"/>
        <v>12245.5604</v>
      </c>
      <c r="L2134" s="36">
        <f t="shared" si="1136"/>
        <v>50.144059234375803</v>
      </c>
      <c r="M2134" s="36">
        <f t="shared" si="1134"/>
        <v>89.648016047322031</v>
      </c>
    </row>
    <row r="2135" spans="1:13" ht="25.5">
      <c r="A2135" s="60" t="s">
        <v>62</v>
      </c>
      <c r="B2135" s="29" t="s">
        <v>921</v>
      </c>
      <c r="C2135" s="29" t="s">
        <v>17</v>
      </c>
      <c r="D2135" s="29" t="s">
        <v>387</v>
      </c>
      <c r="E2135" s="29" t="s">
        <v>923</v>
      </c>
      <c r="F2135" s="29" t="s">
        <v>63</v>
      </c>
      <c r="G2135" s="36">
        <v>30789</v>
      </c>
      <c r="H2135" s="36">
        <v>24420.76008</v>
      </c>
      <c r="I2135" s="36">
        <f>10086+780+2793.6</f>
        <v>13659.6</v>
      </c>
      <c r="J2135" s="36">
        <f>10086+780+2793.6</f>
        <v>13659.6</v>
      </c>
      <c r="K2135" s="36">
        <f>8947.64112+754.63102+2543.28826</f>
        <v>12245.5604</v>
      </c>
      <c r="L2135" s="36">
        <f t="shared" si="1136"/>
        <v>50.144059234375803</v>
      </c>
      <c r="M2135" s="36">
        <f t="shared" si="1134"/>
        <v>89.648016047322031</v>
      </c>
    </row>
    <row r="2136" spans="1:13" ht="25.5">
      <c r="A2136" s="60" t="s">
        <v>64</v>
      </c>
      <c r="B2136" s="29" t="s">
        <v>921</v>
      </c>
      <c r="C2136" s="29" t="s">
        <v>17</v>
      </c>
      <c r="D2136" s="29" t="s">
        <v>387</v>
      </c>
      <c r="E2136" s="29" t="s">
        <v>923</v>
      </c>
      <c r="F2136" s="29" t="s">
        <v>65</v>
      </c>
      <c r="G2136" s="36">
        <f>G2137</f>
        <v>833.7</v>
      </c>
      <c r="H2136" s="36">
        <f t="shared" ref="H2136:K2136" si="1140">H2137</f>
        <v>717.95</v>
      </c>
      <c r="I2136" s="36">
        <f t="shared" si="1140"/>
        <v>471.9</v>
      </c>
      <c r="J2136" s="36">
        <f t="shared" si="1140"/>
        <v>471.9</v>
      </c>
      <c r="K2136" s="36">
        <f t="shared" si="1140"/>
        <v>300.63128</v>
      </c>
      <c r="L2136" s="36">
        <f t="shared" si="1136"/>
        <v>41.873567797200359</v>
      </c>
      <c r="M2136" s="36">
        <f t="shared" si="1134"/>
        <v>63.706564950201319</v>
      </c>
    </row>
    <row r="2137" spans="1:13" ht="25.5">
      <c r="A2137" s="60" t="s">
        <v>66</v>
      </c>
      <c r="B2137" s="29" t="s">
        <v>921</v>
      </c>
      <c r="C2137" s="29" t="s">
        <v>17</v>
      </c>
      <c r="D2137" s="29" t="s">
        <v>387</v>
      </c>
      <c r="E2137" s="29" t="s">
        <v>923</v>
      </c>
      <c r="F2137" s="29" t="s">
        <v>67</v>
      </c>
      <c r="G2137" s="36">
        <v>833.7</v>
      </c>
      <c r="H2137" s="36">
        <v>717.95</v>
      </c>
      <c r="I2137" s="36">
        <v>471.9</v>
      </c>
      <c r="J2137" s="36">
        <v>471.9</v>
      </c>
      <c r="K2137" s="36">
        <v>300.63128</v>
      </c>
      <c r="L2137" s="36">
        <f t="shared" si="1136"/>
        <v>41.873567797200359</v>
      </c>
      <c r="M2137" s="36">
        <f t="shared" si="1134"/>
        <v>63.706564950201319</v>
      </c>
    </row>
    <row r="2138" spans="1:13">
      <c r="A2138" s="60" t="s">
        <v>72</v>
      </c>
      <c r="B2138" s="29" t="s">
        <v>921</v>
      </c>
      <c r="C2138" s="29" t="s">
        <v>17</v>
      </c>
      <c r="D2138" s="29" t="s">
        <v>387</v>
      </c>
      <c r="E2138" s="29" t="s">
        <v>923</v>
      </c>
      <c r="F2138" s="29" t="s">
        <v>73</v>
      </c>
      <c r="G2138" s="36">
        <f>G2139</f>
        <v>1.6</v>
      </c>
      <c r="H2138" s="36">
        <f t="shared" ref="H2138:K2138" si="1141">H2139</f>
        <v>1.6</v>
      </c>
      <c r="I2138" s="36">
        <f t="shared" si="1141"/>
        <v>0.8</v>
      </c>
      <c r="J2138" s="36">
        <f t="shared" si="1141"/>
        <v>0.8</v>
      </c>
      <c r="K2138" s="36">
        <f t="shared" si="1141"/>
        <v>0.3</v>
      </c>
      <c r="L2138" s="36">
        <f t="shared" si="1136"/>
        <v>18.749999999999996</v>
      </c>
      <c r="M2138" s="36">
        <f t="shared" si="1134"/>
        <v>37.499999999999993</v>
      </c>
    </row>
    <row r="2139" spans="1:13">
      <c r="A2139" s="60" t="s">
        <v>74</v>
      </c>
      <c r="B2139" s="29" t="s">
        <v>921</v>
      </c>
      <c r="C2139" s="29" t="s">
        <v>17</v>
      </c>
      <c r="D2139" s="29" t="s">
        <v>387</v>
      </c>
      <c r="E2139" s="29" t="s">
        <v>923</v>
      </c>
      <c r="F2139" s="29" t="s">
        <v>75</v>
      </c>
      <c r="G2139" s="36">
        <v>1.6</v>
      </c>
      <c r="H2139" s="36">
        <v>1.6</v>
      </c>
      <c r="I2139" s="36">
        <v>0.8</v>
      </c>
      <c r="J2139" s="36">
        <v>0.8</v>
      </c>
      <c r="K2139" s="36">
        <v>0.3</v>
      </c>
      <c r="L2139" s="36">
        <f t="shared" si="1136"/>
        <v>18.749999999999996</v>
      </c>
      <c r="M2139" s="36">
        <f t="shared" si="1134"/>
        <v>37.499999999999993</v>
      </c>
    </row>
    <row r="2140" spans="1:13">
      <c r="A2140" s="61" t="s">
        <v>0</v>
      </c>
      <c r="B2140" s="59" t="s">
        <v>0</v>
      </c>
      <c r="C2140" s="59" t="s">
        <v>0</v>
      </c>
      <c r="D2140" s="59" t="s">
        <v>0</v>
      </c>
      <c r="E2140" s="59" t="s">
        <v>0</v>
      </c>
      <c r="F2140" s="59" t="s">
        <v>0</v>
      </c>
      <c r="G2140" s="62" t="s">
        <v>0</v>
      </c>
      <c r="H2140" s="62"/>
      <c r="I2140" s="62"/>
      <c r="J2140" s="62"/>
      <c r="K2140" s="62"/>
      <c r="L2140" s="62"/>
      <c r="M2140" s="62"/>
    </row>
    <row r="2141" spans="1:13">
      <c r="A2141" s="60" t="s">
        <v>153</v>
      </c>
      <c r="B2141" s="29" t="s">
        <v>921</v>
      </c>
      <c r="C2141" s="29" t="s">
        <v>154</v>
      </c>
      <c r="D2141" s="59" t="s">
        <v>0</v>
      </c>
      <c r="E2141" s="59" t="s">
        <v>0</v>
      </c>
      <c r="F2141" s="59" t="s">
        <v>0</v>
      </c>
      <c r="G2141" s="36">
        <f>G2142+G2184</f>
        <v>404999.10000000003</v>
      </c>
      <c r="H2141" s="36">
        <f>H2142+H2184</f>
        <v>429273.64000000007</v>
      </c>
      <c r="I2141" s="36">
        <f>I2142+I2184</f>
        <v>246426.24000000002</v>
      </c>
      <c r="J2141" s="36">
        <f>J2142+J2184</f>
        <v>246426.24000000002</v>
      </c>
      <c r="K2141" s="36">
        <f>K2142+K2184</f>
        <v>231281.04</v>
      </c>
      <c r="L2141" s="36">
        <f t="shared" si="1136"/>
        <v>53.87729840574417</v>
      </c>
      <c r="M2141" s="36">
        <f t="shared" si="1134"/>
        <v>93.854063593227735</v>
      </c>
    </row>
    <row r="2142" spans="1:13">
      <c r="A2142" s="60" t="s">
        <v>155</v>
      </c>
      <c r="B2142" s="29" t="s">
        <v>921</v>
      </c>
      <c r="C2142" s="29" t="s">
        <v>154</v>
      </c>
      <c r="D2142" s="29" t="s">
        <v>106</v>
      </c>
      <c r="E2142" s="59" t="s">
        <v>0</v>
      </c>
      <c r="F2142" s="59" t="s">
        <v>0</v>
      </c>
      <c r="G2142" s="36">
        <f>G2143+G2152</f>
        <v>25851.5</v>
      </c>
      <c r="H2142" s="36">
        <f>H2143+H2152+H2180</f>
        <v>53510.400000000001</v>
      </c>
      <c r="I2142" s="36">
        <f t="shared" ref="I2142:K2142" si="1142">I2143+I2152+I2180</f>
        <v>26764.400000000001</v>
      </c>
      <c r="J2142" s="36">
        <f t="shared" si="1142"/>
        <v>26764.400000000001</v>
      </c>
      <c r="K2142" s="36">
        <f t="shared" si="1142"/>
        <v>11623.6</v>
      </c>
      <c r="L2142" s="36">
        <f t="shared" si="1136"/>
        <v>21.722132520033487</v>
      </c>
      <c r="M2142" s="36">
        <f t="shared" si="1134"/>
        <v>43.429331500052307</v>
      </c>
    </row>
    <row r="2143" spans="1:13" ht="38.25">
      <c r="A2143" s="60" t="s">
        <v>299</v>
      </c>
      <c r="B2143" s="29" t="s">
        <v>921</v>
      </c>
      <c r="C2143" s="29" t="s">
        <v>154</v>
      </c>
      <c r="D2143" s="29" t="s">
        <v>106</v>
      </c>
      <c r="E2143" s="29" t="s">
        <v>300</v>
      </c>
      <c r="F2143" s="59" t="s">
        <v>0</v>
      </c>
      <c r="G2143" s="36">
        <f>G2144+G2148</f>
        <v>1271.4000000000001</v>
      </c>
      <c r="H2143" s="36">
        <f t="shared" ref="H2143:K2143" si="1143">H2144+H2148</f>
        <v>1271.4000000000001</v>
      </c>
      <c r="I2143" s="36">
        <f t="shared" si="1143"/>
        <v>63</v>
      </c>
      <c r="J2143" s="36">
        <f t="shared" si="1143"/>
        <v>63</v>
      </c>
      <c r="K2143" s="36">
        <f t="shared" si="1143"/>
        <v>63</v>
      </c>
      <c r="L2143" s="36">
        <f t="shared" si="1136"/>
        <v>4.9551675318546478</v>
      </c>
      <c r="M2143" s="36">
        <f t="shared" si="1134"/>
        <v>100</v>
      </c>
    </row>
    <row r="2144" spans="1:13" ht="38.25">
      <c r="A2144" s="60" t="s">
        <v>884</v>
      </c>
      <c r="B2144" s="29" t="s">
        <v>921</v>
      </c>
      <c r="C2144" s="29" t="s">
        <v>154</v>
      </c>
      <c r="D2144" s="29" t="s">
        <v>106</v>
      </c>
      <c r="E2144" s="29" t="s">
        <v>885</v>
      </c>
      <c r="F2144" s="59" t="s">
        <v>0</v>
      </c>
      <c r="G2144" s="36">
        <f>G2145</f>
        <v>126</v>
      </c>
      <c r="H2144" s="36">
        <f t="shared" ref="H2144:K2146" si="1144">H2145</f>
        <v>126</v>
      </c>
      <c r="I2144" s="36">
        <f t="shared" si="1144"/>
        <v>63</v>
      </c>
      <c r="J2144" s="36">
        <f t="shared" si="1144"/>
        <v>63</v>
      </c>
      <c r="K2144" s="36">
        <f t="shared" si="1144"/>
        <v>63</v>
      </c>
      <c r="L2144" s="36">
        <f t="shared" si="1136"/>
        <v>50</v>
      </c>
      <c r="M2144" s="36">
        <f t="shared" si="1134"/>
        <v>100</v>
      </c>
    </row>
    <row r="2145" spans="1:13">
      <c r="A2145" s="60" t="s">
        <v>924</v>
      </c>
      <c r="B2145" s="29" t="s">
        <v>921</v>
      </c>
      <c r="C2145" s="29" t="s">
        <v>154</v>
      </c>
      <c r="D2145" s="29" t="s">
        <v>106</v>
      </c>
      <c r="E2145" s="29" t="s">
        <v>925</v>
      </c>
      <c r="F2145" s="59" t="s">
        <v>0</v>
      </c>
      <c r="G2145" s="36">
        <f>G2146</f>
        <v>126</v>
      </c>
      <c r="H2145" s="36">
        <f t="shared" si="1144"/>
        <v>126</v>
      </c>
      <c r="I2145" s="36">
        <f t="shared" si="1144"/>
        <v>63</v>
      </c>
      <c r="J2145" s="36">
        <f t="shared" si="1144"/>
        <v>63</v>
      </c>
      <c r="K2145" s="36">
        <f t="shared" si="1144"/>
        <v>63</v>
      </c>
      <c r="L2145" s="36">
        <f t="shared" si="1136"/>
        <v>50</v>
      </c>
      <c r="M2145" s="36">
        <f t="shared" si="1134"/>
        <v>100</v>
      </c>
    </row>
    <row r="2146" spans="1:13" ht="25.5">
      <c r="A2146" s="60" t="s">
        <v>80</v>
      </c>
      <c r="B2146" s="29" t="s">
        <v>921</v>
      </c>
      <c r="C2146" s="29" t="s">
        <v>154</v>
      </c>
      <c r="D2146" s="29" t="s">
        <v>106</v>
      </c>
      <c r="E2146" s="29" t="s">
        <v>925</v>
      </c>
      <c r="F2146" s="29" t="s">
        <v>81</v>
      </c>
      <c r="G2146" s="36">
        <f>G2147</f>
        <v>126</v>
      </c>
      <c r="H2146" s="36">
        <f t="shared" si="1144"/>
        <v>126</v>
      </c>
      <c r="I2146" s="36">
        <f t="shared" si="1144"/>
        <v>63</v>
      </c>
      <c r="J2146" s="36">
        <f t="shared" si="1144"/>
        <v>63</v>
      </c>
      <c r="K2146" s="36">
        <f t="shared" si="1144"/>
        <v>63</v>
      </c>
      <c r="L2146" s="36">
        <f t="shared" si="1136"/>
        <v>50</v>
      </c>
      <c r="M2146" s="36">
        <f t="shared" si="1134"/>
        <v>100</v>
      </c>
    </row>
    <row r="2147" spans="1:13">
      <c r="A2147" s="60" t="s">
        <v>82</v>
      </c>
      <c r="B2147" s="29" t="s">
        <v>921</v>
      </c>
      <c r="C2147" s="29" t="s">
        <v>154</v>
      </c>
      <c r="D2147" s="29" t="s">
        <v>106</v>
      </c>
      <c r="E2147" s="29" t="s">
        <v>925</v>
      </c>
      <c r="F2147" s="29" t="s">
        <v>83</v>
      </c>
      <c r="G2147" s="36">
        <v>126</v>
      </c>
      <c r="H2147" s="36">
        <v>126</v>
      </c>
      <c r="I2147" s="36">
        <v>63</v>
      </c>
      <c r="J2147" s="36">
        <v>63</v>
      </c>
      <c r="K2147" s="36">
        <v>63</v>
      </c>
      <c r="L2147" s="36">
        <f t="shared" si="1136"/>
        <v>50</v>
      </c>
      <c r="M2147" s="36">
        <f t="shared" si="1134"/>
        <v>100</v>
      </c>
    </row>
    <row r="2148" spans="1:13">
      <c r="A2148" s="60" t="s">
        <v>301</v>
      </c>
      <c r="B2148" s="29" t="s">
        <v>921</v>
      </c>
      <c r="C2148" s="29" t="s">
        <v>154</v>
      </c>
      <c r="D2148" s="29" t="s">
        <v>106</v>
      </c>
      <c r="E2148" s="29" t="s">
        <v>302</v>
      </c>
      <c r="F2148" s="59" t="s">
        <v>0</v>
      </c>
      <c r="G2148" s="36">
        <f>G2149</f>
        <v>1145.4000000000001</v>
      </c>
      <c r="H2148" s="36">
        <f t="shared" ref="H2148:K2150" si="1145">H2149</f>
        <v>1145.4000000000001</v>
      </c>
      <c r="I2148" s="36">
        <f t="shared" si="1145"/>
        <v>0</v>
      </c>
      <c r="J2148" s="36">
        <f t="shared" si="1145"/>
        <v>0</v>
      </c>
      <c r="K2148" s="36">
        <f t="shared" si="1145"/>
        <v>0</v>
      </c>
      <c r="L2148" s="36">
        <f t="shared" si="1136"/>
        <v>0</v>
      </c>
      <c r="M2148" s="36">
        <v>0</v>
      </c>
    </row>
    <row r="2149" spans="1:13" ht="25.5">
      <c r="A2149" s="60" t="s">
        <v>76</v>
      </c>
      <c r="B2149" s="29" t="s">
        <v>921</v>
      </c>
      <c r="C2149" s="29" t="s">
        <v>154</v>
      </c>
      <c r="D2149" s="29" t="s">
        <v>106</v>
      </c>
      <c r="E2149" s="29" t="s">
        <v>356</v>
      </c>
      <c r="F2149" s="59" t="s">
        <v>0</v>
      </c>
      <c r="G2149" s="36">
        <f>G2150</f>
        <v>1145.4000000000001</v>
      </c>
      <c r="H2149" s="36">
        <f t="shared" si="1145"/>
        <v>1145.4000000000001</v>
      </c>
      <c r="I2149" s="36">
        <f t="shared" si="1145"/>
        <v>0</v>
      </c>
      <c r="J2149" s="36">
        <f t="shared" si="1145"/>
        <v>0</v>
      </c>
      <c r="K2149" s="36">
        <f t="shared" si="1145"/>
        <v>0</v>
      </c>
      <c r="L2149" s="36">
        <f t="shared" si="1136"/>
        <v>0</v>
      </c>
      <c r="M2149" s="36">
        <v>0</v>
      </c>
    </row>
    <row r="2150" spans="1:13" ht="25.5">
      <c r="A2150" s="60" t="s">
        <v>80</v>
      </c>
      <c r="B2150" s="29" t="s">
        <v>921</v>
      </c>
      <c r="C2150" s="29" t="s">
        <v>154</v>
      </c>
      <c r="D2150" s="29" t="s">
        <v>106</v>
      </c>
      <c r="E2150" s="29" t="s">
        <v>356</v>
      </c>
      <c r="F2150" s="29" t="s">
        <v>81</v>
      </c>
      <c r="G2150" s="36">
        <f>G2151</f>
        <v>1145.4000000000001</v>
      </c>
      <c r="H2150" s="36">
        <f t="shared" si="1145"/>
        <v>1145.4000000000001</v>
      </c>
      <c r="I2150" s="36">
        <f t="shared" si="1145"/>
        <v>0</v>
      </c>
      <c r="J2150" s="36">
        <f t="shared" si="1145"/>
        <v>0</v>
      </c>
      <c r="K2150" s="36">
        <f t="shared" si="1145"/>
        <v>0</v>
      </c>
      <c r="L2150" s="36">
        <f t="shared" si="1136"/>
        <v>0</v>
      </c>
      <c r="M2150" s="36">
        <v>0</v>
      </c>
    </row>
    <row r="2151" spans="1:13">
      <c r="A2151" s="60" t="s">
        <v>82</v>
      </c>
      <c r="B2151" s="29" t="s">
        <v>921</v>
      </c>
      <c r="C2151" s="29" t="s">
        <v>154</v>
      </c>
      <c r="D2151" s="29" t="s">
        <v>106</v>
      </c>
      <c r="E2151" s="29" t="s">
        <v>356</v>
      </c>
      <c r="F2151" s="29" t="s">
        <v>83</v>
      </c>
      <c r="G2151" s="36">
        <v>1145.4000000000001</v>
      </c>
      <c r="H2151" s="36">
        <v>1145.4000000000001</v>
      </c>
      <c r="I2151" s="36">
        <v>0</v>
      </c>
      <c r="J2151" s="36">
        <v>0</v>
      </c>
      <c r="K2151" s="36">
        <v>0</v>
      </c>
      <c r="L2151" s="36">
        <f t="shared" si="1136"/>
        <v>0</v>
      </c>
      <c r="M2151" s="36">
        <v>0</v>
      </c>
    </row>
    <row r="2152" spans="1:13" ht="63.75">
      <c r="A2152" s="60" t="s">
        <v>156</v>
      </c>
      <c r="B2152" s="29" t="s">
        <v>921</v>
      </c>
      <c r="C2152" s="29" t="s">
        <v>154</v>
      </c>
      <c r="D2152" s="29" t="s">
        <v>106</v>
      </c>
      <c r="E2152" s="29" t="s">
        <v>157</v>
      </c>
      <c r="F2152" s="59" t="s">
        <v>0</v>
      </c>
      <c r="G2152" s="36">
        <f>G2153</f>
        <v>24580.1</v>
      </c>
      <c r="H2152" s="36">
        <f t="shared" ref="H2152:K2152" si="1146">H2153</f>
        <v>50137.599999999999</v>
      </c>
      <c r="I2152" s="36">
        <f t="shared" si="1146"/>
        <v>24600</v>
      </c>
      <c r="J2152" s="36">
        <f t="shared" si="1146"/>
        <v>24600</v>
      </c>
      <c r="K2152" s="36">
        <f t="shared" si="1146"/>
        <v>9459.2000000000007</v>
      </c>
      <c r="L2152" s="36">
        <f t="shared" si="1136"/>
        <v>18.86647944855757</v>
      </c>
      <c r="M2152" s="36">
        <f t="shared" si="1134"/>
        <v>38.452032520325204</v>
      </c>
    </row>
    <row r="2153" spans="1:13">
      <c r="A2153" s="60" t="s">
        <v>158</v>
      </c>
      <c r="B2153" s="29" t="s">
        <v>921</v>
      </c>
      <c r="C2153" s="29" t="s">
        <v>154</v>
      </c>
      <c r="D2153" s="29" t="s">
        <v>106</v>
      </c>
      <c r="E2153" s="29" t="s">
        <v>159</v>
      </c>
      <c r="F2153" s="59" t="s">
        <v>0</v>
      </c>
      <c r="G2153" s="36">
        <f>G2154+G2160+G2168</f>
        <v>24580.1</v>
      </c>
      <c r="H2153" s="36">
        <f>H2154+H2160+H2168+H2157+H2171+H2174+H2177</f>
        <v>50137.599999999999</v>
      </c>
      <c r="I2153" s="36">
        <f t="shared" ref="I2153:K2153" si="1147">I2154+I2160+I2168+I2157+I2171+I2174+I2177</f>
        <v>24600</v>
      </c>
      <c r="J2153" s="36">
        <f t="shared" si="1147"/>
        <v>24600</v>
      </c>
      <c r="K2153" s="36">
        <f t="shared" si="1147"/>
        <v>9459.2000000000007</v>
      </c>
      <c r="L2153" s="36">
        <f t="shared" si="1136"/>
        <v>18.86647944855757</v>
      </c>
      <c r="M2153" s="36">
        <f t="shared" si="1134"/>
        <v>38.452032520325204</v>
      </c>
    </row>
    <row r="2154" spans="1:13" ht="38.25">
      <c r="A2154" s="60" t="s">
        <v>926</v>
      </c>
      <c r="B2154" s="29" t="s">
        <v>921</v>
      </c>
      <c r="C2154" s="29" t="s">
        <v>154</v>
      </c>
      <c r="D2154" s="29" t="s">
        <v>106</v>
      </c>
      <c r="E2154" s="29" t="s">
        <v>927</v>
      </c>
      <c r="F2154" s="59" t="s">
        <v>0</v>
      </c>
      <c r="G2154" s="36">
        <f>G2155</f>
        <v>1680.1</v>
      </c>
      <c r="H2154" s="36">
        <f t="shared" ref="H2154:K2155" si="1148">H2155</f>
        <v>1680.1</v>
      </c>
      <c r="I2154" s="36">
        <f t="shared" si="1148"/>
        <v>0</v>
      </c>
      <c r="J2154" s="36">
        <f t="shared" si="1148"/>
        <v>0</v>
      </c>
      <c r="K2154" s="36">
        <f t="shared" si="1148"/>
        <v>0</v>
      </c>
      <c r="L2154" s="36">
        <f t="shared" si="1136"/>
        <v>0</v>
      </c>
      <c r="M2154" s="36">
        <v>0</v>
      </c>
    </row>
    <row r="2155" spans="1:13" ht="25.5">
      <c r="A2155" s="60" t="s">
        <v>80</v>
      </c>
      <c r="B2155" s="29" t="s">
        <v>921</v>
      </c>
      <c r="C2155" s="29" t="s">
        <v>154</v>
      </c>
      <c r="D2155" s="29" t="s">
        <v>106</v>
      </c>
      <c r="E2155" s="29" t="s">
        <v>927</v>
      </c>
      <c r="F2155" s="29" t="s">
        <v>81</v>
      </c>
      <c r="G2155" s="36">
        <f>G2156</f>
        <v>1680.1</v>
      </c>
      <c r="H2155" s="36">
        <f t="shared" si="1148"/>
        <v>1680.1</v>
      </c>
      <c r="I2155" s="36">
        <f t="shared" si="1148"/>
        <v>0</v>
      </c>
      <c r="J2155" s="36">
        <f t="shared" si="1148"/>
        <v>0</v>
      </c>
      <c r="K2155" s="36">
        <f t="shared" si="1148"/>
        <v>0</v>
      </c>
      <c r="L2155" s="36">
        <f t="shared" si="1136"/>
        <v>0</v>
      </c>
      <c r="M2155" s="36">
        <v>0</v>
      </c>
    </row>
    <row r="2156" spans="1:13">
      <c r="A2156" s="60" t="s">
        <v>82</v>
      </c>
      <c r="B2156" s="29" t="s">
        <v>921</v>
      </c>
      <c r="C2156" s="29" t="s">
        <v>154</v>
      </c>
      <c r="D2156" s="29" t="s">
        <v>106</v>
      </c>
      <c r="E2156" s="29" t="s">
        <v>927</v>
      </c>
      <c r="F2156" s="29" t="s">
        <v>83</v>
      </c>
      <c r="G2156" s="36">
        <v>1680.1</v>
      </c>
      <c r="H2156" s="36">
        <v>1680.1</v>
      </c>
      <c r="I2156" s="36">
        <v>0</v>
      </c>
      <c r="J2156" s="36">
        <v>0</v>
      </c>
      <c r="K2156" s="36">
        <v>0</v>
      </c>
      <c r="L2156" s="36">
        <f t="shared" si="1136"/>
        <v>0</v>
      </c>
      <c r="M2156" s="36">
        <v>0</v>
      </c>
    </row>
    <row r="2157" spans="1:13" ht="38.25">
      <c r="A2157" s="63" t="s">
        <v>1194</v>
      </c>
      <c r="B2157" s="29" t="s">
        <v>921</v>
      </c>
      <c r="C2157" s="29" t="s">
        <v>154</v>
      </c>
      <c r="D2157" s="29" t="s">
        <v>106</v>
      </c>
      <c r="E2157" s="30" t="s">
        <v>1193</v>
      </c>
      <c r="F2157" s="29"/>
      <c r="G2157" s="36"/>
      <c r="H2157" s="36">
        <f>H2158</f>
        <v>20357.5</v>
      </c>
      <c r="I2157" s="36">
        <f t="shared" ref="I2157:K2158" si="1149">I2158</f>
        <v>0</v>
      </c>
      <c r="J2157" s="36">
        <f t="shared" si="1149"/>
        <v>0</v>
      </c>
      <c r="K2157" s="36">
        <f t="shared" si="1149"/>
        <v>0</v>
      </c>
      <c r="L2157" s="36">
        <f t="shared" ref="L2157:L2159" si="1150">K2157/H2157*100</f>
        <v>0</v>
      </c>
      <c r="M2157" s="36">
        <v>0</v>
      </c>
    </row>
    <row r="2158" spans="1:13">
      <c r="A2158" s="63" t="s">
        <v>26</v>
      </c>
      <c r="B2158" s="29" t="s">
        <v>921</v>
      </c>
      <c r="C2158" s="29" t="s">
        <v>154</v>
      </c>
      <c r="D2158" s="29" t="s">
        <v>106</v>
      </c>
      <c r="E2158" s="30" t="s">
        <v>1193</v>
      </c>
      <c r="F2158" s="29">
        <v>500</v>
      </c>
      <c r="G2158" s="36"/>
      <c r="H2158" s="36">
        <f>H2159</f>
        <v>20357.5</v>
      </c>
      <c r="I2158" s="36">
        <f t="shared" si="1149"/>
        <v>0</v>
      </c>
      <c r="J2158" s="36">
        <f t="shared" si="1149"/>
        <v>0</v>
      </c>
      <c r="K2158" s="36">
        <f t="shared" si="1149"/>
        <v>0</v>
      </c>
      <c r="L2158" s="36">
        <f t="shared" si="1150"/>
        <v>0</v>
      </c>
      <c r="M2158" s="36">
        <v>0</v>
      </c>
    </row>
    <row r="2159" spans="1:13">
      <c r="A2159" s="63" t="s">
        <v>56</v>
      </c>
      <c r="B2159" s="29" t="s">
        <v>921</v>
      </c>
      <c r="C2159" s="29" t="s">
        <v>154</v>
      </c>
      <c r="D2159" s="29" t="s">
        <v>106</v>
      </c>
      <c r="E2159" s="30" t="s">
        <v>1193</v>
      </c>
      <c r="F2159" s="29">
        <v>520</v>
      </c>
      <c r="G2159" s="36"/>
      <c r="H2159" s="36">
        <v>20357.5</v>
      </c>
      <c r="I2159" s="36">
        <v>0</v>
      </c>
      <c r="J2159" s="36">
        <v>0</v>
      </c>
      <c r="K2159" s="36">
        <v>0</v>
      </c>
      <c r="L2159" s="36">
        <f t="shared" si="1150"/>
        <v>0</v>
      </c>
      <c r="M2159" s="36">
        <v>0</v>
      </c>
    </row>
    <row r="2160" spans="1:13">
      <c r="A2160" s="60" t="s">
        <v>924</v>
      </c>
      <c r="B2160" s="29" t="s">
        <v>921</v>
      </c>
      <c r="C2160" s="29" t="s">
        <v>154</v>
      </c>
      <c r="D2160" s="29" t="s">
        <v>106</v>
      </c>
      <c r="E2160" s="29" t="s">
        <v>928</v>
      </c>
      <c r="F2160" s="59" t="s">
        <v>0</v>
      </c>
      <c r="G2160" s="36">
        <f>G2161+G2163</f>
        <v>2000</v>
      </c>
      <c r="H2160" s="36">
        <f>H2161+H2163+H2166</f>
        <v>2000</v>
      </c>
      <c r="I2160" s="36">
        <f t="shared" ref="I2160:K2160" si="1151">I2161+I2163+I2166</f>
        <v>1500</v>
      </c>
      <c r="J2160" s="36">
        <f t="shared" si="1151"/>
        <v>1500</v>
      </c>
      <c r="K2160" s="36">
        <f t="shared" si="1151"/>
        <v>1415</v>
      </c>
      <c r="L2160" s="36">
        <f t="shared" si="1136"/>
        <v>70.75</v>
      </c>
      <c r="M2160" s="36">
        <f t="shared" si="1134"/>
        <v>94.333333333333343</v>
      </c>
    </row>
    <row r="2161" spans="1:13">
      <c r="A2161" s="60" t="s">
        <v>68</v>
      </c>
      <c r="B2161" s="29" t="s">
        <v>921</v>
      </c>
      <c r="C2161" s="29" t="s">
        <v>154</v>
      </c>
      <c r="D2161" s="29" t="s">
        <v>106</v>
      </c>
      <c r="E2161" s="29" t="s">
        <v>928</v>
      </c>
      <c r="F2161" s="29" t="s">
        <v>69</v>
      </c>
      <c r="G2161" s="36">
        <f>G2162</f>
        <v>500</v>
      </c>
      <c r="H2161" s="36">
        <f t="shared" ref="H2161:K2161" si="1152">H2162</f>
        <v>500</v>
      </c>
      <c r="I2161" s="36">
        <f t="shared" si="1152"/>
        <v>0</v>
      </c>
      <c r="J2161" s="36">
        <f t="shared" si="1152"/>
        <v>0</v>
      </c>
      <c r="K2161" s="36">
        <f t="shared" si="1152"/>
        <v>0</v>
      </c>
      <c r="L2161" s="36">
        <f t="shared" si="1136"/>
        <v>0</v>
      </c>
      <c r="M2161" s="36">
        <v>0</v>
      </c>
    </row>
    <row r="2162" spans="1:13">
      <c r="A2162" s="60" t="s">
        <v>70</v>
      </c>
      <c r="B2162" s="29" t="s">
        <v>921</v>
      </c>
      <c r="C2162" s="29" t="s">
        <v>154</v>
      </c>
      <c r="D2162" s="29" t="s">
        <v>106</v>
      </c>
      <c r="E2162" s="29" t="s">
        <v>928</v>
      </c>
      <c r="F2162" s="29" t="s">
        <v>71</v>
      </c>
      <c r="G2162" s="36">
        <v>500</v>
      </c>
      <c r="H2162" s="36">
        <v>500</v>
      </c>
      <c r="I2162" s="36">
        <v>0</v>
      </c>
      <c r="J2162" s="36">
        <v>0</v>
      </c>
      <c r="K2162" s="36">
        <v>0</v>
      </c>
      <c r="L2162" s="36">
        <f t="shared" si="1136"/>
        <v>0</v>
      </c>
      <c r="M2162" s="36">
        <v>0</v>
      </c>
    </row>
    <row r="2163" spans="1:13" ht="25.5">
      <c r="A2163" s="60" t="s">
        <v>80</v>
      </c>
      <c r="B2163" s="29" t="s">
        <v>921</v>
      </c>
      <c r="C2163" s="29" t="s">
        <v>154</v>
      </c>
      <c r="D2163" s="29" t="s">
        <v>106</v>
      </c>
      <c r="E2163" s="29" t="s">
        <v>928</v>
      </c>
      <c r="F2163" s="29" t="s">
        <v>81</v>
      </c>
      <c r="G2163" s="36">
        <f>G2165</f>
        <v>1500</v>
      </c>
      <c r="H2163" s="36">
        <f>H2165+H2164</f>
        <v>1172</v>
      </c>
      <c r="I2163" s="36">
        <f t="shared" ref="I2163:K2163" si="1153">I2165+I2164</f>
        <v>1172</v>
      </c>
      <c r="J2163" s="36">
        <f t="shared" si="1153"/>
        <v>1172</v>
      </c>
      <c r="K2163" s="36">
        <f t="shared" si="1153"/>
        <v>1087</v>
      </c>
      <c r="L2163" s="36">
        <f t="shared" si="1136"/>
        <v>92.74744027303754</v>
      </c>
      <c r="M2163" s="36">
        <f t="shared" si="1134"/>
        <v>92.74744027303754</v>
      </c>
    </row>
    <row r="2164" spans="1:13">
      <c r="A2164" s="63" t="s">
        <v>271</v>
      </c>
      <c r="B2164" s="29" t="s">
        <v>921</v>
      </c>
      <c r="C2164" s="29" t="s">
        <v>154</v>
      </c>
      <c r="D2164" s="29" t="s">
        <v>106</v>
      </c>
      <c r="E2164" s="29" t="s">
        <v>928</v>
      </c>
      <c r="F2164" s="29">
        <v>610</v>
      </c>
      <c r="G2164" s="36"/>
      <c r="H2164" s="36">
        <v>664</v>
      </c>
      <c r="I2164" s="36">
        <v>664</v>
      </c>
      <c r="J2164" s="36">
        <v>664</v>
      </c>
      <c r="K2164" s="36">
        <v>664</v>
      </c>
      <c r="L2164" s="36">
        <f t="shared" ref="L2164:L2167" si="1154">K2164/H2164*100</f>
        <v>100</v>
      </c>
      <c r="M2164" s="36">
        <f t="shared" ref="M2164:M2167" si="1155">K2164/I2164*100</f>
        <v>100</v>
      </c>
    </row>
    <row r="2165" spans="1:13" ht="38.25">
      <c r="A2165" s="60" t="s">
        <v>195</v>
      </c>
      <c r="B2165" s="29" t="s">
        <v>921</v>
      </c>
      <c r="C2165" s="29" t="s">
        <v>154</v>
      </c>
      <c r="D2165" s="29" t="s">
        <v>106</v>
      </c>
      <c r="E2165" s="29" t="s">
        <v>928</v>
      </c>
      <c r="F2165" s="29" t="s">
        <v>196</v>
      </c>
      <c r="G2165" s="36">
        <v>1500</v>
      </c>
      <c r="H2165" s="36">
        <v>508</v>
      </c>
      <c r="I2165" s="36">
        <v>508</v>
      </c>
      <c r="J2165" s="36">
        <v>508</v>
      </c>
      <c r="K2165" s="36">
        <v>423</v>
      </c>
      <c r="L2165" s="36">
        <f t="shared" si="1154"/>
        <v>83.267716535433067</v>
      </c>
      <c r="M2165" s="36">
        <f t="shared" si="1155"/>
        <v>83.267716535433067</v>
      </c>
    </row>
    <row r="2166" spans="1:13">
      <c r="A2166" s="63" t="s">
        <v>72</v>
      </c>
      <c r="B2166" s="29" t="s">
        <v>921</v>
      </c>
      <c r="C2166" s="29" t="s">
        <v>154</v>
      </c>
      <c r="D2166" s="29" t="s">
        <v>106</v>
      </c>
      <c r="E2166" s="29" t="s">
        <v>928</v>
      </c>
      <c r="F2166" s="29">
        <v>800</v>
      </c>
      <c r="G2166" s="36"/>
      <c r="H2166" s="36">
        <f>H2167</f>
        <v>328</v>
      </c>
      <c r="I2166" s="36">
        <f t="shared" ref="I2166:K2166" si="1156">I2167</f>
        <v>328</v>
      </c>
      <c r="J2166" s="36">
        <f t="shared" si="1156"/>
        <v>328</v>
      </c>
      <c r="K2166" s="36">
        <f t="shared" si="1156"/>
        <v>328</v>
      </c>
      <c r="L2166" s="36">
        <f t="shared" si="1154"/>
        <v>100</v>
      </c>
      <c r="M2166" s="36">
        <f t="shared" si="1155"/>
        <v>100</v>
      </c>
    </row>
    <row r="2167" spans="1:13" ht="51">
      <c r="A2167" s="63" t="s">
        <v>218</v>
      </c>
      <c r="B2167" s="29" t="s">
        <v>921</v>
      </c>
      <c r="C2167" s="29" t="s">
        <v>154</v>
      </c>
      <c r="D2167" s="29" t="s">
        <v>106</v>
      </c>
      <c r="E2167" s="29" t="s">
        <v>928</v>
      </c>
      <c r="F2167" s="29">
        <v>810</v>
      </c>
      <c r="G2167" s="36"/>
      <c r="H2167" s="36">
        <v>328</v>
      </c>
      <c r="I2167" s="36">
        <v>328</v>
      </c>
      <c r="J2167" s="36">
        <v>328</v>
      </c>
      <c r="K2167" s="36">
        <v>328</v>
      </c>
      <c r="L2167" s="36">
        <f t="shared" si="1154"/>
        <v>100</v>
      </c>
      <c r="M2167" s="36">
        <f t="shared" si="1155"/>
        <v>100</v>
      </c>
    </row>
    <row r="2168" spans="1:13" ht="25.5">
      <c r="A2168" s="60" t="s">
        <v>929</v>
      </c>
      <c r="B2168" s="29" t="s">
        <v>921</v>
      </c>
      <c r="C2168" s="29" t="s">
        <v>154</v>
      </c>
      <c r="D2168" s="29" t="s">
        <v>106</v>
      </c>
      <c r="E2168" s="29" t="s">
        <v>930</v>
      </c>
      <c r="F2168" s="59" t="s">
        <v>0</v>
      </c>
      <c r="G2168" s="36">
        <f>G2169</f>
        <v>20900</v>
      </c>
      <c r="H2168" s="36">
        <f t="shared" ref="H2168:K2168" si="1157">H2169</f>
        <v>18450</v>
      </c>
      <c r="I2168" s="36">
        <f t="shared" si="1157"/>
        <v>17900</v>
      </c>
      <c r="J2168" s="36">
        <f t="shared" si="1157"/>
        <v>17900</v>
      </c>
      <c r="K2168" s="36">
        <f t="shared" si="1157"/>
        <v>2844.2</v>
      </c>
      <c r="L2168" s="36">
        <f t="shared" si="1136"/>
        <v>15.415718157181571</v>
      </c>
      <c r="M2168" s="36">
        <f t="shared" si="1134"/>
        <v>15.889385474860335</v>
      </c>
    </row>
    <row r="2169" spans="1:13">
      <c r="A2169" s="60" t="s">
        <v>26</v>
      </c>
      <c r="B2169" s="29" t="s">
        <v>921</v>
      </c>
      <c r="C2169" s="29" t="s">
        <v>154</v>
      </c>
      <c r="D2169" s="29" t="s">
        <v>106</v>
      </c>
      <c r="E2169" s="29" t="s">
        <v>930</v>
      </c>
      <c r="F2169" s="29" t="s">
        <v>27</v>
      </c>
      <c r="G2169" s="36">
        <f>G2170</f>
        <v>20900</v>
      </c>
      <c r="H2169" s="36">
        <f>H2170</f>
        <v>18450</v>
      </c>
      <c r="I2169" s="36">
        <f>I2170</f>
        <v>17900</v>
      </c>
      <c r="J2169" s="36">
        <f>J2170</f>
        <v>17900</v>
      </c>
      <c r="K2169" s="36">
        <f>K2170</f>
        <v>2844.2</v>
      </c>
      <c r="L2169" s="36">
        <f t="shared" si="1136"/>
        <v>15.415718157181571</v>
      </c>
      <c r="M2169" s="36">
        <f t="shared" si="1134"/>
        <v>15.889385474860335</v>
      </c>
    </row>
    <row r="2170" spans="1:13">
      <c r="A2170" s="60" t="s">
        <v>56</v>
      </c>
      <c r="B2170" s="29" t="s">
        <v>921</v>
      </c>
      <c r="C2170" s="29" t="s">
        <v>154</v>
      </c>
      <c r="D2170" s="29" t="s">
        <v>106</v>
      </c>
      <c r="E2170" s="29" t="s">
        <v>930</v>
      </c>
      <c r="F2170" s="29" t="s">
        <v>57</v>
      </c>
      <c r="G2170" s="36">
        <v>20900</v>
      </c>
      <c r="H2170" s="36">
        <v>18450</v>
      </c>
      <c r="I2170" s="36">
        <v>17900</v>
      </c>
      <c r="J2170" s="36">
        <v>17900</v>
      </c>
      <c r="K2170" s="36">
        <v>2844.2</v>
      </c>
      <c r="L2170" s="36">
        <f t="shared" si="1136"/>
        <v>15.415718157181571</v>
      </c>
      <c r="M2170" s="36">
        <f t="shared" si="1134"/>
        <v>15.889385474860335</v>
      </c>
    </row>
    <row r="2171" spans="1:13" ht="42.75" customHeight="1">
      <c r="A2171" s="60" t="s">
        <v>1126</v>
      </c>
      <c r="B2171" s="29" t="s">
        <v>921</v>
      </c>
      <c r="C2171" s="29" t="s">
        <v>154</v>
      </c>
      <c r="D2171" s="29" t="s">
        <v>106</v>
      </c>
      <c r="E2171" s="30" t="s">
        <v>1195</v>
      </c>
      <c r="F2171" s="29"/>
      <c r="G2171" s="36"/>
      <c r="H2171" s="36">
        <f>H2172</f>
        <v>5000</v>
      </c>
      <c r="I2171" s="36">
        <f t="shared" ref="I2171:K2172" si="1158">I2172</f>
        <v>5000</v>
      </c>
      <c r="J2171" s="36">
        <f t="shared" si="1158"/>
        <v>5000</v>
      </c>
      <c r="K2171" s="36">
        <f t="shared" si="1158"/>
        <v>5000</v>
      </c>
      <c r="L2171" s="36">
        <f t="shared" ref="L2171:L2179" si="1159">K2171/H2171*100</f>
        <v>100</v>
      </c>
      <c r="M2171" s="36">
        <f t="shared" ref="M2171:M2176" si="1160">K2171/I2171*100</f>
        <v>100</v>
      </c>
    </row>
    <row r="2172" spans="1:13" ht="25.5">
      <c r="A2172" s="60" t="s">
        <v>80</v>
      </c>
      <c r="B2172" s="29" t="s">
        <v>921</v>
      </c>
      <c r="C2172" s="29" t="s">
        <v>154</v>
      </c>
      <c r="D2172" s="29" t="s">
        <v>106</v>
      </c>
      <c r="E2172" s="30" t="s">
        <v>1195</v>
      </c>
      <c r="F2172" s="29">
        <v>600</v>
      </c>
      <c r="G2172" s="36"/>
      <c r="H2172" s="36">
        <f>H2173</f>
        <v>5000</v>
      </c>
      <c r="I2172" s="36">
        <f t="shared" si="1158"/>
        <v>5000</v>
      </c>
      <c r="J2172" s="36">
        <f t="shared" si="1158"/>
        <v>5000</v>
      </c>
      <c r="K2172" s="36">
        <f t="shared" si="1158"/>
        <v>5000</v>
      </c>
      <c r="L2172" s="36">
        <f t="shared" si="1159"/>
        <v>100</v>
      </c>
      <c r="M2172" s="36">
        <f t="shared" si="1160"/>
        <v>100</v>
      </c>
    </row>
    <row r="2173" spans="1:13">
      <c r="A2173" s="60" t="s">
        <v>82</v>
      </c>
      <c r="B2173" s="29" t="s">
        <v>921</v>
      </c>
      <c r="C2173" s="29" t="s">
        <v>154</v>
      </c>
      <c r="D2173" s="29" t="s">
        <v>106</v>
      </c>
      <c r="E2173" s="30" t="s">
        <v>1195</v>
      </c>
      <c r="F2173" s="29">
        <v>620</v>
      </c>
      <c r="G2173" s="36"/>
      <c r="H2173" s="36">
        <v>5000</v>
      </c>
      <c r="I2173" s="36">
        <v>5000</v>
      </c>
      <c r="J2173" s="36">
        <v>5000</v>
      </c>
      <c r="K2173" s="36">
        <v>5000</v>
      </c>
      <c r="L2173" s="36">
        <f t="shared" si="1159"/>
        <v>100</v>
      </c>
      <c r="M2173" s="36">
        <f t="shared" si="1160"/>
        <v>100</v>
      </c>
    </row>
    <row r="2174" spans="1:13" ht="42" customHeight="1">
      <c r="A2174" s="60" t="s">
        <v>1197</v>
      </c>
      <c r="B2174" s="29" t="s">
        <v>921</v>
      </c>
      <c r="C2174" s="29" t="s">
        <v>154</v>
      </c>
      <c r="D2174" s="29" t="s">
        <v>106</v>
      </c>
      <c r="E2174" s="30" t="s">
        <v>1196</v>
      </c>
      <c r="F2174" s="29"/>
      <c r="G2174" s="36"/>
      <c r="H2174" s="36">
        <f>H2175</f>
        <v>200</v>
      </c>
      <c r="I2174" s="36">
        <f t="shared" ref="I2174:K2175" si="1161">I2175</f>
        <v>200</v>
      </c>
      <c r="J2174" s="36">
        <f t="shared" si="1161"/>
        <v>200</v>
      </c>
      <c r="K2174" s="36">
        <f t="shared" si="1161"/>
        <v>200</v>
      </c>
      <c r="L2174" s="36">
        <f t="shared" si="1159"/>
        <v>100</v>
      </c>
      <c r="M2174" s="36">
        <f t="shared" si="1160"/>
        <v>100</v>
      </c>
    </row>
    <row r="2175" spans="1:13" ht="25.5">
      <c r="A2175" s="60" t="s">
        <v>80</v>
      </c>
      <c r="B2175" s="29" t="s">
        <v>921</v>
      </c>
      <c r="C2175" s="29" t="s">
        <v>154</v>
      </c>
      <c r="D2175" s="29" t="s">
        <v>106</v>
      </c>
      <c r="E2175" s="30" t="s">
        <v>1196</v>
      </c>
      <c r="F2175" s="29">
        <v>600</v>
      </c>
      <c r="G2175" s="36"/>
      <c r="H2175" s="36">
        <f>H2176</f>
        <v>200</v>
      </c>
      <c r="I2175" s="36">
        <f t="shared" si="1161"/>
        <v>200</v>
      </c>
      <c r="J2175" s="36">
        <f t="shared" si="1161"/>
        <v>200</v>
      </c>
      <c r="K2175" s="36">
        <f t="shared" si="1161"/>
        <v>200</v>
      </c>
      <c r="L2175" s="36">
        <f t="shared" si="1159"/>
        <v>100</v>
      </c>
      <c r="M2175" s="36">
        <f t="shared" si="1160"/>
        <v>100</v>
      </c>
    </row>
    <row r="2176" spans="1:13">
      <c r="A2176" s="60" t="s">
        <v>82</v>
      </c>
      <c r="B2176" s="29" t="s">
        <v>921</v>
      </c>
      <c r="C2176" s="29" t="s">
        <v>154</v>
      </c>
      <c r="D2176" s="29" t="s">
        <v>106</v>
      </c>
      <c r="E2176" s="30" t="s">
        <v>1196</v>
      </c>
      <c r="F2176" s="29">
        <v>620</v>
      </c>
      <c r="G2176" s="36"/>
      <c r="H2176" s="36">
        <v>200</v>
      </c>
      <c r="I2176" s="36">
        <v>200</v>
      </c>
      <c r="J2176" s="36">
        <v>200</v>
      </c>
      <c r="K2176" s="36">
        <v>200</v>
      </c>
      <c r="L2176" s="36">
        <f t="shared" si="1159"/>
        <v>100</v>
      </c>
      <c r="M2176" s="36">
        <f t="shared" si="1160"/>
        <v>100</v>
      </c>
    </row>
    <row r="2177" spans="1:13" ht="51" customHeight="1">
      <c r="A2177" s="60" t="s">
        <v>1199</v>
      </c>
      <c r="B2177" s="29" t="s">
        <v>921</v>
      </c>
      <c r="C2177" s="29" t="s">
        <v>154</v>
      </c>
      <c r="D2177" s="29" t="s">
        <v>106</v>
      </c>
      <c r="E2177" s="30" t="s">
        <v>1198</v>
      </c>
      <c r="F2177" s="29"/>
      <c r="G2177" s="36"/>
      <c r="H2177" s="36">
        <f>H2178</f>
        <v>2450</v>
      </c>
      <c r="I2177" s="36">
        <f t="shared" ref="I2177:K2178" si="1162">I2178</f>
        <v>0</v>
      </c>
      <c r="J2177" s="36">
        <f t="shared" si="1162"/>
        <v>0</v>
      </c>
      <c r="K2177" s="36">
        <f t="shared" si="1162"/>
        <v>0</v>
      </c>
      <c r="L2177" s="36">
        <f t="shared" si="1159"/>
        <v>0</v>
      </c>
      <c r="M2177" s="36">
        <v>0</v>
      </c>
    </row>
    <row r="2178" spans="1:13">
      <c r="A2178" s="63" t="s">
        <v>26</v>
      </c>
      <c r="B2178" s="29" t="s">
        <v>921</v>
      </c>
      <c r="C2178" s="29" t="s">
        <v>154</v>
      </c>
      <c r="D2178" s="29" t="s">
        <v>106</v>
      </c>
      <c r="E2178" s="30" t="s">
        <v>1198</v>
      </c>
      <c r="F2178" s="29">
        <v>500</v>
      </c>
      <c r="G2178" s="36"/>
      <c r="H2178" s="36">
        <f>H2179</f>
        <v>2450</v>
      </c>
      <c r="I2178" s="36">
        <f t="shared" si="1162"/>
        <v>0</v>
      </c>
      <c r="J2178" s="36">
        <f t="shared" si="1162"/>
        <v>0</v>
      </c>
      <c r="K2178" s="36">
        <f t="shared" si="1162"/>
        <v>0</v>
      </c>
      <c r="L2178" s="36">
        <f t="shared" si="1159"/>
        <v>0</v>
      </c>
      <c r="M2178" s="36">
        <v>0</v>
      </c>
    </row>
    <row r="2179" spans="1:13">
      <c r="A2179" s="63" t="s">
        <v>56</v>
      </c>
      <c r="B2179" s="29" t="s">
        <v>921</v>
      </c>
      <c r="C2179" s="29" t="s">
        <v>154</v>
      </c>
      <c r="D2179" s="29" t="s">
        <v>106</v>
      </c>
      <c r="E2179" s="30" t="s">
        <v>1198</v>
      </c>
      <c r="F2179" s="29">
        <v>520</v>
      </c>
      <c r="G2179" s="36"/>
      <c r="H2179" s="36">
        <v>2450</v>
      </c>
      <c r="I2179" s="36">
        <v>0</v>
      </c>
      <c r="J2179" s="36">
        <v>0</v>
      </c>
      <c r="K2179" s="36">
        <v>0</v>
      </c>
      <c r="L2179" s="36">
        <f t="shared" si="1159"/>
        <v>0</v>
      </c>
      <c r="M2179" s="36">
        <v>0</v>
      </c>
    </row>
    <row r="2180" spans="1:13">
      <c r="A2180" s="63" t="s">
        <v>612</v>
      </c>
      <c r="B2180" s="29" t="s">
        <v>921</v>
      </c>
      <c r="C2180" s="29" t="s">
        <v>154</v>
      </c>
      <c r="D2180" s="29" t="s">
        <v>106</v>
      </c>
      <c r="E2180" s="30" t="s">
        <v>613</v>
      </c>
      <c r="F2180" s="29"/>
      <c r="G2180" s="36"/>
      <c r="H2180" s="36">
        <f>H2181</f>
        <v>2101.4</v>
      </c>
      <c r="I2180" s="36">
        <f t="shared" ref="I2180:K2182" si="1163">I2181</f>
        <v>2101.4</v>
      </c>
      <c r="J2180" s="36">
        <f t="shared" si="1163"/>
        <v>2101.4</v>
      </c>
      <c r="K2180" s="36">
        <f t="shared" si="1163"/>
        <v>2101.4</v>
      </c>
      <c r="L2180" s="36">
        <f t="shared" ref="L2180:L2183" si="1164">K2180/H2180*100</f>
        <v>100</v>
      </c>
      <c r="M2180" s="36">
        <f t="shared" ref="M2180:M2183" si="1165">K2180/I2180*100</f>
        <v>100</v>
      </c>
    </row>
    <row r="2181" spans="1:13">
      <c r="A2181" s="63" t="s">
        <v>612</v>
      </c>
      <c r="B2181" s="29" t="s">
        <v>921</v>
      </c>
      <c r="C2181" s="29" t="s">
        <v>154</v>
      </c>
      <c r="D2181" s="29" t="s">
        <v>106</v>
      </c>
      <c r="E2181" s="30" t="s">
        <v>614</v>
      </c>
      <c r="F2181" s="29"/>
      <c r="G2181" s="36"/>
      <c r="H2181" s="36">
        <f>H2182</f>
        <v>2101.4</v>
      </c>
      <c r="I2181" s="36">
        <f t="shared" si="1163"/>
        <v>2101.4</v>
      </c>
      <c r="J2181" s="36">
        <f t="shared" si="1163"/>
        <v>2101.4</v>
      </c>
      <c r="K2181" s="36">
        <f t="shared" si="1163"/>
        <v>2101.4</v>
      </c>
      <c r="L2181" s="36">
        <f t="shared" si="1164"/>
        <v>100</v>
      </c>
      <c r="M2181" s="36">
        <f t="shared" si="1165"/>
        <v>100</v>
      </c>
    </row>
    <row r="2182" spans="1:13">
      <c r="A2182" s="63" t="s">
        <v>26</v>
      </c>
      <c r="B2182" s="29" t="s">
        <v>921</v>
      </c>
      <c r="C2182" s="29" t="s">
        <v>154</v>
      </c>
      <c r="D2182" s="29" t="s">
        <v>106</v>
      </c>
      <c r="E2182" s="30" t="s">
        <v>614</v>
      </c>
      <c r="F2182" s="29">
        <v>500</v>
      </c>
      <c r="G2182" s="36"/>
      <c r="H2182" s="36">
        <f>H2183</f>
        <v>2101.4</v>
      </c>
      <c r="I2182" s="36">
        <f t="shared" si="1163"/>
        <v>2101.4</v>
      </c>
      <c r="J2182" s="36">
        <f t="shared" si="1163"/>
        <v>2101.4</v>
      </c>
      <c r="K2182" s="36">
        <f t="shared" si="1163"/>
        <v>2101.4</v>
      </c>
      <c r="L2182" s="36">
        <f t="shared" si="1164"/>
        <v>100</v>
      </c>
      <c r="M2182" s="36">
        <f t="shared" si="1165"/>
        <v>100</v>
      </c>
    </row>
    <row r="2183" spans="1:13">
      <c r="A2183" s="63" t="s">
        <v>352</v>
      </c>
      <c r="B2183" s="29" t="s">
        <v>921</v>
      </c>
      <c r="C2183" s="29" t="s">
        <v>154</v>
      </c>
      <c r="D2183" s="29" t="s">
        <v>106</v>
      </c>
      <c r="E2183" s="30" t="s">
        <v>614</v>
      </c>
      <c r="F2183" s="29">
        <v>540</v>
      </c>
      <c r="G2183" s="36"/>
      <c r="H2183" s="36">
        <v>2101.4</v>
      </c>
      <c r="I2183" s="36">
        <v>2101.4</v>
      </c>
      <c r="J2183" s="36">
        <v>2101.4</v>
      </c>
      <c r="K2183" s="36">
        <v>2101.4</v>
      </c>
      <c r="L2183" s="36">
        <f t="shared" si="1164"/>
        <v>100</v>
      </c>
      <c r="M2183" s="36">
        <f t="shared" si="1165"/>
        <v>100</v>
      </c>
    </row>
    <row r="2184" spans="1:13">
      <c r="A2184" s="60" t="s">
        <v>931</v>
      </c>
      <c r="B2184" s="29" t="s">
        <v>921</v>
      </c>
      <c r="C2184" s="29" t="s">
        <v>154</v>
      </c>
      <c r="D2184" s="29" t="s">
        <v>150</v>
      </c>
      <c r="E2184" s="59" t="s">
        <v>0</v>
      </c>
      <c r="F2184" s="59" t="s">
        <v>0</v>
      </c>
      <c r="G2184" s="36">
        <f>G2185</f>
        <v>379147.60000000003</v>
      </c>
      <c r="H2184" s="36">
        <f>H2185+H2199</f>
        <v>375763.24000000005</v>
      </c>
      <c r="I2184" s="36">
        <f t="shared" ref="I2184:K2184" si="1166">I2185+I2199</f>
        <v>219661.84000000003</v>
      </c>
      <c r="J2184" s="36">
        <f t="shared" si="1166"/>
        <v>219661.84000000003</v>
      </c>
      <c r="K2184" s="36">
        <f t="shared" si="1166"/>
        <v>219657.44</v>
      </c>
      <c r="L2184" s="36">
        <f t="shared" si="1136"/>
        <v>58.456340753289219</v>
      </c>
      <c r="M2184" s="36">
        <f t="shared" si="1134"/>
        <v>99.997996921085601</v>
      </c>
    </row>
    <row r="2185" spans="1:13" ht="63.75">
      <c r="A2185" s="60" t="s">
        <v>156</v>
      </c>
      <c r="B2185" s="29" t="s">
        <v>921</v>
      </c>
      <c r="C2185" s="29" t="s">
        <v>154</v>
      </c>
      <c r="D2185" s="29" t="s">
        <v>150</v>
      </c>
      <c r="E2185" s="29" t="s">
        <v>157</v>
      </c>
      <c r="F2185" s="59" t="s">
        <v>0</v>
      </c>
      <c r="G2185" s="36">
        <f>G2186</f>
        <v>379147.60000000003</v>
      </c>
      <c r="H2185" s="36">
        <f t="shared" ref="H2185:K2185" si="1167">H2186</f>
        <v>373947.60000000003</v>
      </c>
      <c r="I2185" s="36">
        <f t="shared" si="1167"/>
        <v>217846.2</v>
      </c>
      <c r="J2185" s="36">
        <f t="shared" si="1167"/>
        <v>217846.2</v>
      </c>
      <c r="K2185" s="36">
        <f t="shared" si="1167"/>
        <v>217846.2</v>
      </c>
      <c r="L2185" s="36">
        <f t="shared" si="1136"/>
        <v>58.255809102665722</v>
      </c>
      <c r="M2185" s="36">
        <f t="shared" si="1134"/>
        <v>100</v>
      </c>
    </row>
    <row r="2186" spans="1:13">
      <c r="A2186" s="60" t="s">
        <v>158</v>
      </c>
      <c r="B2186" s="29" t="s">
        <v>921</v>
      </c>
      <c r="C2186" s="29" t="s">
        <v>154</v>
      </c>
      <c r="D2186" s="29" t="s">
        <v>150</v>
      </c>
      <c r="E2186" s="29" t="s">
        <v>159</v>
      </c>
      <c r="F2186" s="59" t="s">
        <v>0</v>
      </c>
      <c r="G2186" s="36">
        <f>G2187+G2190+G2193</f>
        <v>379147.60000000003</v>
      </c>
      <c r="H2186" s="36">
        <f>H2187+H2190+H2193+H2196</f>
        <v>373947.60000000003</v>
      </c>
      <c r="I2186" s="36">
        <f t="shared" ref="I2186:K2186" si="1168">I2187+I2190+I2193+I2196</f>
        <v>217846.2</v>
      </c>
      <c r="J2186" s="36">
        <f t="shared" si="1168"/>
        <v>217846.2</v>
      </c>
      <c r="K2186" s="36">
        <f t="shared" si="1168"/>
        <v>217846.2</v>
      </c>
      <c r="L2186" s="36">
        <f t="shared" si="1136"/>
        <v>58.255809102665722</v>
      </c>
      <c r="M2186" s="36">
        <f t="shared" si="1134"/>
        <v>100</v>
      </c>
    </row>
    <row r="2187" spans="1:13" ht="51">
      <c r="A2187" s="60" t="s">
        <v>932</v>
      </c>
      <c r="B2187" s="29" t="s">
        <v>921</v>
      </c>
      <c r="C2187" s="29" t="s">
        <v>154</v>
      </c>
      <c r="D2187" s="29" t="s">
        <v>150</v>
      </c>
      <c r="E2187" s="29" t="s">
        <v>933</v>
      </c>
      <c r="F2187" s="59" t="s">
        <v>0</v>
      </c>
      <c r="G2187" s="36">
        <f>G2188</f>
        <v>6286.2</v>
      </c>
      <c r="H2187" s="36">
        <f t="shared" ref="H2187:K2188" si="1169">H2188</f>
        <v>6286.2</v>
      </c>
      <c r="I2187" s="36">
        <f t="shared" si="1169"/>
        <v>6286.2</v>
      </c>
      <c r="J2187" s="36">
        <f t="shared" si="1169"/>
        <v>6286.2</v>
      </c>
      <c r="K2187" s="36">
        <f t="shared" si="1169"/>
        <v>6286.2</v>
      </c>
      <c r="L2187" s="36">
        <f t="shared" si="1136"/>
        <v>100</v>
      </c>
      <c r="M2187" s="36">
        <f t="shared" si="1134"/>
        <v>100</v>
      </c>
    </row>
    <row r="2188" spans="1:13" ht="25.5">
      <c r="A2188" s="60" t="s">
        <v>80</v>
      </c>
      <c r="B2188" s="29" t="s">
        <v>921</v>
      </c>
      <c r="C2188" s="29" t="s">
        <v>154</v>
      </c>
      <c r="D2188" s="29" t="s">
        <v>150</v>
      </c>
      <c r="E2188" s="29" t="s">
        <v>933</v>
      </c>
      <c r="F2188" s="29" t="s">
        <v>81</v>
      </c>
      <c r="G2188" s="36">
        <f>G2189</f>
        <v>6286.2</v>
      </c>
      <c r="H2188" s="36">
        <f t="shared" si="1169"/>
        <v>6286.2</v>
      </c>
      <c r="I2188" s="36">
        <f t="shared" si="1169"/>
        <v>6286.2</v>
      </c>
      <c r="J2188" s="36">
        <f t="shared" si="1169"/>
        <v>6286.2</v>
      </c>
      <c r="K2188" s="36">
        <f t="shared" si="1169"/>
        <v>6286.2</v>
      </c>
      <c r="L2188" s="36">
        <f t="shared" si="1136"/>
        <v>100</v>
      </c>
      <c r="M2188" s="36">
        <f t="shared" si="1134"/>
        <v>100</v>
      </c>
    </row>
    <row r="2189" spans="1:13">
      <c r="A2189" s="60" t="s">
        <v>82</v>
      </c>
      <c r="B2189" s="29" t="s">
        <v>921</v>
      </c>
      <c r="C2189" s="29" t="s">
        <v>154</v>
      </c>
      <c r="D2189" s="29" t="s">
        <v>150</v>
      </c>
      <c r="E2189" s="29" t="s">
        <v>933</v>
      </c>
      <c r="F2189" s="29" t="s">
        <v>83</v>
      </c>
      <c r="G2189" s="36">
        <v>6286.2</v>
      </c>
      <c r="H2189" s="36">
        <v>6286.2</v>
      </c>
      <c r="I2189" s="36">
        <v>6286.2</v>
      </c>
      <c r="J2189" s="36">
        <v>6286.2</v>
      </c>
      <c r="K2189" s="36">
        <v>6286.2</v>
      </c>
      <c r="L2189" s="36">
        <f t="shared" si="1136"/>
        <v>100</v>
      </c>
      <c r="M2189" s="36">
        <f t="shared" si="1134"/>
        <v>100</v>
      </c>
    </row>
    <row r="2190" spans="1:13" ht="25.5">
      <c r="A2190" s="60" t="s">
        <v>76</v>
      </c>
      <c r="B2190" s="29" t="s">
        <v>921</v>
      </c>
      <c r="C2190" s="29" t="s">
        <v>154</v>
      </c>
      <c r="D2190" s="29" t="s">
        <v>150</v>
      </c>
      <c r="E2190" s="29" t="s">
        <v>934</v>
      </c>
      <c r="F2190" s="59" t="s">
        <v>0</v>
      </c>
      <c r="G2190" s="36">
        <f>G2191</f>
        <v>310761.40000000002</v>
      </c>
      <c r="H2190" s="36">
        <f t="shared" ref="H2190:K2191" si="1170">H2191</f>
        <v>301347.40000000002</v>
      </c>
      <c r="I2190" s="36">
        <f t="shared" si="1170"/>
        <v>162636</v>
      </c>
      <c r="J2190" s="36">
        <f t="shared" si="1170"/>
        <v>162636</v>
      </c>
      <c r="K2190" s="36">
        <f t="shared" si="1170"/>
        <v>162636</v>
      </c>
      <c r="L2190" s="36">
        <f t="shared" si="1136"/>
        <v>53.969604516249348</v>
      </c>
      <c r="M2190" s="36">
        <f t="shared" si="1134"/>
        <v>100</v>
      </c>
    </row>
    <row r="2191" spans="1:13" ht="25.5">
      <c r="A2191" s="60" t="s">
        <v>80</v>
      </c>
      <c r="B2191" s="29" t="s">
        <v>921</v>
      </c>
      <c r="C2191" s="29" t="s">
        <v>154</v>
      </c>
      <c r="D2191" s="29" t="s">
        <v>150</v>
      </c>
      <c r="E2191" s="29" t="s">
        <v>934</v>
      </c>
      <c r="F2191" s="29" t="s">
        <v>81</v>
      </c>
      <c r="G2191" s="36">
        <f>G2192</f>
        <v>310761.40000000002</v>
      </c>
      <c r="H2191" s="36">
        <f t="shared" si="1170"/>
        <v>301347.40000000002</v>
      </c>
      <c r="I2191" s="36">
        <f t="shared" si="1170"/>
        <v>162636</v>
      </c>
      <c r="J2191" s="36">
        <f t="shared" si="1170"/>
        <v>162636</v>
      </c>
      <c r="K2191" s="36">
        <f t="shared" si="1170"/>
        <v>162636</v>
      </c>
      <c r="L2191" s="36">
        <f t="shared" si="1136"/>
        <v>53.969604516249348</v>
      </c>
      <c r="M2191" s="36">
        <f t="shared" si="1134"/>
        <v>100</v>
      </c>
    </row>
    <row r="2192" spans="1:13">
      <c r="A2192" s="60" t="s">
        <v>82</v>
      </c>
      <c r="B2192" s="29" t="s">
        <v>921</v>
      </c>
      <c r="C2192" s="29" t="s">
        <v>154</v>
      </c>
      <c r="D2192" s="29" t="s">
        <v>150</v>
      </c>
      <c r="E2192" s="29" t="s">
        <v>934</v>
      </c>
      <c r="F2192" s="29" t="s">
        <v>83</v>
      </c>
      <c r="G2192" s="36">
        <v>310761.40000000002</v>
      </c>
      <c r="H2192" s="36">
        <v>301347.40000000002</v>
      </c>
      <c r="I2192" s="36">
        <v>162636</v>
      </c>
      <c r="J2192" s="36">
        <v>162636</v>
      </c>
      <c r="K2192" s="36">
        <v>162636</v>
      </c>
      <c r="L2192" s="36">
        <f t="shared" si="1136"/>
        <v>53.969604516249348</v>
      </c>
      <c r="M2192" s="36">
        <f t="shared" si="1134"/>
        <v>100</v>
      </c>
    </row>
    <row r="2193" spans="1:13">
      <c r="A2193" s="60" t="s">
        <v>924</v>
      </c>
      <c r="B2193" s="29" t="s">
        <v>921</v>
      </c>
      <c r="C2193" s="29" t="s">
        <v>154</v>
      </c>
      <c r="D2193" s="29" t="s">
        <v>150</v>
      </c>
      <c r="E2193" s="29" t="s">
        <v>928</v>
      </c>
      <c r="F2193" s="59" t="s">
        <v>0</v>
      </c>
      <c r="G2193" s="36">
        <f>G2194</f>
        <v>62100</v>
      </c>
      <c r="H2193" s="36">
        <f t="shared" ref="H2193:K2194" si="1171">H2194</f>
        <v>51814</v>
      </c>
      <c r="I2193" s="36">
        <f t="shared" si="1171"/>
        <v>36205</v>
      </c>
      <c r="J2193" s="36">
        <f t="shared" si="1171"/>
        <v>36205</v>
      </c>
      <c r="K2193" s="36">
        <f t="shared" si="1171"/>
        <v>36205</v>
      </c>
      <c r="L2193" s="36">
        <f t="shared" si="1136"/>
        <v>69.874937275639795</v>
      </c>
      <c r="M2193" s="36">
        <f t="shared" si="1134"/>
        <v>100</v>
      </c>
    </row>
    <row r="2194" spans="1:13" ht="25.5">
      <c r="A2194" s="60" t="s">
        <v>80</v>
      </c>
      <c r="B2194" s="29" t="s">
        <v>921</v>
      </c>
      <c r="C2194" s="29" t="s">
        <v>154</v>
      </c>
      <c r="D2194" s="29" t="s">
        <v>150</v>
      </c>
      <c r="E2194" s="29" t="s">
        <v>928</v>
      </c>
      <c r="F2194" s="29" t="s">
        <v>81</v>
      </c>
      <c r="G2194" s="36">
        <f>G2195</f>
        <v>62100</v>
      </c>
      <c r="H2194" s="36">
        <f t="shared" si="1171"/>
        <v>51814</v>
      </c>
      <c r="I2194" s="36">
        <f t="shared" si="1171"/>
        <v>36205</v>
      </c>
      <c r="J2194" s="36">
        <f t="shared" si="1171"/>
        <v>36205</v>
      </c>
      <c r="K2194" s="36">
        <f t="shared" si="1171"/>
        <v>36205</v>
      </c>
      <c r="L2194" s="36">
        <f t="shared" si="1136"/>
        <v>69.874937275639795</v>
      </c>
      <c r="M2194" s="36">
        <f t="shared" si="1134"/>
        <v>100</v>
      </c>
    </row>
    <row r="2195" spans="1:13" ht="15.75" customHeight="1">
      <c r="A2195" s="60" t="s">
        <v>82</v>
      </c>
      <c r="B2195" s="29" t="s">
        <v>921</v>
      </c>
      <c r="C2195" s="29" t="s">
        <v>154</v>
      </c>
      <c r="D2195" s="29" t="s">
        <v>150</v>
      </c>
      <c r="E2195" s="29" t="s">
        <v>928</v>
      </c>
      <c r="F2195" s="29" t="s">
        <v>83</v>
      </c>
      <c r="G2195" s="36">
        <v>62100</v>
      </c>
      <c r="H2195" s="36">
        <v>51814</v>
      </c>
      <c r="I2195" s="36">
        <v>36205</v>
      </c>
      <c r="J2195" s="36">
        <v>36205</v>
      </c>
      <c r="K2195" s="36">
        <v>36205</v>
      </c>
      <c r="L2195" s="36">
        <f t="shared" si="1136"/>
        <v>69.874937275639795</v>
      </c>
      <c r="M2195" s="36">
        <f t="shared" si="1134"/>
        <v>100</v>
      </c>
    </row>
    <row r="2196" spans="1:13" ht="54" customHeight="1">
      <c r="A2196" s="60" t="s">
        <v>1201</v>
      </c>
      <c r="B2196" s="29" t="s">
        <v>921</v>
      </c>
      <c r="C2196" s="29" t="s">
        <v>154</v>
      </c>
      <c r="D2196" s="29" t="s">
        <v>150</v>
      </c>
      <c r="E2196" s="30" t="s">
        <v>1200</v>
      </c>
      <c r="F2196" s="29"/>
      <c r="G2196" s="36"/>
      <c r="H2196" s="36">
        <f>H2197</f>
        <v>14500</v>
      </c>
      <c r="I2196" s="36">
        <f t="shared" ref="I2196:K2197" si="1172">I2197</f>
        <v>12719</v>
      </c>
      <c r="J2196" s="36">
        <f t="shared" si="1172"/>
        <v>12719</v>
      </c>
      <c r="K2196" s="36">
        <f t="shared" si="1172"/>
        <v>12719</v>
      </c>
      <c r="L2196" s="36">
        <f t="shared" ref="L2196:L2198" si="1173">K2196/H2196*100</f>
        <v>87.717241379310337</v>
      </c>
      <c r="M2196" s="36">
        <f t="shared" ref="M2196:M2198" si="1174">K2196/I2196*100</f>
        <v>100</v>
      </c>
    </row>
    <row r="2197" spans="1:13" ht="13.5" customHeight="1">
      <c r="A2197" s="60" t="s">
        <v>80</v>
      </c>
      <c r="B2197" s="29" t="s">
        <v>921</v>
      </c>
      <c r="C2197" s="29" t="s">
        <v>154</v>
      </c>
      <c r="D2197" s="29" t="s">
        <v>150</v>
      </c>
      <c r="E2197" s="30" t="s">
        <v>1200</v>
      </c>
      <c r="F2197" s="29">
        <v>600</v>
      </c>
      <c r="G2197" s="36"/>
      <c r="H2197" s="36">
        <f>H2198</f>
        <v>14500</v>
      </c>
      <c r="I2197" s="36">
        <f t="shared" si="1172"/>
        <v>12719</v>
      </c>
      <c r="J2197" s="36">
        <f t="shared" si="1172"/>
        <v>12719</v>
      </c>
      <c r="K2197" s="36">
        <f t="shared" si="1172"/>
        <v>12719</v>
      </c>
      <c r="L2197" s="36">
        <f t="shared" si="1173"/>
        <v>87.717241379310337</v>
      </c>
      <c r="M2197" s="36">
        <f t="shared" si="1174"/>
        <v>100</v>
      </c>
    </row>
    <row r="2198" spans="1:13" ht="13.5" customHeight="1">
      <c r="A2198" s="60" t="s">
        <v>82</v>
      </c>
      <c r="B2198" s="29" t="s">
        <v>921</v>
      </c>
      <c r="C2198" s="29" t="s">
        <v>154</v>
      </c>
      <c r="D2198" s="29" t="s">
        <v>150</v>
      </c>
      <c r="E2198" s="30" t="s">
        <v>1200</v>
      </c>
      <c r="F2198" s="29">
        <v>620</v>
      </c>
      <c r="G2198" s="36"/>
      <c r="H2198" s="36">
        <v>14500</v>
      </c>
      <c r="I2198" s="36">
        <v>12719</v>
      </c>
      <c r="J2198" s="36">
        <v>12719</v>
      </c>
      <c r="K2198" s="36">
        <v>12719</v>
      </c>
      <c r="L2198" s="36">
        <f t="shared" si="1173"/>
        <v>87.717241379310337</v>
      </c>
      <c r="M2198" s="36">
        <f t="shared" si="1174"/>
        <v>100</v>
      </c>
    </row>
    <row r="2199" spans="1:13" ht="13.5" customHeight="1">
      <c r="A2199" s="63" t="s">
        <v>612</v>
      </c>
      <c r="B2199" s="29" t="s">
        <v>921</v>
      </c>
      <c r="C2199" s="29" t="s">
        <v>154</v>
      </c>
      <c r="D2199" s="29" t="s">
        <v>150</v>
      </c>
      <c r="E2199" s="30" t="s">
        <v>613</v>
      </c>
      <c r="F2199" s="29"/>
      <c r="G2199" s="36"/>
      <c r="H2199" s="36">
        <f>H2200</f>
        <v>1815.64</v>
      </c>
      <c r="I2199" s="36">
        <f t="shared" ref="I2199:K2199" si="1175">I2200</f>
        <v>1815.64</v>
      </c>
      <c r="J2199" s="36">
        <f t="shared" si="1175"/>
        <v>1815.64</v>
      </c>
      <c r="K2199" s="36">
        <f t="shared" si="1175"/>
        <v>1811.24</v>
      </c>
      <c r="L2199" s="36">
        <f t="shared" ref="L2199:L2204" si="1176">K2199/H2199*100</f>
        <v>99.757661210372092</v>
      </c>
      <c r="M2199" s="36">
        <f t="shared" ref="M2199:M2204" si="1177">K2199/I2199*100</f>
        <v>99.757661210372092</v>
      </c>
    </row>
    <row r="2200" spans="1:13" ht="13.5" customHeight="1">
      <c r="A2200" s="63" t="s">
        <v>612</v>
      </c>
      <c r="B2200" s="29" t="s">
        <v>921</v>
      </c>
      <c r="C2200" s="29" t="s">
        <v>154</v>
      </c>
      <c r="D2200" s="29" t="s">
        <v>150</v>
      </c>
      <c r="E2200" s="30" t="s">
        <v>614</v>
      </c>
      <c r="F2200" s="29"/>
      <c r="G2200" s="36"/>
      <c r="H2200" s="36">
        <f>H2201+H2203</f>
        <v>1815.64</v>
      </c>
      <c r="I2200" s="36">
        <f t="shared" ref="I2200:K2200" si="1178">I2201+I2203</f>
        <v>1815.64</v>
      </c>
      <c r="J2200" s="36">
        <f t="shared" si="1178"/>
        <v>1815.64</v>
      </c>
      <c r="K2200" s="36">
        <f t="shared" si="1178"/>
        <v>1811.24</v>
      </c>
      <c r="L2200" s="36">
        <f t="shared" si="1176"/>
        <v>99.757661210372092</v>
      </c>
      <c r="M2200" s="36">
        <f t="shared" si="1177"/>
        <v>99.757661210372092</v>
      </c>
    </row>
    <row r="2201" spans="1:13" ht="13.5" customHeight="1">
      <c r="A2201" s="63" t="s">
        <v>26</v>
      </c>
      <c r="B2201" s="29" t="s">
        <v>921</v>
      </c>
      <c r="C2201" s="29" t="s">
        <v>154</v>
      </c>
      <c r="D2201" s="29" t="s">
        <v>150</v>
      </c>
      <c r="E2201" s="30" t="s">
        <v>614</v>
      </c>
      <c r="F2201" s="29">
        <v>500</v>
      </c>
      <c r="G2201" s="36"/>
      <c r="H2201" s="36">
        <f>H2202</f>
        <v>608.24</v>
      </c>
      <c r="I2201" s="36">
        <f t="shared" ref="I2201:K2201" si="1179">I2202</f>
        <v>608.24</v>
      </c>
      <c r="J2201" s="36">
        <f t="shared" si="1179"/>
        <v>608.24</v>
      </c>
      <c r="K2201" s="36">
        <f t="shared" si="1179"/>
        <v>608.24</v>
      </c>
      <c r="L2201" s="36">
        <f t="shared" si="1176"/>
        <v>100</v>
      </c>
      <c r="M2201" s="36">
        <f t="shared" si="1177"/>
        <v>100</v>
      </c>
    </row>
    <row r="2202" spans="1:13" ht="13.5" customHeight="1">
      <c r="A2202" s="63" t="s">
        <v>352</v>
      </c>
      <c r="B2202" s="29" t="s">
        <v>921</v>
      </c>
      <c r="C2202" s="29" t="s">
        <v>154</v>
      </c>
      <c r="D2202" s="29" t="s">
        <v>150</v>
      </c>
      <c r="E2202" s="30" t="s">
        <v>614</v>
      </c>
      <c r="F2202" s="29">
        <v>540</v>
      </c>
      <c r="G2202" s="36"/>
      <c r="H2202" s="36">
        <v>608.24</v>
      </c>
      <c r="I2202" s="36">
        <v>608.24</v>
      </c>
      <c r="J2202" s="36">
        <v>608.24</v>
      </c>
      <c r="K2202" s="36">
        <v>608.24</v>
      </c>
      <c r="L2202" s="36">
        <f t="shared" si="1176"/>
        <v>100</v>
      </c>
      <c r="M2202" s="36">
        <f t="shared" si="1177"/>
        <v>100</v>
      </c>
    </row>
    <row r="2203" spans="1:13" ht="25.5">
      <c r="A2203" s="60" t="s">
        <v>80</v>
      </c>
      <c r="B2203" s="29" t="s">
        <v>921</v>
      </c>
      <c r="C2203" s="29" t="s">
        <v>154</v>
      </c>
      <c r="D2203" s="29" t="s">
        <v>150</v>
      </c>
      <c r="E2203" s="30" t="s">
        <v>614</v>
      </c>
      <c r="F2203" s="29">
        <v>600</v>
      </c>
      <c r="G2203" s="36"/>
      <c r="H2203" s="36">
        <f>H2204</f>
        <v>1207.4000000000001</v>
      </c>
      <c r="I2203" s="36">
        <f t="shared" ref="I2203:K2203" si="1180">I2204</f>
        <v>1207.4000000000001</v>
      </c>
      <c r="J2203" s="36">
        <f t="shared" si="1180"/>
        <v>1207.4000000000001</v>
      </c>
      <c r="K2203" s="36">
        <f t="shared" si="1180"/>
        <v>1203</v>
      </c>
      <c r="L2203" s="36">
        <f t="shared" si="1176"/>
        <v>99.635580586383952</v>
      </c>
      <c r="M2203" s="36">
        <f t="shared" si="1177"/>
        <v>99.635580586383952</v>
      </c>
    </row>
    <row r="2204" spans="1:13">
      <c r="A2204" s="60" t="s">
        <v>82</v>
      </c>
      <c r="B2204" s="29" t="s">
        <v>921</v>
      </c>
      <c r="C2204" s="29" t="s">
        <v>154</v>
      </c>
      <c r="D2204" s="29" t="s">
        <v>150</v>
      </c>
      <c r="E2204" s="30" t="s">
        <v>614</v>
      </c>
      <c r="F2204" s="29">
        <v>620</v>
      </c>
      <c r="G2204" s="36"/>
      <c r="H2204" s="36">
        <v>1207.4000000000001</v>
      </c>
      <c r="I2204" s="36">
        <v>1207.4000000000001</v>
      </c>
      <c r="J2204" s="36">
        <v>1207.4000000000001</v>
      </c>
      <c r="K2204" s="36">
        <v>1203</v>
      </c>
      <c r="L2204" s="36">
        <f t="shared" si="1176"/>
        <v>99.635580586383952</v>
      </c>
      <c r="M2204" s="36">
        <f t="shared" si="1177"/>
        <v>99.635580586383952</v>
      </c>
    </row>
    <row r="2205" spans="1:13">
      <c r="A2205" s="65" t="s">
        <v>0</v>
      </c>
      <c r="B2205" s="66" t="s">
        <v>0</v>
      </c>
      <c r="C2205" s="59" t="s">
        <v>0</v>
      </c>
      <c r="D2205" s="59" t="s">
        <v>0</v>
      </c>
      <c r="E2205" s="59" t="s">
        <v>0</v>
      </c>
      <c r="F2205" s="59" t="s">
        <v>0</v>
      </c>
      <c r="G2205" s="67" t="s">
        <v>0</v>
      </c>
      <c r="H2205" s="67" t="s">
        <v>0</v>
      </c>
      <c r="I2205" s="67" t="s">
        <v>0</v>
      </c>
      <c r="J2205" s="67" t="s">
        <v>0</v>
      </c>
      <c r="K2205" s="67" t="s">
        <v>0</v>
      </c>
      <c r="L2205" s="67"/>
      <c r="M2205" s="67"/>
    </row>
    <row r="2206" spans="1:13" ht="25.5">
      <c r="A2206" s="57" t="s">
        <v>935</v>
      </c>
      <c r="B2206" s="58" t="s">
        <v>69</v>
      </c>
      <c r="C2206" s="59" t="s">
        <v>0</v>
      </c>
      <c r="D2206" s="59" t="s">
        <v>0</v>
      </c>
      <c r="E2206" s="59" t="s">
        <v>0</v>
      </c>
      <c r="F2206" s="59" t="s">
        <v>0</v>
      </c>
      <c r="G2206" s="31">
        <f>G2207</f>
        <v>15055</v>
      </c>
      <c r="H2206" s="31">
        <f t="shared" ref="H2206:K2209" si="1181">H2207</f>
        <v>15055</v>
      </c>
      <c r="I2206" s="31">
        <f t="shared" si="1181"/>
        <v>7518.6</v>
      </c>
      <c r="J2206" s="31">
        <f t="shared" si="1181"/>
        <v>7518.6</v>
      </c>
      <c r="K2206" s="31">
        <f t="shared" si="1181"/>
        <v>6553.7260099999994</v>
      </c>
      <c r="L2206" s="31">
        <f t="shared" si="1136"/>
        <v>43.531889804051801</v>
      </c>
      <c r="M2206" s="31">
        <f t="shared" si="1134"/>
        <v>87.166839704200243</v>
      </c>
    </row>
    <row r="2207" spans="1:13">
      <c r="A2207" s="60" t="s">
        <v>16</v>
      </c>
      <c r="B2207" s="29" t="s">
        <v>69</v>
      </c>
      <c r="C2207" s="29" t="s">
        <v>17</v>
      </c>
      <c r="D2207" s="59" t="s">
        <v>0</v>
      </c>
      <c r="E2207" s="59" t="s">
        <v>0</v>
      </c>
      <c r="F2207" s="59" t="s">
        <v>0</v>
      </c>
      <c r="G2207" s="36">
        <f>G2208</f>
        <v>15055</v>
      </c>
      <c r="H2207" s="36">
        <f t="shared" si="1181"/>
        <v>15055</v>
      </c>
      <c r="I2207" s="36">
        <f t="shared" si="1181"/>
        <v>7518.6</v>
      </c>
      <c r="J2207" s="36">
        <f t="shared" si="1181"/>
        <v>7518.6</v>
      </c>
      <c r="K2207" s="36">
        <f t="shared" si="1181"/>
        <v>6553.7260099999994</v>
      </c>
      <c r="L2207" s="36">
        <f t="shared" si="1136"/>
        <v>43.531889804051801</v>
      </c>
      <c r="M2207" s="36">
        <f t="shared" si="1134"/>
        <v>87.166839704200243</v>
      </c>
    </row>
    <row r="2208" spans="1:13">
      <c r="A2208" s="60" t="s">
        <v>386</v>
      </c>
      <c r="B2208" s="29" t="s">
        <v>69</v>
      </c>
      <c r="C2208" s="29" t="s">
        <v>17</v>
      </c>
      <c r="D2208" s="29" t="s">
        <v>387</v>
      </c>
      <c r="E2208" s="59" t="s">
        <v>0</v>
      </c>
      <c r="F2208" s="59" t="s">
        <v>0</v>
      </c>
      <c r="G2208" s="36">
        <f>G2209</f>
        <v>15055</v>
      </c>
      <c r="H2208" s="36">
        <f t="shared" si="1181"/>
        <v>15055</v>
      </c>
      <c r="I2208" s="36">
        <f t="shared" si="1181"/>
        <v>7518.6</v>
      </c>
      <c r="J2208" s="36">
        <f t="shared" si="1181"/>
        <v>7518.6</v>
      </c>
      <c r="K2208" s="36">
        <f t="shared" si="1181"/>
        <v>6553.7260099999994</v>
      </c>
      <c r="L2208" s="36">
        <f t="shared" si="1136"/>
        <v>43.531889804051801</v>
      </c>
      <c r="M2208" s="36">
        <f t="shared" si="1134"/>
        <v>87.166839704200243</v>
      </c>
    </row>
    <row r="2209" spans="1:13" ht="25.5">
      <c r="A2209" s="60" t="s">
        <v>936</v>
      </c>
      <c r="B2209" s="29" t="s">
        <v>69</v>
      </c>
      <c r="C2209" s="29" t="s">
        <v>17</v>
      </c>
      <c r="D2209" s="29" t="s">
        <v>387</v>
      </c>
      <c r="E2209" s="29" t="s">
        <v>937</v>
      </c>
      <c r="F2209" s="59" t="s">
        <v>0</v>
      </c>
      <c r="G2209" s="36">
        <f>G2210</f>
        <v>15055</v>
      </c>
      <c r="H2209" s="36">
        <f t="shared" si="1181"/>
        <v>15055</v>
      </c>
      <c r="I2209" s="36">
        <f t="shared" si="1181"/>
        <v>7518.6</v>
      </c>
      <c r="J2209" s="36">
        <f t="shared" si="1181"/>
        <v>7518.6</v>
      </c>
      <c r="K2209" s="36">
        <f t="shared" si="1181"/>
        <v>6553.7260099999994</v>
      </c>
      <c r="L2209" s="36">
        <f t="shared" si="1136"/>
        <v>43.531889804051801</v>
      </c>
      <c r="M2209" s="36">
        <f t="shared" si="1134"/>
        <v>87.166839704200243</v>
      </c>
    </row>
    <row r="2210" spans="1:13" ht="25.5">
      <c r="A2210" s="60" t="s">
        <v>58</v>
      </c>
      <c r="B2210" s="29" t="s">
        <v>69</v>
      </c>
      <c r="C2210" s="29" t="s">
        <v>17</v>
      </c>
      <c r="D2210" s="29" t="s">
        <v>387</v>
      </c>
      <c r="E2210" s="29" t="s">
        <v>938</v>
      </c>
      <c r="F2210" s="59" t="s">
        <v>0</v>
      </c>
      <c r="G2210" s="36">
        <f>G2211+G2213+G2215</f>
        <v>15055</v>
      </c>
      <c r="H2210" s="36">
        <f t="shared" ref="H2210:K2210" si="1182">H2211+H2213+H2215</f>
        <v>15055</v>
      </c>
      <c r="I2210" s="36">
        <f t="shared" si="1182"/>
        <v>7518.6</v>
      </c>
      <c r="J2210" s="36">
        <f t="shared" si="1182"/>
        <v>7518.6</v>
      </c>
      <c r="K2210" s="36">
        <f t="shared" si="1182"/>
        <v>6553.7260099999994</v>
      </c>
      <c r="L2210" s="36">
        <f t="shared" si="1136"/>
        <v>43.531889804051801</v>
      </c>
      <c r="M2210" s="36">
        <f t="shared" si="1134"/>
        <v>87.166839704200243</v>
      </c>
    </row>
    <row r="2211" spans="1:13" ht="63.75">
      <c r="A2211" s="60" t="s">
        <v>60</v>
      </c>
      <c r="B2211" s="29" t="s">
        <v>69</v>
      </c>
      <c r="C2211" s="29" t="s">
        <v>17</v>
      </c>
      <c r="D2211" s="29" t="s">
        <v>387</v>
      </c>
      <c r="E2211" s="29" t="s">
        <v>938</v>
      </c>
      <c r="F2211" s="29" t="s">
        <v>61</v>
      </c>
      <c r="G2211" s="36">
        <f>G2212</f>
        <v>14510.3</v>
      </c>
      <c r="H2211" s="36">
        <f t="shared" ref="H2211:K2211" si="1183">H2212</f>
        <v>14510.3</v>
      </c>
      <c r="I2211" s="36">
        <f t="shared" si="1183"/>
        <v>7186.1</v>
      </c>
      <c r="J2211" s="36">
        <f t="shared" si="1183"/>
        <v>7186.1</v>
      </c>
      <c r="K2211" s="36">
        <f t="shared" si="1183"/>
        <v>6294.9224799999993</v>
      </c>
      <c r="L2211" s="36">
        <f t="shared" si="1136"/>
        <v>43.382441989483326</v>
      </c>
      <c r="M2211" s="36">
        <f t="shared" si="1134"/>
        <v>87.598592838952953</v>
      </c>
    </row>
    <row r="2212" spans="1:13" ht="25.5">
      <c r="A2212" s="60" t="s">
        <v>62</v>
      </c>
      <c r="B2212" s="29" t="s">
        <v>69</v>
      </c>
      <c r="C2212" s="29" t="s">
        <v>17</v>
      </c>
      <c r="D2212" s="29" t="s">
        <v>387</v>
      </c>
      <c r="E2212" s="29" t="s">
        <v>938</v>
      </c>
      <c r="F2212" s="29" t="s">
        <v>63</v>
      </c>
      <c r="G2212" s="36">
        <v>14510.3</v>
      </c>
      <c r="H2212" s="36">
        <v>14510.3</v>
      </c>
      <c r="I2212" s="36">
        <f>5166+460+1560.1</f>
        <v>7186.1</v>
      </c>
      <c r="J2212" s="36">
        <f>5166+460+1560.1</f>
        <v>7186.1</v>
      </c>
      <c r="K2212" s="36">
        <f>4735.00983+222.097+1337.81565</f>
        <v>6294.9224799999993</v>
      </c>
      <c r="L2212" s="36">
        <f t="shared" si="1136"/>
        <v>43.382441989483326</v>
      </c>
      <c r="M2212" s="36">
        <f t="shared" si="1134"/>
        <v>87.598592838952953</v>
      </c>
    </row>
    <row r="2213" spans="1:13" ht="25.5">
      <c r="A2213" s="60" t="s">
        <v>64</v>
      </c>
      <c r="B2213" s="29" t="s">
        <v>69</v>
      </c>
      <c r="C2213" s="29" t="s">
        <v>17</v>
      </c>
      <c r="D2213" s="29" t="s">
        <v>387</v>
      </c>
      <c r="E2213" s="29" t="s">
        <v>938</v>
      </c>
      <c r="F2213" s="29" t="s">
        <v>65</v>
      </c>
      <c r="G2213" s="36">
        <f>G2214</f>
        <v>543.70000000000005</v>
      </c>
      <c r="H2213" s="36">
        <f t="shared" ref="H2213:K2213" si="1184">H2214</f>
        <v>543.70000000000005</v>
      </c>
      <c r="I2213" s="36">
        <f t="shared" si="1184"/>
        <v>332</v>
      </c>
      <c r="J2213" s="36">
        <f t="shared" si="1184"/>
        <v>332</v>
      </c>
      <c r="K2213" s="36">
        <f t="shared" si="1184"/>
        <v>258.62353000000002</v>
      </c>
      <c r="L2213" s="36">
        <f t="shared" si="1136"/>
        <v>47.567322052602542</v>
      </c>
      <c r="M2213" s="36">
        <f t="shared" si="1134"/>
        <v>77.898653614457842</v>
      </c>
    </row>
    <row r="2214" spans="1:13" ht="25.5">
      <c r="A2214" s="60" t="s">
        <v>66</v>
      </c>
      <c r="B2214" s="29" t="s">
        <v>69</v>
      </c>
      <c r="C2214" s="29" t="s">
        <v>17</v>
      </c>
      <c r="D2214" s="29" t="s">
        <v>387</v>
      </c>
      <c r="E2214" s="29" t="s">
        <v>938</v>
      </c>
      <c r="F2214" s="29" t="s">
        <v>67</v>
      </c>
      <c r="G2214" s="36">
        <v>543.70000000000005</v>
      </c>
      <c r="H2214" s="36">
        <v>543.70000000000005</v>
      </c>
      <c r="I2214" s="36">
        <v>332</v>
      </c>
      <c r="J2214" s="36">
        <v>332</v>
      </c>
      <c r="K2214" s="36">
        <v>258.62353000000002</v>
      </c>
      <c r="L2214" s="36">
        <f t="shared" si="1136"/>
        <v>47.567322052602542</v>
      </c>
      <c r="M2214" s="36">
        <f t="shared" si="1134"/>
        <v>77.898653614457842</v>
      </c>
    </row>
    <row r="2215" spans="1:13">
      <c r="A2215" s="60" t="s">
        <v>72</v>
      </c>
      <c r="B2215" s="29" t="s">
        <v>69</v>
      </c>
      <c r="C2215" s="29" t="s">
        <v>17</v>
      </c>
      <c r="D2215" s="29" t="s">
        <v>387</v>
      </c>
      <c r="E2215" s="29" t="s">
        <v>938</v>
      </c>
      <c r="F2215" s="29" t="s">
        <v>73</v>
      </c>
      <c r="G2215" s="36">
        <f>G2216</f>
        <v>1</v>
      </c>
      <c r="H2215" s="36">
        <f t="shared" ref="H2215:K2215" si="1185">H2216</f>
        <v>1</v>
      </c>
      <c r="I2215" s="36">
        <f t="shared" si="1185"/>
        <v>0.5</v>
      </c>
      <c r="J2215" s="36">
        <f t="shared" si="1185"/>
        <v>0.5</v>
      </c>
      <c r="K2215" s="36">
        <f t="shared" si="1185"/>
        <v>0.18</v>
      </c>
      <c r="L2215" s="36">
        <f t="shared" si="1136"/>
        <v>18</v>
      </c>
      <c r="M2215" s="36">
        <f t="shared" si="1134"/>
        <v>36</v>
      </c>
    </row>
    <row r="2216" spans="1:13">
      <c r="A2216" s="60" t="s">
        <v>74</v>
      </c>
      <c r="B2216" s="29" t="s">
        <v>69</v>
      </c>
      <c r="C2216" s="29" t="s">
        <v>17</v>
      </c>
      <c r="D2216" s="29" t="s">
        <v>387</v>
      </c>
      <c r="E2216" s="29" t="s">
        <v>938</v>
      </c>
      <c r="F2216" s="29" t="s">
        <v>75</v>
      </c>
      <c r="G2216" s="36">
        <v>1</v>
      </c>
      <c r="H2216" s="36">
        <v>1</v>
      </c>
      <c r="I2216" s="36">
        <v>0.5</v>
      </c>
      <c r="J2216" s="36">
        <v>0.5</v>
      </c>
      <c r="K2216" s="36">
        <v>0.18</v>
      </c>
      <c r="L2216" s="36">
        <f t="shared" ref="L2216:L2293" si="1186">K2216/H2216*100</f>
        <v>18</v>
      </c>
      <c r="M2216" s="36">
        <f t="shared" ref="M2216:M2293" si="1187">K2216/I2216*100</f>
        <v>36</v>
      </c>
    </row>
    <row r="2217" spans="1:13">
      <c r="A2217" s="65" t="s">
        <v>0</v>
      </c>
      <c r="B2217" s="66" t="s">
        <v>0</v>
      </c>
      <c r="C2217" s="59" t="s">
        <v>0</v>
      </c>
      <c r="D2217" s="59" t="s">
        <v>0</v>
      </c>
      <c r="E2217" s="59" t="s">
        <v>0</v>
      </c>
      <c r="F2217" s="59" t="s">
        <v>0</v>
      </c>
      <c r="G2217" s="67" t="s">
        <v>0</v>
      </c>
      <c r="H2217" s="67" t="s">
        <v>0</v>
      </c>
      <c r="I2217" s="67" t="s">
        <v>0</v>
      </c>
      <c r="J2217" s="67" t="s">
        <v>0</v>
      </c>
      <c r="K2217" s="67" t="s">
        <v>0</v>
      </c>
      <c r="L2217" s="67"/>
      <c r="M2217" s="67"/>
    </row>
    <row r="2218" spans="1:13" ht="38.25">
      <c r="A2218" s="57" t="s">
        <v>939</v>
      </c>
      <c r="B2218" s="58" t="s">
        <v>940</v>
      </c>
      <c r="C2218" s="59" t="s">
        <v>0</v>
      </c>
      <c r="D2218" s="59" t="s">
        <v>0</v>
      </c>
      <c r="E2218" s="59" t="s">
        <v>0</v>
      </c>
      <c r="F2218" s="59" t="s">
        <v>0</v>
      </c>
      <c r="G2218" s="31">
        <f>G2219+G2345+G2353+G2390</f>
        <v>1155972.8999999999</v>
      </c>
      <c r="H2218" s="31">
        <f t="shared" ref="H2218:K2218" si="1188">H2219+H2345+H2353+H2390</f>
        <v>846159.22475000005</v>
      </c>
      <c r="I2218" s="31">
        <f t="shared" si="1188"/>
        <v>537294.8068299999</v>
      </c>
      <c r="J2218" s="31">
        <f t="shared" si="1188"/>
        <v>430116.43818</v>
      </c>
      <c r="K2218" s="31">
        <f t="shared" si="1188"/>
        <v>366586.22542999999</v>
      </c>
      <c r="L2218" s="31">
        <f t="shared" si="1186"/>
        <v>43.323551254589091</v>
      </c>
      <c r="M2218" s="31">
        <f t="shared" si="1187"/>
        <v>68.228134865630281</v>
      </c>
    </row>
    <row r="2219" spans="1:13">
      <c r="A2219" s="60" t="s">
        <v>16</v>
      </c>
      <c r="B2219" s="29" t="s">
        <v>940</v>
      </c>
      <c r="C2219" s="29" t="s">
        <v>17</v>
      </c>
      <c r="D2219" s="59" t="s">
        <v>0</v>
      </c>
      <c r="E2219" s="59" t="s">
        <v>0</v>
      </c>
      <c r="F2219" s="59" t="s">
        <v>0</v>
      </c>
      <c r="G2219" s="36">
        <f>G2220+G2240+G2258</f>
        <v>970969.79999999993</v>
      </c>
      <c r="H2219" s="36">
        <f>H2220+H2240+H2258+H2226</f>
        <v>550930.64801</v>
      </c>
      <c r="I2219" s="36">
        <f t="shared" ref="I2219:K2219" si="1189">I2220+I2240+I2258+I2226</f>
        <v>294111.33008999994</v>
      </c>
      <c r="J2219" s="36">
        <f t="shared" si="1189"/>
        <v>287179.15645999997</v>
      </c>
      <c r="K2219" s="36">
        <f t="shared" si="1189"/>
        <v>254883.68991999995</v>
      </c>
      <c r="L2219" s="36">
        <f t="shared" si="1186"/>
        <v>46.264206001364713</v>
      </c>
      <c r="M2219" s="36">
        <f t="shared" si="1187"/>
        <v>86.66231587950179</v>
      </c>
    </row>
    <row r="2220" spans="1:13" ht="38.25">
      <c r="A2220" s="60" t="s">
        <v>941</v>
      </c>
      <c r="B2220" s="29" t="s">
        <v>940</v>
      </c>
      <c r="C2220" s="29" t="s">
        <v>17</v>
      </c>
      <c r="D2220" s="29" t="s">
        <v>106</v>
      </c>
      <c r="E2220" s="59" t="s">
        <v>0</v>
      </c>
      <c r="F2220" s="59" t="s">
        <v>0</v>
      </c>
      <c r="G2220" s="36">
        <f>G2221</f>
        <v>4310.5</v>
      </c>
      <c r="H2220" s="36">
        <f t="shared" ref="H2220:K2224" si="1190">H2221</f>
        <v>4310.5</v>
      </c>
      <c r="I2220" s="36">
        <f t="shared" si="1190"/>
        <v>2933</v>
      </c>
      <c r="J2220" s="36">
        <f t="shared" si="1190"/>
        <v>2783</v>
      </c>
      <c r="K2220" s="36">
        <f t="shared" si="1190"/>
        <v>2567.5491999999999</v>
      </c>
      <c r="L2220" s="36">
        <f t="shared" si="1186"/>
        <v>59.564997100104399</v>
      </c>
      <c r="M2220" s="36">
        <f t="shared" si="1187"/>
        <v>87.540034094783493</v>
      </c>
    </row>
    <row r="2221" spans="1:13" ht="51">
      <c r="A2221" s="60" t="s">
        <v>942</v>
      </c>
      <c r="B2221" s="29" t="s">
        <v>940</v>
      </c>
      <c r="C2221" s="29" t="s">
        <v>17</v>
      </c>
      <c r="D2221" s="29" t="s">
        <v>106</v>
      </c>
      <c r="E2221" s="29" t="s">
        <v>943</v>
      </c>
      <c r="F2221" s="59" t="s">
        <v>0</v>
      </c>
      <c r="G2221" s="36">
        <f>G2222</f>
        <v>4310.5</v>
      </c>
      <c r="H2221" s="36">
        <f t="shared" si="1190"/>
        <v>4310.5</v>
      </c>
      <c r="I2221" s="36">
        <f t="shared" si="1190"/>
        <v>2933</v>
      </c>
      <c r="J2221" s="36">
        <f t="shared" si="1190"/>
        <v>2783</v>
      </c>
      <c r="K2221" s="36">
        <f t="shared" si="1190"/>
        <v>2567.5491999999999</v>
      </c>
      <c r="L2221" s="36">
        <f t="shared" si="1186"/>
        <v>59.564997100104399</v>
      </c>
      <c r="M2221" s="36">
        <f t="shared" si="1187"/>
        <v>87.540034094783493</v>
      </c>
    </row>
    <row r="2222" spans="1:13">
      <c r="A2222" s="60" t="s">
        <v>944</v>
      </c>
      <c r="B2222" s="29" t="s">
        <v>940</v>
      </c>
      <c r="C2222" s="29" t="s">
        <v>17</v>
      </c>
      <c r="D2222" s="29" t="s">
        <v>106</v>
      </c>
      <c r="E2222" s="29" t="s">
        <v>945</v>
      </c>
      <c r="F2222" s="59" t="s">
        <v>0</v>
      </c>
      <c r="G2222" s="36">
        <f>G2223</f>
        <v>4310.5</v>
      </c>
      <c r="H2222" s="36">
        <f t="shared" si="1190"/>
        <v>4310.5</v>
      </c>
      <c r="I2222" s="36">
        <f t="shared" si="1190"/>
        <v>2933</v>
      </c>
      <c r="J2222" s="36">
        <f t="shared" si="1190"/>
        <v>2783</v>
      </c>
      <c r="K2222" s="36">
        <f t="shared" si="1190"/>
        <v>2567.5491999999999</v>
      </c>
      <c r="L2222" s="36">
        <f t="shared" si="1186"/>
        <v>59.564997100104399</v>
      </c>
      <c r="M2222" s="36">
        <f t="shared" si="1187"/>
        <v>87.540034094783493</v>
      </c>
    </row>
    <row r="2223" spans="1:13" ht="25.5">
      <c r="A2223" s="60" t="s">
        <v>58</v>
      </c>
      <c r="B2223" s="29" t="s">
        <v>940</v>
      </c>
      <c r="C2223" s="29" t="s">
        <v>17</v>
      </c>
      <c r="D2223" s="29" t="s">
        <v>106</v>
      </c>
      <c r="E2223" s="29" t="s">
        <v>946</v>
      </c>
      <c r="F2223" s="59" t="s">
        <v>0</v>
      </c>
      <c r="G2223" s="36">
        <f>G2224</f>
        <v>4310.5</v>
      </c>
      <c r="H2223" s="36">
        <f t="shared" si="1190"/>
        <v>4310.5</v>
      </c>
      <c r="I2223" s="36">
        <f t="shared" si="1190"/>
        <v>2933</v>
      </c>
      <c r="J2223" s="36">
        <f t="shared" si="1190"/>
        <v>2783</v>
      </c>
      <c r="K2223" s="36">
        <f t="shared" si="1190"/>
        <v>2567.5491999999999</v>
      </c>
      <c r="L2223" s="36">
        <f t="shared" si="1186"/>
        <v>59.564997100104399</v>
      </c>
      <c r="M2223" s="36">
        <f t="shared" si="1187"/>
        <v>87.540034094783493</v>
      </c>
    </row>
    <row r="2224" spans="1:13" ht="63.75">
      <c r="A2224" s="60" t="s">
        <v>60</v>
      </c>
      <c r="B2224" s="29" t="s">
        <v>940</v>
      </c>
      <c r="C2224" s="29" t="s">
        <v>17</v>
      </c>
      <c r="D2224" s="29" t="s">
        <v>106</v>
      </c>
      <c r="E2224" s="29" t="s">
        <v>946</v>
      </c>
      <c r="F2224" s="29" t="s">
        <v>61</v>
      </c>
      <c r="G2224" s="36">
        <f>G2225</f>
        <v>4310.5</v>
      </c>
      <c r="H2224" s="36">
        <f t="shared" si="1190"/>
        <v>4310.5</v>
      </c>
      <c r="I2224" s="36">
        <f t="shared" si="1190"/>
        <v>2933</v>
      </c>
      <c r="J2224" s="36">
        <f t="shared" si="1190"/>
        <v>2783</v>
      </c>
      <c r="K2224" s="36">
        <f t="shared" si="1190"/>
        <v>2567.5491999999999</v>
      </c>
      <c r="L2224" s="36">
        <f t="shared" si="1186"/>
        <v>59.564997100104399</v>
      </c>
      <c r="M2224" s="36">
        <f t="shared" si="1187"/>
        <v>87.540034094783493</v>
      </c>
    </row>
    <row r="2225" spans="1:13" ht="25.5">
      <c r="A2225" s="60" t="s">
        <v>62</v>
      </c>
      <c r="B2225" s="29" t="s">
        <v>940</v>
      </c>
      <c r="C2225" s="29" t="s">
        <v>17</v>
      </c>
      <c r="D2225" s="29" t="s">
        <v>106</v>
      </c>
      <c r="E2225" s="29" t="s">
        <v>946</v>
      </c>
      <c r="F2225" s="29" t="s">
        <v>63</v>
      </c>
      <c r="G2225" s="36">
        <v>4310.5</v>
      </c>
      <c r="H2225" s="36">
        <v>4310.5</v>
      </c>
      <c r="I2225" s="36">
        <v>2933</v>
      </c>
      <c r="J2225" s="36">
        <v>2783</v>
      </c>
      <c r="K2225" s="36">
        <v>2567.5491999999999</v>
      </c>
      <c r="L2225" s="36">
        <f t="shared" si="1186"/>
        <v>59.564997100104399</v>
      </c>
      <c r="M2225" s="36">
        <f t="shared" si="1187"/>
        <v>87.540034094783493</v>
      </c>
    </row>
    <row r="2226" spans="1:13" ht="51">
      <c r="A2226" s="60" t="s">
        <v>1033</v>
      </c>
      <c r="B2226" s="29" t="s">
        <v>940</v>
      </c>
      <c r="C2226" s="29" t="s">
        <v>17</v>
      </c>
      <c r="D2226" s="68" t="s">
        <v>150</v>
      </c>
      <c r="E2226" s="29"/>
      <c r="F2226" s="29"/>
      <c r="G2226" s="36"/>
      <c r="H2226" s="36">
        <f>H2227</f>
        <v>6064.2743900000005</v>
      </c>
      <c r="I2226" s="36">
        <f t="shared" ref="I2226:K2226" si="1191">I2227</f>
        <v>6064.2743900000005</v>
      </c>
      <c r="J2226" s="36">
        <f t="shared" si="1191"/>
        <v>6064.2743900000005</v>
      </c>
      <c r="K2226" s="36">
        <f t="shared" si="1191"/>
        <v>6064.2743900000005</v>
      </c>
      <c r="L2226" s="36">
        <f t="shared" ref="L2226:L2239" si="1192">K2226/H2226*100</f>
        <v>100</v>
      </c>
      <c r="M2226" s="36">
        <f t="shared" ref="M2226:M2239" si="1193">K2226/I2226*100</f>
        <v>100</v>
      </c>
    </row>
    <row r="2227" spans="1:13" ht="55.5" customHeight="1">
      <c r="A2227" s="60" t="s">
        <v>1203</v>
      </c>
      <c r="B2227" s="29" t="s">
        <v>940</v>
      </c>
      <c r="C2227" s="29" t="s">
        <v>17</v>
      </c>
      <c r="D2227" s="68" t="s">
        <v>150</v>
      </c>
      <c r="E2227" s="30" t="s">
        <v>1202</v>
      </c>
      <c r="F2227" s="29"/>
      <c r="G2227" s="36"/>
      <c r="H2227" s="36">
        <f>H2228+H2234</f>
        <v>6064.2743900000005</v>
      </c>
      <c r="I2227" s="36">
        <f t="shared" ref="I2227:K2227" si="1194">I2228+I2234</f>
        <v>6064.2743900000005</v>
      </c>
      <c r="J2227" s="36">
        <f t="shared" si="1194"/>
        <v>6064.2743900000005</v>
      </c>
      <c r="K2227" s="36">
        <f t="shared" si="1194"/>
        <v>6064.2743900000005</v>
      </c>
      <c r="L2227" s="36">
        <f t="shared" si="1192"/>
        <v>100</v>
      </c>
      <c r="M2227" s="36">
        <f t="shared" si="1193"/>
        <v>100</v>
      </c>
    </row>
    <row r="2228" spans="1:13" ht="26.25" customHeight="1">
      <c r="A2228" s="60" t="s">
        <v>1205</v>
      </c>
      <c r="B2228" s="29" t="s">
        <v>940</v>
      </c>
      <c r="C2228" s="29" t="s">
        <v>17</v>
      </c>
      <c r="D2228" s="68" t="s">
        <v>150</v>
      </c>
      <c r="E2228" s="30" t="s">
        <v>1204</v>
      </c>
      <c r="F2228" s="29"/>
      <c r="G2228" s="36"/>
      <c r="H2228" s="36">
        <f>H2229</f>
        <v>3913.96254</v>
      </c>
      <c r="I2228" s="36">
        <f t="shared" ref="I2228:K2228" si="1195">I2229</f>
        <v>3913.96254</v>
      </c>
      <c r="J2228" s="36">
        <f t="shared" si="1195"/>
        <v>3913.96254</v>
      </c>
      <c r="K2228" s="36">
        <f t="shared" si="1195"/>
        <v>3913.96254</v>
      </c>
      <c r="L2228" s="36">
        <f t="shared" si="1192"/>
        <v>100</v>
      </c>
      <c r="M2228" s="36">
        <f t="shared" si="1193"/>
        <v>100</v>
      </c>
    </row>
    <row r="2229" spans="1:13" ht="32.25" customHeight="1">
      <c r="A2229" s="60" t="s">
        <v>1207</v>
      </c>
      <c r="B2229" s="29" t="s">
        <v>940</v>
      </c>
      <c r="C2229" s="29" t="s">
        <v>17</v>
      </c>
      <c r="D2229" s="68" t="s">
        <v>150</v>
      </c>
      <c r="E2229" s="30" t="s">
        <v>1206</v>
      </c>
      <c r="F2229" s="29"/>
      <c r="G2229" s="36"/>
      <c r="H2229" s="36">
        <f>H2230+H2232</f>
        <v>3913.96254</v>
      </c>
      <c r="I2229" s="36">
        <f t="shared" ref="I2229:K2229" si="1196">I2230+I2232</f>
        <v>3913.96254</v>
      </c>
      <c r="J2229" s="36">
        <f t="shared" si="1196"/>
        <v>3913.96254</v>
      </c>
      <c r="K2229" s="36">
        <f t="shared" si="1196"/>
        <v>3913.96254</v>
      </c>
      <c r="L2229" s="36">
        <f t="shared" si="1192"/>
        <v>100</v>
      </c>
      <c r="M2229" s="36">
        <f t="shared" si="1193"/>
        <v>100</v>
      </c>
    </row>
    <row r="2230" spans="1:13" ht="63.75">
      <c r="A2230" s="60" t="s">
        <v>60</v>
      </c>
      <c r="B2230" s="29" t="s">
        <v>940</v>
      </c>
      <c r="C2230" s="29" t="s">
        <v>17</v>
      </c>
      <c r="D2230" s="68" t="s">
        <v>150</v>
      </c>
      <c r="E2230" s="30" t="s">
        <v>1206</v>
      </c>
      <c r="F2230" s="29">
        <v>100</v>
      </c>
      <c r="G2230" s="36"/>
      <c r="H2230" s="36">
        <f>H2231</f>
        <v>3711.05132</v>
      </c>
      <c r="I2230" s="36">
        <f t="shared" ref="I2230:K2230" si="1197">I2231</f>
        <v>3711.05132</v>
      </c>
      <c r="J2230" s="36">
        <f t="shared" si="1197"/>
        <v>3711.05132</v>
      </c>
      <c r="K2230" s="36">
        <f t="shared" si="1197"/>
        <v>3711.05132</v>
      </c>
      <c r="L2230" s="36">
        <f t="shared" si="1192"/>
        <v>100</v>
      </c>
      <c r="M2230" s="36">
        <f t="shared" si="1193"/>
        <v>100</v>
      </c>
    </row>
    <row r="2231" spans="1:13" ht="25.5">
      <c r="A2231" s="60" t="s">
        <v>62</v>
      </c>
      <c r="B2231" s="29" t="s">
        <v>940</v>
      </c>
      <c r="C2231" s="29" t="s">
        <v>17</v>
      </c>
      <c r="D2231" s="68" t="s">
        <v>150</v>
      </c>
      <c r="E2231" s="30" t="s">
        <v>1206</v>
      </c>
      <c r="F2231" s="29">
        <v>120</v>
      </c>
      <c r="G2231" s="36"/>
      <c r="H2231" s="36">
        <f>2831.81254+879.23878</f>
        <v>3711.05132</v>
      </c>
      <c r="I2231" s="36">
        <f>2787.41653+81.835+841.79979</f>
        <v>3711.05132</v>
      </c>
      <c r="J2231" s="36">
        <f>2787.41653+81.835+841.79979</f>
        <v>3711.05132</v>
      </c>
      <c r="K2231" s="36">
        <f>2787.41653+81.835+841.79979</f>
        <v>3711.05132</v>
      </c>
      <c r="L2231" s="36">
        <f t="shared" si="1192"/>
        <v>100</v>
      </c>
      <c r="M2231" s="36">
        <f t="shared" si="1193"/>
        <v>100</v>
      </c>
    </row>
    <row r="2232" spans="1:13" ht="25.5">
      <c r="A2232" s="60" t="s">
        <v>64</v>
      </c>
      <c r="B2232" s="29" t="s">
        <v>940</v>
      </c>
      <c r="C2232" s="29" t="s">
        <v>17</v>
      </c>
      <c r="D2232" s="68" t="s">
        <v>150</v>
      </c>
      <c r="E2232" s="30" t="s">
        <v>1206</v>
      </c>
      <c r="F2232" s="29">
        <v>200</v>
      </c>
      <c r="G2232" s="36"/>
      <c r="H2232" s="36">
        <f>H2233</f>
        <v>202.91121999999999</v>
      </c>
      <c r="I2232" s="36">
        <f t="shared" ref="I2232:K2232" si="1198">I2233</f>
        <v>202.91121999999999</v>
      </c>
      <c r="J2232" s="36">
        <f t="shared" si="1198"/>
        <v>202.91121999999999</v>
      </c>
      <c r="K2232" s="36">
        <f t="shared" si="1198"/>
        <v>202.91121999999999</v>
      </c>
      <c r="L2232" s="36">
        <f t="shared" si="1192"/>
        <v>100</v>
      </c>
      <c r="M2232" s="36">
        <f t="shared" si="1193"/>
        <v>100</v>
      </c>
    </row>
    <row r="2233" spans="1:13" ht="25.5">
      <c r="A2233" s="60" t="s">
        <v>66</v>
      </c>
      <c r="B2233" s="29" t="s">
        <v>940</v>
      </c>
      <c r="C2233" s="29" t="s">
        <v>17</v>
      </c>
      <c r="D2233" s="68" t="s">
        <v>150</v>
      </c>
      <c r="E2233" s="30" t="s">
        <v>1206</v>
      </c>
      <c r="F2233" s="29">
        <v>240</v>
      </c>
      <c r="G2233" s="36"/>
      <c r="H2233" s="36">
        <v>202.91121999999999</v>
      </c>
      <c r="I2233" s="36">
        <v>202.91121999999999</v>
      </c>
      <c r="J2233" s="36">
        <v>202.91121999999999</v>
      </c>
      <c r="K2233" s="36">
        <v>202.91121999999999</v>
      </c>
      <c r="L2233" s="36">
        <f t="shared" si="1192"/>
        <v>100</v>
      </c>
      <c r="M2233" s="36">
        <f t="shared" si="1193"/>
        <v>100</v>
      </c>
    </row>
    <row r="2234" spans="1:13" ht="24.75" customHeight="1">
      <c r="A2234" s="60" t="s">
        <v>1209</v>
      </c>
      <c r="B2234" s="29" t="s">
        <v>940</v>
      </c>
      <c r="C2234" s="29" t="s">
        <v>17</v>
      </c>
      <c r="D2234" s="68" t="s">
        <v>150</v>
      </c>
      <c r="E2234" s="30" t="s">
        <v>1208</v>
      </c>
      <c r="F2234" s="29"/>
      <c r="G2234" s="36"/>
      <c r="H2234" s="36">
        <f>H2235</f>
        <v>2150.31185</v>
      </c>
      <c r="I2234" s="36">
        <f t="shared" ref="I2234:K2234" si="1199">I2235</f>
        <v>2150.31185</v>
      </c>
      <c r="J2234" s="36">
        <f t="shared" si="1199"/>
        <v>2150.31185</v>
      </c>
      <c r="K2234" s="36">
        <f t="shared" si="1199"/>
        <v>2150.31185</v>
      </c>
      <c r="L2234" s="36">
        <f t="shared" si="1192"/>
        <v>100</v>
      </c>
      <c r="M2234" s="36">
        <f t="shared" si="1193"/>
        <v>100</v>
      </c>
    </row>
    <row r="2235" spans="1:13" ht="29.25" customHeight="1">
      <c r="A2235" s="60" t="s">
        <v>1211</v>
      </c>
      <c r="B2235" s="29" t="s">
        <v>940</v>
      </c>
      <c r="C2235" s="29" t="s">
        <v>17</v>
      </c>
      <c r="D2235" s="68" t="s">
        <v>150</v>
      </c>
      <c r="E2235" s="30" t="s">
        <v>1210</v>
      </c>
      <c r="F2235" s="29"/>
      <c r="G2235" s="36"/>
      <c r="H2235" s="36">
        <f>H2236+H2238</f>
        <v>2150.31185</v>
      </c>
      <c r="I2235" s="36">
        <f t="shared" ref="I2235:K2235" si="1200">I2236+I2238</f>
        <v>2150.31185</v>
      </c>
      <c r="J2235" s="36">
        <f t="shared" si="1200"/>
        <v>2150.31185</v>
      </c>
      <c r="K2235" s="36">
        <f t="shared" si="1200"/>
        <v>2150.31185</v>
      </c>
      <c r="L2235" s="36">
        <f t="shared" si="1192"/>
        <v>100</v>
      </c>
      <c r="M2235" s="36">
        <f t="shared" si="1193"/>
        <v>100</v>
      </c>
    </row>
    <row r="2236" spans="1:13" ht="63.75">
      <c r="A2236" s="60" t="s">
        <v>60</v>
      </c>
      <c r="B2236" s="29" t="s">
        <v>940</v>
      </c>
      <c r="C2236" s="29" t="s">
        <v>17</v>
      </c>
      <c r="D2236" s="68" t="s">
        <v>150</v>
      </c>
      <c r="E2236" s="30" t="s">
        <v>1210</v>
      </c>
      <c r="F2236" s="29">
        <v>100</v>
      </c>
      <c r="G2236" s="36"/>
      <c r="H2236" s="36">
        <f>H2237</f>
        <v>2023.7308700000001</v>
      </c>
      <c r="I2236" s="36">
        <f t="shared" ref="I2236:K2236" si="1201">I2237</f>
        <v>2023.7308700000001</v>
      </c>
      <c r="J2236" s="36">
        <f t="shared" si="1201"/>
        <v>2023.7308700000001</v>
      </c>
      <c r="K2236" s="36">
        <f t="shared" si="1201"/>
        <v>2023.7308700000001</v>
      </c>
      <c r="L2236" s="36">
        <f t="shared" si="1192"/>
        <v>100</v>
      </c>
      <c r="M2236" s="36">
        <f t="shared" si="1193"/>
        <v>100</v>
      </c>
    </row>
    <row r="2237" spans="1:13" ht="25.5">
      <c r="A2237" s="60" t="s">
        <v>62</v>
      </c>
      <c r="B2237" s="29" t="s">
        <v>940</v>
      </c>
      <c r="C2237" s="29" t="s">
        <v>17</v>
      </c>
      <c r="D2237" s="68" t="s">
        <v>150</v>
      </c>
      <c r="E2237" s="30" t="s">
        <v>1210</v>
      </c>
      <c r="F2237" s="29">
        <v>120</v>
      </c>
      <c r="G2237" s="36"/>
      <c r="H2237" s="36">
        <v>2023.7308700000001</v>
      </c>
      <c r="I2237" s="36">
        <f>1542.036+16+465.69487</f>
        <v>2023.7308700000001</v>
      </c>
      <c r="J2237" s="36">
        <f t="shared" ref="J2237:K2237" si="1202">1542.036+16+465.69487</f>
        <v>2023.7308700000001</v>
      </c>
      <c r="K2237" s="36">
        <f t="shared" si="1202"/>
        <v>2023.7308700000001</v>
      </c>
      <c r="L2237" s="36">
        <f t="shared" si="1192"/>
        <v>100</v>
      </c>
      <c r="M2237" s="36">
        <f t="shared" si="1193"/>
        <v>100</v>
      </c>
    </row>
    <row r="2238" spans="1:13" ht="25.5">
      <c r="A2238" s="60" t="s">
        <v>64</v>
      </c>
      <c r="B2238" s="29" t="s">
        <v>940</v>
      </c>
      <c r="C2238" s="29" t="s">
        <v>17</v>
      </c>
      <c r="D2238" s="68" t="s">
        <v>150</v>
      </c>
      <c r="E2238" s="30" t="s">
        <v>1210</v>
      </c>
      <c r="F2238" s="29">
        <v>200</v>
      </c>
      <c r="G2238" s="36"/>
      <c r="H2238" s="36">
        <f>H2239</f>
        <v>126.58098</v>
      </c>
      <c r="I2238" s="36">
        <f t="shared" ref="I2238:K2238" si="1203">I2239</f>
        <v>126.58098</v>
      </c>
      <c r="J2238" s="36">
        <f t="shared" si="1203"/>
        <v>126.58098</v>
      </c>
      <c r="K2238" s="36">
        <f t="shared" si="1203"/>
        <v>126.58098</v>
      </c>
      <c r="L2238" s="36">
        <f t="shared" si="1192"/>
        <v>100</v>
      </c>
      <c r="M2238" s="36">
        <f t="shared" si="1193"/>
        <v>100</v>
      </c>
    </row>
    <row r="2239" spans="1:13" ht="25.5">
      <c r="A2239" s="60" t="s">
        <v>66</v>
      </c>
      <c r="B2239" s="29" t="s">
        <v>940</v>
      </c>
      <c r="C2239" s="29" t="s">
        <v>17</v>
      </c>
      <c r="D2239" s="68" t="s">
        <v>150</v>
      </c>
      <c r="E2239" s="30" t="s">
        <v>1210</v>
      </c>
      <c r="F2239" s="29">
        <v>240</v>
      </c>
      <c r="G2239" s="36"/>
      <c r="H2239" s="36">
        <v>126.58098</v>
      </c>
      <c r="I2239" s="36">
        <v>126.58098</v>
      </c>
      <c r="J2239" s="36">
        <v>126.58098</v>
      </c>
      <c r="K2239" s="36">
        <v>126.58098</v>
      </c>
      <c r="L2239" s="36">
        <f t="shared" si="1192"/>
        <v>100</v>
      </c>
      <c r="M2239" s="36">
        <f t="shared" si="1193"/>
        <v>100</v>
      </c>
    </row>
    <row r="2240" spans="1:13" ht="51">
      <c r="A2240" s="60" t="s">
        <v>18</v>
      </c>
      <c r="B2240" s="29" t="s">
        <v>940</v>
      </c>
      <c r="C2240" s="29" t="s">
        <v>17</v>
      </c>
      <c r="D2240" s="29" t="s">
        <v>19</v>
      </c>
      <c r="E2240" s="59" t="s">
        <v>0</v>
      </c>
      <c r="F2240" s="59" t="s">
        <v>0</v>
      </c>
      <c r="G2240" s="36">
        <f>G2241+G2253</f>
        <v>225202.1</v>
      </c>
      <c r="H2240" s="36">
        <f t="shared" ref="H2240:K2240" si="1204">H2241+H2253</f>
        <v>250431.26792000001</v>
      </c>
      <c r="I2240" s="36">
        <f t="shared" si="1204"/>
        <v>128416.71399999999</v>
      </c>
      <c r="J2240" s="36">
        <f t="shared" si="1204"/>
        <v>122698.414</v>
      </c>
      <c r="K2240" s="36">
        <f t="shared" si="1204"/>
        <v>118238.57233999998</v>
      </c>
      <c r="L2240" s="36">
        <f t="shared" si="1186"/>
        <v>47.21398143372862</v>
      </c>
      <c r="M2240" s="36">
        <f t="shared" si="1187"/>
        <v>92.074130116738544</v>
      </c>
    </row>
    <row r="2241" spans="1:13" ht="38.25">
      <c r="A2241" s="60" t="s">
        <v>734</v>
      </c>
      <c r="B2241" s="29" t="s">
        <v>940</v>
      </c>
      <c r="C2241" s="29" t="s">
        <v>17</v>
      </c>
      <c r="D2241" s="29" t="s">
        <v>19</v>
      </c>
      <c r="E2241" s="29" t="s">
        <v>735</v>
      </c>
      <c r="F2241" s="59" t="s">
        <v>0</v>
      </c>
      <c r="G2241" s="36">
        <f>G2242</f>
        <v>200634.4</v>
      </c>
      <c r="H2241" s="36">
        <f t="shared" ref="H2241:K2241" si="1205">H2242</f>
        <v>225863.56792</v>
      </c>
      <c r="I2241" s="36">
        <f t="shared" si="1205"/>
        <v>115424.21399999999</v>
      </c>
      <c r="J2241" s="36">
        <f t="shared" si="1205"/>
        <v>111781.314</v>
      </c>
      <c r="K2241" s="36">
        <f t="shared" si="1205"/>
        <v>107879.34395999998</v>
      </c>
      <c r="L2241" s="36">
        <f t="shared" si="1186"/>
        <v>47.763056677742036</v>
      </c>
      <c r="M2241" s="36">
        <f t="shared" si="1187"/>
        <v>93.463355929805161</v>
      </c>
    </row>
    <row r="2242" spans="1:13" ht="38.25">
      <c r="A2242" s="60" t="s">
        <v>736</v>
      </c>
      <c r="B2242" s="29" t="s">
        <v>940</v>
      </c>
      <c r="C2242" s="29" t="s">
        <v>17</v>
      </c>
      <c r="D2242" s="29" t="s">
        <v>19</v>
      </c>
      <c r="E2242" s="29" t="s">
        <v>737</v>
      </c>
      <c r="F2242" s="59" t="s">
        <v>0</v>
      </c>
      <c r="G2242" s="36">
        <f>G2243+G2250</f>
        <v>200634.4</v>
      </c>
      <c r="H2242" s="36">
        <f t="shared" ref="H2242:K2242" si="1206">H2243+H2250</f>
        <v>225863.56792</v>
      </c>
      <c r="I2242" s="36">
        <f t="shared" si="1206"/>
        <v>115424.21399999999</v>
      </c>
      <c r="J2242" s="36">
        <f t="shared" si="1206"/>
        <v>111781.314</v>
      </c>
      <c r="K2242" s="36">
        <f t="shared" si="1206"/>
        <v>107879.34395999998</v>
      </c>
      <c r="L2242" s="36">
        <f t="shared" si="1186"/>
        <v>47.763056677742036</v>
      </c>
      <c r="M2242" s="36">
        <f t="shared" si="1187"/>
        <v>93.463355929805161</v>
      </c>
    </row>
    <row r="2243" spans="1:13" ht="25.5">
      <c r="A2243" s="60" t="s">
        <v>58</v>
      </c>
      <c r="B2243" s="29" t="s">
        <v>940</v>
      </c>
      <c r="C2243" s="29" t="s">
        <v>17</v>
      </c>
      <c r="D2243" s="29" t="s">
        <v>19</v>
      </c>
      <c r="E2243" s="29" t="s">
        <v>738</v>
      </c>
      <c r="F2243" s="59" t="s">
        <v>0</v>
      </c>
      <c r="G2243" s="36">
        <f>G2244+G2246+G2248</f>
        <v>192511.5</v>
      </c>
      <c r="H2243" s="36">
        <f t="shared" ref="H2243:K2243" si="1207">H2244+H2246+H2248</f>
        <v>217740.66792000001</v>
      </c>
      <c r="I2243" s="36">
        <f t="shared" si="1207"/>
        <v>110424.21399999999</v>
      </c>
      <c r="J2243" s="36">
        <f t="shared" si="1207"/>
        <v>109381.314</v>
      </c>
      <c r="K2243" s="36">
        <f t="shared" si="1207"/>
        <v>105694.25095999999</v>
      </c>
      <c r="L2243" s="36">
        <f t="shared" si="1186"/>
        <v>48.541345982659088</v>
      </c>
      <c r="M2243" s="36">
        <f t="shared" si="1187"/>
        <v>95.716552675665866</v>
      </c>
    </row>
    <row r="2244" spans="1:13" ht="63.75">
      <c r="A2244" s="60" t="s">
        <v>60</v>
      </c>
      <c r="B2244" s="29" t="s">
        <v>940</v>
      </c>
      <c r="C2244" s="29" t="s">
        <v>17</v>
      </c>
      <c r="D2244" s="29" t="s">
        <v>19</v>
      </c>
      <c r="E2244" s="29" t="s">
        <v>738</v>
      </c>
      <c r="F2244" s="29" t="s">
        <v>61</v>
      </c>
      <c r="G2244" s="36">
        <f>G2245</f>
        <v>149457.20000000001</v>
      </c>
      <c r="H2244" s="36">
        <f t="shared" ref="H2244:K2244" si="1208">H2245</f>
        <v>179718.28192000001</v>
      </c>
      <c r="I2244" s="36">
        <f t="shared" si="1208"/>
        <v>89525.213999999993</v>
      </c>
      <c r="J2244" s="36">
        <f t="shared" si="1208"/>
        <v>88982.313999999998</v>
      </c>
      <c r="K2244" s="36">
        <f t="shared" si="1208"/>
        <v>85337.300239999997</v>
      </c>
      <c r="L2244" s="36">
        <f t="shared" si="1186"/>
        <v>47.483928361827502</v>
      </c>
      <c r="M2244" s="36">
        <f t="shared" si="1187"/>
        <v>95.322084614061922</v>
      </c>
    </row>
    <row r="2245" spans="1:13" ht="25.5">
      <c r="A2245" s="60" t="s">
        <v>62</v>
      </c>
      <c r="B2245" s="29" t="s">
        <v>940</v>
      </c>
      <c r="C2245" s="29" t="s">
        <v>17</v>
      </c>
      <c r="D2245" s="29" t="s">
        <v>19</v>
      </c>
      <c r="E2245" s="29" t="s">
        <v>738</v>
      </c>
      <c r="F2245" s="29" t="s">
        <v>63</v>
      </c>
      <c r="G2245" s="36">
        <v>149457.20000000001</v>
      </c>
      <c r="H2245" s="36">
        <v>179718.28192000001</v>
      </c>
      <c r="I2245" s="36">
        <f>66094.734+4361.61+19068.87</f>
        <v>89525.213999999993</v>
      </c>
      <c r="J2245" s="36">
        <f>66094.734+4000+18887.58</f>
        <v>88982.313999999998</v>
      </c>
      <c r="K2245" s="36">
        <f>62929.85924+3521.76764+18885.67336</f>
        <v>85337.300239999997</v>
      </c>
      <c r="L2245" s="36">
        <f t="shared" si="1186"/>
        <v>47.483928361827502</v>
      </c>
      <c r="M2245" s="36">
        <f t="shared" si="1187"/>
        <v>95.322084614061922</v>
      </c>
    </row>
    <row r="2246" spans="1:13" ht="25.5">
      <c r="A2246" s="60" t="s">
        <v>64</v>
      </c>
      <c r="B2246" s="29" t="s">
        <v>940</v>
      </c>
      <c r="C2246" s="29" t="s">
        <v>17</v>
      </c>
      <c r="D2246" s="29" t="s">
        <v>19</v>
      </c>
      <c r="E2246" s="29" t="s">
        <v>738</v>
      </c>
      <c r="F2246" s="29" t="s">
        <v>65</v>
      </c>
      <c r="G2246" s="36">
        <f>G2247</f>
        <v>42856.3</v>
      </c>
      <c r="H2246" s="36">
        <f t="shared" ref="H2246:K2246" si="1209">H2247</f>
        <v>37824.385999999999</v>
      </c>
      <c r="I2246" s="36">
        <f t="shared" si="1209"/>
        <v>20800</v>
      </c>
      <c r="J2246" s="36">
        <f t="shared" si="1209"/>
        <v>20300</v>
      </c>
      <c r="K2246" s="36">
        <f t="shared" si="1209"/>
        <v>20288.58772</v>
      </c>
      <c r="L2246" s="36">
        <f t="shared" si="1186"/>
        <v>53.638908295827989</v>
      </c>
      <c r="M2246" s="36">
        <f t="shared" si="1187"/>
        <v>97.541287115384605</v>
      </c>
    </row>
    <row r="2247" spans="1:13" ht="25.5">
      <c r="A2247" s="60" t="s">
        <v>66</v>
      </c>
      <c r="B2247" s="29" t="s">
        <v>940</v>
      </c>
      <c r="C2247" s="29" t="s">
        <v>17</v>
      </c>
      <c r="D2247" s="29" t="s">
        <v>19</v>
      </c>
      <c r="E2247" s="29" t="s">
        <v>738</v>
      </c>
      <c r="F2247" s="29" t="s">
        <v>67</v>
      </c>
      <c r="G2247" s="36">
        <v>42856.3</v>
      </c>
      <c r="H2247" s="36">
        <v>37824.385999999999</v>
      </c>
      <c r="I2247" s="36">
        <v>20800</v>
      </c>
      <c r="J2247" s="36">
        <v>20300</v>
      </c>
      <c r="K2247" s="36">
        <v>20288.58772</v>
      </c>
      <c r="L2247" s="36">
        <f t="shared" si="1186"/>
        <v>53.638908295827989</v>
      </c>
      <c r="M2247" s="36">
        <f t="shared" si="1187"/>
        <v>97.541287115384605</v>
      </c>
    </row>
    <row r="2248" spans="1:13">
      <c r="A2248" s="60" t="s">
        <v>72</v>
      </c>
      <c r="B2248" s="29" t="s">
        <v>940</v>
      </c>
      <c r="C2248" s="29" t="s">
        <v>17</v>
      </c>
      <c r="D2248" s="29" t="s">
        <v>19</v>
      </c>
      <c r="E2248" s="29" t="s">
        <v>738</v>
      </c>
      <c r="F2248" s="29" t="s">
        <v>73</v>
      </c>
      <c r="G2248" s="36">
        <f>G2249</f>
        <v>198</v>
      </c>
      <c r="H2248" s="36">
        <f t="shared" ref="H2248:K2248" si="1210">H2249</f>
        <v>198</v>
      </c>
      <c r="I2248" s="36">
        <f t="shared" si="1210"/>
        <v>99</v>
      </c>
      <c r="J2248" s="36">
        <f t="shared" si="1210"/>
        <v>99</v>
      </c>
      <c r="K2248" s="36">
        <f t="shared" si="1210"/>
        <v>68.363</v>
      </c>
      <c r="L2248" s="36">
        <f t="shared" si="1186"/>
        <v>34.526767676767676</v>
      </c>
      <c r="M2248" s="36">
        <f t="shared" si="1187"/>
        <v>69.053535353535352</v>
      </c>
    </row>
    <row r="2249" spans="1:13">
      <c r="A2249" s="60" t="s">
        <v>74</v>
      </c>
      <c r="B2249" s="29" t="s">
        <v>940</v>
      </c>
      <c r="C2249" s="29" t="s">
        <v>17</v>
      </c>
      <c r="D2249" s="29" t="s">
        <v>19</v>
      </c>
      <c r="E2249" s="29" t="s">
        <v>738</v>
      </c>
      <c r="F2249" s="29" t="s">
        <v>75</v>
      </c>
      <c r="G2249" s="36">
        <v>198</v>
      </c>
      <c r="H2249" s="36">
        <v>198</v>
      </c>
      <c r="I2249" s="36">
        <v>99</v>
      </c>
      <c r="J2249" s="36">
        <v>99</v>
      </c>
      <c r="K2249" s="36">
        <v>68.363</v>
      </c>
      <c r="L2249" s="36">
        <f t="shared" si="1186"/>
        <v>34.526767676767676</v>
      </c>
      <c r="M2249" s="36">
        <f t="shared" si="1187"/>
        <v>69.053535353535352</v>
      </c>
    </row>
    <row r="2250" spans="1:13">
      <c r="A2250" s="60" t="s">
        <v>609</v>
      </c>
      <c r="B2250" s="29" t="s">
        <v>940</v>
      </c>
      <c r="C2250" s="29" t="s">
        <v>17</v>
      </c>
      <c r="D2250" s="29" t="s">
        <v>19</v>
      </c>
      <c r="E2250" s="29" t="s">
        <v>947</v>
      </c>
      <c r="F2250" s="59" t="s">
        <v>0</v>
      </c>
      <c r="G2250" s="36">
        <f>G2251</f>
        <v>8122.9</v>
      </c>
      <c r="H2250" s="36">
        <f t="shared" ref="H2250:K2251" si="1211">H2251</f>
        <v>8122.9</v>
      </c>
      <c r="I2250" s="36">
        <f t="shared" si="1211"/>
        <v>5000</v>
      </c>
      <c r="J2250" s="36">
        <f t="shared" si="1211"/>
        <v>2400</v>
      </c>
      <c r="K2250" s="36">
        <f t="shared" si="1211"/>
        <v>2185.0929999999998</v>
      </c>
      <c r="L2250" s="36">
        <f t="shared" si="1186"/>
        <v>26.900405027761021</v>
      </c>
      <c r="M2250" s="36">
        <f t="shared" si="1187"/>
        <v>43.701859999999996</v>
      </c>
    </row>
    <row r="2251" spans="1:13" ht="25.5">
      <c r="A2251" s="60" t="s">
        <v>64</v>
      </c>
      <c r="B2251" s="29" t="s">
        <v>940</v>
      </c>
      <c r="C2251" s="29" t="s">
        <v>17</v>
      </c>
      <c r="D2251" s="29" t="s">
        <v>19</v>
      </c>
      <c r="E2251" s="29" t="s">
        <v>947</v>
      </c>
      <c r="F2251" s="29" t="s">
        <v>65</v>
      </c>
      <c r="G2251" s="36">
        <f>G2252</f>
        <v>8122.9</v>
      </c>
      <c r="H2251" s="36">
        <f t="shared" si="1211"/>
        <v>8122.9</v>
      </c>
      <c r="I2251" s="36">
        <f t="shared" si="1211"/>
        <v>5000</v>
      </c>
      <c r="J2251" s="36">
        <f t="shared" si="1211"/>
        <v>2400</v>
      </c>
      <c r="K2251" s="36">
        <f t="shared" si="1211"/>
        <v>2185.0929999999998</v>
      </c>
      <c r="L2251" s="36">
        <f t="shared" si="1186"/>
        <v>26.900405027761021</v>
      </c>
      <c r="M2251" s="36">
        <f t="shared" si="1187"/>
        <v>43.701859999999996</v>
      </c>
    </row>
    <row r="2252" spans="1:13" ht="25.5">
      <c r="A2252" s="60" t="s">
        <v>66</v>
      </c>
      <c r="B2252" s="29" t="s">
        <v>940</v>
      </c>
      <c r="C2252" s="29" t="s">
        <v>17</v>
      </c>
      <c r="D2252" s="29" t="s">
        <v>19</v>
      </c>
      <c r="E2252" s="29" t="s">
        <v>947</v>
      </c>
      <c r="F2252" s="29" t="s">
        <v>67</v>
      </c>
      <c r="G2252" s="36">
        <v>8122.9</v>
      </c>
      <c r="H2252" s="36">
        <v>8122.9</v>
      </c>
      <c r="I2252" s="36">
        <v>5000</v>
      </c>
      <c r="J2252" s="36">
        <v>2400</v>
      </c>
      <c r="K2252" s="36">
        <v>2185.0929999999998</v>
      </c>
      <c r="L2252" s="36">
        <f t="shared" si="1186"/>
        <v>26.900405027761021</v>
      </c>
      <c r="M2252" s="36">
        <f t="shared" si="1187"/>
        <v>43.701859999999996</v>
      </c>
    </row>
    <row r="2253" spans="1:13" ht="51">
      <c r="A2253" s="60" t="s">
        <v>942</v>
      </c>
      <c r="B2253" s="29" t="s">
        <v>940</v>
      </c>
      <c r="C2253" s="29" t="s">
        <v>17</v>
      </c>
      <c r="D2253" s="29" t="s">
        <v>19</v>
      </c>
      <c r="E2253" s="29" t="s">
        <v>943</v>
      </c>
      <c r="F2253" s="59" t="s">
        <v>0</v>
      </c>
      <c r="G2253" s="36">
        <f>G2254</f>
        <v>24567.7</v>
      </c>
      <c r="H2253" s="36">
        <f t="shared" ref="H2253:K2256" si="1212">H2254</f>
        <v>24567.7</v>
      </c>
      <c r="I2253" s="36">
        <f t="shared" si="1212"/>
        <v>12992.5</v>
      </c>
      <c r="J2253" s="36">
        <f t="shared" si="1212"/>
        <v>10917.1</v>
      </c>
      <c r="K2253" s="36">
        <f t="shared" si="1212"/>
        <v>10359.22838</v>
      </c>
      <c r="L2253" s="36">
        <f t="shared" si="1186"/>
        <v>42.166048836480421</v>
      </c>
      <c r="M2253" s="36">
        <f t="shared" si="1187"/>
        <v>79.732371598999435</v>
      </c>
    </row>
    <row r="2254" spans="1:13" ht="38.25">
      <c r="A2254" s="60" t="s">
        <v>948</v>
      </c>
      <c r="B2254" s="29" t="s">
        <v>940</v>
      </c>
      <c r="C2254" s="29" t="s">
        <v>17</v>
      </c>
      <c r="D2254" s="29" t="s">
        <v>19</v>
      </c>
      <c r="E2254" s="29" t="s">
        <v>949</v>
      </c>
      <c r="F2254" s="59" t="s">
        <v>0</v>
      </c>
      <c r="G2254" s="36">
        <f>G2255</f>
        <v>24567.7</v>
      </c>
      <c r="H2254" s="36">
        <f t="shared" si="1212"/>
        <v>24567.7</v>
      </c>
      <c r="I2254" s="36">
        <f t="shared" si="1212"/>
        <v>12992.5</v>
      </c>
      <c r="J2254" s="36">
        <f t="shared" si="1212"/>
        <v>10917.1</v>
      </c>
      <c r="K2254" s="36">
        <f t="shared" si="1212"/>
        <v>10359.22838</v>
      </c>
      <c r="L2254" s="36">
        <f t="shared" si="1186"/>
        <v>42.166048836480421</v>
      </c>
      <c r="M2254" s="36">
        <f t="shared" si="1187"/>
        <v>79.732371598999435</v>
      </c>
    </row>
    <row r="2255" spans="1:13" ht="25.5">
      <c r="A2255" s="60" t="s">
        <v>58</v>
      </c>
      <c r="B2255" s="29" t="s">
        <v>940</v>
      </c>
      <c r="C2255" s="29" t="s">
        <v>17</v>
      </c>
      <c r="D2255" s="29" t="s">
        <v>19</v>
      </c>
      <c r="E2255" s="29" t="s">
        <v>950</v>
      </c>
      <c r="F2255" s="59" t="s">
        <v>0</v>
      </c>
      <c r="G2255" s="36">
        <f>G2256</f>
        <v>24567.7</v>
      </c>
      <c r="H2255" s="36">
        <f t="shared" si="1212"/>
        <v>24567.7</v>
      </c>
      <c r="I2255" s="36">
        <f t="shared" si="1212"/>
        <v>12992.5</v>
      </c>
      <c r="J2255" s="36">
        <f t="shared" si="1212"/>
        <v>10917.1</v>
      </c>
      <c r="K2255" s="36">
        <f t="shared" si="1212"/>
        <v>10359.22838</v>
      </c>
      <c r="L2255" s="36">
        <f t="shared" si="1186"/>
        <v>42.166048836480421</v>
      </c>
      <c r="M2255" s="36">
        <f t="shared" si="1187"/>
        <v>79.732371598999435</v>
      </c>
    </row>
    <row r="2256" spans="1:13" ht="63.75">
      <c r="A2256" s="60" t="s">
        <v>60</v>
      </c>
      <c r="B2256" s="29" t="s">
        <v>940</v>
      </c>
      <c r="C2256" s="29" t="s">
        <v>17</v>
      </c>
      <c r="D2256" s="29" t="s">
        <v>19</v>
      </c>
      <c r="E2256" s="29" t="s">
        <v>950</v>
      </c>
      <c r="F2256" s="29" t="s">
        <v>61</v>
      </c>
      <c r="G2256" s="36">
        <f>G2257</f>
        <v>24567.7</v>
      </c>
      <c r="H2256" s="36">
        <f t="shared" si="1212"/>
        <v>24567.7</v>
      </c>
      <c r="I2256" s="36">
        <f t="shared" si="1212"/>
        <v>12992.5</v>
      </c>
      <c r="J2256" s="36">
        <f t="shared" si="1212"/>
        <v>10917.1</v>
      </c>
      <c r="K2256" s="36">
        <f t="shared" si="1212"/>
        <v>10359.22838</v>
      </c>
      <c r="L2256" s="36">
        <f t="shared" si="1186"/>
        <v>42.166048836480421</v>
      </c>
      <c r="M2256" s="36">
        <f t="shared" si="1187"/>
        <v>79.732371598999435</v>
      </c>
    </row>
    <row r="2257" spans="1:13" ht="25.5">
      <c r="A2257" s="60" t="s">
        <v>62</v>
      </c>
      <c r="B2257" s="29" t="s">
        <v>940</v>
      </c>
      <c r="C2257" s="29" t="s">
        <v>17</v>
      </c>
      <c r="D2257" s="29" t="s">
        <v>19</v>
      </c>
      <c r="E2257" s="29" t="s">
        <v>950</v>
      </c>
      <c r="F2257" s="29" t="s">
        <v>63</v>
      </c>
      <c r="G2257" s="36">
        <v>24567.7</v>
      </c>
      <c r="H2257" s="36">
        <v>24567.7</v>
      </c>
      <c r="I2257" s="36">
        <v>12992.5</v>
      </c>
      <c r="J2257" s="36">
        <v>10917.1</v>
      </c>
      <c r="K2257" s="36">
        <v>10359.22838</v>
      </c>
      <c r="L2257" s="36">
        <f t="shared" si="1186"/>
        <v>42.166048836480421</v>
      </c>
      <c r="M2257" s="36">
        <f t="shared" si="1187"/>
        <v>79.732371598999435</v>
      </c>
    </row>
    <row r="2258" spans="1:13">
      <c r="A2258" s="60" t="s">
        <v>386</v>
      </c>
      <c r="B2258" s="29" t="s">
        <v>940</v>
      </c>
      <c r="C2258" s="29" t="s">
        <v>17</v>
      </c>
      <c r="D2258" s="29" t="s">
        <v>387</v>
      </c>
      <c r="E2258" s="59" t="s">
        <v>0</v>
      </c>
      <c r="F2258" s="59" t="s">
        <v>0</v>
      </c>
      <c r="G2258" s="36">
        <f>G2259+G2264+G2269+G2297</f>
        <v>741457.2</v>
      </c>
      <c r="H2258" s="36">
        <f>H2259+H2264+H2269+H2297+H2336</f>
        <v>290124.60570000001</v>
      </c>
      <c r="I2258" s="36">
        <f t="shared" ref="I2258:K2258" si="1213">I2259+I2264+I2269+I2297+I2336</f>
        <v>156697.34169999999</v>
      </c>
      <c r="J2258" s="36">
        <f t="shared" si="1213"/>
        <v>155633.46807</v>
      </c>
      <c r="K2258" s="36">
        <f t="shared" si="1213"/>
        <v>128013.29398999998</v>
      </c>
      <c r="L2258" s="36">
        <f t="shared" si="1186"/>
        <v>44.123556387482225</v>
      </c>
      <c r="M2258" s="36">
        <f t="shared" si="1187"/>
        <v>81.694617535429444</v>
      </c>
    </row>
    <row r="2259" spans="1:13" ht="76.5">
      <c r="A2259" s="60" t="s">
        <v>86</v>
      </c>
      <c r="B2259" s="29" t="s">
        <v>940</v>
      </c>
      <c r="C2259" s="29" t="s">
        <v>17</v>
      </c>
      <c r="D2259" s="29" t="s">
        <v>387</v>
      </c>
      <c r="E2259" s="29" t="s">
        <v>87</v>
      </c>
      <c r="F2259" s="59" t="s">
        <v>0</v>
      </c>
      <c r="G2259" s="36">
        <f>G2260</f>
        <v>300</v>
      </c>
      <c r="H2259" s="36">
        <f t="shared" ref="H2259:K2262" si="1214">H2260</f>
        <v>300</v>
      </c>
      <c r="I2259" s="36">
        <f t="shared" si="1214"/>
        <v>300</v>
      </c>
      <c r="J2259" s="36">
        <f t="shared" si="1214"/>
        <v>300</v>
      </c>
      <c r="K2259" s="36">
        <f t="shared" si="1214"/>
        <v>300</v>
      </c>
      <c r="L2259" s="36">
        <f t="shared" si="1186"/>
        <v>100</v>
      </c>
      <c r="M2259" s="36">
        <f t="shared" si="1187"/>
        <v>100</v>
      </c>
    </row>
    <row r="2260" spans="1:13" ht="51">
      <c r="A2260" s="60" t="s">
        <v>443</v>
      </c>
      <c r="B2260" s="29" t="s">
        <v>940</v>
      </c>
      <c r="C2260" s="29" t="s">
        <v>17</v>
      </c>
      <c r="D2260" s="29" t="s">
        <v>387</v>
      </c>
      <c r="E2260" s="29" t="s">
        <v>444</v>
      </c>
      <c r="F2260" s="59" t="s">
        <v>0</v>
      </c>
      <c r="G2260" s="36">
        <f>G2261</f>
        <v>300</v>
      </c>
      <c r="H2260" s="36">
        <f t="shared" si="1214"/>
        <v>300</v>
      </c>
      <c r="I2260" s="36">
        <f t="shared" si="1214"/>
        <v>300</v>
      </c>
      <c r="J2260" s="36">
        <f t="shared" si="1214"/>
        <v>300</v>
      </c>
      <c r="K2260" s="36">
        <f t="shared" si="1214"/>
        <v>300</v>
      </c>
      <c r="L2260" s="36">
        <f t="shared" si="1186"/>
        <v>100</v>
      </c>
      <c r="M2260" s="36">
        <f t="shared" si="1187"/>
        <v>100</v>
      </c>
    </row>
    <row r="2261" spans="1:13" ht="25.5">
      <c r="A2261" s="60" t="s">
        <v>748</v>
      </c>
      <c r="B2261" s="29" t="s">
        <v>940</v>
      </c>
      <c r="C2261" s="29" t="s">
        <v>17</v>
      </c>
      <c r="D2261" s="29" t="s">
        <v>387</v>
      </c>
      <c r="E2261" s="29" t="s">
        <v>951</v>
      </c>
      <c r="F2261" s="59" t="s">
        <v>0</v>
      </c>
      <c r="G2261" s="36">
        <f>G2262</f>
        <v>300</v>
      </c>
      <c r="H2261" s="36">
        <f t="shared" si="1214"/>
        <v>300</v>
      </c>
      <c r="I2261" s="36">
        <f t="shared" si="1214"/>
        <v>300</v>
      </c>
      <c r="J2261" s="36">
        <f t="shared" si="1214"/>
        <v>300</v>
      </c>
      <c r="K2261" s="36">
        <f t="shared" si="1214"/>
        <v>300</v>
      </c>
      <c r="L2261" s="36">
        <f t="shared" si="1186"/>
        <v>100</v>
      </c>
      <c r="M2261" s="36">
        <f t="shared" si="1187"/>
        <v>100</v>
      </c>
    </row>
    <row r="2262" spans="1:13" ht="25.5">
      <c r="A2262" s="60" t="s">
        <v>80</v>
      </c>
      <c r="B2262" s="29" t="s">
        <v>940</v>
      </c>
      <c r="C2262" s="29" t="s">
        <v>17</v>
      </c>
      <c r="D2262" s="29" t="s">
        <v>387</v>
      </c>
      <c r="E2262" s="29" t="s">
        <v>951</v>
      </c>
      <c r="F2262" s="29" t="s">
        <v>81</v>
      </c>
      <c r="G2262" s="36">
        <f>G2263</f>
        <v>300</v>
      </c>
      <c r="H2262" s="36">
        <f t="shared" si="1214"/>
        <v>300</v>
      </c>
      <c r="I2262" s="36">
        <f t="shared" si="1214"/>
        <v>300</v>
      </c>
      <c r="J2262" s="36">
        <f t="shared" si="1214"/>
        <v>300</v>
      </c>
      <c r="K2262" s="36">
        <f t="shared" si="1214"/>
        <v>300</v>
      </c>
      <c r="L2262" s="36">
        <f t="shared" si="1186"/>
        <v>100</v>
      </c>
      <c r="M2262" s="36">
        <f t="shared" si="1187"/>
        <v>100</v>
      </c>
    </row>
    <row r="2263" spans="1:13">
      <c r="A2263" s="60" t="s">
        <v>82</v>
      </c>
      <c r="B2263" s="29" t="s">
        <v>940</v>
      </c>
      <c r="C2263" s="29" t="s">
        <v>17</v>
      </c>
      <c r="D2263" s="29" t="s">
        <v>387</v>
      </c>
      <c r="E2263" s="29" t="s">
        <v>951</v>
      </c>
      <c r="F2263" s="29" t="s">
        <v>83</v>
      </c>
      <c r="G2263" s="36">
        <v>300</v>
      </c>
      <c r="H2263" s="36">
        <v>300</v>
      </c>
      <c r="I2263" s="36">
        <v>300</v>
      </c>
      <c r="J2263" s="36">
        <v>300</v>
      </c>
      <c r="K2263" s="36">
        <v>300</v>
      </c>
      <c r="L2263" s="36">
        <f t="shared" si="1186"/>
        <v>100</v>
      </c>
      <c r="M2263" s="36">
        <f t="shared" si="1187"/>
        <v>100</v>
      </c>
    </row>
    <row r="2264" spans="1:13" ht="63.75">
      <c r="A2264" s="60" t="s">
        <v>166</v>
      </c>
      <c r="B2264" s="29" t="s">
        <v>940</v>
      </c>
      <c r="C2264" s="29" t="s">
        <v>17</v>
      </c>
      <c r="D2264" s="29" t="s">
        <v>387</v>
      </c>
      <c r="E2264" s="29" t="s">
        <v>167</v>
      </c>
      <c r="F2264" s="59" t="s">
        <v>0</v>
      </c>
      <c r="G2264" s="36">
        <f>G2265</f>
        <v>28634</v>
      </c>
      <c r="H2264" s="36">
        <f t="shared" ref="H2264:K2267" si="1215">H2265</f>
        <v>0</v>
      </c>
      <c r="I2264" s="36">
        <f t="shared" si="1215"/>
        <v>0</v>
      </c>
      <c r="J2264" s="36">
        <f t="shared" si="1215"/>
        <v>0</v>
      </c>
      <c r="K2264" s="36">
        <f t="shared" si="1215"/>
        <v>0</v>
      </c>
      <c r="L2264" s="36">
        <v>0</v>
      </c>
      <c r="M2264" s="36">
        <v>0</v>
      </c>
    </row>
    <row r="2265" spans="1:13" ht="38.25">
      <c r="A2265" s="60" t="s">
        <v>910</v>
      </c>
      <c r="B2265" s="29" t="s">
        <v>940</v>
      </c>
      <c r="C2265" s="29" t="s">
        <v>17</v>
      </c>
      <c r="D2265" s="29" t="s">
        <v>387</v>
      </c>
      <c r="E2265" s="29" t="s">
        <v>911</v>
      </c>
      <c r="F2265" s="59" t="s">
        <v>0</v>
      </c>
      <c r="G2265" s="36">
        <f>G2266</f>
        <v>28634</v>
      </c>
      <c r="H2265" s="36">
        <f t="shared" si="1215"/>
        <v>0</v>
      </c>
      <c r="I2265" s="36">
        <f t="shared" si="1215"/>
        <v>0</v>
      </c>
      <c r="J2265" s="36">
        <f t="shared" si="1215"/>
        <v>0</v>
      </c>
      <c r="K2265" s="36">
        <f t="shared" si="1215"/>
        <v>0</v>
      </c>
      <c r="L2265" s="36">
        <v>0</v>
      </c>
      <c r="M2265" s="36">
        <v>0</v>
      </c>
    </row>
    <row r="2266" spans="1:13" ht="25.5">
      <c r="A2266" s="60" t="s">
        <v>748</v>
      </c>
      <c r="B2266" s="29" t="s">
        <v>940</v>
      </c>
      <c r="C2266" s="29" t="s">
        <v>17</v>
      </c>
      <c r="D2266" s="29" t="s">
        <v>387</v>
      </c>
      <c r="E2266" s="29" t="s">
        <v>952</v>
      </c>
      <c r="F2266" s="59" t="s">
        <v>0</v>
      </c>
      <c r="G2266" s="36">
        <f>G2267</f>
        <v>28634</v>
      </c>
      <c r="H2266" s="36">
        <f t="shared" si="1215"/>
        <v>0</v>
      </c>
      <c r="I2266" s="36">
        <f t="shared" si="1215"/>
        <v>0</v>
      </c>
      <c r="J2266" s="36">
        <f t="shared" si="1215"/>
        <v>0</v>
      </c>
      <c r="K2266" s="36">
        <f t="shared" si="1215"/>
        <v>0</v>
      </c>
      <c r="L2266" s="36">
        <v>0</v>
      </c>
      <c r="M2266" s="36">
        <v>0</v>
      </c>
    </row>
    <row r="2267" spans="1:13" ht="25.5">
      <c r="A2267" s="60" t="s">
        <v>80</v>
      </c>
      <c r="B2267" s="29" t="s">
        <v>940</v>
      </c>
      <c r="C2267" s="29" t="s">
        <v>17</v>
      </c>
      <c r="D2267" s="29" t="s">
        <v>387</v>
      </c>
      <c r="E2267" s="29" t="s">
        <v>952</v>
      </c>
      <c r="F2267" s="29" t="s">
        <v>81</v>
      </c>
      <c r="G2267" s="36">
        <f>G2268</f>
        <v>28634</v>
      </c>
      <c r="H2267" s="36">
        <f t="shared" si="1215"/>
        <v>0</v>
      </c>
      <c r="I2267" s="36">
        <f t="shared" si="1215"/>
        <v>0</v>
      </c>
      <c r="J2267" s="36">
        <f t="shared" si="1215"/>
        <v>0</v>
      </c>
      <c r="K2267" s="36">
        <f t="shared" si="1215"/>
        <v>0</v>
      </c>
      <c r="L2267" s="36">
        <v>0</v>
      </c>
      <c r="M2267" s="36">
        <v>0</v>
      </c>
    </row>
    <row r="2268" spans="1:13">
      <c r="A2268" s="60" t="s">
        <v>82</v>
      </c>
      <c r="B2268" s="29" t="s">
        <v>940</v>
      </c>
      <c r="C2268" s="29" t="s">
        <v>17</v>
      </c>
      <c r="D2268" s="29" t="s">
        <v>387</v>
      </c>
      <c r="E2268" s="29" t="s">
        <v>952</v>
      </c>
      <c r="F2268" s="29" t="s">
        <v>83</v>
      </c>
      <c r="G2268" s="36">
        <v>28634</v>
      </c>
      <c r="H2268" s="36">
        <v>0</v>
      </c>
      <c r="I2268" s="36">
        <v>0</v>
      </c>
      <c r="J2268" s="36">
        <v>0</v>
      </c>
      <c r="K2268" s="36">
        <v>0</v>
      </c>
      <c r="L2268" s="36">
        <v>0</v>
      </c>
      <c r="M2268" s="36">
        <v>0</v>
      </c>
    </row>
    <row r="2269" spans="1:13" ht="63.75">
      <c r="A2269" s="60" t="s">
        <v>953</v>
      </c>
      <c r="B2269" s="29" t="s">
        <v>940</v>
      </c>
      <c r="C2269" s="29" t="s">
        <v>17</v>
      </c>
      <c r="D2269" s="29" t="s">
        <v>387</v>
      </c>
      <c r="E2269" s="29" t="s">
        <v>954</v>
      </c>
      <c r="F2269" s="59" t="s">
        <v>0</v>
      </c>
      <c r="G2269" s="36">
        <f>G2270+G2282+G2286+G2290</f>
        <v>35672.400000000001</v>
      </c>
      <c r="H2269" s="36">
        <f t="shared" ref="H2269:K2269" si="1216">H2270+H2282+H2286+H2290</f>
        <v>35672.400000000001</v>
      </c>
      <c r="I2269" s="36">
        <f t="shared" si="1216"/>
        <v>29230.400000000001</v>
      </c>
      <c r="J2269" s="36">
        <f t="shared" si="1216"/>
        <v>29184.592000000004</v>
      </c>
      <c r="K2269" s="36">
        <f t="shared" si="1216"/>
        <v>15591.55186</v>
      </c>
      <c r="L2269" s="36">
        <f t="shared" si="1186"/>
        <v>43.707605487715988</v>
      </c>
      <c r="M2269" s="36">
        <f t="shared" si="1187"/>
        <v>53.340193291915263</v>
      </c>
    </row>
    <row r="2270" spans="1:13" ht="38.25">
      <c r="A2270" s="60" t="s">
        <v>955</v>
      </c>
      <c r="B2270" s="29" t="s">
        <v>940</v>
      </c>
      <c r="C2270" s="29" t="s">
        <v>17</v>
      </c>
      <c r="D2270" s="29" t="s">
        <v>387</v>
      </c>
      <c r="E2270" s="29" t="s">
        <v>956</v>
      </c>
      <c r="F2270" s="59" t="s">
        <v>0</v>
      </c>
      <c r="G2270" s="36">
        <f>G2271+G2276+G2279</f>
        <v>10000</v>
      </c>
      <c r="H2270" s="36">
        <f t="shared" ref="H2270:K2270" si="1217">H2271+H2276+H2279</f>
        <v>10000</v>
      </c>
      <c r="I2270" s="36">
        <f t="shared" si="1217"/>
        <v>9743</v>
      </c>
      <c r="J2270" s="36">
        <f t="shared" si="1217"/>
        <v>9716.9920000000002</v>
      </c>
      <c r="K2270" s="36">
        <f t="shared" si="1217"/>
        <v>215.0224</v>
      </c>
      <c r="L2270" s="36">
        <f t="shared" si="1186"/>
        <v>2.1502239999999997</v>
      </c>
      <c r="M2270" s="36">
        <f t="shared" si="1187"/>
        <v>2.2069424201991175</v>
      </c>
    </row>
    <row r="2271" spans="1:13">
      <c r="A2271" s="60" t="s">
        <v>609</v>
      </c>
      <c r="B2271" s="29" t="s">
        <v>940</v>
      </c>
      <c r="C2271" s="29" t="s">
        <v>17</v>
      </c>
      <c r="D2271" s="29" t="s">
        <v>387</v>
      </c>
      <c r="E2271" s="29" t="s">
        <v>957</v>
      </c>
      <c r="F2271" s="59" t="s">
        <v>0</v>
      </c>
      <c r="G2271" s="36">
        <f>G2272+G2274</f>
        <v>500</v>
      </c>
      <c r="H2271" s="36">
        <f t="shared" ref="H2271:K2271" si="1218">H2272+H2274</f>
        <v>500</v>
      </c>
      <c r="I2271" s="36">
        <f t="shared" si="1218"/>
        <v>243</v>
      </c>
      <c r="J2271" s="36">
        <f t="shared" si="1218"/>
        <v>216.99200000000002</v>
      </c>
      <c r="K2271" s="36">
        <f t="shared" si="1218"/>
        <v>215.0224</v>
      </c>
      <c r="L2271" s="36">
        <f t="shared" si="1186"/>
        <v>43.004480000000001</v>
      </c>
      <c r="M2271" s="36">
        <f t="shared" si="1187"/>
        <v>88.486584362139922</v>
      </c>
    </row>
    <row r="2272" spans="1:13" ht="63.75">
      <c r="A2272" s="60" t="s">
        <v>60</v>
      </c>
      <c r="B2272" s="29" t="s">
        <v>940</v>
      </c>
      <c r="C2272" s="29" t="s">
        <v>17</v>
      </c>
      <c r="D2272" s="29" t="s">
        <v>387</v>
      </c>
      <c r="E2272" s="29" t="s">
        <v>957</v>
      </c>
      <c r="F2272" s="29" t="s">
        <v>61</v>
      </c>
      <c r="G2272" s="36">
        <f>G2273</f>
        <v>276</v>
      </c>
      <c r="H2272" s="36">
        <f t="shared" ref="H2272:K2272" si="1219">H2273</f>
        <v>276</v>
      </c>
      <c r="I2272" s="36">
        <f t="shared" si="1219"/>
        <v>138</v>
      </c>
      <c r="J2272" s="36">
        <f t="shared" si="1219"/>
        <v>115</v>
      </c>
      <c r="K2272" s="36">
        <f t="shared" si="1219"/>
        <v>113.0304</v>
      </c>
      <c r="L2272" s="36">
        <f t="shared" si="1186"/>
        <v>40.953043478260867</v>
      </c>
      <c r="M2272" s="36">
        <f t="shared" si="1187"/>
        <v>81.906086956521733</v>
      </c>
    </row>
    <row r="2273" spans="1:13" ht="25.5">
      <c r="A2273" s="60" t="s">
        <v>62</v>
      </c>
      <c r="B2273" s="29" t="s">
        <v>940</v>
      </c>
      <c r="C2273" s="29" t="s">
        <v>17</v>
      </c>
      <c r="D2273" s="29" t="s">
        <v>387</v>
      </c>
      <c r="E2273" s="29" t="s">
        <v>957</v>
      </c>
      <c r="F2273" s="29" t="s">
        <v>63</v>
      </c>
      <c r="G2273" s="36">
        <v>276</v>
      </c>
      <c r="H2273" s="36">
        <v>276</v>
      </c>
      <c r="I2273" s="36">
        <v>138</v>
      </c>
      <c r="J2273" s="36">
        <v>115</v>
      </c>
      <c r="K2273" s="36">
        <v>113.0304</v>
      </c>
      <c r="L2273" s="36">
        <f t="shared" si="1186"/>
        <v>40.953043478260867</v>
      </c>
      <c r="M2273" s="36">
        <f t="shared" si="1187"/>
        <v>81.906086956521733</v>
      </c>
    </row>
    <row r="2274" spans="1:13" ht="25.5">
      <c r="A2274" s="60" t="s">
        <v>64</v>
      </c>
      <c r="B2274" s="29" t="s">
        <v>940</v>
      </c>
      <c r="C2274" s="29" t="s">
        <v>17</v>
      </c>
      <c r="D2274" s="29" t="s">
        <v>387</v>
      </c>
      <c r="E2274" s="29" t="s">
        <v>957</v>
      </c>
      <c r="F2274" s="29" t="s">
        <v>65</v>
      </c>
      <c r="G2274" s="36">
        <f>G2275</f>
        <v>224</v>
      </c>
      <c r="H2274" s="36">
        <f t="shared" ref="H2274:K2274" si="1220">H2275</f>
        <v>224</v>
      </c>
      <c r="I2274" s="36">
        <f t="shared" si="1220"/>
        <v>105</v>
      </c>
      <c r="J2274" s="36">
        <f t="shared" si="1220"/>
        <v>101.992</v>
      </c>
      <c r="K2274" s="36">
        <f t="shared" si="1220"/>
        <v>101.992</v>
      </c>
      <c r="L2274" s="36">
        <f t="shared" si="1186"/>
        <v>45.532142857142858</v>
      </c>
      <c r="M2274" s="36">
        <f t="shared" si="1187"/>
        <v>97.135238095238094</v>
      </c>
    </row>
    <row r="2275" spans="1:13" ht="25.5">
      <c r="A2275" s="60" t="s">
        <v>66</v>
      </c>
      <c r="B2275" s="29" t="s">
        <v>940</v>
      </c>
      <c r="C2275" s="29" t="s">
        <v>17</v>
      </c>
      <c r="D2275" s="29" t="s">
        <v>387</v>
      </c>
      <c r="E2275" s="29" t="s">
        <v>957</v>
      </c>
      <c r="F2275" s="29" t="s">
        <v>67</v>
      </c>
      <c r="G2275" s="36">
        <v>224</v>
      </c>
      <c r="H2275" s="36">
        <v>224</v>
      </c>
      <c r="I2275" s="36">
        <v>105</v>
      </c>
      <c r="J2275" s="36">
        <v>101.992</v>
      </c>
      <c r="K2275" s="36">
        <v>101.992</v>
      </c>
      <c r="L2275" s="36">
        <f t="shared" si="1186"/>
        <v>45.532142857142858</v>
      </c>
      <c r="M2275" s="36">
        <f t="shared" si="1187"/>
        <v>97.135238095238094</v>
      </c>
    </row>
    <row r="2276" spans="1:13" ht="25.5">
      <c r="A2276" s="60" t="s">
        <v>617</v>
      </c>
      <c r="B2276" s="29" t="s">
        <v>940</v>
      </c>
      <c r="C2276" s="29" t="s">
        <v>17</v>
      </c>
      <c r="D2276" s="29" t="s">
        <v>387</v>
      </c>
      <c r="E2276" s="29" t="s">
        <v>958</v>
      </c>
      <c r="F2276" s="59" t="s">
        <v>0</v>
      </c>
      <c r="G2276" s="36">
        <f>G2277</f>
        <v>7000</v>
      </c>
      <c r="H2276" s="36">
        <f t="shared" ref="H2276:K2277" si="1221">H2277</f>
        <v>7000</v>
      </c>
      <c r="I2276" s="36">
        <f t="shared" si="1221"/>
        <v>7000</v>
      </c>
      <c r="J2276" s="36">
        <f t="shared" si="1221"/>
        <v>7000</v>
      </c>
      <c r="K2276" s="36">
        <f t="shared" si="1221"/>
        <v>0</v>
      </c>
      <c r="L2276" s="36">
        <f t="shared" si="1186"/>
        <v>0</v>
      </c>
      <c r="M2276" s="36">
        <f t="shared" si="1187"/>
        <v>0</v>
      </c>
    </row>
    <row r="2277" spans="1:13" ht="25.5">
      <c r="A2277" s="60" t="s">
        <v>80</v>
      </c>
      <c r="B2277" s="29" t="s">
        <v>940</v>
      </c>
      <c r="C2277" s="29" t="s">
        <v>17</v>
      </c>
      <c r="D2277" s="29" t="s">
        <v>387</v>
      </c>
      <c r="E2277" s="29" t="s">
        <v>958</v>
      </c>
      <c r="F2277" s="29" t="s">
        <v>81</v>
      </c>
      <c r="G2277" s="36">
        <f>G2278</f>
        <v>7000</v>
      </c>
      <c r="H2277" s="36">
        <f t="shared" si="1221"/>
        <v>7000</v>
      </c>
      <c r="I2277" s="36">
        <f t="shared" si="1221"/>
        <v>7000</v>
      </c>
      <c r="J2277" s="36">
        <f t="shared" si="1221"/>
        <v>7000</v>
      </c>
      <c r="K2277" s="36">
        <f t="shared" si="1221"/>
        <v>0</v>
      </c>
      <c r="L2277" s="36">
        <f t="shared" si="1186"/>
        <v>0</v>
      </c>
      <c r="M2277" s="36">
        <f t="shared" si="1187"/>
        <v>0</v>
      </c>
    </row>
    <row r="2278" spans="1:13" ht="38.25">
      <c r="A2278" s="60" t="s">
        <v>195</v>
      </c>
      <c r="B2278" s="29" t="s">
        <v>940</v>
      </c>
      <c r="C2278" s="29" t="s">
        <v>17</v>
      </c>
      <c r="D2278" s="29" t="s">
        <v>387</v>
      </c>
      <c r="E2278" s="29" t="s">
        <v>958</v>
      </c>
      <c r="F2278" s="29" t="s">
        <v>196</v>
      </c>
      <c r="G2278" s="36">
        <v>7000</v>
      </c>
      <c r="H2278" s="36">
        <v>7000</v>
      </c>
      <c r="I2278" s="36">
        <v>7000</v>
      </c>
      <c r="J2278" s="36">
        <v>7000</v>
      </c>
      <c r="K2278" s="36">
        <v>0</v>
      </c>
      <c r="L2278" s="36">
        <f t="shared" si="1186"/>
        <v>0</v>
      </c>
      <c r="M2278" s="36">
        <f t="shared" si="1187"/>
        <v>0</v>
      </c>
    </row>
    <row r="2279" spans="1:13" ht="38.25">
      <c r="A2279" s="60" t="s">
        <v>959</v>
      </c>
      <c r="B2279" s="29" t="s">
        <v>940</v>
      </c>
      <c r="C2279" s="29" t="s">
        <v>17</v>
      </c>
      <c r="D2279" s="29" t="s">
        <v>387</v>
      </c>
      <c r="E2279" s="29" t="s">
        <v>960</v>
      </c>
      <c r="F2279" s="59" t="s">
        <v>0</v>
      </c>
      <c r="G2279" s="36">
        <f>G2280</f>
        <v>2500</v>
      </c>
      <c r="H2279" s="36">
        <f t="shared" ref="H2279:K2280" si="1222">H2280</f>
        <v>2500</v>
      </c>
      <c r="I2279" s="36">
        <f t="shared" si="1222"/>
        <v>2500</v>
      </c>
      <c r="J2279" s="36">
        <f t="shared" si="1222"/>
        <v>2500</v>
      </c>
      <c r="K2279" s="36">
        <f t="shared" si="1222"/>
        <v>0</v>
      </c>
      <c r="L2279" s="36">
        <f t="shared" si="1186"/>
        <v>0</v>
      </c>
      <c r="M2279" s="36">
        <f t="shared" si="1187"/>
        <v>0</v>
      </c>
    </row>
    <row r="2280" spans="1:13">
      <c r="A2280" s="60" t="s">
        <v>26</v>
      </c>
      <c r="B2280" s="29" t="s">
        <v>940</v>
      </c>
      <c r="C2280" s="29" t="s">
        <v>17</v>
      </c>
      <c r="D2280" s="29" t="s">
        <v>387</v>
      </c>
      <c r="E2280" s="29" t="s">
        <v>960</v>
      </c>
      <c r="F2280" s="29" t="s">
        <v>27</v>
      </c>
      <c r="G2280" s="36">
        <f>G2281</f>
        <v>2500</v>
      </c>
      <c r="H2280" s="36">
        <f t="shared" si="1222"/>
        <v>2500</v>
      </c>
      <c r="I2280" s="36">
        <f t="shared" si="1222"/>
        <v>2500</v>
      </c>
      <c r="J2280" s="36">
        <f t="shared" si="1222"/>
        <v>2500</v>
      </c>
      <c r="K2280" s="36">
        <f t="shared" si="1222"/>
        <v>0</v>
      </c>
      <c r="L2280" s="36">
        <f t="shared" si="1186"/>
        <v>0</v>
      </c>
      <c r="M2280" s="36">
        <f t="shared" si="1187"/>
        <v>0</v>
      </c>
    </row>
    <row r="2281" spans="1:13">
      <c r="A2281" s="60" t="s">
        <v>56</v>
      </c>
      <c r="B2281" s="29" t="s">
        <v>940</v>
      </c>
      <c r="C2281" s="29" t="s">
        <v>17</v>
      </c>
      <c r="D2281" s="29" t="s">
        <v>387</v>
      </c>
      <c r="E2281" s="29" t="s">
        <v>960</v>
      </c>
      <c r="F2281" s="29" t="s">
        <v>57</v>
      </c>
      <c r="G2281" s="36">
        <v>2500</v>
      </c>
      <c r="H2281" s="36">
        <v>2500</v>
      </c>
      <c r="I2281" s="36">
        <v>2500</v>
      </c>
      <c r="J2281" s="36">
        <v>2500</v>
      </c>
      <c r="K2281" s="36">
        <v>0</v>
      </c>
      <c r="L2281" s="36">
        <f t="shared" si="1186"/>
        <v>0</v>
      </c>
      <c r="M2281" s="36">
        <f t="shared" si="1187"/>
        <v>0</v>
      </c>
    </row>
    <row r="2282" spans="1:13" ht="38.25">
      <c r="A2282" s="60" t="s">
        <v>961</v>
      </c>
      <c r="B2282" s="29" t="s">
        <v>940</v>
      </c>
      <c r="C2282" s="29" t="s">
        <v>17</v>
      </c>
      <c r="D2282" s="29" t="s">
        <v>387</v>
      </c>
      <c r="E2282" s="29" t="s">
        <v>962</v>
      </c>
      <c r="F2282" s="59" t="s">
        <v>0</v>
      </c>
      <c r="G2282" s="36">
        <f>G2283</f>
        <v>12500</v>
      </c>
      <c r="H2282" s="36">
        <f t="shared" ref="H2282:K2284" si="1223">H2283</f>
        <v>12500</v>
      </c>
      <c r="I2282" s="36">
        <f t="shared" si="1223"/>
        <v>12500</v>
      </c>
      <c r="J2282" s="36">
        <f t="shared" si="1223"/>
        <v>12480.8</v>
      </c>
      <c r="K2282" s="36">
        <f t="shared" si="1223"/>
        <v>8389.8027999999995</v>
      </c>
      <c r="L2282" s="36">
        <f t="shared" si="1186"/>
        <v>67.1184224</v>
      </c>
      <c r="M2282" s="36">
        <f t="shared" si="1187"/>
        <v>67.1184224</v>
      </c>
    </row>
    <row r="2283" spans="1:13" ht="25.5">
      <c r="A2283" s="60" t="s">
        <v>963</v>
      </c>
      <c r="B2283" s="29" t="s">
        <v>940</v>
      </c>
      <c r="C2283" s="29" t="s">
        <v>17</v>
      </c>
      <c r="D2283" s="29" t="s">
        <v>387</v>
      </c>
      <c r="E2283" s="29" t="s">
        <v>964</v>
      </c>
      <c r="F2283" s="59" t="s">
        <v>0</v>
      </c>
      <c r="G2283" s="36">
        <f>G2284</f>
        <v>12500</v>
      </c>
      <c r="H2283" s="36">
        <f t="shared" si="1223"/>
        <v>12500</v>
      </c>
      <c r="I2283" s="36">
        <f t="shared" si="1223"/>
        <v>12500</v>
      </c>
      <c r="J2283" s="36">
        <f t="shared" si="1223"/>
        <v>12480.8</v>
      </c>
      <c r="K2283" s="36">
        <f t="shared" si="1223"/>
        <v>8389.8027999999995</v>
      </c>
      <c r="L2283" s="36">
        <f t="shared" si="1186"/>
        <v>67.1184224</v>
      </c>
      <c r="M2283" s="36">
        <f t="shared" si="1187"/>
        <v>67.1184224</v>
      </c>
    </row>
    <row r="2284" spans="1:13">
      <c r="A2284" s="60" t="s">
        <v>26</v>
      </c>
      <c r="B2284" s="29" t="s">
        <v>940</v>
      </c>
      <c r="C2284" s="29" t="s">
        <v>17</v>
      </c>
      <c r="D2284" s="29" t="s">
        <v>387</v>
      </c>
      <c r="E2284" s="29" t="s">
        <v>964</v>
      </c>
      <c r="F2284" s="29" t="s">
        <v>27</v>
      </c>
      <c r="G2284" s="36">
        <f>G2285</f>
        <v>12500</v>
      </c>
      <c r="H2284" s="36">
        <f t="shared" si="1223"/>
        <v>12500</v>
      </c>
      <c r="I2284" s="36">
        <f t="shared" si="1223"/>
        <v>12500</v>
      </c>
      <c r="J2284" s="36">
        <f t="shared" si="1223"/>
        <v>12480.8</v>
      </c>
      <c r="K2284" s="36">
        <f t="shared" si="1223"/>
        <v>8389.8027999999995</v>
      </c>
      <c r="L2284" s="36">
        <f t="shared" si="1186"/>
        <v>67.1184224</v>
      </c>
      <c r="M2284" s="36">
        <f t="shared" si="1187"/>
        <v>67.1184224</v>
      </c>
    </row>
    <row r="2285" spans="1:13">
      <c r="A2285" s="60" t="s">
        <v>56</v>
      </c>
      <c r="B2285" s="29" t="s">
        <v>940</v>
      </c>
      <c r="C2285" s="29" t="s">
        <v>17</v>
      </c>
      <c r="D2285" s="29" t="s">
        <v>387</v>
      </c>
      <c r="E2285" s="29" t="s">
        <v>964</v>
      </c>
      <c r="F2285" s="29" t="s">
        <v>57</v>
      </c>
      <c r="G2285" s="36">
        <v>12500</v>
      </c>
      <c r="H2285" s="36">
        <v>12500</v>
      </c>
      <c r="I2285" s="36">
        <v>12500</v>
      </c>
      <c r="J2285" s="36">
        <v>12480.8</v>
      </c>
      <c r="K2285" s="36">
        <v>8389.8027999999995</v>
      </c>
      <c r="L2285" s="36">
        <f t="shared" si="1186"/>
        <v>67.1184224</v>
      </c>
      <c r="M2285" s="36">
        <f t="shared" si="1187"/>
        <v>67.1184224</v>
      </c>
    </row>
    <row r="2286" spans="1:13" ht="25.5">
      <c r="A2286" s="60" t="s">
        <v>965</v>
      </c>
      <c r="B2286" s="29" t="s">
        <v>940</v>
      </c>
      <c r="C2286" s="29" t="s">
        <v>17</v>
      </c>
      <c r="D2286" s="29" t="s">
        <v>387</v>
      </c>
      <c r="E2286" s="29" t="s">
        <v>966</v>
      </c>
      <c r="F2286" s="59" t="s">
        <v>0</v>
      </c>
      <c r="G2286" s="36">
        <f>G2287</f>
        <v>12172.4</v>
      </c>
      <c r="H2286" s="36">
        <f t="shared" ref="H2286:K2288" si="1224">H2287</f>
        <v>12172.4</v>
      </c>
      <c r="I2286" s="36">
        <f t="shared" si="1224"/>
        <v>5987.4</v>
      </c>
      <c r="J2286" s="36">
        <f t="shared" si="1224"/>
        <v>5987.4</v>
      </c>
      <c r="K2286" s="36">
        <f t="shared" si="1224"/>
        <v>5987.4</v>
      </c>
      <c r="L2286" s="36">
        <f t="shared" si="1186"/>
        <v>49.188327692156022</v>
      </c>
      <c r="M2286" s="36">
        <f t="shared" si="1187"/>
        <v>100</v>
      </c>
    </row>
    <row r="2287" spans="1:13" ht="25.5">
      <c r="A2287" s="60" t="s">
        <v>76</v>
      </c>
      <c r="B2287" s="29" t="s">
        <v>940</v>
      </c>
      <c r="C2287" s="29" t="s">
        <v>17</v>
      </c>
      <c r="D2287" s="29" t="s">
        <v>387</v>
      </c>
      <c r="E2287" s="29" t="s">
        <v>967</v>
      </c>
      <c r="F2287" s="59" t="s">
        <v>0</v>
      </c>
      <c r="G2287" s="36">
        <f>G2288</f>
        <v>12172.4</v>
      </c>
      <c r="H2287" s="36">
        <f t="shared" si="1224"/>
        <v>12172.4</v>
      </c>
      <c r="I2287" s="36">
        <f t="shared" si="1224"/>
        <v>5987.4</v>
      </c>
      <c r="J2287" s="36">
        <f t="shared" si="1224"/>
        <v>5987.4</v>
      </c>
      <c r="K2287" s="36">
        <f t="shared" si="1224"/>
        <v>5987.4</v>
      </c>
      <c r="L2287" s="36">
        <f t="shared" si="1186"/>
        <v>49.188327692156022</v>
      </c>
      <c r="M2287" s="36">
        <f t="shared" si="1187"/>
        <v>100</v>
      </c>
    </row>
    <row r="2288" spans="1:13" ht="25.5">
      <c r="A2288" s="60" t="s">
        <v>80</v>
      </c>
      <c r="B2288" s="29" t="s">
        <v>940</v>
      </c>
      <c r="C2288" s="29" t="s">
        <v>17</v>
      </c>
      <c r="D2288" s="29" t="s">
        <v>387</v>
      </c>
      <c r="E2288" s="29" t="s">
        <v>967</v>
      </c>
      <c r="F2288" s="29" t="s">
        <v>81</v>
      </c>
      <c r="G2288" s="36">
        <f>G2289</f>
        <v>12172.4</v>
      </c>
      <c r="H2288" s="36">
        <f t="shared" si="1224"/>
        <v>12172.4</v>
      </c>
      <c r="I2288" s="36">
        <f t="shared" si="1224"/>
        <v>5987.4</v>
      </c>
      <c r="J2288" s="36">
        <f t="shared" si="1224"/>
        <v>5987.4</v>
      </c>
      <c r="K2288" s="36">
        <f t="shared" si="1224"/>
        <v>5987.4</v>
      </c>
      <c r="L2288" s="36">
        <f t="shared" si="1186"/>
        <v>49.188327692156022</v>
      </c>
      <c r="M2288" s="36">
        <f t="shared" si="1187"/>
        <v>100</v>
      </c>
    </row>
    <row r="2289" spans="1:13">
      <c r="A2289" s="60" t="s">
        <v>82</v>
      </c>
      <c r="B2289" s="29" t="s">
        <v>940</v>
      </c>
      <c r="C2289" s="29" t="s">
        <v>17</v>
      </c>
      <c r="D2289" s="29" t="s">
        <v>387</v>
      </c>
      <c r="E2289" s="29" t="s">
        <v>967</v>
      </c>
      <c r="F2289" s="29" t="s">
        <v>83</v>
      </c>
      <c r="G2289" s="36">
        <v>12172.4</v>
      </c>
      <c r="H2289" s="36">
        <v>12172.4</v>
      </c>
      <c r="I2289" s="36">
        <v>5987.4</v>
      </c>
      <c r="J2289" s="36">
        <v>5987.4</v>
      </c>
      <c r="K2289" s="36">
        <v>5987.4</v>
      </c>
      <c r="L2289" s="36">
        <f t="shared" si="1186"/>
        <v>49.188327692156022</v>
      </c>
      <c r="M2289" s="36">
        <f t="shared" si="1187"/>
        <v>100</v>
      </c>
    </row>
    <row r="2290" spans="1:13" ht="51">
      <c r="A2290" s="60" t="s">
        <v>968</v>
      </c>
      <c r="B2290" s="29" t="s">
        <v>940</v>
      </c>
      <c r="C2290" s="29" t="s">
        <v>17</v>
      </c>
      <c r="D2290" s="29" t="s">
        <v>387</v>
      </c>
      <c r="E2290" s="29" t="s">
        <v>969</v>
      </c>
      <c r="F2290" s="59" t="s">
        <v>0</v>
      </c>
      <c r="G2290" s="36">
        <f>G2291+G2294</f>
        <v>1000</v>
      </c>
      <c r="H2290" s="36">
        <f t="shared" ref="H2290:K2290" si="1225">H2291+H2294</f>
        <v>1000</v>
      </c>
      <c r="I2290" s="36">
        <f t="shared" si="1225"/>
        <v>1000</v>
      </c>
      <c r="J2290" s="36">
        <f t="shared" si="1225"/>
        <v>999.4</v>
      </c>
      <c r="K2290" s="36">
        <f t="shared" si="1225"/>
        <v>999.32665999999995</v>
      </c>
      <c r="L2290" s="36">
        <f t="shared" si="1186"/>
        <v>99.932665999999998</v>
      </c>
      <c r="M2290" s="36">
        <f t="shared" si="1187"/>
        <v>99.932665999999998</v>
      </c>
    </row>
    <row r="2291" spans="1:13" ht="25.5">
      <c r="A2291" s="60" t="s">
        <v>617</v>
      </c>
      <c r="B2291" s="29" t="s">
        <v>940</v>
      </c>
      <c r="C2291" s="29" t="s">
        <v>17</v>
      </c>
      <c r="D2291" s="29" t="s">
        <v>387</v>
      </c>
      <c r="E2291" s="29" t="s">
        <v>970</v>
      </c>
      <c r="F2291" s="59" t="s">
        <v>0</v>
      </c>
      <c r="G2291" s="36">
        <f>G2292</f>
        <v>779.6</v>
      </c>
      <c r="H2291" s="36">
        <f t="shared" ref="H2291:K2292" si="1226">H2292</f>
        <v>779.6</v>
      </c>
      <c r="I2291" s="36">
        <f t="shared" si="1226"/>
        <v>779.6</v>
      </c>
      <c r="J2291" s="36">
        <f t="shared" si="1226"/>
        <v>779</v>
      </c>
      <c r="K2291" s="36">
        <f t="shared" si="1226"/>
        <v>778.92665999999997</v>
      </c>
      <c r="L2291" s="36">
        <f t="shared" si="1186"/>
        <v>99.913630066700861</v>
      </c>
      <c r="M2291" s="36">
        <f t="shared" si="1187"/>
        <v>99.913630066700861</v>
      </c>
    </row>
    <row r="2292" spans="1:13" ht="25.5">
      <c r="A2292" s="60" t="s">
        <v>64</v>
      </c>
      <c r="B2292" s="29" t="s">
        <v>940</v>
      </c>
      <c r="C2292" s="29" t="s">
        <v>17</v>
      </c>
      <c r="D2292" s="29" t="s">
        <v>387</v>
      </c>
      <c r="E2292" s="29" t="s">
        <v>970</v>
      </c>
      <c r="F2292" s="29" t="s">
        <v>65</v>
      </c>
      <c r="G2292" s="36">
        <f>G2293</f>
        <v>779.6</v>
      </c>
      <c r="H2292" s="36">
        <f t="shared" si="1226"/>
        <v>779.6</v>
      </c>
      <c r="I2292" s="36">
        <f t="shared" si="1226"/>
        <v>779.6</v>
      </c>
      <c r="J2292" s="36">
        <f t="shared" si="1226"/>
        <v>779</v>
      </c>
      <c r="K2292" s="36">
        <f t="shared" si="1226"/>
        <v>778.92665999999997</v>
      </c>
      <c r="L2292" s="36">
        <f t="shared" si="1186"/>
        <v>99.913630066700861</v>
      </c>
      <c r="M2292" s="36">
        <f t="shared" si="1187"/>
        <v>99.913630066700861</v>
      </c>
    </row>
    <row r="2293" spans="1:13" ht="25.5">
      <c r="A2293" s="60" t="s">
        <v>66</v>
      </c>
      <c r="B2293" s="29" t="s">
        <v>940</v>
      </c>
      <c r="C2293" s="29" t="s">
        <v>17</v>
      </c>
      <c r="D2293" s="29" t="s">
        <v>387</v>
      </c>
      <c r="E2293" s="29" t="s">
        <v>970</v>
      </c>
      <c r="F2293" s="29" t="s">
        <v>67</v>
      </c>
      <c r="G2293" s="36">
        <v>779.6</v>
      </c>
      <c r="H2293" s="36">
        <v>779.6</v>
      </c>
      <c r="I2293" s="36">
        <v>779.6</v>
      </c>
      <c r="J2293" s="36">
        <v>779</v>
      </c>
      <c r="K2293" s="36">
        <v>778.92665999999997</v>
      </c>
      <c r="L2293" s="36">
        <f t="shared" si="1186"/>
        <v>99.913630066700861</v>
      </c>
      <c r="M2293" s="36">
        <f t="shared" si="1187"/>
        <v>99.913630066700861</v>
      </c>
    </row>
    <row r="2294" spans="1:13" ht="25.5">
      <c r="A2294" s="60" t="s">
        <v>748</v>
      </c>
      <c r="B2294" s="29" t="s">
        <v>940</v>
      </c>
      <c r="C2294" s="29" t="s">
        <v>17</v>
      </c>
      <c r="D2294" s="29" t="s">
        <v>387</v>
      </c>
      <c r="E2294" s="29" t="s">
        <v>971</v>
      </c>
      <c r="F2294" s="59" t="s">
        <v>0</v>
      </c>
      <c r="G2294" s="36">
        <f>G2295</f>
        <v>220.4</v>
      </c>
      <c r="H2294" s="36">
        <f t="shared" ref="H2294:K2295" si="1227">H2295</f>
        <v>220.4</v>
      </c>
      <c r="I2294" s="36">
        <f t="shared" si="1227"/>
        <v>220.4</v>
      </c>
      <c r="J2294" s="36">
        <f t="shared" si="1227"/>
        <v>220.4</v>
      </c>
      <c r="K2294" s="36">
        <f t="shared" si="1227"/>
        <v>220.4</v>
      </c>
      <c r="L2294" s="36">
        <f t="shared" ref="L2294:L2366" si="1228">K2294/H2294*100</f>
        <v>100</v>
      </c>
      <c r="M2294" s="36">
        <f t="shared" ref="M2294:M2366" si="1229">K2294/I2294*100</f>
        <v>100</v>
      </c>
    </row>
    <row r="2295" spans="1:13" ht="25.5">
      <c r="A2295" s="60" t="s">
        <v>80</v>
      </c>
      <c r="B2295" s="29" t="s">
        <v>940</v>
      </c>
      <c r="C2295" s="29" t="s">
        <v>17</v>
      </c>
      <c r="D2295" s="29" t="s">
        <v>387</v>
      </c>
      <c r="E2295" s="29" t="s">
        <v>971</v>
      </c>
      <c r="F2295" s="29" t="s">
        <v>81</v>
      </c>
      <c r="G2295" s="36">
        <f>G2296</f>
        <v>220.4</v>
      </c>
      <c r="H2295" s="36">
        <f t="shared" si="1227"/>
        <v>220.4</v>
      </c>
      <c r="I2295" s="36">
        <f t="shared" si="1227"/>
        <v>220.4</v>
      </c>
      <c r="J2295" s="36">
        <f t="shared" si="1227"/>
        <v>220.4</v>
      </c>
      <c r="K2295" s="36">
        <f t="shared" si="1227"/>
        <v>220.4</v>
      </c>
      <c r="L2295" s="36">
        <f t="shared" si="1228"/>
        <v>100</v>
      </c>
      <c r="M2295" s="36">
        <f t="shared" si="1229"/>
        <v>100</v>
      </c>
    </row>
    <row r="2296" spans="1:13">
      <c r="A2296" s="60" t="s">
        <v>82</v>
      </c>
      <c r="B2296" s="29" t="s">
        <v>940</v>
      </c>
      <c r="C2296" s="29" t="s">
        <v>17</v>
      </c>
      <c r="D2296" s="29" t="s">
        <v>387</v>
      </c>
      <c r="E2296" s="29" t="s">
        <v>971</v>
      </c>
      <c r="F2296" s="29" t="s">
        <v>83</v>
      </c>
      <c r="G2296" s="36">
        <v>220.4</v>
      </c>
      <c r="H2296" s="36">
        <v>220.4</v>
      </c>
      <c r="I2296" s="36">
        <v>220.4</v>
      </c>
      <c r="J2296" s="36">
        <v>220.4</v>
      </c>
      <c r="K2296" s="36">
        <v>220.4</v>
      </c>
      <c r="L2296" s="36">
        <f t="shared" si="1228"/>
        <v>100</v>
      </c>
      <c r="M2296" s="36">
        <f t="shared" si="1229"/>
        <v>100</v>
      </c>
    </row>
    <row r="2297" spans="1:13" ht="38.25">
      <c r="A2297" s="60" t="s">
        <v>734</v>
      </c>
      <c r="B2297" s="29" t="s">
        <v>940</v>
      </c>
      <c r="C2297" s="29" t="s">
        <v>17</v>
      </c>
      <c r="D2297" s="29" t="s">
        <v>387</v>
      </c>
      <c r="E2297" s="29" t="s">
        <v>735</v>
      </c>
      <c r="F2297" s="59" t="s">
        <v>0</v>
      </c>
      <c r="G2297" s="36">
        <f>G2298+G2304+G2313+G2320</f>
        <v>676850.79999999993</v>
      </c>
      <c r="H2297" s="36">
        <f t="shared" ref="H2297:K2297" si="1230">H2298+H2304+H2313+H2320</f>
        <v>244604.70268000002</v>
      </c>
      <c r="I2297" s="36">
        <f t="shared" si="1230"/>
        <v>117619.43867999999</v>
      </c>
      <c r="J2297" s="36">
        <f t="shared" si="1230"/>
        <v>116601.37304999999</v>
      </c>
      <c r="K2297" s="36">
        <f t="shared" si="1230"/>
        <v>108095.48615999999</v>
      </c>
      <c r="L2297" s="36">
        <f t="shared" si="1228"/>
        <v>44.191908403909181</v>
      </c>
      <c r="M2297" s="36">
        <f t="shared" si="1229"/>
        <v>91.902739354239529</v>
      </c>
    </row>
    <row r="2298" spans="1:13" ht="63.75">
      <c r="A2298" s="60" t="s">
        <v>972</v>
      </c>
      <c r="B2298" s="29" t="s">
        <v>940</v>
      </c>
      <c r="C2298" s="29" t="s">
        <v>17</v>
      </c>
      <c r="D2298" s="29" t="s">
        <v>387</v>
      </c>
      <c r="E2298" s="29" t="s">
        <v>973</v>
      </c>
      <c r="F2298" s="59" t="s">
        <v>0</v>
      </c>
      <c r="G2298" s="36">
        <f>G2299</f>
        <v>8492.5</v>
      </c>
      <c r="H2298" s="36">
        <f t="shared" ref="H2298:K2298" si="1231">H2299</f>
        <v>8492.5</v>
      </c>
      <c r="I2298" s="36">
        <f t="shared" si="1231"/>
        <v>5345.6360000000004</v>
      </c>
      <c r="J2298" s="36">
        <f t="shared" si="1231"/>
        <v>4634.6360000000004</v>
      </c>
      <c r="K2298" s="36">
        <f t="shared" si="1231"/>
        <v>4419.8472999999994</v>
      </c>
      <c r="L2298" s="36">
        <f t="shared" si="1228"/>
        <v>52.044124816014126</v>
      </c>
      <c r="M2298" s="36">
        <f t="shared" si="1229"/>
        <v>82.681411528955564</v>
      </c>
    </row>
    <row r="2299" spans="1:13" ht="25.5">
      <c r="A2299" s="60" t="s">
        <v>76</v>
      </c>
      <c r="B2299" s="29" t="s">
        <v>940</v>
      </c>
      <c r="C2299" s="29" t="s">
        <v>17</v>
      </c>
      <c r="D2299" s="29" t="s">
        <v>387</v>
      </c>
      <c r="E2299" s="29" t="s">
        <v>974</v>
      </c>
      <c r="F2299" s="59" t="s">
        <v>0</v>
      </c>
      <c r="G2299" s="36">
        <f>G2300+G2302</f>
        <v>8492.5</v>
      </c>
      <c r="H2299" s="36">
        <f t="shared" ref="H2299:K2299" si="1232">H2300+H2302</f>
        <v>8492.5</v>
      </c>
      <c r="I2299" s="36">
        <f t="shared" si="1232"/>
        <v>5345.6360000000004</v>
      </c>
      <c r="J2299" s="36">
        <f t="shared" si="1232"/>
        <v>4634.6360000000004</v>
      </c>
      <c r="K2299" s="36">
        <f t="shared" si="1232"/>
        <v>4419.8472999999994</v>
      </c>
      <c r="L2299" s="36">
        <f t="shared" si="1228"/>
        <v>52.044124816014126</v>
      </c>
      <c r="M2299" s="36">
        <f t="shared" si="1229"/>
        <v>82.681411528955564</v>
      </c>
    </row>
    <row r="2300" spans="1:13" ht="63.75">
      <c r="A2300" s="60" t="s">
        <v>60</v>
      </c>
      <c r="B2300" s="29" t="s">
        <v>940</v>
      </c>
      <c r="C2300" s="29" t="s">
        <v>17</v>
      </c>
      <c r="D2300" s="29" t="s">
        <v>387</v>
      </c>
      <c r="E2300" s="29" t="s">
        <v>974</v>
      </c>
      <c r="F2300" s="29" t="s">
        <v>61</v>
      </c>
      <c r="G2300" s="36">
        <f>G2301</f>
        <v>4694.3999999999996</v>
      </c>
      <c r="H2300" s="36">
        <f t="shared" ref="H2300:K2300" si="1233">H2301</f>
        <v>4694.3999999999996</v>
      </c>
      <c r="I2300" s="36">
        <f t="shared" si="1233"/>
        <v>2367</v>
      </c>
      <c r="J2300" s="36">
        <f t="shared" si="1233"/>
        <v>2354</v>
      </c>
      <c r="K2300" s="36">
        <f t="shared" si="1233"/>
        <v>2276.70327</v>
      </c>
      <c r="L2300" s="36">
        <f t="shared" si="1228"/>
        <v>48.498280291411042</v>
      </c>
      <c r="M2300" s="36">
        <f t="shared" si="1229"/>
        <v>96.185182509505708</v>
      </c>
    </row>
    <row r="2301" spans="1:13">
      <c r="A2301" s="60" t="s">
        <v>78</v>
      </c>
      <c r="B2301" s="29" t="s">
        <v>940</v>
      </c>
      <c r="C2301" s="29" t="s">
        <v>17</v>
      </c>
      <c r="D2301" s="29" t="s">
        <v>387</v>
      </c>
      <c r="E2301" s="29" t="s">
        <v>974</v>
      </c>
      <c r="F2301" s="29" t="s">
        <v>79</v>
      </c>
      <c r="G2301" s="36">
        <v>4694.3999999999996</v>
      </c>
      <c r="H2301" s="36">
        <v>4694.3999999999996</v>
      </c>
      <c r="I2301" s="36">
        <f>1680+153+534</f>
        <v>2367</v>
      </c>
      <c r="J2301" s="36">
        <f>1680+140+534</f>
        <v>2354</v>
      </c>
      <c r="K2301" s="36">
        <f>1678.89772+92.17+505.63555</f>
        <v>2276.70327</v>
      </c>
      <c r="L2301" s="36">
        <f t="shared" si="1228"/>
        <v>48.498280291411042</v>
      </c>
      <c r="M2301" s="36">
        <f t="shared" si="1229"/>
        <v>96.185182509505708</v>
      </c>
    </row>
    <row r="2302" spans="1:13" ht="25.5">
      <c r="A2302" s="60" t="s">
        <v>64</v>
      </c>
      <c r="B2302" s="29" t="s">
        <v>940</v>
      </c>
      <c r="C2302" s="29" t="s">
        <v>17</v>
      </c>
      <c r="D2302" s="29" t="s">
        <v>387</v>
      </c>
      <c r="E2302" s="29" t="s">
        <v>974</v>
      </c>
      <c r="F2302" s="29" t="s">
        <v>65</v>
      </c>
      <c r="G2302" s="36">
        <f>G2303</f>
        <v>3798.1</v>
      </c>
      <c r="H2302" s="36">
        <f t="shared" ref="H2302:K2302" si="1234">H2303</f>
        <v>3798.1</v>
      </c>
      <c r="I2302" s="36">
        <f t="shared" si="1234"/>
        <v>2978.636</v>
      </c>
      <c r="J2302" s="36">
        <f t="shared" si="1234"/>
        <v>2280.636</v>
      </c>
      <c r="K2302" s="36">
        <f t="shared" si="1234"/>
        <v>2143.1440299999999</v>
      </c>
      <c r="L2302" s="36">
        <f t="shared" si="1228"/>
        <v>56.4267404755009</v>
      </c>
      <c r="M2302" s="36">
        <f t="shared" si="1229"/>
        <v>71.950517955198279</v>
      </c>
    </row>
    <row r="2303" spans="1:13" ht="25.5">
      <c r="A2303" s="60" t="s">
        <v>66</v>
      </c>
      <c r="B2303" s="29" t="s">
        <v>940</v>
      </c>
      <c r="C2303" s="29" t="s">
        <v>17</v>
      </c>
      <c r="D2303" s="29" t="s">
        <v>387</v>
      </c>
      <c r="E2303" s="29" t="s">
        <v>974</v>
      </c>
      <c r="F2303" s="29" t="s">
        <v>67</v>
      </c>
      <c r="G2303" s="36">
        <v>3798.1</v>
      </c>
      <c r="H2303" s="36">
        <v>3798.1</v>
      </c>
      <c r="I2303" s="36">
        <v>2978.636</v>
      </c>
      <c r="J2303" s="36">
        <v>2280.636</v>
      </c>
      <c r="K2303" s="36">
        <v>2143.1440299999999</v>
      </c>
      <c r="L2303" s="36">
        <f t="shared" si="1228"/>
        <v>56.4267404755009</v>
      </c>
      <c r="M2303" s="36">
        <f t="shared" si="1229"/>
        <v>71.950517955198279</v>
      </c>
    </row>
    <row r="2304" spans="1:13" ht="51">
      <c r="A2304" s="60" t="s">
        <v>975</v>
      </c>
      <c r="B2304" s="29" t="s">
        <v>940</v>
      </c>
      <c r="C2304" s="29" t="s">
        <v>17</v>
      </c>
      <c r="D2304" s="29" t="s">
        <v>387</v>
      </c>
      <c r="E2304" s="29" t="s">
        <v>976</v>
      </c>
      <c r="F2304" s="59" t="s">
        <v>0</v>
      </c>
      <c r="G2304" s="36">
        <f>G2305+G2308</f>
        <v>353436.5</v>
      </c>
      <c r="H2304" s="36">
        <f t="shared" ref="H2304:K2304" si="1235">H2305+H2308</f>
        <v>0</v>
      </c>
      <c r="I2304" s="36">
        <f t="shared" si="1235"/>
        <v>0</v>
      </c>
      <c r="J2304" s="36">
        <f t="shared" si="1235"/>
        <v>0</v>
      </c>
      <c r="K2304" s="36">
        <f t="shared" si="1235"/>
        <v>0</v>
      </c>
      <c r="L2304" s="36">
        <v>0</v>
      </c>
      <c r="M2304" s="36">
        <v>0</v>
      </c>
    </row>
    <row r="2305" spans="1:13" ht="25.5">
      <c r="A2305" s="60" t="s">
        <v>76</v>
      </c>
      <c r="B2305" s="29" t="s">
        <v>940</v>
      </c>
      <c r="C2305" s="29" t="s">
        <v>17</v>
      </c>
      <c r="D2305" s="29" t="s">
        <v>387</v>
      </c>
      <c r="E2305" s="29" t="s">
        <v>977</v>
      </c>
      <c r="F2305" s="59" t="s">
        <v>0</v>
      </c>
      <c r="G2305" s="36">
        <f>G2306</f>
        <v>221727.5</v>
      </c>
      <c r="H2305" s="36">
        <f t="shared" ref="H2305:K2306" si="1236">H2306</f>
        <v>0</v>
      </c>
      <c r="I2305" s="36">
        <f t="shared" si="1236"/>
        <v>0</v>
      </c>
      <c r="J2305" s="36">
        <f t="shared" si="1236"/>
        <v>0</v>
      </c>
      <c r="K2305" s="36">
        <f t="shared" si="1236"/>
        <v>0</v>
      </c>
      <c r="L2305" s="36">
        <v>0</v>
      </c>
      <c r="M2305" s="36">
        <v>0</v>
      </c>
    </row>
    <row r="2306" spans="1:13" ht="25.5">
      <c r="A2306" s="60" t="s">
        <v>80</v>
      </c>
      <c r="B2306" s="29" t="s">
        <v>940</v>
      </c>
      <c r="C2306" s="29" t="s">
        <v>17</v>
      </c>
      <c r="D2306" s="29" t="s">
        <v>387</v>
      </c>
      <c r="E2306" s="29" t="s">
        <v>977</v>
      </c>
      <c r="F2306" s="29" t="s">
        <v>81</v>
      </c>
      <c r="G2306" s="36">
        <f>G2307</f>
        <v>221727.5</v>
      </c>
      <c r="H2306" s="36">
        <f t="shared" si="1236"/>
        <v>0</v>
      </c>
      <c r="I2306" s="36">
        <f t="shared" si="1236"/>
        <v>0</v>
      </c>
      <c r="J2306" s="36">
        <f t="shared" si="1236"/>
        <v>0</v>
      </c>
      <c r="K2306" s="36">
        <f t="shared" si="1236"/>
        <v>0</v>
      </c>
      <c r="L2306" s="36">
        <v>0</v>
      </c>
      <c r="M2306" s="36">
        <v>0</v>
      </c>
    </row>
    <row r="2307" spans="1:13">
      <c r="A2307" s="60" t="s">
        <v>82</v>
      </c>
      <c r="B2307" s="29" t="s">
        <v>940</v>
      </c>
      <c r="C2307" s="29" t="s">
        <v>17</v>
      </c>
      <c r="D2307" s="29" t="s">
        <v>387</v>
      </c>
      <c r="E2307" s="29" t="s">
        <v>977</v>
      </c>
      <c r="F2307" s="29" t="s">
        <v>83</v>
      </c>
      <c r="G2307" s="36">
        <v>221727.5</v>
      </c>
      <c r="H2307" s="36">
        <v>0</v>
      </c>
      <c r="I2307" s="36">
        <v>0</v>
      </c>
      <c r="J2307" s="36">
        <v>0</v>
      </c>
      <c r="K2307" s="36">
        <v>0</v>
      </c>
      <c r="L2307" s="36">
        <v>0</v>
      </c>
      <c r="M2307" s="36">
        <v>0</v>
      </c>
    </row>
    <row r="2308" spans="1:13" ht="25.5">
      <c r="A2308" s="60" t="s">
        <v>748</v>
      </c>
      <c r="B2308" s="29" t="s">
        <v>940</v>
      </c>
      <c r="C2308" s="29" t="s">
        <v>17</v>
      </c>
      <c r="D2308" s="29" t="s">
        <v>387</v>
      </c>
      <c r="E2308" s="29" t="s">
        <v>978</v>
      </c>
      <c r="F2308" s="59" t="s">
        <v>0</v>
      </c>
      <c r="G2308" s="36">
        <f>G2309+G2311</f>
        <v>131709</v>
      </c>
      <c r="H2308" s="36">
        <f t="shared" ref="H2308:K2308" si="1237">H2309+H2311</f>
        <v>0</v>
      </c>
      <c r="I2308" s="36">
        <f t="shared" si="1237"/>
        <v>0</v>
      </c>
      <c r="J2308" s="36">
        <f t="shared" si="1237"/>
        <v>0</v>
      </c>
      <c r="K2308" s="36">
        <f t="shared" si="1237"/>
        <v>0</v>
      </c>
      <c r="L2308" s="36">
        <v>0</v>
      </c>
      <c r="M2308" s="36">
        <v>0</v>
      </c>
    </row>
    <row r="2309" spans="1:13" ht="25.5">
      <c r="A2309" s="60" t="s">
        <v>39</v>
      </c>
      <c r="B2309" s="29" t="s">
        <v>940</v>
      </c>
      <c r="C2309" s="29" t="s">
        <v>17</v>
      </c>
      <c r="D2309" s="29" t="s">
        <v>387</v>
      </c>
      <c r="E2309" s="29" t="s">
        <v>978</v>
      </c>
      <c r="F2309" s="29" t="s">
        <v>40</v>
      </c>
      <c r="G2309" s="36">
        <f>G2310</f>
        <v>49600</v>
      </c>
      <c r="H2309" s="36">
        <f t="shared" ref="H2309:K2309" si="1238">H2310</f>
        <v>0</v>
      </c>
      <c r="I2309" s="36">
        <f t="shared" si="1238"/>
        <v>0</v>
      </c>
      <c r="J2309" s="36">
        <f t="shared" si="1238"/>
        <v>0</v>
      </c>
      <c r="K2309" s="36">
        <f t="shared" si="1238"/>
        <v>0</v>
      </c>
      <c r="L2309" s="36">
        <v>0</v>
      </c>
      <c r="M2309" s="36">
        <v>0</v>
      </c>
    </row>
    <row r="2310" spans="1:13" ht="89.25">
      <c r="A2310" s="60" t="s">
        <v>410</v>
      </c>
      <c r="B2310" s="29" t="s">
        <v>940</v>
      </c>
      <c r="C2310" s="29" t="s">
        <v>17</v>
      </c>
      <c r="D2310" s="29" t="s">
        <v>387</v>
      </c>
      <c r="E2310" s="29" t="s">
        <v>978</v>
      </c>
      <c r="F2310" s="29" t="s">
        <v>411</v>
      </c>
      <c r="G2310" s="36">
        <v>49600</v>
      </c>
      <c r="H2310" s="36">
        <v>0</v>
      </c>
      <c r="I2310" s="36">
        <v>0</v>
      </c>
      <c r="J2310" s="36">
        <v>0</v>
      </c>
      <c r="K2310" s="36">
        <v>0</v>
      </c>
      <c r="L2310" s="36">
        <v>0</v>
      </c>
      <c r="M2310" s="36">
        <v>0</v>
      </c>
    </row>
    <row r="2311" spans="1:13" ht="25.5">
      <c r="A2311" s="60" t="s">
        <v>80</v>
      </c>
      <c r="B2311" s="29" t="s">
        <v>940</v>
      </c>
      <c r="C2311" s="29" t="s">
        <v>17</v>
      </c>
      <c r="D2311" s="29" t="s">
        <v>387</v>
      </c>
      <c r="E2311" s="29" t="s">
        <v>978</v>
      </c>
      <c r="F2311" s="29" t="s">
        <v>81</v>
      </c>
      <c r="G2311" s="36">
        <f>G2312</f>
        <v>82109</v>
      </c>
      <c r="H2311" s="36">
        <f t="shared" ref="H2311:K2311" si="1239">H2312</f>
        <v>0</v>
      </c>
      <c r="I2311" s="36">
        <f t="shared" si="1239"/>
        <v>0</v>
      </c>
      <c r="J2311" s="36">
        <f t="shared" si="1239"/>
        <v>0</v>
      </c>
      <c r="K2311" s="36">
        <f t="shared" si="1239"/>
        <v>0</v>
      </c>
      <c r="L2311" s="36">
        <v>0</v>
      </c>
      <c r="M2311" s="36">
        <v>0</v>
      </c>
    </row>
    <row r="2312" spans="1:13">
      <c r="A2312" s="60" t="s">
        <v>82</v>
      </c>
      <c r="B2312" s="29" t="s">
        <v>940</v>
      </c>
      <c r="C2312" s="29" t="s">
        <v>17</v>
      </c>
      <c r="D2312" s="29" t="s">
        <v>387</v>
      </c>
      <c r="E2312" s="29" t="s">
        <v>978</v>
      </c>
      <c r="F2312" s="29" t="s">
        <v>83</v>
      </c>
      <c r="G2312" s="36">
        <v>82109</v>
      </c>
      <c r="H2312" s="36">
        <v>0</v>
      </c>
      <c r="I2312" s="36">
        <v>0</v>
      </c>
      <c r="J2312" s="36">
        <v>0</v>
      </c>
      <c r="K2312" s="36">
        <v>0</v>
      </c>
      <c r="L2312" s="36">
        <v>0</v>
      </c>
      <c r="M2312" s="36">
        <v>0</v>
      </c>
    </row>
    <row r="2313" spans="1:13" ht="38.25">
      <c r="A2313" s="60" t="s">
        <v>979</v>
      </c>
      <c r="B2313" s="29" t="s">
        <v>940</v>
      </c>
      <c r="C2313" s="29" t="s">
        <v>17</v>
      </c>
      <c r="D2313" s="29" t="s">
        <v>387</v>
      </c>
      <c r="E2313" s="29" t="s">
        <v>980</v>
      </c>
      <c r="F2313" s="59" t="s">
        <v>0</v>
      </c>
      <c r="G2313" s="36">
        <f>G2314+G2317</f>
        <v>78809.599999999991</v>
      </c>
      <c r="H2313" s="36">
        <f t="shared" ref="H2313:K2313" si="1240">H2314+H2317</f>
        <v>0</v>
      </c>
      <c r="I2313" s="36">
        <f t="shared" si="1240"/>
        <v>0</v>
      </c>
      <c r="J2313" s="36">
        <f t="shared" si="1240"/>
        <v>0</v>
      </c>
      <c r="K2313" s="36">
        <f t="shared" si="1240"/>
        <v>0</v>
      </c>
      <c r="L2313" s="36">
        <v>0</v>
      </c>
      <c r="M2313" s="36">
        <v>0</v>
      </c>
    </row>
    <row r="2314" spans="1:13" ht="25.5">
      <c r="A2314" s="60" t="s">
        <v>76</v>
      </c>
      <c r="B2314" s="29" t="s">
        <v>940</v>
      </c>
      <c r="C2314" s="29" t="s">
        <v>17</v>
      </c>
      <c r="D2314" s="29" t="s">
        <v>387</v>
      </c>
      <c r="E2314" s="29" t="s">
        <v>981</v>
      </c>
      <c r="F2314" s="59" t="s">
        <v>0</v>
      </c>
      <c r="G2314" s="36">
        <f>G2315</f>
        <v>66082.7</v>
      </c>
      <c r="H2314" s="36">
        <f t="shared" ref="H2314:K2315" si="1241">H2315</f>
        <v>0</v>
      </c>
      <c r="I2314" s="36">
        <f t="shared" si="1241"/>
        <v>0</v>
      </c>
      <c r="J2314" s="36">
        <f t="shared" si="1241"/>
        <v>0</v>
      </c>
      <c r="K2314" s="36">
        <f t="shared" si="1241"/>
        <v>0</v>
      </c>
      <c r="L2314" s="36">
        <v>0</v>
      </c>
      <c r="M2314" s="36">
        <v>0</v>
      </c>
    </row>
    <row r="2315" spans="1:13" ht="25.5">
      <c r="A2315" s="60" t="s">
        <v>80</v>
      </c>
      <c r="B2315" s="29" t="s">
        <v>940</v>
      </c>
      <c r="C2315" s="29" t="s">
        <v>17</v>
      </c>
      <c r="D2315" s="29" t="s">
        <v>387</v>
      </c>
      <c r="E2315" s="29" t="s">
        <v>981</v>
      </c>
      <c r="F2315" s="29" t="s">
        <v>81</v>
      </c>
      <c r="G2315" s="36">
        <f>G2316</f>
        <v>66082.7</v>
      </c>
      <c r="H2315" s="36">
        <f t="shared" si="1241"/>
        <v>0</v>
      </c>
      <c r="I2315" s="36">
        <f t="shared" si="1241"/>
        <v>0</v>
      </c>
      <c r="J2315" s="36">
        <f t="shared" si="1241"/>
        <v>0</v>
      </c>
      <c r="K2315" s="36">
        <f t="shared" si="1241"/>
        <v>0</v>
      </c>
      <c r="L2315" s="36">
        <v>0</v>
      </c>
      <c r="M2315" s="36">
        <v>0</v>
      </c>
    </row>
    <row r="2316" spans="1:13">
      <c r="A2316" s="60" t="s">
        <v>82</v>
      </c>
      <c r="B2316" s="29" t="s">
        <v>940</v>
      </c>
      <c r="C2316" s="29" t="s">
        <v>17</v>
      </c>
      <c r="D2316" s="29" t="s">
        <v>387</v>
      </c>
      <c r="E2316" s="29" t="s">
        <v>981</v>
      </c>
      <c r="F2316" s="29" t="s">
        <v>83</v>
      </c>
      <c r="G2316" s="36">
        <v>66082.7</v>
      </c>
      <c r="H2316" s="36"/>
      <c r="I2316" s="36"/>
      <c r="J2316" s="36"/>
      <c r="K2316" s="36"/>
      <c r="L2316" s="36">
        <v>0</v>
      </c>
      <c r="M2316" s="36">
        <v>0</v>
      </c>
    </row>
    <row r="2317" spans="1:13" ht="25.5">
      <c r="A2317" s="60" t="s">
        <v>748</v>
      </c>
      <c r="B2317" s="29" t="s">
        <v>940</v>
      </c>
      <c r="C2317" s="29" t="s">
        <v>17</v>
      </c>
      <c r="D2317" s="29" t="s">
        <v>387</v>
      </c>
      <c r="E2317" s="29" t="s">
        <v>982</v>
      </c>
      <c r="F2317" s="59" t="s">
        <v>0</v>
      </c>
      <c r="G2317" s="36">
        <f>G2318</f>
        <v>12726.9</v>
      </c>
      <c r="H2317" s="36">
        <f t="shared" ref="H2317:K2318" si="1242">H2318</f>
        <v>0</v>
      </c>
      <c r="I2317" s="36">
        <f t="shared" si="1242"/>
        <v>0</v>
      </c>
      <c r="J2317" s="36">
        <f t="shared" si="1242"/>
        <v>0</v>
      </c>
      <c r="K2317" s="36">
        <f t="shared" si="1242"/>
        <v>0</v>
      </c>
      <c r="L2317" s="36">
        <v>0</v>
      </c>
      <c r="M2317" s="36">
        <v>0</v>
      </c>
    </row>
    <row r="2318" spans="1:13" ht="25.5">
      <c r="A2318" s="60" t="s">
        <v>80</v>
      </c>
      <c r="B2318" s="29" t="s">
        <v>940</v>
      </c>
      <c r="C2318" s="29" t="s">
        <v>17</v>
      </c>
      <c r="D2318" s="29" t="s">
        <v>387</v>
      </c>
      <c r="E2318" s="29" t="s">
        <v>982</v>
      </c>
      <c r="F2318" s="29" t="s">
        <v>81</v>
      </c>
      <c r="G2318" s="36">
        <f>G2319</f>
        <v>12726.9</v>
      </c>
      <c r="H2318" s="36">
        <f t="shared" si="1242"/>
        <v>0</v>
      </c>
      <c r="I2318" s="36">
        <f t="shared" si="1242"/>
        <v>0</v>
      </c>
      <c r="J2318" s="36">
        <f t="shared" si="1242"/>
        <v>0</v>
      </c>
      <c r="K2318" s="36">
        <f t="shared" si="1242"/>
        <v>0</v>
      </c>
      <c r="L2318" s="36">
        <v>0</v>
      </c>
      <c r="M2318" s="36">
        <v>0</v>
      </c>
    </row>
    <row r="2319" spans="1:13">
      <c r="A2319" s="60" t="s">
        <v>82</v>
      </c>
      <c r="B2319" s="29" t="s">
        <v>940</v>
      </c>
      <c r="C2319" s="29" t="s">
        <v>17</v>
      </c>
      <c r="D2319" s="29" t="s">
        <v>387</v>
      </c>
      <c r="E2319" s="29" t="s">
        <v>982</v>
      </c>
      <c r="F2319" s="29" t="s">
        <v>83</v>
      </c>
      <c r="G2319" s="36">
        <v>12726.9</v>
      </c>
      <c r="H2319" s="36">
        <v>0</v>
      </c>
      <c r="I2319" s="36">
        <v>0</v>
      </c>
      <c r="J2319" s="36">
        <v>0</v>
      </c>
      <c r="K2319" s="36">
        <v>0</v>
      </c>
      <c r="L2319" s="36">
        <v>0</v>
      </c>
      <c r="M2319" s="36">
        <v>0</v>
      </c>
    </row>
    <row r="2320" spans="1:13" ht="38.25">
      <c r="A2320" s="60" t="s">
        <v>736</v>
      </c>
      <c r="B2320" s="29" t="s">
        <v>940</v>
      </c>
      <c r="C2320" s="29" t="s">
        <v>17</v>
      </c>
      <c r="D2320" s="29" t="s">
        <v>387</v>
      </c>
      <c r="E2320" s="29" t="s">
        <v>737</v>
      </c>
      <c r="F2320" s="59" t="s">
        <v>0</v>
      </c>
      <c r="G2320" s="36">
        <f>G2321+G2328</f>
        <v>236112.19999999998</v>
      </c>
      <c r="H2320" s="36">
        <f t="shared" ref="H2320:K2320" si="1243">H2321+H2328</f>
        <v>236112.20268000002</v>
      </c>
      <c r="I2320" s="36">
        <f t="shared" si="1243"/>
        <v>112273.80267999999</v>
      </c>
      <c r="J2320" s="36">
        <f t="shared" si="1243"/>
        <v>111966.73705</v>
      </c>
      <c r="K2320" s="36">
        <f t="shared" si="1243"/>
        <v>103675.63885999999</v>
      </c>
      <c r="L2320" s="36">
        <f t="shared" si="1228"/>
        <v>43.90947934212037</v>
      </c>
      <c r="M2320" s="36">
        <f t="shared" si="1229"/>
        <v>92.341789789995559</v>
      </c>
    </row>
    <row r="2321" spans="1:13" ht="25.5">
      <c r="A2321" s="60" t="s">
        <v>58</v>
      </c>
      <c r="B2321" s="29" t="s">
        <v>940</v>
      </c>
      <c r="C2321" s="29" t="s">
        <v>17</v>
      </c>
      <c r="D2321" s="29" t="s">
        <v>387</v>
      </c>
      <c r="E2321" s="29" t="s">
        <v>738</v>
      </c>
      <c r="F2321" s="59" t="s">
        <v>0</v>
      </c>
      <c r="G2321" s="36">
        <f>G2322+G2324+G2326</f>
        <v>40898.6</v>
      </c>
      <c r="H2321" s="36">
        <f t="shared" ref="H2321:K2321" si="1244">H2322+H2324+H2326</f>
        <v>40898.6</v>
      </c>
      <c r="I2321" s="36">
        <f t="shared" si="1244"/>
        <v>22241.879999999997</v>
      </c>
      <c r="J2321" s="36">
        <f t="shared" si="1244"/>
        <v>22241.879999999997</v>
      </c>
      <c r="K2321" s="36">
        <f t="shared" si="1244"/>
        <v>19160.09793</v>
      </c>
      <c r="L2321" s="36">
        <f t="shared" si="1228"/>
        <v>46.84780880030123</v>
      </c>
      <c r="M2321" s="36">
        <f t="shared" si="1229"/>
        <v>86.144237492514137</v>
      </c>
    </row>
    <row r="2322" spans="1:13" ht="63.75">
      <c r="A2322" s="60" t="s">
        <v>60</v>
      </c>
      <c r="B2322" s="29" t="s">
        <v>940</v>
      </c>
      <c r="C2322" s="29" t="s">
        <v>17</v>
      </c>
      <c r="D2322" s="29" t="s">
        <v>387</v>
      </c>
      <c r="E2322" s="29" t="s">
        <v>738</v>
      </c>
      <c r="F2322" s="29" t="s">
        <v>61</v>
      </c>
      <c r="G2322" s="36">
        <f>G2323</f>
        <v>18010</v>
      </c>
      <c r="H2322" s="36">
        <f t="shared" ref="H2322:K2322" si="1245">H2323</f>
        <v>18010</v>
      </c>
      <c r="I2322" s="36">
        <f t="shared" si="1245"/>
        <v>9044.58</v>
      </c>
      <c r="J2322" s="36">
        <f t="shared" si="1245"/>
        <v>9044.58</v>
      </c>
      <c r="K2322" s="36">
        <f t="shared" si="1245"/>
        <v>7490.9770700000008</v>
      </c>
      <c r="L2322" s="36">
        <f t="shared" si="1228"/>
        <v>41.593431815657972</v>
      </c>
      <c r="M2322" s="36">
        <f t="shared" si="1229"/>
        <v>82.822829473563189</v>
      </c>
    </row>
    <row r="2323" spans="1:13" ht="25.5">
      <c r="A2323" s="60" t="s">
        <v>62</v>
      </c>
      <c r="B2323" s="29" t="s">
        <v>940</v>
      </c>
      <c r="C2323" s="29" t="s">
        <v>17</v>
      </c>
      <c r="D2323" s="29" t="s">
        <v>387</v>
      </c>
      <c r="E2323" s="29" t="s">
        <v>738</v>
      </c>
      <c r="F2323" s="29" t="s">
        <v>63</v>
      </c>
      <c r="G2323" s="36">
        <v>18010</v>
      </c>
      <c r="H2323" s="36">
        <v>18010</v>
      </c>
      <c r="I2323" s="36">
        <f>6929.4+298.45+1816.73</f>
        <v>9044.58</v>
      </c>
      <c r="J2323" s="36">
        <f>6929.4+298.45+1816.73</f>
        <v>9044.58</v>
      </c>
      <c r="K2323" s="36">
        <f>5774.87553+240.34537+1475.75617</f>
        <v>7490.9770700000008</v>
      </c>
      <c r="L2323" s="36">
        <f t="shared" si="1228"/>
        <v>41.593431815657972</v>
      </c>
      <c r="M2323" s="36">
        <f t="shared" si="1229"/>
        <v>82.822829473563189</v>
      </c>
    </row>
    <row r="2324" spans="1:13" ht="25.5">
      <c r="A2324" s="60" t="s">
        <v>64</v>
      </c>
      <c r="B2324" s="29" t="s">
        <v>940</v>
      </c>
      <c r="C2324" s="29" t="s">
        <v>17</v>
      </c>
      <c r="D2324" s="29" t="s">
        <v>387</v>
      </c>
      <c r="E2324" s="29" t="s">
        <v>738</v>
      </c>
      <c r="F2324" s="29" t="s">
        <v>65</v>
      </c>
      <c r="G2324" s="36">
        <f>G2325</f>
        <v>22710.6</v>
      </c>
      <c r="H2324" s="36">
        <f t="shared" ref="H2324:K2324" si="1246">H2325</f>
        <v>22710.6</v>
      </c>
      <c r="I2324" s="36">
        <f t="shared" si="1246"/>
        <v>13108.3</v>
      </c>
      <c r="J2324" s="36">
        <f t="shared" si="1246"/>
        <v>13108.3</v>
      </c>
      <c r="K2324" s="36">
        <f t="shared" si="1246"/>
        <v>11665.710859999999</v>
      </c>
      <c r="L2324" s="36">
        <f t="shared" si="1228"/>
        <v>51.366810476165313</v>
      </c>
      <c r="M2324" s="36">
        <f t="shared" si="1229"/>
        <v>88.994841894067108</v>
      </c>
    </row>
    <row r="2325" spans="1:13" ht="25.5">
      <c r="A2325" s="60" t="s">
        <v>66</v>
      </c>
      <c r="B2325" s="29" t="s">
        <v>940</v>
      </c>
      <c r="C2325" s="29" t="s">
        <v>17</v>
      </c>
      <c r="D2325" s="29" t="s">
        <v>387</v>
      </c>
      <c r="E2325" s="29" t="s">
        <v>738</v>
      </c>
      <c r="F2325" s="29" t="s">
        <v>67</v>
      </c>
      <c r="G2325" s="36">
        <v>22710.6</v>
      </c>
      <c r="H2325" s="36">
        <v>22710.6</v>
      </c>
      <c r="I2325" s="36">
        <v>13108.3</v>
      </c>
      <c r="J2325" s="36">
        <v>13108.3</v>
      </c>
      <c r="K2325" s="36">
        <v>11665.710859999999</v>
      </c>
      <c r="L2325" s="36">
        <f t="shared" si="1228"/>
        <v>51.366810476165313</v>
      </c>
      <c r="M2325" s="36">
        <f t="shared" si="1229"/>
        <v>88.994841894067108</v>
      </c>
    </row>
    <row r="2326" spans="1:13">
      <c r="A2326" s="60" t="s">
        <v>72</v>
      </c>
      <c r="B2326" s="29" t="s">
        <v>940</v>
      </c>
      <c r="C2326" s="29" t="s">
        <v>17</v>
      </c>
      <c r="D2326" s="29" t="s">
        <v>387</v>
      </c>
      <c r="E2326" s="29" t="s">
        <v>738</v>
      </c>
      <c r="F2326" s="29" t="s">
        <v>73</v>
      </c>
      <c r="G2326" s="36">
        <f>G2327</f>
        <v>178</v>
      </c>
      <c r="H2326" s="36">
        <f t="shared" ref="H2326:K2326" si="1247">H2327</f>
        <v>178</v>
      </c>
      <c r="I2326" s="36">
        <f t="shared" si="1247"/>
        <v>89</v>
      </c>
      <c r="J2326" s="36">
        <f t="shared" si="1247"/>
        <v>89</v>
      </c>
      <c r="K2326" s="36">
        <f t="shared" si="1247"/>
        <v>3.41</v>
      </c>
      <c r="L2326" s="36">
        <f t="shared" si="1228"/>
        <v>1.9157303370786516</v>
      </c>
      <c r="M2326" s="36">
        <f t="shared" si="1229"/>
        <v>3.8314606741573032</v>
      </c>
    </row>
    <row r="2327" spans="1:13">
      <c r="A2327" s="60" t="s">
        <v>74</v>
      </c>
      <c r="B2327" s="29" t="s">
        <v>940</v>
      </c>
      <c r="C2327" s="29" t="s">
        <v>17</v>
      </c>
      <c r="D2327" s="29" t="s">
        <v>387</v>
      </c>
      <c r="E2327" s="29" t="s">
        <v>738</v>
      </c>
      <c r="F2327" s="29" t="s">
        <v>75</v>
      </c>
      <c r="G2327" s="36">
        <v>178</v>
      </c>
      <c r="H2327" s="36">
        <v>178</v>
      </c>
      <c r="I2327" s="36">
        <f>36.5+52.5</f>
        <v>89</v>
      </c>
      <c r="J2327" s="36">
        <v>89</v>
      </c>
      <c r="K2327" s="36">
        <v>3.41</v>
      </c>
      <c r="L2327" s="36">
        <f t="shared" si="1228"/>
        <v>1.9157303370786516</v>
      </c>
      <c r="M2327" s="36">
        <f t="shared" si="1229"/>
        <v>3.8314606741573032</v>
      </c>
    </row>
    <row r="2328" spans="1:13" ht="25.5">
      <c r="A2328" s="60" t="s">
        <v>76</v>
      </c>
      <c r="B2328" s="29" t="s">
        <v>940</v>
      </c>
      <c r="C2328" s="29" t="s">
        <v>17</v>
      </c>
      <c r="D2328" s="29" t="s">
        <v>387</v>
      </c>
      <c r="E2328" s="29" t="s">
        <v>739</v>
      </c>
      <c r="F2328" s="59" t="s">
        <v>0</v>
      </c>
      <c r="G2328" s="36">
        <f>G2329+G2331+G2333</f>
        <v>195213.59999999998</v>
      </c>
      <c r="H2328" s="36">
        <f t="shared" ref="H2328:K2328" si="1248">H2329+H2331+H2333</f>
        <v>195213.60268000001</v>
      </c>
      <c r="I2328" s="36">
        <f t="shared" si="1248"/>
        <v>90031.922679999989</v>
      </c>
      <c r="J2328" s="36">
        <f t="shared" si="1248"/>
        <v>89724.857049999991</v>
      </c>
      <c r="K2328" s="36">
        <f t="shared" si="1248"/>
        <v>84515.540929999988</v>
      </c>
      <c r="L2328" s="36">
        <f t="shared" si="1228"/>
        <v>43.293878997018666</v>
      </c>
      <c r="M2328" s="36">
        <f t="shared" si="1229"/>
        <v>93.872860219139326</v>
      </c>
    </row>
    <row r="2329" spans="1:13" ht="63.75">
      <c r="A2329" s="60" t="s">
        <v>60</v>
      </c>
      <c r="B2329" s="29" t="s">
        <v>940</v>
      </c>
      <c r="C2329" s="29" t="s">
        <v>17</v>
      </c>
      <c r="D2329" s="29" t="s">
        <v>387</v>
      </c>
      <c r="E2329" s="29" t="s">
        <v>739</v>
      </c>
      <c r="F2329" s="29" t="s">
        <v>61</v>
      </c>
      <c r="G2329" s="36">
        <f>G2330</f>
        <v>109691.1</v>
      </c>
      <c r="H2329" s="36">
        <f t="shared" ref="H2329:K2329" si="1249">H2330</f>
        <v>109691.07906</v>
      </c>
      <c r="I2329" s="36">
        <f t="shared" si="1249"/>
        <v>53573.899059999996</v>
      </c>
      <c r="J2329" s="36">
        <f t="shared" si="1249"/>
        <v>53426.299059999998</v>
      </c>
      <c r="K2329" s="36">
        <f t="shared" si="1249"/>
        <v>49953.353269999992</v>
      </c>
      <c r="L2329" s="36">
        <f t="shared" si="1228"/>
        <v>45.540032697349957</v>
      </c>
      <c r="M2329" s="36">
        <f t="shared" si="1229"/>
        <v>93.241959511020127</v>
      </c>
    </row>
    <row r="2330" spans="1:13">
      <c r="A2330" s="60" t="s">
        <v>78</v>
      </c>
      <c r="B2330" s="29" t="s">
        <v>940</v>
      </c>
      <c r="C2330" s="29" t="s">
        <v>17</v>
      </c>
      <c r="D2330" s="29" t="s">
        <v>387</v>
      </c>
      <c r="E2330" s="29" t="s">
        <v>739</v>
      </c>
      <c r="F2330" s="29" t="s">
        <v>79</v>
      </c>
      <c r="G2330" s="36">
        <v>109691.1</v>
      </c>
      <c r="H2330" s="36">
        <v>109691.07906</v>
      </c>
      <c r="I2330" s="36">
        <f>40424.38684+1923.82+11225.69222</f>
        <v>53573.899059999996</v>
      </c>
      <c r="J2330" s="36">
        <f>40388.83184+1915.82+11121.64722</f>
        <v>53426.299059999998</v>
      </c>
      <c r="K2330" s="36">
        <f>37132.85898+1902.91854+10917.57575</f>
        <v>49953.353269999992</v>
      </c>
      <c r="L2330" s="36">
        <f t="shared" si="1228"/>
        <v>45.540032697349957</v>
      </c>
      <c r="M2330" s="36">
        <f t="shared" si="1229"/>
        <v>93.241959511020127</v>
      </c>
    </row>
    <row r="2331" spans="1:13" ht="25.5">
      <c r="A2331" s="60" t="s">
        <v>64</v>
      </c>
      <c r="B2331" s="29" t="s">
        <v>940</v>
      </c>
      <c r="C2331" s="29" t="s">
        <v>17</v>
      </c>
      <c r="D2331" s="29" t="s">
        <v>387</v>
      </c>
      <c r="E2331" s="29" t="s">
        <v>739</v>
      </c>
      <c r="F2331" s="29" t="s">
        <v>65</v>
      </c>
      <c r="G2331" s="36">
        <f>G2332</f>
        <v>78290.7</v>
      </c>
      <c r="H2331" s="36">
        <f t="shared" ref="H2331:K2331" si="1250">H2332</f>
        <v>78290.723620000004</v>
      </c>
      <c r="I2331" s="36">
        <f t="shared" si="1250"/>
        <v>33901.123619999998</v>
      </c>
      <c r="J2331" s="36">
        <f t="shared" si="1250"/>
        <v>33742.623619999998</v>
      </c>
      <c r="K2331" s="36">
        <f t="shared" si="1250"/>
        <v>32543.427660000001</v>
      </c>
      <c r="L2331" s="36">
        <f t="shared" si="1228"/>
        <v>41.567412019278507</v>
      </c>
      <c r="M2331" s="36">
        <f t="shared" si="1229"/>
        <v>95.995129910092345</v>
      </c>
    </row>
    <row r="2332" spans="1:13" ht="25.5">
      <c r="A2332" s="60" t="s">
        <v>66</v>
      </c>
      <c r="B2332" s="29" t="s">
        <v>940</v>
      </c>
      <c r="C2332" s="29" t="s">
        <v>17</v>
      </c>
      <c r="D2332" s="29" t="s">
        <v>387</v>
      </c>
      <c r="E2332" s="29" t="s">
        <v>739</v>
      </c>
      <c r="F2332" s="29" t="s">
        <v>67</v>
      </c>
      <c r="G2332" s="36">
        <v>78290.7</v>
      </c>
      <c r="H2332" s="36">
        <v>78290.723620000004</v>
      </c>
      <c r="I2332" s="36">
        <v>33901.123619999998</v>
      </c>
      <c r="J2332" s="36">
        <v>33742.623619999998</v>
      </c>
      <c r="K2332" s="36">
        <v>32543.427660000001</v>
      </c>
      <c r="L2332" s="36">
        <f t="shared" si="1228"/>
        <v>41.567412019278507</v>
      </c>
      <c r="M2332" s="36">
        <f t="shared" si="1229"/>
        <v>95.995129910092345</v>
      </c>
    </row>
    <row r="2333" spans="1:13">
      <c r="A2333" s="60" t="s">
        <v>72</v>
      </c>
      <c r="B2333" s="29" t="s">
        <v>940</v>
      </c>
      <c r="C2333" s="29" t="s">
        <v>17</v>
      </c>
      <c r="D2333" s="29" t="s">
        <v>387</v>
      </c>
      <c r="E2333" s="29" t="s">
        <v>739</v>
      </c>
      <c r="F2333" s="29" t="s">
        <v>73</v>
      </c>
      <c r="G2333" s="36">
        <f>G2335</f>
        <v>7231.8</v>
      </c>
      <c r="H2333" s="36">
        <f>H2334+H2335</f>
        <v>7231.8</v>
      </c>
      <c r="I2333" s="36">
        <f t="shared" ref="I2333:K2333" si="1251">I2334+I2335</f>
        <v>2556.9</v>
      </c>
      <c r="J2333" s="36">
        <f t="shared" si="1251"/>
        <v>2555.9343699999999</v>
      </c>
      <c r="K2333" s="36">
        <f t="shared" si="1251"/>
        <v>2018.76</v>
      </c>
      <c r="L2333" s="36">
        <f t="shared" si="1228"/>
        <v>27.915041898282585</v>
      </c>
      <c r="M2333" s="36">
        <f t="shared" si="1229"/>
        <v>78.953420157221629</v>
      </c>
    </row>
    <row r="2334" spans="1:13">
      <c r="A2334" s="60" t="s">
        <v>84</v>
      </c>
      <c r="B2334" s="29" t="s">
        <v>940</v>
      </c>
      <c r="C2334" s="29" t="s">
        <v>17</v>
      </c>
      <c r="D2334" s="29" t="s">
        <v>387</v>
      </c>
      <c r="E2334" s="29" t="s">
        <v>739</v>
      </c>
      <c r="F2334" s="29">
        <v>830</v>
      </c>
      <c r="G2334" s="36"/>
      <c r="H2334" s="36">
        <v>30</v>
      </c>
      <c r="I2334" s="36">
        <v>30</v>
      </c>
      <c r="J2334" s="36">
        <v>30</v>
      </c>
      <c r="K2334" s="36">
        <v>30</v>
      </c>
      <c r="L2334" s="36">
        <f t="shared" ref="L2334" si="1252">K2334/H2334*100</f>
        <v>100</v>
      </c>
      <c r="M2334" s="36">
        <f t="shared" ref="M2334" si="1253">K2334/I2334*100</f>
        <v>100</v>
      </c>
    </row>
    <row r="2335" spans="1:13">
      <c r="A2335" s="60" t="s">
        <v>74</v>
      </c>
      <c r="B2335" s="29" t="s">
        <v>940</v>
      </c>
      <c r="C2335" s="29" t="s">
        <v>17</v>
      </c>
      <c r="D2335" s="29" t="s">
        <v>387</v>
      </c>
      <c r="E2335" s="29" t="s">
        <v>739</v>
      </c>
      <c r="F2335" s="29" t="s">
        <v>75</v>
      </c>
      <c r="G2335" s="36">
        <v>7231.8</v>
      </c>
      <c r="H2335" s="36">
        <v>7201.8</v>
      </c>
      <c r="I2335" s="36">
        <v>2526.9</v>
      </c>
      <c r="J2335" s="36">
        <v>2525.9343699999999</v>
      </c>
      <c r="K2335" s="36">
        <f>1680.21+308.55</f>
        <v>1988.76</v>
      </c>
      <c r="L2335" s="36">
        <f t="shared" si="1228"/>
        <v>27.614762975922684</v>
      </c>
      <c r="M2335" s="36">
        <f t="shared" si="1229"/>
        <v>78.703549804107794</v>
      </c>
    </row>
    <row r="2336" spans="1:13">
      <c r="A2336" s="63" t="s">
        <v>612</v>
      </c>
      <c r="B2336" s="29" t="s">
        <v>940</v>
      </c>
      <c r="C2336" s="29" t="s">
        <v>17</v>
      </c>
      <c r="D2336" s="29" t="s">
        <v>387</v>
      </c>
      <c r="E2336" s="30" t="s">
        <v>613</v>
      </c>
      <c r="F2336" s="29"/>
      <c r="G2336" s="36"/>
      <c r="H2336" s="36">
        <f>H2337</f>
        <v>9547.5030199999983</v>
      </c>
      <c r="I2336" s="36">
        <f t="shared" ref="I2336:K2336" si="1254">I2337</f>
        <v>9547.5030199999983</v>
      </c>
      <c r="J2336" s="36">
        <f t="shared" si="1254"/>
        <v>9547.5030199999983</v>
      </c>
      <c r="K2336" s="36">
        <f t="shared" si="1254"/>
        <v>4026.2559699999997</v>
      </c>
      <c r="L2336" s="36">
        <f t="shared" ref="L2336:L2343" si="1255">K2336/H2336*100</f>
        <v>42.170774511051171</v>
      </c>
      <c r="M2336" s="36">
        <f t="shared" ref="M2336:M2343" si="1256">K2336/I2336*100</f>
        <v>42.170774511051171</v>
      </c>
    </row>
    <row r="2337" spans="1:13">
      <c r="A2337" s="63" t="s">
        <v>612</v>
      </c>
      <c r="B2337" s="29" t="s">
        <v>940</v>
      </c>
      <c r="C2337" s="29" t="s">
        <v>17</v>
      </c>
      <c r="D2337" s="29" t="s">
        <v>387</v>
      </c>
      <c r="E2337" s="30" t="s">
        <v>614</v>
      </c>
      <c r="F2337" s="29"/>
      <c r="G2337" s="36"/>
      <c r="H2337" s="36">
        <f>H2338+H2340+H2342</f>
        <v>9547.5030199999983</v>
      </c>
      <c r="I2337" s="36">
        <f t="shared" ref="I2337:K2337" si="1257">I2338+I2340+I2342</f>
        <v>9547.5030199999983</v>
      </c>
      <c r="J2337" s="36">
        <f t="shared" si="1257"/>
        <v>9547.5030199999983</v>
      </c>
      <c r="K2337" s="36">
        <f t="shared" si="1257"/>
        <v>4026.2559699999997</v>
      </c>
      <c r="L2337" s="36">
        <f t="shared" si="1255"/>
        <v>42.170774511051171</v>
      </c>
      <c r="M2337" s="36">
        <f t="shared" si="1256"/>
        <v>42.170774511051171</v>
      </c>
    </row>
    <row r="2338" spans="1:13" ht="25.5">
      <c r="A2338" s="60" t="s">
        <v>64</v>
      </c>
      <c r="B2338" s="29" t="s">
        <v>940</v>
      </c>
      <c r="C2338" s="29" t="s">
        <v>17</v>
      </c>
      <c r="D2338" s="29" t="s">
        <v>387</v>
      </c>
      <c r="E2338" s="30" t="s">
        <v>614</v>
      </c>
      <c r="F2338" s="29">
        <v>200</v>
      </c>
      <c r="G2338" s="36"/>
      <c r="H2338" s="36">
        <f>H2339</f>
        <v>6178.3729999999996</v>
      </c>
      <c r="I2338" s="36">
        <f t="shared" ref="I2338:K2338" si="1258">I2339</f>
        <v>6178.3729999999996</v>
      </c>
      <c r="J2338" s="36">
        <f t="shared" si="1258"/>
        <v>6178.3729999999996</v>
      </c>
      <c r="K2338" s="36">
        <f t="shared" si="1258"/>
        <v>816.59595000000002</v>
      </c>
      <c r="L2338" s="36">
        <f t="shared" si="1255"/>
        <v>13.217006321890896</v>
      </c>
      <c r="M2338" s="36">
        <f t="shared" si="1256"/>
        <v>13.217006321890896</v>
      </c>
    </row>
    <row r="2339" spans="1:13" ht="25.5">
      <c r="A2339" s="60" t="s">
        <v>66</v>
      </c>
      <c r="B2339" s="29" t="s">
        <v>940</v>
      </c>
      <c r="C2339" s="29" t="s">
        <v>17</v>
      </c>
      <c r="D2339" s="29" t="s">
        <v>387</v>
      </c>
      <c r="E2339" s="30" t="s">
        <v>614</v>
      </c>
      <c r="F2339" s="29">
        <v>240</v>
      </c>
      <c r="G2339" s="36"/>
      <c r="H2339" s="36">
        <v>6178.3729999999996</v>
      </c>
      <c r="I2339" s="36">
        <f>5623.973+554.4</f>
        <v>6178.3729999999996</v>
      </c>
      <c r="J2339" s="36">
        <f>5623.973+554.4</f>
        <v>6178.3729999999996</v>
      </c>
      <c r="K2339" s="36">
        <f>816.59595</f>
        <v>816.59595000000002</v>
      </c>
      <c r="L2339" s="36">
        <f t="shared" si="1255"/>
        <v>13.217006321890896</v>
      </c>
      <c r="M2339" s="36">
        <f t="shared" si="1256"/>
        <v>13.217006321890896</v>
      </c>
    </row>
    <row r="2340" spans="1:13">
      <c r="A2340" s="63" t="s">
        <v>26</v>
      </c>
      <c r="B2340" s="29" t="s">
        <v>940</v>
      </c>
      <c r="C2340" s="29" t="s">
        <v>17</v>
      </c>
      <c r="D2340" s="29" t="s">
        <v>387</v>
      </c>
      <c r="E2340" s="30" t="s">
        <v>614</v>
      </c>
      <c r="F2340" s="29">
        <v>500</v>
      </c>
      <c r="G2340" s="36"/>
      <c r="H2340" s="36">
        <f>H2341</f>
        <v>3209.6600199999998</v>
      </c>
      <c r="I2340" s="36">
        <f t="shared" ref="I2340:K2340" si="1259">I2341</f>
        <v>3209.6600199999998</v>
      </c>
      <c r="J2340" s="36">
        <f t="shared" si="1259"/>
        <v>3209.6600199999998</v>
      </c>
      <c r="K2340" s="36">
        <f t="shared" si="1259"/>
        <v>3209.6600199999998</v>
      </c>
      <c r="L2340" s="36">
        <f t="shared" si="1255"/>
        <v>100</v>
      </c>
      <c r="M2340" s="36">
        <f t="shared" si="1256"/>
        <v>100</v>
      </c>
    </row>
    <row r="2341" spans="1:13">
      <c r="A2341" s="63" t="s">
        <v>352</v>
      </c>
      <c r="B2341" s="29" t="s">
        <v>940</v>
      </c>
      <c r="C2341" s="29" t="s">
        <v>17</v>
      </c>
      <c r="D2341" s="29" t="s">
        <v>387</v>
      </c>
      <c r="E2341" s="30" t="s">
        <v>614</v>
      </c>
      <c r="F2341" s="29">
        <v>540</v>
      </c>
      <c r="G2341" s="36"/>
      <c r="H2341" s="36">
        <f>2968.79002+240.87</f>
        <v>3209.6600199999998</v>
      </c>
      <c r="I2341" s="36">
        <v>3209.6600199999998</v>
      </c>
      <c r="J2341" s="36">
        <v>3209.6600199999998</v>
      </c>
      <c r="K2341" s="36">
        <v>3209.6600199999998</v>
      </c>
      <c r="L2341" s="36">
        <f t="shared" si="1255"/>
        <v>100</v>
      </c>
      <c r="M2341" s="36">
        <f t="shared" si="1256"/>
        <v>100</v>
      </c>
    </row>
    <row r="2342" spans="1:13" ht="25.5">
      <c r="A2342" s="60" t="s">
        <v>80</v>
      </c>
      <c r="B2342" s="29" t="s">
        <v>940</v>
      </c>
      <c r="C2342" s="29" t="s">
        <v>17</v>
      </c>
      <c r="D2342" s="29" t="s">
        <v>387</v>
      </c>
      <c r="E2342" s="30" t="s">
        <v>614</v>
      </c>
      <c r="F2342" s="29">
        <v>600</v>
      </c>
      <c r="G2342" s="36"/>
      <c r="H2342" s="36">
        <f>H2343</f>
        <v>159.47</v>
      </c>
      <c r="I2342" s="36">
        <f t="shared" ref="I2342:K2342" si="1260">I2343</f>
        <v>159.47</v>
      </c>
      <c r="J2342" s="36">
        <f t="shared" si="1260"/>
        <v>159.47</v>
      </c>
      <c r="K2342" s="36">
        <f t="shared" si="1260"/>
        <v>0</v>
      </c>
      <c r="L2342" s="36">
        <f t="shared" si="1255"/>
        <v>0</v>
      </c>
      <c r="M2342" s="36">
        <f t="shared" si="1256"/>
        <v>0</v>
      </c>
    </row>
    <row r="2343" spans="1:13">
      <c r="A2343" s="60" t="s">
        <v>82</v>
      </c>
      <c r="B2343" s="29" t="s">
        <v>940</v>
      </c>
      <c r="C2343" s="29" t="s">
        <v>17</v>
      </c>
      <c r="D2343" s="29" t="s">
        <v>387</v>
      </c>
      <c r="E2343" s="30" t="s">
        <v>614</v>
      </c>
      <c r="F2343" s="29">
        <v>620</v>
      </c>
      <c r="G2343" s="36"/>
      <c r="H2343" s="36">
        <v>159.47</v>
      </c>
      <c r="I2343" s="36">
        <v>159.47</v>
      </c>
      <c r="J2343" s="36">
        <v>159.47</v>
      </c>
      <c r="K2343" s="36">
        <v>0</v>
      </c>
      <c r="L2343" s="36">
        <f t="shared" si="1255"/>
        <v>0</v>
      </c>
      <c r="M2343" s="36">
        <f t="shared" si="1256"/>
        <v>0</v>
      </c>
    </row>
    <row r="2344" spans="1:13">
      <c r="A2344" s="61" t="s">
        <v>0</v>
      </c>
      <c r="B2344" s="59" t="s">
        <v>0</v>
      </c>
      <c r="C2344" s="59" t="s">
        <v>0</v>
      </c>
      <c r="D2344" s="59" t="s">
        <v>0</v>
      </c>
      <c r="E2344" s="59" t="s">
        <v>0</v>
      </c>
      <c r="F2344" s="59" t="s">
        <v>0</v>
      </c>
      <c r="G2344" s="62" t="s">
        <v>0</v>
      </c>
      <c r="H2344" s="62" t="s">
        <v>0</v>
      </c>
      <c r="I2344" s="62" t="s">
        <v>0</v>
      </c>
      <c r="J2344" s="62" t="s">
        <v>0</v>
      </c>
      <c r="K2344" s="62" t="s">
        <v>0</v>
      </c>
      <c r="L2344" s="62"/>
      <c r="M2344" s="62"/>
    </row>
    <row r="2345" spans="1:13">
      <c r="A2345" s="60" t="s">
        <v>30</v>
      </c>
      <c r="B2345" s="29" t="s">
        <v>940</v>
      </c>
      <c r="C2345" s="29" t="s">
        <v>19</v>
      </c>
      <c r="D2345" s="59" t="s">
        <v>0</v>
      </c>
      <c r="E2345" s="59" t="s">
        <v>0</v>
      </c>
      <c r="F2345" s="59" t="s">
        <v>0</v>
      </c>
      <c r="G2345" s="36">
        <v>1250</v>
      </c>
      <c r="H2345" s="36">
        <f t="shared" ref="H2345:H2350" si="1261">H2346</f>
        <v>1250</v>
      </c>
      <c r="I2345" s="36">
        <f t="shared" ref="I2345:K2350" si="1262">I2346</f>
        <v>759.1</v>
      </c>
      <c r="J2345" s="36">
        <f t="shared" si="1262"/>
        <v>268.2</v>
      </c>
      <c r="K2345" s="36">
        <f t="shared" si="1262"/>
        <v>268.2</v>
      </c>
      <c r="L2345" s="36">
        <f t="shared" si="1228"/>
        <v>21.456</v>
      </c>
      <c r="M2345" s="36">
        <f t="shared" si="1229"/>
        <v>35.33131339744434</v>
      </c>
    </row>
    <row r="2346" spans="1:13">
      <c r="A2346" s="60" t="s">
        <v>50</v>
      </c>
      <c r="B2346" s="29" t="s">
        <v>940</v>
      </c>
      <c r="C2346" s="29" t="s">
        <v>19</v>
      </c>
      <c r="D2346" s="29" t="s">
        <v>51</v>
      </c>
      <c r="E2346" s="59" t="s">
        <v>0</v>
      </c>
      <c r="F2346" s="59" t="s">
        <v>0</v>
      </c>
      <c r="G2346" s="36">
        <v>1250</v>
      </c>
      <c r="H2346" s="36">
        <f t="shared" si="1261"/>
        <v>1250</v>
      </c>
      <c r="I2346" s="36">
        <f t="shared" si="1262"/>
        <v>759.1</v>
      </c>
      <c r="J2346" s="36">
        <f t="shared" si="1262"/>
        <v>268.2</v>
      </c>
      <c r="K2346" s="36">
        <f t="shared" si="1262"/>
        <v>268.2</v>
      </c>
      <c r="L2346" s="36">
        <f t="shared" si="1228"/>
        <v>21.456</v>
      </c>
      <c r="M2346" s="36">
        <f t="shared" si="1229"/>
        <v>35.33131339744434</v>
      </c>
    </row>
    <row r="2347" spans="1:13" ht="51">
      <c r="A2347" s="60" t="s">
        <v>713</v>
      </c>
      <c r="B2347" s="29" t="s">
        <v>940</v>
      </c>
      <c r="C2347" s="29" t="s">
        <v>19</v>
      </c>
      <c r="D2347" s="29" t="s">
        <v>51</v>
      </c>
      <c r="E2347" s="29" t="s">
        <v>714</v>
      </c>
      <c r="F2347" s="59" t="s">
        <v>0</v>
      </c>
      <c r="G2347" s="36">
        <v>1250</v>
      </c>
      <c r="H2347" s="36">
        <f t="shared" si="1261"/>
        <v>1250</v>
      </c>
      <c r="I2347" s="36">
        <f t="shared" si="1262"/>
        <v>759.1</v>
      </c>
      <c r="J2347" s="36">
        <f t="shared" si="1262"/>
        <v>268.2</v>
      </c>
      <c r="K2347" s="36">
        <f t="shared" si="1262"/>
        <v>268.2</v>
      </c>
      <c r="L2347" s="36">
        <f t="shared" si="1228"/>
        <v>21.456</v>
      </c>
      <c r="M2347" s="36">
        <f t="shared" si="1229"/>
        <v>35.33131339744434</v>
      </c>
    </row>
    <row r="2348" spans="1:13" ht="25.5">
      <c r="A2348" s="60" t="s">
        <v>725</v>
      </c>
      <c r="B2348" s="29" t="s">
        <v>940</v>
      </c>
      <c r="C2348" s="29" t="s">
        <v>19</v>
      </c>
      <c r="D2348" s="29" t="s">
        <v>51</v>
      </c>
      <c r="E2348" s="29" t="s">
        <v>726</v>
      </c>
      <c r="F2348" s="59" t="s">
        <v>0</v>
      </c>
      <c r="G2348" s="36">
        <v>1250</v>
      </c>
      <c r="H2348" s="36">
        <f t="shared" si="1261"/>
        <v>1250</v>
      </c>
      <c r="I2348" s="36">
        <f t="shared" si="1262"/>
        <v>759.1</v>
      </c>
      <c r="J2348" s="36">
        <f t="shared" si="1262"/>
        <v>268.2</v>
      </c>
      <c r="K2348" s="36">
        <f t="shared" si="1262"/>
        <v>268.2</v>
      </c>
      <c r="L2348" s="36">
        <f t="shared" si="1228"/>
        <v>21.456</v>
      </c>
      <c r="M2348" s="36">
        <f t="shared" si="1229"/>
        <v>35.33131339744434</v>
      </c>
    </row>
    <row r="2349" spans="1:13" ht="38.25">
      <c r="A2349" s="60" t="s">
        <v>730</v>
      </c>
      <c r="B2349" s="29" t="s">
        <v>940</v>
      </c>
      <c r="C2349" s="29" t="s">
        <v>19</v>
      </c>
      <c r="D2349" s="29" t="s">
        <v>51</v>
      </c>
      <c r="E2349" s="29" t="s">
        <v>731</v>
      </c>
      <c r="F2349" s="59" t="s">
        <v>0</v>
      </c>
      <c r="G2349" s="36">
        <v>1250</v>
      </c>
      <c r="H2349" s="36">
        <f t="shared" si="1261"/>
        <v>1250</v>
      </c>
      <c r="I2349" s="36">
        <f t="shared" si="1262"/>
        <v>759.1</v>
      </c>
      <c r="J2349" s="36">
        <f t="shared" si="1262"/>
        <v>268.2</v>
      </c>
      <c r="K2349" s="36">
        <f t="shared" si="1262"/>
        <v>268.2</v>
      </c>
      <c r="L2349" s="36">
        <f t="shared" si="1228"/>
        <v>21.456</v>
      </c>
      <c r="M2349" s="36">
        <f t="shared" si="1229"/>
        <v>35.33131339744434</v>
      </c>
    </row>
    <row r="2350" spans="1:13" ht="25.5">
      <c r="A2350" s="60" t="s">
        <v>80</v>
      </c>
      <c r="B2350" s="29" t="s">
        <v>940</v>
      </c>
      <c r="C2350" s="29" t="s">
        <v>19</v>
      </c>
      <c r="D2350" s="29" t="s">
        <v>51</v>
      </c>
      <c r="E2350" s="29" t="s">
        <v>731</v>
      </c>
      <c r="F2350" s="29" t="s">
        <v>81</v>
      </c>
      <c r="G2350" s="36">
        <v>1250</v>
      </c>
      <c r="H2350" s="36">
        <f t="shared" si="1261"/>
        <v>1250</v>
      </c>
      <c r="I2350" s="36">
        <f t="shared" si="1262"/>
        <v>759.1</v>
      </c>
      <c r="J2350" s="36">
        <f t="shared" si="1262"/>
        <v>268.2</v>
      </c>
      <c r="K2350" s="36">
        <f t="shared" si="1262"/>
        <v>268.2</v>
      </c>
      <c r="L2350" s="36">
        <f t="shared" si="1228"/>
        <v>21.456</v>
      </c>
      <c r="M2350" s="36">
        <f t="shared" si="1229"/>
        <v>35.33131339744434</v>
      </c>
    </row>
    <row r="2351" spans="1:13">
      <c r="A2351" s="60" t="s">
        <v>82</v>
      </c>
      <c r="B2351" s="29" t="s">
        <v>940</v>
      </c>
      <c r="C2351" s="29" t="s">
        <v>19</v>
      </c>
      <c r="D2351" s="29" t="s">
        <v>51</v>
      </c>
      <c r="E2351" s="29" t="s">
        <v>731</v>
      </c>
      <c r="F2351" s="29" t="s">
        <v>83</v>
      </c>
      <c r="G2351" s="36">
        <v>1250</v>
      </c>
      <c r="H2351" s="36">
        <v>1250</v>
      </c>
      <c r="I2351" s="36">
        <v>759.1</v>
      </c>
      <c r="J2351" s="36">
        <v>268.2</v>
      </c>
      <c r="K2351" s="36">
        <v>268.2</v>
      </c>
      <c r="L2351" s="36">
        <f t="shared" si="1228"/>
        <v>21.456</v>
      </c>
      <c r="M2351" s="36">
        <f t="shared" si="1229"/>
        <v>35.33131339744434</v>
      </c>
    </row>
    <row r="2352" spans="1:13">
      <c r="A2352" s="61" t="s">
        <v>0</v>
      </c>
      <c r="B2352" s="59" t="s">
        <v>0</v>
      </c>
      <c r="C2352" s="59" t="s">
        <v>0</v>
      </c>
      <c r="D2352" s="59" t="s">
        <v>0</v>
      </c>
      <c r="E2352" s="59" t="s">
        <v>0</v>
      </c>
      <c r="F2352" s="59" t="s">
        <v>0</v>
      </c>
      <c r="G2352" s="62" t="s">
        <v>0</v>
      </c>
      <c r="H2352" s="62" t="s">
        <v>0</v>
      </c>
      <c r="I2352" s="62" t="s">
        <v>0</v>
      </c>
      <c r="J2352" s="62" t="s">
        <v>0</v>
      </c>
      <c r="K2352" s="62" t="s">
        <v>0</v>
      </c>
      <c r="L2352" s="62"/>
      <c r="M2352" s="62"/>
    </row>
    <row r="2353" spans="1:13">
      <c r="A2353" s="60" t="s">
        <v>109</v>
      </c>
      <c r="B2353" s="29" t="s">
        <v>940</v>
      </c>
      <c r="C2353" s="29" t="s">
        <v>110</v>
      </c>
      <c r="D2353" s="59" t="s">
        <v>0</v>
      </c>
      <c r="E2353" s="59" t="s">
        <v>0</v>
      </c>
      <c r="F2353" s="59" t="s">
        <v>0</v>
      </c>
      <c r="G2353" s="36">
        <f>G2354</f>
        <v>101340.2</v>
      </c>
      <c r="H2353" s="36">
        <f t="shared" ref="H2353:K2353" si="1263">H2354</f>
        <v>104356.42806999999</v>
      </c>
      <c r="I2353" s="36">
        <f t="shared" si="1263"/>
        <v>70352.228069999997</v>
      </c>
      <c r="J2353" s="36">
        <f t="shared" si="1263"/>
        <v>70142.228069999997</v>
      </c>
      <c r="K2353" s="36">
        <f t="shared" si="1263"/>
        <v>64086</v>
      </c>
      <c r="L2353" s="36">
        <f t="shared" si="1228"/>
        <v>61.410687568773938</v>
      </c>
      <c r="M2353" s="36">
        <f t="shared" si="1229"/>
        <v>91.093063799251468</v>
      </c>
    </row>
    <row r="2354" spans="1:13">
      <c r="A2354" s="60" t="s">
        <v>415</v>
      </c>
      <c r="B2354" s="29" t="s">
        <v>940</v>
      </c>
      <c r="C2354" s="29" t="s">
        <v>110</v>
      </c>
      <c r="D2354" s="29" t="s">
        <v>110</v>
      </c>
      <c r="E2354" s="59" t="s">
        <v>0</v>
      </c>
      <c r="F2354" s="59" t="s">
        <v>0</v>
      </c>
      <c r="G2354" s="36">
        <f>G2355+G2362</f>
        <v>101340.2</v>
      </c>
      <c r="H2354" s="36">
        <f>H2355+H2362+H2385</f>
        <v>104356.42806999999</v>
      </c>
      <c r="I2354" s="36">
        <f t="shared" ref="I2354:K2354" si="1264">I2355+I2362+I2385</f>
        <v>70352.228069999997</v>
      </c>
      <c r="J2354" s="36">
        <f t="shared" si="1264"/>
        <v>70142.228069999997</v>
      </c>
      <c r="K2354" s="36">
        <f t="shared" si="1264"/>
        <v>64086</v>
      </c>
      <c r="L2354" s="36">
        <f t="shared" si="1228"/>
        <v>61.410687568773938</v>
      </c>
      <c r="M2354" s="36">
        <f t="shared" si="1229"/>
        <v>91.093063799251468</v>
      </c>
    </row>
    <row r="2355" spans="1:13" ht="76.5">
      <c r="A2355" s="60" t="s">
        <v>86</v>
      </c>
      <c r="B2355" s="29" t="s">
        <v>940</v>
      </c>
      <c r="C2355" s="29" t="s">
        <v>110</v>
      </c>
      <c r="D2355" s="29" t="s">
        <v>110</v>
      </c>
      <c r="E2355" s="29" t="s">
        <v>87</v>
      </c>
      <c r="F2355" s="59" t="s">
        <v>0</v>
      </c>
      <c r="G2355" s="36">
        <f>G2356</f>
        <v>162</v>
      </c>
      <c r="H2355" s="36">
        <f t="shared" ref="H2355:K2356" si="1265">H2356</f>
        <v>162</v>
      </c>
      <c r="I2355" s="36">
        <f t="shared" si="1265"/>
        <v>112</v>
      </c>
      <c r="J2355" s="36">
        <f t="shared" si="1265"/>
        <v>112</v>
      </c>
      <c r="K2355" s="36">
        <f t="shared" si="1265"/>
        <v>112</v>
      </c>
      <c r="L2355" s="36">
        <f t="shared" si="1228"/>
        <v>69.135802469135797</v>
      </c>
      <c r="M2355" s="36">
        <f t="shared" si="1229"/>
        <v>100</v>
      </c>
    </row>
    <row r="2356" spans="1:13" ht="51">
      <c r="A2356" s="60" t="s">
        <v>443</v>
      </c>
      <c r="B2356" s="29" t="s">
        <v>940</v>
      </c>
      <c r="C2356" s="29" t="s">
        <v>110</v>
      </c>
      <c r="D2356" s="29" t="s">
        <v>110</v>
      </c>
      <c r="E2356" s="29" t="s">
        <v>444</v>
      </c>
      <c r="F2356" s="59" t="s">
        <v>0</v>
      </c>
      <c r="G2356" s="36">
        <f>G2357</f>
        <v>162</v>
      </c>
      <c r="H2356" s="36">
        <f t="shared" si="1265"/>
        <v>162</v>
      </c>
      <c r="I2356" s="36">
        <f t="shared" si="1265"/>
        <v>112</v>
      </c>
      <c r="J2356" s="36">
        <f t="shared" si="1265"/>
        <v>112</v>
      </c>
      <c r="K2356" s="36">
        <f t="shared" si="1265"/>
        <v>112</v>
      </c>
      <c r="L2356" s="36">
        <f t="shared" si="1228"/>
        <v>69.135802469135797</v>
      </c>
      <c r="M2356" s="36">
        <f t="shared" si="1229"/>
        <v>100</v>
      </c>
    </row>
    <row r="2357" spans="1:13" ht="25.5">
      <c r="A2357" s="60" t="s">
        <v>983</v>
      </c>
      <c r="B2357" s="29" t="s">
        <v>940</v>
      </c>
      <c r="C2357" s="29" t="s">
        <v>110</v>
      </c>
      <c r="D2357" s="29" t="s">
        <v>110</v>
      </c>
      <c r="E2357" s="29" t="s">
        <v>984</v>
      </c>
      <c r="F2357" s="59" t="s">
        <v>0</v>
      </c>
      <c r="G2357" s="36">
        <f>G2358+G2360</f>
        <v>162</v>
      </c>
      <c r="H2357" s="36">
        <f t="shared" ref="H2357:K2357" si="1266">H2358+H2360</f>
        <v>162</v>
      </c>
      <c r="I2357" s="36">
        <f t="shared" si="1266"/>
        <v>112</v>
      </c>
      <c r="J2357" s="36">
        <f t="shared" si="1266"/>
        <v>112</v>
      </c>
      <c r="K2357" s="36">
        <f t="shared" si="1266"/>
        <v>112</v>
      </c>
      <c r="L2357" s="36">
        <f t="shared" si="1228"/>
        <v>69.135802469135797</v>
      </c>
      <c r="M2357" s="36">
        <f t="shared" si="1229"/>
        <v>100</v>
      </c>
    </row>
    <row r="2358" spans="1:13">
      <c r="A2358" s="60" t="s">
        <v>68</v>
      </c>
      <c r="B2358" s="29" t="s">
        <v>940</v>
      </c>
      <c r="C2358" s="29" t="s">
        <v>110</v>
      </c>
      <c r="D2358" s="29" t="s">
        <v>110</v>
      </c>
      <c r="E2358" s="29" t="s">
        <v>984</v>
      </c>
      <c r="F2358" s="29" t="s">
        <v>69</v>
      </c>
      <c r="G2358" s="36">
        <f>G2359</f>
        <v>50</v>
      </c>
      <c r="H2358" s="36">
        <f t="shared" ref="H2358:K2358" si="1267">H2359</f>
        <v>50</v>
      </c>
      <c r="I2358" s="36">
        <f t="shared" si="1267"/>
        <v>0</v>
      </c>
      <c r="J2358" s="36">
        <f t="shared" si="1267"/>
        <v>0</v>
      </c>
      <c r="K2358" s="36">
        <f t="shared" si="1267"/>
        <v>0</v>
      </c>
      <c r="L2358" s="36">
        <f t="shared" si="1228"/>
        <v>0</v>
      </c>
      <c r="M2358" s="36">
        <v>0</v>
      </c>
    </row>
    <row r="2359" spans="1:13">
      <c r="A2359" s="60" t="s">
        <v>373</v>
      </c>
      <c r="B2359" s="29" t="s">
        <v>940</v>
      </c>
      <c r="C2359" s="29" t="s">
        <v>110</v>
      </c>
      <c r="D2359" s="29" t="s">
        <v>110</v>
      </c>
      <c r="E2359" s="29" t="s">
        <v>984</v>
      </c>
      <c r="F2359" s="29" t="s">
        <v>374</v>
      </c>
      <c r="G2359" s="36">
        <v>50</v>
      </c>
      <c r="H2359" s="36">
        <v>50</v>
      </c>
      <c r="I2359" s="36"/>
      <c r="J2359" s="36"/>
      <c r="K2359" s="36"/>
      <c r="L2359" s="36">
        <f t="shared" si="1228"/>
        <v>0</v>
      </c>
      <c r="M2359" s="36">
        <v>0</v>
      </c>
    </row>
    <row r="2360" spans="1:13" ht="25.5">
      <c r="A2360" s="60" t="s">
        <v>80</v>
      </c>
      <c r="B2360" s="29" t="s">
        <v>940</v>
      </c>
      <c r="C2360" s="29" t="s">
        <v>110</v>
      </c>
      <c r="D2360" s="29" t="s">
        <v>110</v>
      </c>
      <c r="E2360" s="29" t="s">
        <v>984</v>
      </c>
      <c r="F2360" s="29" t="s">
        <v>81</v>
      </c>
      <c r="G2360" s="36">
        <f>G2361</f>
        <v>112</v>
      </c>
      <c r="H2360" s="36">
        <f t="shared" ref="H2360:K2360" si="1268">H2361</f>
        <v>112</v>
      </c>
      <c r="I2360" s="36">
        <f t="shared" si="1268"/>
        <v>112</v>
      </c>
      <c r="J2360" s="36">
        <f t="shared" si="1268"/>
        <v>112</v>
      </c>
      <c r="K2360" s="36">
        <f t="shared" si="1268"/>
        <v>112</v>
      </c>
      <c r="L2360" s="36">
        <f t="shared" si="1228"/>
        <v>100</v>
      </c>
      <c r="M2360" s="36">
        <f t="shared" si="1229"/>
        <v>100</v>
      </c>
    </row>
    <row r="2361" spans="1:13">
      <c r="A2361" s="60" t="s">
        <v>82</v>
      </c>
      <c r="B2361" s="29" t="s">
        <v>940</v>
      </c>
      <c r="C2361" s="29" t="s">
        <v>110</v>
      </c>
      <c r="D2361" s="29" t="s">
        <v>110</v>
      </c>
      <c r="E2361" s="29" t="s">
        <v>984</v>
      </c>
      <c r="F2361" s="29" t="s">
        <v>83</v>
      </c>
      <c r="G2361" s="36">
        <v>112</v>
      </c>
      <c r="H2361" s="36">
        <v>112</v>
      </c>
      <c r="I2361" s="36">
        <v>112</v>
      </c>
      <c r="J2361" s="36">
        <v>112</v>
      </c>
      <c r="K2361" s="36">
        <v>112</v>
      </c>
      <c r="L2361" s="36">
        <f t="shared" si="1228"/>
        <v>100</v>
      </c>
      <c r="M2361" s="36">
        <f t="shared" si="1229"/>
        <v>100</v>
      </c>
    </row>
    <row r="2362" spans="1:13" ht="63.75">
      <c r="A2362" s="60" t="s">
        <v>156</v>
      </c>
      <c r="B2362" s="29" t="s">
        <v>940</v>
      </c>
      <c r="C2362" s="29" t="s">
        <v>110</v>
      </c>
      <c r="D2362" s="29" t="s">
        <v>110</v>
      </c>
      <c r="E2362" s="29" t="s">
        <v>157</v>
      </c>
      <c r="F2362" s="59" t="s">
        <v>0</v>
      </c>
      <c r="G2362" s="36">
        <f>G2363+G2375</f>
        <v>101178.2</v>
      </c>
      <c r="H2362" s="36">
        <f t="shared" ref="H2362:K2362" si="1269">H2363+H2375</f>
        <v>101178.2</v>
      </c>
      <c r="I2362" s="36">
        <f t="shared" si="1269"/>
        <v>67224</v>
      </c>
      <c r="J2362" s="36">
        <f t="shared" si="1269"/>
        <v>67014</v>
      </c>
      <c r="K2362" s="36">
        <f t="shared" si="1269"/>
        <v>63974</v>
      </c>
      <c r="L2362" s="36">
        <f t="shared" si="1228"/>
        <v>63.229035503695464</v>
      </c>
      <c r="M2362" s="36">
        <f t="shared" si="1229"/>
        <v>95.165417112935856</v>
      </c>
    </row>
    <row r="2363" spans="1:13" ht="25.5">
      <c r="A2363" s="60" t="s">
        <v>985</v>
      </c>
      <c r="B2363" s="29" t="s">
        <v>940</v>
      </c>
      <c r="C2363" s="29" t="s">
        <v>110</v>
      </c>
      <c r="D2363" s="29" t="s">
        <v>110</v>
      </c>
      <c r="E2363" s="29" t="s">
        <v>986</v>
      </c>
      <c r="F2363" s="59" t="s">
        <v>0</v>
      </c>
      <c r="G2363" s="36">
        <f>G2364+G2367+G2372</f>
        <v>55242.7</v>
      </c>
      <c r="H2363" s="36">
        <f t="shared" ref="H2363:K2363" si="1270">H2364+H2367+H2372</f>
        <v>55242.7</v>
      </c>
      <c r="I2363" s="36">
        <f t="shared" si="1270"/>
        <v>31488.5</v>
      </c>
      <c r="J2363" s="36">
        <f t="shared" si="1270"/>
        <v>31278.5</v>
      </c>
      <c r="K2363" s="36">
        <f t="shared" si="1270"/>
        <v>28238.5</v>
      </c>
      <c r="L2363" s="36">
        <f t="shared" si="1228"/>
        <v>51.117161181477378</v>
      </c>
      <c r="M2363" s="36">
        <f t="shared" si="1229"/>
        <v>89.678771615034066</v>
      </c>
    </row>
    <row r="2364" spans="1:13" ht="25.5">
      <c r="A2364" s="60" t="s">
        <v>76</v>
      </c>
      <c r="B2364" s="29" t="s">
        <v>940</v>
      </c>
      <c r="C2364" s="29" t="s">
        <v>110</v>
      </c>
      <c r="D2364" s="29" t="s">
        <v>110</v>
      </c>
      <c r="E2364" s="29" t="s">
        <v>987</v>
      </c>
      <c r="F2364" s="59" t="s">
        <v>0</v>
      </c>
      <c r="G2364" s="36">
        <f>G2365</f>
        <v>23877.7</v>
      </c>
      <c r="H2364" s="36">
        <f t="shared" ref="H2364:K2365" si="1271">H2365</f>
        <v>23877.7</v>
      </c>
      <c r="I2364" s="36">
        <f t="shared" si="1271"/>
        <v>12108</v>
      </c>
      <c r="J2364" s="36">
        <f t="shared" si="1271"/>
        <v>12108</v>
      </c>
      <c r="K2364" s="36">
        <f t="shared" si="1271"/>
        <v>12108</v>
      </c>
      <c r="L2364" s="36">
        <f t="shared" si="1228"/>
        <v>50.708401562964603</v>
      </c>
      <c r="M2364" s="36">
        <f t="shared" si="1229"/>
        <v>100</v>
      </c>
    </row>
    <row r="2365" spans="1:13" ht="25.5">
      <c r="A2365" s="60" t="s">
        <v>80</v>
      </c>
      <c r="B2365" s="29" t="s">
        <v>940</v>
      </c>
      <c r="C2365" s="29" t="s">
        <v>110</v>
      </c>
      <c r="D2365" s="29" t="s">
        <v>110</v>
      </c>
      <c r="E2365" s="29" t="s">
        <v>987</v>
      </c>
      <c r="F2365" s="29" t="s">
        <v>81</v>
      </c>
      <c r="G2365" s="36">
        <f>G2366</f>
        <v>23877.7</v>
      </c>
      <c r="H2365" s="36">
        <f t="shared" si="1271"/>
        <v>23877.7</v>
      </c>
      <c r="I2365" s="36">
        <f t="shared" si="1271"/>
        <v>12108</v>
      </c>
      <c r="J2365" s="36">
        <f t="shared" si="1271"/>
        <v>12108</v>
      </c>
      <c r="K2365" s="36">
        <f t="shared" si="1271"/>
        <v>12108</v>
      </c>
      <c r="L2365" s="36">
        <f t="shared" si="1228"/>
        <v>50.708401562964603</v>
      </c>
      <c r="M2365" s="36">
        <f t="shared" si="1229"/>
        <v>100</v>
      </c>
    </row>
    <row r="2366" spans="1:13">
      <c r="A2366" s="60" t="s">
        <v>82</v>
      </c>
      <c r="B2366" s="29" t="s">
        <v>940</v>
      </c>
      <c r="C2366" s="29" t="s">
        <v>110</v>
      </c>
      <c r="D2366" s="29" t="s">
        <v>110</v>
      </c>
      <c r="E2366" s="29" t="s">
        <v>987</v>
      </c>
      <c r="F2366" s="29" t="s">
        <v>83</v>
      </c>
      <c r="G2366" s="36">
        <v>23877.7</v>
      </c>
      <c r="H2366" s="36">
        <v>23877.7</v>
      </c>
      <c r="I2366" s="36">
        <v>12108</v>
      </c>
      <c r="J2366" s="36">
        <v>12108</v>
      </c>
      <c r="K2366" s="36">
        <v>12108</v>
      </c>
      <c r="L2366" s="36">
        <f t="shared" si="1228"/>
        <v>50.708401562964603</v>
      </c>
      <c r="M2366" s="36">
        <f t="shared" si="1229"/>
        <v>100</v>
      </c>
    </row>
    <row r="2367" spans="1:13" ht="25.5">
      <c r="A2367" s="60" t="s">
        <v>983</v>
      </c>
      <c r="B2367" s="29" t="s">
        <v>940</v>
      </c>
      <c r="C2367" s="29" t="s">
        <v>110</v>
      </c>
      <c r="D2367" s="29" t="s">
        <v>110</v>
      </c>
      <c r="E2367" s="29" t="s">
        <v>988</v>
      </c>
      <c r="F2367" s="59" t="s">
        <v>0</v>
      </c>
      <c r="G2367" s="36">
        <f>G2368+G2370</f>
        <v>26215</v>
      </c>
      <c r="H2367" s="36">
        <f t="shared" ref="H2367:K2367" si="1272">H2368+H2370</f>
        <v>26215</v>
      </c>
      <c r="I2367" s="36">
        <f t="shared" si="1272"/>
        <v>14230.5</v>
      </c>
      <c r="J2367" s="36">
        <f t="shared" si="1272"/>
        <v>14020.5</v>
      </c>
      <c r="K2367" s="36">
        <f t="shared" si="1272"/>
        <v>14020.5</v>
      </c>
      <c r="L2367" s="36">
        <f t="shared" ref="L2367:L2438" si="1273">K2367/H2367*100</f>
        <v>53.4827388899485</v>
      </c>
      <c r="M2367" s="36">
        <f t="shared" ref="M2367:M2438" si="1274">K2367/I2367*100</f>
        <v>98.524296405607672</v>
      </c>
    </row>
    <row r="2368" spans="1:13">
      <c r="A2368" s="60" t="s">
        <v>68</v>
      </c>
      <c r="B2368" s="29" t="s">
        <v>940</v>
      </c>
      <c r="C2368" s="29" t="s">
        <v>110</v>
      </c>
      <c r="D2368" s="29" t="s">
        <v>110</v>
      </c>
      <c r="E2368" s="29" t="s">
        <v>988</v>
      </c>
      <c r="F2368" s="29" t="s">
        <v>69</v>
      </c>
      <c r="G2368" s="36">
        <f>G2369</f>
        <v>100</v>
      </c>
      <c r="H2368" s="36">
        <f t="shared" ref="H2368:K2368" si="1275">H2369</f>
        <v>100</v>
      </c>
      <c r="I2368" s="36">
        <f t="shared" si="1275"/>
        <v>0</v>
      </c>
      <c r="J2368" s="36">
        <f t="shared" si="1275"/>
        <v>0</v>
      </c>
      <c r="K2368" s="36">
        <f t="shared" si="1275"/>
        <v>0</v>
      </c>
      <c r="L2368" s="36">
        <f t="shared" si="1273"/>
        <v>0</v>
      </c>
      <c r="M2368" s="36">
        <v>0</v>
      </c>
    </row>
    <row r="2369" spans="1:13">
      <c r="A2369" s="60" t="s">
        <v>373</v>
      </c>
      <c r="B2369" s="29" t="s">
        <v>940</v>
      </c>
      <c r="C2369" s="29" t="s">
        <v>110</v>
      </c>
      <c r="D2369" s="29" t="s">
        <v>110</v>
      </c>
      <c r="E2369" s="29" t="s">
        <v>988</v>
      </c>
      <c r="F2369" s="29" t="s">
        <v>374</v>
      </c>
      <c r="G2369" s="36">
        <v>100</v>
      </c>
      <c r="H2369" s="36">
        <v>100</v>
      </c>
      <c r="I2369" s="36">
        <v>0</v>
      </c>
      <c r="J2369" s="36">
        <v>0</v>
      </c>
      <c r="K2369" s="36">
        <v>0</v>
      </c>
      <c r="L2369" s="36">
        <f t="shared" si="1273"/>
        <v>0</v>
      </c>
      <c r="M2369" s="36">
        <v>0</v>
      </c>
    </row>
    <row r="2370" spans="1:13" ht="25.5">
      <c r="A2370" s="60" t="s">
        <v>80</v>
      </c>
      <c r="B2370" s="29" t="s">
        <v>940</v>
      </c>
      <c r="C2370" s="29" t="s">
        <v>110</v>
      </c>
      <c r="D2370" s="29" t="s">
        <v>110</v>
      </c>
      <c r="E2370" s="29" t="s">
        <v>988</v>
      </c>
      <c r="F2370" s="29" t="s">
        <v>81</v>
      </c>
      <c r="G2370" s="36">
        <f>G2371</f>
        <v>26115</v>
      </c>
      <c r="H2370" s="36">
        <f t="shared" ref="H2370:K2370" si="1276">H2371</f>
        <v>26115</v>
      </c>
      <c r="I2370" s="36">
        <f t="shared" si="1276"/>
        <v>14230.5</v>
      </c>
      <c r="J2370" s="36">
        <f t="shared" si="1276"/>
        <v>14020.5</v>
      </c>
      <c r="K2370" s="36">
        <f t="shared" si="1276"/>
        <v>14020.5</v>
      </c>
      <c r="L2370" s="36">
        <f t="shared" si="1273"/>
        <v>53.687535898908678</v>
      </c>
      <c r="M2370" s="36">
        <f t="shared" si="1274"/>
        <v>98.524296405607672</v>
      </c>
    </row>
    <row r="2371" spans="1:13">
      <c r="A2371" s="60" t="s">
        <v>82</v>
      </c>
      <c r="B2371" s="29" t="s">
        <v>940</v>
      </c>
      <c r="C2371" s="29" t="s">
        <v>110</v>
      </c>
      <c r="D2371" s="29" t="s">
        <v>110</v>
      </c>
      <c r="E2371" s="29" t="s">
        <v>988</v>
      </c>
      <c r="F2371" s="29" t="s">
        <v>83</v>
      </c>
      <c r="G2371" s="36">
        <v>26115</v>
      </c>
      <c r="H2371" s="36">
        <v>26115</v>
      </c>
      <c r="I2371" s="36">
        <v>14230.5</v>
      </c>
      <c r="J2371" s="36">
        <v>14020.5</v>
      </c>
      <c r="K2371" s="36">
        <v>14020.5</v>
      </c>
      <c r="L2371" s="36">
        <f t="shared" si="1273"/>
        <v>53.687535898908678</v>
      </c>
      <c r="M2371" s="36">
        <f t="shared" si="1274"/>
        <v>98.524296405607672</v>
      </c>
    </row>
    <row r="2372" spans="1:13" ht="25.5">
      <c r="A2372" s="60" t="s">
        <v>989</v>
      </c>
      <c r="B2372" s="29" t="s">
        <v>940</v>
      </c>
      <c r="C2372" s="29" t="s">
        <v>110</v>
      </c>
      <c r="D2372" s="29" t="s">
        <v>110</v>
      </c>
      <c r="E2372" s="29" t="s">
        <v>990</v>
      </c>
      <c r="F2372" s="59" t="s">
        <v>0</v>
      </c>
      <c r="G2372" s="36">
        <f>G2373</f>
        <v>5150</v>
      </c>
      <c r="H2372" s="36">
        <f t="shared" ref="H2372:K2373" si="1277">H2373</f>
        <v>5150</v>
      </c>
      <c r="I2372" s="36">
        <f t="shared" si="1277"/>
        <v>5150</v>
      </c>
      <c r="J2372" s="36">
        <f t="shared" si="1277"/>
        <v>5150</v>
      </c>
      <c r="K2372" s="36">
        <f t="shared" si="1277"/>
        <v>2110</v>
      </c>
      <c r="L2372" s="36">
        <f t="shared" si="1273"/>
        <v>40.970873786407772</v>
      </c>
      <c r="M2372" s="36">
        <f t="shared" si="1274"/>
        <v>40.970873786407772</v>
      </c>
    </row>
    <row r="2373" spans="1:13">
      <c r="A2373" s="60" t="s">
        <v>26</v>
      </c>
      <c r="B2373" s="29" t="s">
        <v>940</v>
      </c>
      <c r="C2373" s="29" t="s">
        <v>110</v>
      </c>
      <c r="D2373" s="29" t="s">
        <v>110</v>
      </c>
      <c r="E2373" s="29" t="s">
        <v>990</v>
      </c>
      <c r="F2373" s="29" t="s">
        <v>27</v>
      </c>
      <c r="G2373" s="36">
        <f>G2374</f>
        <v>5150</v>
      </c>
      <c r="H2373" s="36">
        <f t="shared" si="1277"/>
        <v>5150</v>
      </c>
      <c r="I2373" s="36">
        <f t="shared" si="1277"/>
        <v>5150</v>
      </c>
      <c r="J2373" s="36">
        <f t="shared" si="1277"/>
        <v>5150</v>
      </c>
      <c r="K2373" s="36">
        <f t="shared" si="1277"/>
        <v>2110</v>
      </c>
      <c r="L2373" s="36">
        <f t="shared" si="1273"/>
        <v>40.970873786407772</v>
      </c>
      <c r="M2373" s="36">
        <f t="shared" si="1274"/>
        <v>40.970873786407772</v>
      </c>
    </row>
    <row r="2374" spans="1:13">
      <c r="A2374" s="60" t="s">
        <v>56</v>
      </c>
      <c r="B2374" s="29" t="s">
        <v>940</v>
      </c>
      <c r="C2374" s="29" t="s">
        <v>110</v>
      </c>
      <c r="D2374" s="29" t="s">
        <v>110</v>
      </c>
      <c r="E2374" s="29" t="s">
        <v>990</v>
      </c>
      <c r="F2374" s="29" t="s">
        <v>57</v>
      </c>
      <c r="G2374" s="36">
        <v>5150</v>
      </c>
      <c r="H2374" s="36">
        <v>5150</v>
      </c>
      <c r="I2374" s="36">
        <v>5150</v>
      </c>
      <c r="J2374" s="36">
        <v>5150</v>
      </c>
      <c r="K2374" s="36">
        <v>2110</v>
      </c>
      <c r="L2374" s="36">
        <f t="shared" si="1273"/>
        <v>40.970873786407772</v>
      </c>
      <c r="M2374" s="36">
        <f t="shared" si="1274"/>
        <v>40.970873786407772</v>
      </c>
    </row>
    <row r="2375" spans="1:13" ht="51">
      <c r="A2375" s="60" t="s">
        <v>450</v>
      </c>
      <c r="B2375" s="29" t="s">
        <v>940</v>
      </c>
      <c r="C2375" s="29" t="s">
        <v>110</v>
      </c>
      <c r="D2375" s="29" t="s">
        <v>110</v>
      </c>
      <c r="E2375" s="29" t="s">
        <v>451</v>
      </c>
      <c r="F2375" s="59" t="s">
        <v>0</v>
      </c>
      <c r="G2375" s="36">
        <f>G2376+G2379+G2382</f>
        <v>45935.5</v>
      </c>
      <c r="H2375" s="36">
        <f t="shared" ref="H2375:K2375" si="1278">H2376+H2379+H2382</f>
        <v>45935.5</v>
      </c>
      <c r="I2375" s="36">
        <f t="shared" si="1278"/>
        <v>35735.5</v>
      </c>
      <c r="J2375" s="36">
        <f t="shared" si="1278"/>
        <v>35735.5</v>
      </c>
      <c r="K2375" s="36">
        <f t="shared" si="1278"/>
        <v>35735.5</v>
      </c>
      <c r="L2375" s="36">
        <f t="shared" si="1273"/>
        <v>77.794951616941148</v>
      </c>
      <c r="M2375" s="36">
        <f t="shared" si="1274"/>
        <v>100</v>
      </c>
    </row>
    <row r="2376" spans="1:13" ht="25.5">
      <c r="A2376" s="60" t="s">
        <v>76</v>
      </c>
      <c r="B2376" s="29" t="s">
        <v>940</v>
      </c>
      <c r="C2376" s="29" t="s">
        <v>110</v>
      </c>
      <c r="D2376" s="29" t="s">
        <v>110</v>
      </c>
      <c r="E2376" s="29" t="s">
        <v>991</v>
      </c>
      <c r="F2376" s="59" t="s">
        <v>0</v>
      </c>
      <c r="G2376" s="36">
        <f>G2377</f>
        <v>13000</v>
      </c>
      <c r="H2376" s="36">
        <f t="shared" ref="H2376:K2377" si="1279">H2377</f>
        <v>13000</v>
      </c>
      <c r="I2376" s="36">
        <f t="shared" si="1279"/>
        <v>7000</v>
      </c>
      <c r="J2376" s="36">
        <f t="shared" si="1279"/>
        <v>7000</v>
      </c>
      <c r="K2376" s="36">
        <f t="shared" si="1279"/>
        <v>7000</v>
      </c>
      <c r="L2376" s="36">
        <f t="shared" si="1273"/>
        <v>53.846153846153847</v>
      </c>
      <c r="M2376" s="36">
        <f t="shared" si="1274"/>
        <v>100</v>
      </c>
    </row>
    <row r="2377" spans="1:13" ht="25.5">
      <c r="A2377" s="60" t="s">
        <v>80</v>
      </c>
      <c r="B2377" s="29" t="s">
        <v>940</v>
      </c>
      <c r="C2377" s="29" t="s">
        <v>110</v>
      </c>
      <c r="D2377" s="29" t="s">
        <v>110</v>
      </c>
      <c r="E2377" s="29" t="s">
        <v>991</v>
      </c>
      <c r="F2377" s="29" t="s">
        <v>81</v>
      </c>
      <c r="G2377" s="36">
        <f>G2378</f>
        <v>13000</v>
      </c>
      <c r="H2377" s="36">
        <f t="shared" si="1279"/>
        <v>13000</v>
      </c>
      <c r="I2377" s="36">
        <f t="shared" si="1279"/>
        <v>7000</v>
      </c>
      <c r="J2377" s="36">
        <f t="shared" si="1279"/>
        <v>7000</v>
      </c>
      <c r="K2377" s="36">
        <f t="shared" si="1279"/>
        <v>7000</v>
      </c>
      <c r="L2377" s="36">
        <f t="shared" si="1273"/>
        <v>53.846153846153847</v>
      </c>
      <c r="M2377" s="36">
        <f t="shared" si="1274"/>
        <v>100</v>
      </c>
    </row>
    <row r="2378" spans="1:13">
      <c r="A2378" s="60" t="s">
        <v>82</v>
      </c>
      <c r="B2378" s="29" t="s">
        <v>940</v>
      </c>
      <c r="C2378" s="29" t="s">
        <v>110</v>
      </c>
      <c r="D2378" s="29" t="s">
        <v>110</v>
      </c>
      <c r="E2378" s="29" t="s">
        <v>991</v>
      </c>
      <c r="F2378" s="29" t="s">
        <v>83</v>
      </c>
      <c r="G2378" s="36">
        <v>13000</v>
      </c>
      <c r="H2378" s="36">
        <v>13000</v>
      </c>
      <c r="I2378" s="36">
        <v>7000</v>
      </c>
      <c r="J2378" s="36">
        <v>7000</v>
      </c>
      <c r="K2378" s="36">
        <v>7000</v>
      </c>
      <c r="L2378" s="36">
        <f t="shared" si="1273"/>
        <v>53.846153846153847</v>
      </c>
      <c r="M2378" s="36">
        <f t="shared" si="1274"/>
        <v>100</v>
      </c>
    </row>
    <row r="2379" spans="1:13" ht="25.5">
      <c r="A2379" s="60" t="s">
        <v>983</v>
      </c>
      <c r="B2379" s="29" t="s">
        <v>940</v>
      </c>
      <c r="C2379" s="29" t="s">
        <v>110</v>
      </c>
      <c r="D2379" s="29" t="s">
        <v>110</v>
      </c>
      <c r="E2379" s="29" t="s">
        <v>992</v>
      </c>
      <c r="F2379" s="59" t="s">
        <v>0</v>
      </c>
      <c r="G2379" s="36">
        <f>G2380</f>
        <v>32535.5</v>
      </c>
      <c r="H2379" s="36">
        <f t="shared" ref="H2379:K2380" si="1280">H2380</f>
        <v>32535.5</v>
      </c>
      <c r="I2379" s="36">
        <f t="shared" si="1280"/>
        <v>28335.5</v>
      </c>
      <c r="J2379" s="36">
        <f t="shared" si="1280"/>
        <v>28335.5</v>
      </c>
      <c r="K2379" s="36">
        <f t="shared" si="1280"/>
        <v>28335.5</v>
      </c>
      <c r="L2379" s="36">
        <f t="shared" si="1273"/>
        <v>87.091023651088804</v>
      </c>
      <c r="M2379" s="36">
        <f t="shared" si="1274"/>
        <v>100</v>
      </c>
    </row>
    <row r="2380" spans="1:13" ht="25.5">
      <c r="A2380" s="60" t="s">
        <v>80</v>
      </c>
      <c r="B2380" s="29" t="s">
        <v>940</v>
      </c>
      <c r="C2380" s="29" t="s">
        <v>110</v>
      </c>
      <c r="D2380" s="29" t="s">
        <v>110</v>
      </c>
      <c r="E2380" s="29" t="s">
        <v>992</v>
      </c>
      <c r="F2380" s="29" t="s">
        <v>81</v>
      </c>
      <c r="G2380" s="36">
        <f>G2381</f>
        <v>32535.5</v>
      </c>
      <c r="H2380" s="36">
        <f t="shared" si="1280"/>
        <v>32535.5</v>
      </c>
      <c r="I2380" s="36">
        <f t="shared" si="1280"/>
        <v>28335.5</v>
      </c>
      <c r="J2380" s="36">
        <f t="shared" si="1280"/>
        <v>28335.5</v>
      </c>
      <c r="K2380" s="36">
        <f t="shared" si="1280"/>
        <v>28335.5</v>
      </c>
      <c r="L2380" s="36">
        <f t="shared" si="1273"/>
        <v>87.091023651088804</v>
      </c>
      <c r="M2380" s="36">
        <f t="shared" si="1274"/>
        <v>100</v>
      </c>
    </row>
    <row r="2381" spans="1:13">
      <c r="A2381" s="60" t="s">
        <v>82</v>
      </c>
      <c r="B2381" s="29" t="s">
        <v>940</v>
      </c>
      <c r="C2381" s="29" t="s">
        <v>110</v>
      </c>
      <c r="D2381" s="29" t="s">
        <v>110</v>
      </c>
      <c r="E2381" s="29" t="s">
        <v>992</v>
      </c>
      <c r="F2381" s="29" t="s">
        <v>83</v>
      </c>
      <c r="G2381" s="36">
        <v>32535.5</v>
      </c>
      <c r="H2381" s="36">
        <v>32535.5</v>
      </c>
      <c r="I2381" s="36">
        <v>28335.5</v>
      </c>
      <c r="J2381" s="36">
        <v>28335.5</v>
      </c>
      <c r="K2381" s="36">
        <v>28335.5</v>
      </c>
      <c r="L2381" s="36">
        <f t="shared" si="1273"/>
        <v>87.091023651088804</v>
      </c>
      <c r="M2381" s="36">
        <f t="shared" si="1274"/>
        <v>100</v>
      </c>
    </row>
    <row r="2382" spans="1:13" ht="51">
      <c r="A2382" s="60" t="s">
        <v>993</v>
      </c>
      <c r="B2382" s="29" t="s">
        <v>940</v>
      </c>
      <c r="C2382" s="29" t="s">
        <v>110</v>
      </c>
      <c r="D2382" s="29" t="s">
        <v>110</v>
      </c>
      <c r="E2382" s="29" t="s">
        <v>994</v>
      </c>
      <c r="F2382" s="59" t="s">
        <v>0</v>
      </c>
      <c r="G2382" s="36">
        <f>G2383</f>
        <v>400</v>
      </c>
      <c r="H2382" s="36">
        <f t="shared" ref="H2382:K2383" si="1281">H2383</f>
        <v>400</v>
      </c>
      <c r="I2382" s="36">
        <f t="shared" si="1281"/>
        <v>400</v>
      </c>
      <c r="J2382" s="36">
        <f t="shared" si="1281"/>
        <v>400</v>
      </c>
      <c r="K2382" s="36">
        <f t="shared" si="1281"/>
        <v>400</v>
      </c>
      <c r="L2382" s="36">
        <f t="shared" si="1273"/>
        <v>100</v>
      </c>
      <c r="M2382" s="36">
        <f t="shared" si="1274"/>
        <v>100</v>
      </c>
    </row>
    <row r="2383" spans="1:13">
      <c r="A2383" s="60" t="s">
        <v>26</v>
      </c>
      <c r="B2383" s="29" t="s">
        <v>940</v>
      </c>
      <c r="C2383" s="29" t="s">
        <v>110</v>
      </c>
      <c r="D2383" s="29" t="s">
        <v>110</v>
      </c>
      <c r="E2383" s="29" t="s">
        <v>994</v>
      </c>
      <c r="F2383" s="29" t="s">
        <v>27</v>
      </c>
      <c r="G2383" s="36">
        <f>G2384</f>
        <v>400</v>
      </c>
      <c r="H2383" s="36">
        <f t="shared" si="1281"/>
        <v>400</v>
      </c>
      <c r="I2383" s="36">
        <f t="shared" si="1281"/>
        <v>400</v>
      </c>
      <c r="J2383" s="36">
        <f t="shared" si="1281"/>
        <v>400</v>
      </c>
      <c r="K2383" s="36">
        <f t="shared" si="1281"/>
        <v>400</v>
      </c>
      <c r="L2383" s="36">
        <f t="shared" si="1273"/>
        <v>100</v>
      </c>
      <c r="M2383" s="36">
        <f t="shared" si="1274"/>
        <v>100</v>
      </c>
    </row>
    <row r="2384" spans="1:13">
      <c r="A2384" s="60" t="s">
        <v>56</v>
      </c>
      <c r="B2384" s="29" t="s">
        <v>940</v>
      </c>
      <c r="C2384" s="29" t="s">
        <v>110</v>
      </c>
      <c r="D2384" s="29" t="s">
        <v>110</v>
      </c>
      <c r="E2384" s="29" t="s">
        <v>994</v>
      </c>
      <c r="F2384" s="29" t="s">
        <v>57</v>
      </c>
      <c r="G2384" s="36">
        <v>400</v>
      </c>
      <c r="H2384" s="36">
        <v>400</v>
      </c>
      <c r="I2384" s="36">
        <v>400</v>
      </c>
      <c r="J2384" s="36">
        <v>400</v>
      </c>
      <c r="K2384" s="36">
        <v>400</v>
      </c>
      <c r="L2384" s="36">
        <f t="shared" si="1273"/>
        <v>100</v>
      </c>
      <c r="M2384" s="36">
        <f t="shared" si="1274"/>
        <v>100</v>
      </c>
    </row>
    <row r="2385" spans="1:13" s="43" customFormat="1">
      <c r="A2385" s="63" t="s">
        <v>612</v>
      </c>
      <c r="B2385" s="29" t="s">
        <v>940</v>
      </c>
      <c r="C2385" s="29" t="s">
        <v>110</v>
      </c>
      <c r="D2385" s="29" t="s">
        <v>110</v>
      </c>
      <c r="E2385" s="30" t="s">
        <v>613</v>
      </c>
      <c r="F2385" s="29"/>
      <c r="G2385" s="36"/>
      <c r="H2385" s="36">
        <f>H2386</f>
        <v>3016.2280700000001</v>
      </c>
      <c r="I2385" s="36">
        <f t="shared" ref="I2385:K2387" si="1282">I2386</f>
        <v>3016.2280700000001</v>
      </c>
      <c r="J2385" s="36">
        <f t="shared" si="1282"/>
        <v>3016.2280700000001</v>
      </c>
      <c r="K2385" s="36">
        <f t="shared" si="1282"/>
        <v>0</v>
      </c>
      <c r="L2385" s="36">
        <f t="shared" ref="L2385:L2388" si="1283">K2385/H2385*100</f>
        <v>0</v>
      </c>
      <c r="M2385" s="36">
        <f t="shared" ref="M2385:M2388" si="1284">K2385/I2385*100</f>
        <v>0</v>
      </c>
    </row>
    <row r="2386" spans="1:13" s="43" customFormat="1">
      <c r="A2386" s="63" t="s">
        <v>612</v>
      </c>
      <c r="B2386" s="29" t="s">
        <v>940</v>
      </c>
      <c r="C2386" s="29" t="s">
        <v>110</v>
      </c>
      <c r="D2386" s="29" t="s">
        <v>110</v>
      </c>
      <c r="E2386" s="30" t="s">
        <v>614</v>
      </c>
      <c r="F2386" s="29"/>
      <c r="G2386" s="36"/>
      <c r="H2386" s="36">
        <f>H2387</f>
        <v>3016.2280700000001</v>
      </c>
      <c r="I2386" s="36">
        <f t="shared" si="1282"/>
        <v>3016.2280700000001</v>
      </c>
      <c r="J2386" s="36">
        <f t="shared" si="1282"/>
        <v>3016.2280700000001</v>
      </c>
      <c r="K2386" s="36">
        <f t="shared" si="1282"/>
        <v>0</v>
      </c>
      <c r="L2386" s="36">
        <f t="shared" si="1283"/>
        <v>0</v>
      </c>
      <c r="M2386" s="36">
        <f t="shared" si="1284"/>
        <v>0</v>
      </c>
    </row>
    <row r="2387" spans="1:13" s="43" customFormat="1" ht="25.5">
      <c r="A2387" s="60" t="s">
        <v>80</v>
      </c>
      <c r="B2387" s="29" t="s">
        <v>940</v>
      </c>
      <c r="C2387" s="29" t="s">
        <v>110</v>
      </c>
      <c r="D2387" s="29" t="s">
        <v>110</v>
      </c>
      <c r="E2387" s="30" t="s">
        <v>614</v>
      </c>
      <c r="F2387" s="29">
        <v>600</v>
      </c>
      <c r="G2387" s="36"/>
      <c r="H2387" s="36">
        <f>H2388</f>
        <v>3016.2280700000001</v>
      </c>
      <c r="I2387" s="36">
        <f t="shared" si="1282"/>
        <v>3016.2280700000001</v>
      </c>
      <c r="J2387" s="36">
        <f t="shared" si="1282"/>
        <v>3016.2280700000001</v>
      </c>
      <c r="K2387" s="36">
        <f t="shared" si="1282"/>
        <v>0</v>
      </c>
      <c r="L2387" s="36">
        <f t="shared" si="1283"/>
        <v>0</v>
      </c>
      <c r="M2387" s="36">
        <f t="shared" si="1284"/>
        <v>0</v>
      </c>
    </row>
    <row r="2388" spans="1:13" s="43" customFormat="1">
      <c r="A2388" s="60" t="s">
        <v>82</v>
      </c>
      <c r="B2388" s="29" t="s">
        <v>940</v>
      </c>
      <c r="C2388" s="29" t="s">
        <v>110</v>
      </c>
      <c r="D2388" s="29" t="s">
        <v>110</v>
      </c>
      <c r="E2388" s="30" t="s">
        <v>614</v>
      </c>
      <c r="F2388" s="29">
        <v>620</v>
      </c>
      <c r="G2388" s="36"/>
      <c r="H2388" s="36">
        <v>3016.2280700000001</v>
      </c>
      <c r="I2388" s="36">
        <v>3016.2280700000001</v>
      </c>
      <c r="J2388" s="36">
        <v>3016.2280700000001</v>
      </c>
      <c r="K2388" s="36">
        <v>0</v>
      </c>
      <c r="L2388" s="36">
        <f t="shared" si="1283"/>
        <v>0</v>
      </c>
      <c r="M2388" s="36">
        <f t="shared" si="1284"/>
        <v>0</v>
      </c>
    </row>
    <row r="2389" spans="1:13">
      <c r="A2389" s="61" t="s">
        <v>0</v>
      </c>
      <c r="B2389" s="59" t="s">
        <v>0</v>
      </c>
      <c r="C2389" s="59" t="s">
        <v>0</v>
      </c>
      <c r="D2389" s="59" t="s">
        <v>0</v>
      </c>
      <c r="E2389" s="59" t="s">
        <v>0</v>
      </c>
      <c r="F2389" s="59" t="s">
        <v>0</v>
      </c>
      <c r="G2389" s="62" t="s">
        <v>0</v>
      </c>
      <c r="H2389" s="62" t="s">
        <v>0</v>
      </c>
      <c r="I2389" s="62" t="s">
        <v>0</v>
      </c>
      <c r="J2389" s="62" t="s">
        <v>0</v>
      </c>
      <c r="K2389" s="62" t="s">
        <v>0</v>
      </c>
      <c r="L2389" s="62"/>
      <c r="M2389" s="62"/>
    </row>
    <row r="2390" spans="1:13">
      <c r="A2390" s="60" t="s">
        <v>147</v>
      </c>
      <c r="B2390" s="29" t="s">
        <v>940</v>
      </c>
      <c r="C2390" s="29" t="s">
        <v>148</v>
      </c>
      <c r="D2390" s="59" t="s">
        <v>0</v>
      </c>
      <c r="E2390" s="59" t="s">
        <v>0</v>
      </c>
      <c r="F2390" s="59" t="s">
        <v>0</v>
      </c>
      <c r="G2390" s="36">
        <f>G2391+G2400</f>
        <v>82412.899999999994</v>
      </c>
      <c r="H2390" s="36">
        <f t="shared" ref="H2390:K2390" si="1285">H2391+H2400</f>
        <v>189622.14867</v>
      </c>
      <c r="I2390" s="36">
        <f t="shared" si="1285"/>
        <v>172072.14867</v>
      </c>
      <c r="J2390" s="36">
        <f t="shared" si="1285"/>
        <v>72526.853650000005</v>
      </c>
      <c r="K2390" s="36">
        <f t="shared" si="1285"/>
        <v>47348.335510000004</v>
      </c>
      <c r="L2390" s="36">
        <f t="shared" si="1273"/>
        <v>24.969833873362788</v>
      </c>
      <c r="M2390" s="36">
        <f t="shared" si="1274"/>
        <v>27.516559696598346</v>
      </c>
    </row>
    <row r="2391" spans="1:13">
      <c r="A2391" s="60" t="s">
        <v>149</v>
      </c>
      <c r="B2391" s="29" t="s">
        <v>940</v>
      </c>
      <c r="C2391" s="29" t="s">
        <v>148</v>
      </c>
      <c r="D2391" s="29" t="s">
        <v>150</v>
      </c>
      <c r="E2391" s="59" t="s">
        <v>0</v>
      </c>
      <c r="F2391" s="59" t="s">
        <v>0</v>
      </c>
      <c r="G2391" s="36">
        <f>G2392</f>
        <v>82332.899999999994</v>
      </c>
      <c r="H2391" s="36">
        <f t="shared" ref="H2391:K2398" si="1286">H2392</f>
        <v>189542.14867</v>
      </c>
      <c r="I2391" s="36">
        <f t="shared" si="1286"/>
        <v>172072.14867</v>
      </c>
      <c r="J2391" s="36">
        <f t="shared" si="1286"/>
        <v>72526.853650000005</v>
      </c>
      <c r="K2391" s="36">
        <f t="shared" si="1286"/>
        <v>47348.335510000004</v>
      </c>
      <c r="L2391" s="36">
        <f t="shared" si="1273"/>
        <v>24.980372883941097</v>
      </c>
      <c r="M2391" s="36">
        <f t="shared" si="1274"/>
        <v>27.516559696598346</v>
      </c>
    </row>
    <row r="2392" spans="1:13" ht="51">
      <c r="A2392" s="60" t="s">
        <v>20</v>
      </c>
      <c r="B2392" s="29" t="s">
        <v>940</v>
      </c>
      <c r="C2392" s="29" t="s">
        <v>148</v>
      </c>
      <c r="D2392" s="29" t="s">
        <v>150</v>
      </c>
      <c r="E2392" s="29" t="s">
        <v>21</v>
      </c>
      <c r="F2392" s="59" t="s">
        <v>0</v>
      </c>
      <c r="G2392" s="36">
        <f>G2393</f>
        <v>82332.899999999994</v>
      </c>
      <c r="H2392" s="36">
        <f t="shared" si="1286"/>
        <v>189542.14867</v>
      </c>
      <c r="I2392" s="36">
        <f t="shared" si="1286"/>
        <v>172072.14867</v>
      </c>
      <c r="J2392" s="36">
        <f t="shared" si="1286"/>
        <v>72526.853650000005</v>
      </c>
      <c r="K2392" s="36">
        <f t="shared" si="1286"/>
        <v>47348.335510000004</v>
      </c>
      <c r="L2392" s="36">
        <f t="shared" si="1273"/>
        <v>24.980372883941097</v>
      </c>
      <c r="M2392" s="36">
        <f t="shared" si="1274"/>
        <v>27.516559696598346</v>
      </c>
    </row>
    <row r="2393" spans="1:13">
      <c r="A2393" s="60" t="s">
        <v>995</v>
      </c>
      <c r="B2393" s="29" t="s">
        <v>940</v>
      </c>
      <c r="C2393" s="29" t="s">
        <v>148</v>
      </c>
      <c r="D2393" s="29" t="s">
        <v>150</v>
      </c>
      <c r="E2393" s="29" t="s">
        <v>996</v>
      </c>
      <c r="F2393" s="59" t="s">
        <v>0</v>
      </c>
      <c r="G2393" s="36">
        <f>G2397</f>
        <v>82332.899999999994</v>
      </c>
      <c r="H2393" s="36">
        <f>H2397+H2394</f>
        <v>189542.14867</v>
      </c>
      <c r="I2393" s="36">
        <f t="shared" ref="I2393:K2393" si="1287">I2397+I2394</f>
        <v>172072.14867</v>
      </c>
      <c r="J2393" s="36">
        <f t="shared" si="1287"/>
        <v>72526.853650000005</v>
      </c>
      <c r="K2393" s="36">
        <f t="shared" si="1287"/>
        <v>47348.335510000004</v>
      </c>
      <c r="L2393" s="36">
        <f t="shared" si="1273"/>
        <v>24.980372883941097</v>
      </c>
      <c r="M2393" s="36">
        <f t="shared" si="1274"/>
        <v>27.516559696598346</v>
      </c>
    </row>
    <row r="2394" spans="1:13" ht="39.75" customHeight="1">
      <c r="A2394" s="60" t="s">
        <v>1213</v>
      </c>
      <c r="B2394" s="29" t="s">
        <v>940</v>
      </c>
      <c r="C2394" s="29" t="s">
        <v>148</v>
      </c>
      <c r="D2394" s="29" t="s">
        <v>150</v>
      </c>
      <c r="E2394" s="30" t="s">
        <v>1212</v>
      </c>
      <c r="F2394" s="59"/>
      <c r="G2394" s="36"/>
      <c r="H2394" s="36">
        <f>H2395</f>
        <v>107209.29496</v>
      </c>
      <c r="I2394" s="36">
        <f t="shared" ref="I2394:K2395" si="1288">I2395</f>
        <v>107209.29496</v>
      </c>
      <c r="J2394" s="36">
        <f t="shared" si="1288"/>
        <v>40397.714959999998</v>
      </c>
      <c r="K2394" s="36">
        <f t="shared" si="1288"/>
        <v>25876.035019999999</v>
      </c>
      <c r="L2394" s="36">
        <f t="shared" ref="L2394:L2396" si="1289">K2394/H2394*100</f>
        <v>24.135999616128807</v>
      </c>
      <c r="M2394" s="36">
        <f t="shared" ref="M2394:M2396" si="1290">K2394/I2394*100</f>
        <v>24.135999616128807</v>
      </c>
    </row>
    <row r="2395" spans="1:13">
      <c r="A2395" s="60" t="s">
        <v>26</v>
      </c>
      <c r="B2395" s="29" t="s">
        <v>940</v>
      </c>
      <c r="C2395" s="29" t="s">
        <v>148</v>
      </c>
      <c r="D2395" s="29" t="s">
        <v>150</v>
      </c>
      <c r="E2395" s="30" t="s">
        <v>1212</v>
      </c>
      <c r="F2395" s="59">
        <v>500</v>
      </c>
      <c r="G2395" s="36"/>
      <c r="H2395" s="36">
        <f>H2396</f>
        <v>107209.29496</v>
      </c>
      <c r="I2395" s="36">
        <f t="shared" si="1288"/>
        <v>107209.29496</v>
      </c>
      <c r="J2395" s="36">
        <f t="shared" si="1288"/>
        <v>40397.714959999998</v>
      </c>
      <c r="K2395" s="36">
        <f t="shared" si="1288"/>
        <v>25876.035019999999</v>
      </c>
      <c r="L2395" s="36">
        <f t="shared" si="1289"/>
        <v>24.135999616128807</v>
      </c>
      <c r="M2395" s="36">
        <f t="shared" si="1290"/>
        <v>24.135999616128807</v>
      </c>
    </row>
    <row r="2396" spans="1:13">
      <c r="A2396" s="60" t="s">
        <v>56</v>
      </c>
      <c r="B2396" s="29" t="s">
        <v>940</v>
      </c>
      <c r="C2396" s="29" t="s">
        <v>148</v>
      </c>
      <c r="D2396" s="29" t="s">
        <v>150</v>
      </c>
      <c r="E2396" s="30" t="s">
        <v>1212</v>
      </c>
      <c r="F2396" s="59">
        <v>520</v>
      </c>
      <c r="G2396" s="36"/>
      <c r="H2396" s="36">
        <v>107209.29496</v>
      </c>
      <c r="I2396" s="36">
        <v>107209.29496</v>
      </c>
      <c r="J2396" s="36">
        <v>40397.714959999998</v>
      </c>
      <c r="K2396" s="36">
        <v>25876.035019999999</v>
      </c>
      <c r="L2396" s="36">
        <f t="shared" si="1289"/>
        <v>24.135999616128807</v>
      </c>
      <c r="M2396" s="36">
        <f t="shared" si="1290"/>
        <v>24.135999616128807</v>
      </c>
    </row>
    <row r="2397" spans="1:13" ht="38.25">
      <c r="A2397" s="60" t="s">
        <v>997</v>
      </c>
      <c r="B2397" s="29" t="s">
        <v>940</v>
      </c>
      <c r="C2397" s="29" t="s">
        <v>148</v>
      </c>
      <c r="D2397" s="29" t="s">
        <v>150</v>
      </c>
      <c r="E2397" s="29" t="s">
        <v>998</v>
      </c>
      <c r="F2397" s="59" t="s">
        <v>0</v>
      </c>
      <c r="G2397" s="36">
        <f>G2398</f>
        <v>82332.899999999994</v>
      </c>
      <c r="H2397" s="36">
        <f t="shared" si="1286"/>
        <v>82332.853709999996</v>
      </c>
      <c r="I2397" s="36">
        <f t="shared" si="1286"/>
        <v>64862.853710000003</v>
      </c>
      <c r="J2397" s="36">
        <f t="shared" si="1286"/>
        <v>32129.13869</v>
      </c>
      <c r="K2397" s="36">
        <f t="shared" si="1286"/>
        <v>21472.300490000001</v>
      </c>
      <c r="L2397" s="36">
        <f t="shared" si="1273"/>
        <v>26.079869119600328</v>
      </c>
      <c r="M2397" s="36">
        <f t="shared" si="1274"/>
        <v>33.104156326519416</v>
      </c>
    </row>
    <row r="2398" spans="1:13">
      <c r="A2398" s="60" t="s">
        <v>26</v>
      </c>
      <c r="B2398" s="29" t="s">
        <v>940</v>
      </c>
      <c r="C2398" s="29" t="s">
        <v>148</v>
      </c>
      <c r="D2398" s="29" t="s">
        <v>150</v>
      </c>
      <c r="E2398" s="29" t="s">
        <v>998</v>
      </c>
      <c r="F2398" s="29" t="s">
        <v>27</v>
      </c>
      <c r="G2398" s="36">
        <f>G2399</f>
        <v>82332.899999999994</v>
      </c>
      <c r="H2398" s="36">
        <f t="shared" si="1286"/>
        <v>82332.853709999996</v>
      </c>
      <c r="I2398" s="36">
        <f t="shared" si="1286"/>
        <v>64862.853710000003</v>
      </c>
      <c r="J2398" s="36">
        <f t="shared" si="1286"/>
        <v>32129.13869</v>
      </c>
      <c r="K2398" s="36">
        <f t="shared" si="1286"/>
        <v>21472.300490000001</v>
      </c>
      <c r="L2398" s="36">
        <f t="shared" si="1273"/>
        <v>26.079869119600328</v>
      </c>
      <c r="M2398" s="36">
        <f t="shared" si="1274"/>
        <v>33.104156326519416</v>
      </c>
    </row>
    <row r="2399" spans="1:13">
      <c r="A2399" s="60" t="s">
        <v>56</v>
      </c>
      <c r="B2399" s="29" t="s">
        <v>940</v>
      </c>
      <c r="C2399" s="29" t="s">
        <v>148</v>
      </c>
      <c r="D2399" s="29" t="s">
        <v>150</v>
      </c>
      <c r="E2399" s="29" t="s">
        <v>998</v>
      </c>
      <c r="F2399" s="29" t="s">
        <v>57</v>
      </c>
      <c r="G2399" s="36">
        <v>82332.899999999994</v>
      </c>
      <c r="H2399" s="36">
        <v>82332.853709999996</v>
      </c>
      <c r="I2399" s="36">
        <v>64862.853710000003</v>
      </c>
      <c r="J2399" s="36">
        <v>32129.13869</v>
      </c>
      <c r="K2399" s="36">
        <v>21472.300490000001</v>
      </c>
      <c r="L2399" s="36">
        <f t="shared" si="1273"/>
        <v>26.079869119600328</v>
      </c>
      <c r="M2399" s="36">
        <f t="shared" si="1274"/>
        <v>33.104156326519416</v>
      </c>
    </row>
    <row r="2400" spans="1:13">
      <c r="A2400" s="60" t="s">
        <v>477</v>
      </c>
      <c r="B2400" s="29" t="s">
        <v>940</v>
      </c>
      <c r="C2400" s="29" t="s">
        <v>148</v>
      </c>
      <c r="D2400" s="29" t="s">
        <v>32</v>
      </c>
      <c r="E2400" s="59" t="s">
        <v>0</v>
      </c>
      <c r="F2400" s="59" t="s">
        <v>0</v>
      </c>
      <c r="G2400" s="36">
        <f>G2401</f>
        <v>80</v>
      </c>
      <c r="H2400" s="36">
        <f t="shared" ref="H2400:K2404" si="1291">H2401</f>
        <v>80</v>
      </c>
      <c r="I2400" s="36">
        <f t="shared" si="1291"/>
        <v>0</v>
      </c>
      <c r="J2400" s="36">
        <f t="shared" si="1291"/>
        <v>0</v>
      </c>
      <c r="K2400" s="36">
        <f t="shared" si="1291"/>
        <v>0</v>
      </c>
      <c r="L2400" s="36">
        <f t="shared" si="1273"/>
        <v>0</v>
      </c>
      <c r="M2400" s="36">
        <v>0</v>
      </c>
    </row>
    <row r="2401" spans="1:13" ht="51">
      <c r="A2401" s="60" t="s">
        <v>20</v>
      </c>
      <c r="B2401" s="29" t="s">
        <v>940</v>
      </c>
      <c r="C2401" s="29" t="s">
        <v>148</v>
      </c>
      <c r="D2401" s="29" t="s">
        <v>32</v>
      </c>
      <c r="E2401" s="29" t="s">
        <v>21</v>
      </c>
      <c r="F2401" s="59" t="s">
        <v>0</v>
      </c>
      <c r="G2401" s="36">
        <f>G2402</f>
        <v>80</v>
      </c>
      <c r="H2401" s="36">
        <f t="shared" si="1291"/>
        <v>80</v>
      </c>
      <c r="I2401" s="36">
        <f t="shared" si="1291"/>
        <v>0</v>
      </c>
      <c r="J2401" s="36">
        <f t="shared" si="1291"/>
        <v>0</v>
      </c>
      <c r="K2401" s="36">
        <f t="shared" si="1291"/>
        <v>0</v>
      </c>
      <c r="L2401" s="36">
        <f t="shared" si="1273"/>
        <v>0</v>
      </c>
      <c r="M2401" s="36">
        <v>0</v>
      </c>
    </row>
    <row r="2402" spans="1:13">
      <c r="A2402" s="60" t="s">
        <v>995</v>
      </c>
      <c r="B2402" s="29" t="s">
        <v>940</v>
      </c>
      <c r="C2402" s="29" t="s">
        <v>148</v>
      </c>
      <c r="D2402" s="29" t="s">
        <v>32</v>
      </c>
      <c r="E2402" s="29" t="s">
        <v>996</v>
      </c>
      <c r="F2402" s="59" t="s">
        <v>0</v>
      </c>
      <c r="G2402" s="36">
        <f>G2403</f>
        <v>80</v>
      </c>
      <c r="H2402" s="36">
        <f t="shared" si="1291"/>
        <v>80</v>
      </c>
      <c r="I2402" s="36">
        <f t="shared" si="1291"/>
        <v>0</v>
      </c>
      <c r="J2402" s="36">
        <f t="shared" si="1291"/>
        <v>0</v>
      </c>
      <c r="K2402" s="36">
        <f t="shared" si="1291"/>
        <v>0</v>
      </c>
      <c r="L2402" s="36">
        <f t="shared" si="1273"/>
        <v>0</v>
      </c>
      <c r="M2402" s="36">
        <v>0</v>
      </c>
    </row>
    <row r="2403" spans="1:13" ht="25.5">
      <c r="A2403" s="60" t="s">
        <v>774</v>
      </c>
      <c r="B2403" s="29" t="s">
        <v>940</v>
      </c>
      <c r="C2403" s="29" t="s">
        <v>148</v>
      </c>
      <c r="D2403" s="29" t="s">
        <v>32</v>
      </c>
      <c r="E2403" s="29" t="s">
        <v>999</v>
      </c>
      <c r="F2403" s="59" t="s">
        <v>0</v>
      </c>
      <c r="G2403" s="36">
        <f>G2404</f>
        <v>80</v>
      </c>
      <c r="H2403" s="36">
        <f t="shared" si="1291"/>
        <v>80</v>
      </c>
      <c r="I2403" s="36">
        <f t="shared" si="1291"/>
        <v>0</v>
      </c>
      <c r="J2403" s="36">
        <f t="shared" si="1291"/>
        <v>0</v>
      </c>
      <c r="K2403" s="36">
        <f t="shared" si="1291"/>
        <v>0</v>
      </c>
      <c r="L2403" s="36">
        <f t="shared" si="1273"/>
        <v>0</v>
      </c>
      <c r="M2403" s="36">
        <v>0</v>
      </c>
    </row>
    <row r="2404" spans="1:13" ht="25.5">
      <c r="A2404" s="60" t="s">
        <v>64</v>
      </c>
      <c r="B2404" s="29" t="s">
        <v>940</v>
      </c>
      <c r="C2404" s="29" t="s">
        <v>148</v>
      </c>
      <c r="D2404" s="29" t="s">
        <v>32</v>
      </c>
      <c r="E2404" s="29" t="s">
        <v>999</v>
      </c>
      <c r="F2404" s="29" t="s">
        <v>65</v>
      </c>
      <c r="G2404" s="36">
        <f>G2405</f>
        <v>80</v>
      </c>
      <c r="H2404" s="36">
        <f t="shared" si="1291"/>
        <v>80</v>
      </c>
      <c r="I2404" s="36">
        <f t="shared" si="1291"/>
        <v>0</v>
      </c>
      <c r="J2404" s="36">
        <f t="shared" si="1291"/>
        <v>0</v>
      </c>
      <c r="K2404" s="36">
        <f t="shared" si="1291"/>
        <v>0</v>
      </c>
      <c r="L2404" s="36">
        <f t="shared" si="1273"/>
        <v>0</v>
      </c>
      <c r="M2404" s="36">
        <v>0</v>
      </c>
    </row>
    <row r="2405" spans="1:13" ht="25.5">
      <c r="A2405" s="60" t="s">
        <v>66</v>
      </c>
      <c r="B2405" s="29" t="s">
        <v>940</v>
      </c>
      <c r="C2405" s="29" t="s">
        <v>148</v>
      </c>
      <c r="D2405" s="29" t="s">
        <v>32</v>
      </c>
      <c r="E2405" s="29" t="s">
        <v>999</v>
      </c>
      <c r="F2405" s="29" t="s">
        <v>67</v>
      </c>
      <c r="G2405" s="36">
        <v>80</v>
      </c>
      <c r="H2405" s="36">
        <v>80</v>
      </c>
      <c r="I2405" s="36">
        <v>0</v>
      </c>
      <c r="J2405" s="36">
        <v>0</v>
      </c>
      <c r="K2405" s="36">
        <v>0</v>
      </c>
      <c r="L2405" s="36">
        <v>0</v>
      </c>
      <c r="M2405" s="36">
        <v>0</v>
      </c>
    </row>
    <row r="2406" spans="1:13">
      <c r="A2406" s="65" t="s">
        <v>0</v>
      </c>
      <c r="B2406" s="66" t="s">
        <v>0</v>
      </c>
      <c r="C2406" s="59" t="s">
        <v>0</v>
      </c>
      <c r="D2406" s="59" t="s">
        <v>0</v>
      </c>
      <c r="E2406" s="59" t="s">
        <v>0</v>
      </c>
      <c r="F2406" s="59" t="s">
        <v>0</v>
      </c>
      <c r="G2406" s="67" t="s">
        <v>0</v>
      </c>
      <c r="H2406" s="67" t="s">
        <v>0</v>
      </c>
      <c r="I2406" s="67" t="s">
        <v>0</v>
      </c>
      <c r="J2406" s="67" t="s">
        <v>0</v>
      </c>
      <c r="K2406" s="67" t="s">
        <v>0</v>
      </c>
      <c r="L2406" s="67"/>
      <c r="M2406" s="67"/>
    </row>
    <row r="2407" spans="1:13" ht="25.5">
      <c r="A2407" s="57" t="s">
        <v>1000</v>
      </c>
      <c r="B2407" s="58" t="s">
        <v>1001</v>
      </c>
      <c r="C2407" s="59" t="s">
        <v>0</v>
      </c>
      <c r="D2407" s="59" t="s">
        <v>0</v>
      </c>
      <c r="E2407" s="59" t="s">
        <v>0</v>
      </c>
      <c r="F2407" s="59" t="s">
        <v>0</v>
      </c>
      <c r="G2407" s="31">
        <f>G2408</f>
        <v>46738.5</v>
      </c>
      <c r="H2407" s="31">
        <f t="shared" ref="H2407:K2410" si="1292">H2408</f>
        <v>46738.5</v>
      </c>
      <c r="I2407" s="31">
        <f t="shared" si="1292"/>
        <v>25343</v>
      </c>
      <c r="J2407" s="31">
        <f t="shared" si="1292"/>
        <v>23110.3</v>
      </c>
      <c r="K2407" s="31">
        <f t="shared" si="1292"/>
        <v>22301.435209999996</v>
      </c>
      <c r="L2407" s="31">
        <f t="shared" si="1273"/>
        <v>47.71534219112722</v>
      </c>
      <c r="M2407" s="31">
        <f t="shared" si="1274"/>
        <v>87.998402754212194</v>
      </c>
    </row>
    <row r="2408" spans="1:13">
      <c r="A2408" s="60" t="s">
        <v>16</v>
      </c>
      <c r="B2408" s="29" t="s">
        <v>1001</v>
      </c>
      <c r="C2408" s="29" t="s">
        <v>17</v>
      </c>
      <c r="D2408" s="59" t="s">
        <v>0</v>
      </c>
      <c r="E2408" s="59" t="s">
        <v>0</v>
      </c>
      <c r="F2408" s="59" t="s">
        <v>0</v>
      </c>
      <c r="G2408" s="36">
        <f>G2409</f>
        <v>46738.5</v>
      </c>
      <c r="H2408" s="36">
        <f t="shared" si="1292"/>
        <v>46738.5</v>
      </c>
      <c r="I2408" s="36">
        <f t="shared" si="1292"/>
        <v>25343</v>
      </c>
      <c r="J2408" s="36">
        <f t="shared" si="1292"/>
        <v>23110.3</v>
      </c>
      <c r="K2408" s="36">
        <f t="shared" si="1292"/>
        <v>22301.435209999996</v>
      </c>
      <c r="L2408" s="36">
        <f t="shared" si="1273"/>
        <v>47.71534219112722</v>
      </c>
      <c r="M2408" s="36">
        <f t="shared" si="1274"/>
        <v>87.998402754212194</v>
      </c>
    </row>
    <row r="2409" spans="1:13" ht="38.25">
      <c r="A2409" s="60" t="s">
        <v>607</v>
      </c>
      <c r="B2409" s="29" t="s">
        <v>1001</v>
      </c>
      <c r="C2409" s="29" t="s">
        <v>17</v>
      </c>
      <c r="D2409" s="29" t="s">
        <v>32</v>
      </c>
      <c r="E2409" s="59" t="s">
        <v>0</v>
      </c>
      <c r="F2409" s="59" t="s">
        <v>0</v>
      </c>
      <c r="G2409" s="36">
        <f>G2410</f>
        <v>46738.5</v>
      </c>
      <c r="H2409" s="36">
        <f t="shared" si="1292"/>
        <v>46738.5</v>
      </c>
      <c r="I2409" s="36">
        <f t="shared" si="1292"/>
        <v>25343</v>
      </c>
      <c r="J2409" s="36">
        <f t="shared" si="1292"/>
        <v>23110.3</v>
      </c>
      <c r="K2409" s="36">
        <f t="shared" si="1292"/>
        <v>22301.435209999996</v>
      </c>
      <c r="L2409" s="36">
        <f t="shared" si="1273"/>
        <v>47.71534219112722</v>
      </c>
      <c r="M2409" s="36">
        <f t="shared" si="1274"/>
        <v>87.998402754212194</v>
      </c>
    </row>
    <row r="2410" spans="1:13" ht="25.5">
      <c r="A2410" s="60" t="s">
        <v>1002</v>
      </c>
      <c r="B2410" s="29" t="s">
        <v>1001</v>
      </c>
      <c r="C2410" s="29" t="s">
        <v>17</v>
      </c>
      <c r="D2410" s="29" t="s">
        <v>32</v>
      </c>
      <c r="E2410" s="29" t="s">
        <v>1003</v>
      </c>
      <c r="F2410" s="59" t="s">
        <v>0</v>
      </c>
      <c r="G2410" s="36">
        <f>G2411</f>
        <v>46738.5</v>
      </c>
      <c r="H2410" s="36">
        <f t="shared" si="1292"/>
        <v>46738.5</v>
      </c>
      <c r="I2410" s="36">
        <f t="shared" si="1292"/>
        <v>25343</v>
      </c>
      <c r="J2410" s="36">
        <f t="shared" si="1292"/>
        <v>23110.3</v>
      </c>
      <c r="K2410" s="36">
        <f t="shared" si="1292"/>
        <v>22301.435209999996</v>
      </c>
      <c r="L2410" s="36">
        <f t="shared" si="1273"/>
        <v>47.71534219112722</v>
      </c>
      <c r="M2410" s="36">
        <f t="shared" si="1274"/>
        <v>87.998402754212194</v>
      </c>
    </row>
    <row r="2411" spans="1:13" ht="25.5">
      <c r="A2411" s="60" t="s">
        <v>58</v>
      </c>
      <c r="B2411" s="29" t="s">
        <v>1001</v>
      </c>
      <c r="C2411" s="29" t="s">
        <v>17</v>
      </c>
      <c r="D2411" s="29" t="s">
        <v>32</v>
      </c>
      <c r="E2411" s="29" t="s">
        <v>1004</v>
      </c>
      <c r="F2411" s="59" t="s">
        <v>0</v>
      </c>
      <c r="G2411" s="36">
        <f>G2412+G2414+G2416</f>
        <v>46738.5</v>
      </c>
      <c r="H2411" s="36">
        <f t="shared" ref="H2411:K2411" si="1293">H2412+H2414+H2416</f>
        <v>46738.5</v>
      </c>
      <c r="I2411" s="36">
        <f t="shared" si="1293"/>
        <v>25343</v>
      </c>
      <c r="J2411" s="36">
        <f t="shared" si="1293"/>
        <v>23110.3</v>
      </c>
      <c r="K2411" s="36">
        <f t="shared" si="1293"/>
        <v>22301.435209999996</v>
      </c>
      <c r="L2411" s="36">
        <f t="shared" si="1273"/>
        <v>47.71534219112722</v>
      </c>
      <c r="M2411" s="36">
        <f t="shared" si="1274"/>
        <v>87.998402754212194</v>
      </c>
    </row>
    <row r="2412" spans="1:13" ht="63.75">
      <c r="A2412" s="60" t="s">
        <v>60</v>
      </c>
      <c r="B2412" s="29" t="s">
        <v>1001</v>
      </c>
      <c r="C2412" s="29" t="s">
        <v>17</v>
      </c>
      <c r="D2412" s="29" t="s">
        <v>32</v>
      </c>
      <c r="E2412" s="29" t="s">
        <v>1004</v>
      </c>
      <c r="F2412" s="29" t="s">
        <v>61</v>
      </c>
      <c r="G2412" s="36">
        <f>G2413</f>
        <v>43432.800000000003</v>
      </c>
      <c r="H2412" s="36">
        <f t="shared" ref="H2412:K2412" si="1294">H2413</f>
        <v>43432.800000000003</v>
      </c>
      <c r="I2412" s="36">
        <f t="shared" si="1294"/>
        <v>23295</v>
      </c>
      <c r="J2412" s="36">
        <f t="shared" si="1294"/>
        <v>21965</v>
      </c>
      <c r="K2412" s="36">
        <f t="shared" si="1294"/>
        <v>21237.325689999998</v>
      </c>
      <c r="L2412" s="36">
        <f t="shared" si="1273"/>
        <v>48.896975764859732</v>
      </c>
      <c r="M2412" s="36">
        <f t="shared" si="1274"/>
        <v>91.16688426701009</v>
      </c>
    </row>
    <row r="2413" spans="1:13" ht="25.5">
      <c r="A2413" s="60" t="s">
        <v>62</v>
      </c>
      <c r="B2413" s="29" t="s">
        <v>1001</v>
      </c>
      <c r="C2413" s="29" t="s">
        <v>17</v>
      </c>
      <c r="D2413" s="29" t="s">
        <v>32</v>
      </c>
      <c r="E2413" s="29" t="s">
        <v>1004</v>
      </c>
      <c r="F2413" s="29" t="s">
        <v>63</v>
      </c>
      <c r="G2413" s="36">
        <v>43432.800000000003</v>
      </c>
      <c r="H2413" s="36">
        <v>43432.800000000003</v>
      </c>
      <c r="I2413" s="36">
        <f>16200+2320+4775</f>
        <v>23295</v>
      </c>
      <c r="J2413" s="36">
        <f>16200+990+4775</f>
        <v>21965</v>
      </c>
      <c r="K2413" s="36">
        <f>15862.35157+854.3757+4520.59842</f>
        <v>21237.325689999998</v>
      </c>
      <c r="L2413" s="36">
        <f t="shared" si="1273"/>
        <v>48.896975764859732</v>
      </c>
      <c r="M2413" s="36">
        <f t="shared" si="1274"/>
        <v>91.16688426701009</v>
      </c>
    </row>
    <row r="2414" spans="1:13" ht="25.5">
      <c r="A2414" s="60" t="s">
        <v>64</v>
      </c>
      <c r="B2414" s="29" t="s">
        <v>1001</v>
      </c>
      <c r="C2414" s="29" t="s">
        <v>17</v>
      </c>
      <c r="D2414" s="29" t="s">
        <v>32</v>
      </c>
      <c r="E2414" s="29" t="s">
        <v>1004</v>
      </c>
      <c r="F2414" s="29" t="s">
        <v>65</v>
      </c>
      <c r="G2414" s="36">
        <f>G2415</f>
        <v>3056</v>
      </c>
      <c r="H2414" s="36">
        <f t="shared" ref="H2414:K2414" si="1295">H2415</f>
        <v>3026</v>
      </c>
      <c r="I2414" s="36">
        <f t="shared" si="1295"/>
        <v>1783</v>
      </c>
      <c r="J2414" s="36">
        <f t="shared" si="1295"/>
        <v>883</v>
      </c>
      <c r="K2414" s="36">
        <f t="shared" si="1295"/>
        <v>818.11653999999999</v>
      </c>
      <c r="L2414" s="36">
        <f t="shared" si="1273"/>
        <v>27.036237276933246</v>
      </c>
      <c r="M2414" s="36">
        <f t="shared" si="1274"/>
        <v>45.884270330902972</v>
      </c>
    </row>
    <row r="2415" spans="1:13" ht="25.5">
      <c r="A2415" s="60" t="s">
        <v>66</v>
      </c>
      <c r="B2415" s="29" t="s">
        <v>1001</v>
      </c>
      <c r="C2415" s="29" t="s">
        <v>17</v>
      </c>
      <c r="D2415" s="29" t="s">
        <v>32</v>
      </c>
      <c r="E2415" s="29" t="s">
        <v>1004</v>
      </c>
      <c r="F2415" s="29" t="s">
        <v>67</v>
      </c>
      <c r="G2415" s="36">
        <v>3056</v>
      </c>
      <c r="H2415" s="36">
        <v>3026</v>
      </c>
      <c r="I2415" s="36">
        <v>1783</v>
      </c>
      <c r="J2415" s="36">
        <v>883</v>
      </c>
      <c r="K2415" s="36">
        <v>818.11653999999999</v>
      </c>
      <c r="L2415" s="36">
        <f t="shared" si="1273"/>
        <v>27.036237276933246</v>
      </c>
      <c r="M2415" s="36">
        <f t="shared" si="1274"/>
        <v>45.884270330902972</v>
      </c>
    </row>
    <row r="2416" spans="1:13">
      <c r="A2416" s="60" t="s">
        <v>72</v>
      </c>
      <c r="B2416" s="29" t="s">
        <v>1001</v>
      </c>
      <c r="C2416" s="29" t="s">
        <v>17</v>
      </c>
      <c r="D2416" s="29" t="s">
        <v>32</v>
      </c>
      <c r="E2416" s="29" t="s">
        <v>1004</v>
      </c>
      <c r="F2416" s="29" t="s">
        <v>73</v>
      </c>
      <c r="G2416" s="36">
        <f>G2417+G2418</f>
        <v>249.7</v>
      </c>
      <c r="H2416" s="36">
        <f t="shared" ref="H2416:K2416" si="1296">H2417+H2418</f>
        <v>279.7</v>
      </c>
      <c r="I2416" s="36">
        <f t="shared" si="1296"/>
        <v>265</v>
      </c>
      <c r="J2416" s="36">
        <f t="shared" si="1296"/>
        <v>262.3</v>
      </c>
      <c r="K2416" s="36">
        <f t="shared" si="1296"/>
        <v>245.99297999999999</v>
      </c>
      <c r="L2416" s="36">
        <f t="shared" si="1273"/>
        <v>87.948866642831604</v>
      </c>
      <c r="M2416" s="36">
        <f t="shared" si="1274"/>
        <v>92.82753962264151</v>
      </c>
    </row>
    <row r="2417" spans="1:13">
      <c r="A2417" s="60" t="s">
        <v>84</v>
      </c>
      <c r="B2417" s="29" t="s">
        <v>1001</v>
      </c>
      <c r="C2417" s="29" t="s">
        <v>17</v>
      </c>
      <c r="D2417" s="29" t="s">
        <v>32</v>
      </c>
      <c r="E2417" s="29" t="s">
        <v>1004</v>
      </c>
      <c r="F2417" s="29" t="s">
        <v>85</v>
      </c>
      <c r="G2417" s="36">
        <v>200</v>
      </c>
      <c r="H2417" s="36">
        <v>230</v>
      </c>
      <c r="I2417" s="36">
        <v>230</v>
      </c>
      <c r="J2417" s="36">
        <v>227.3</v>
      </c>
      <c r="K2417" s="36">
        <v>227.26998</v>
      </c>
      <c r="L2417" s="36">
        <f t="shared" si="1273"/>
        <v>98.813034782608696</v>
      </c>
      <c r="M2417" s="36">
        <f t="shared" si="1274"/>
        <v>98.813034782608696</v>
      </c>
    </row>
    <row r="2418" spans="1:13">
      <c r="A2418" s="60" t="s">
        <v>74</v>
      </c>
      <c r="B2418" s="29" t="s">
        <v>1001</v>
      </c>
      <c r="C2418" s="29" t="s">
        <v>17</v>
      </c>
      <c r="D2418" s="29" t="s">
        <v>32</v>
      </c>
      <c r="E2418" s="29" t="s">
        <v>1004</v>
      </c>
      <c r="F2418" s="29" t="s">
        <v>75</v>
      </c>
      <c r="G2418" s="36">
        <v>49.7</v>
      </c>
      <c r="H2418" s="36">
        <f>45.7+4</f>
        <v>49.7</v>
      </c>
      <c r="I2418" s="36">
        <v>35</v>
      </c>
      <c r="J2418" s="36">
        <v>35</v>
      </c>
      <c r="K2418" s="36">
        <f>17.043+1.68</f>
        <v>18.722999999999999</v>
      </c>
      <c r="L2418" s="36">
        <f t="shared" si="1273"/>
        <v>37.672032193158948</v>
      </c>
      <c r="M2418" s="36">
        <f t="shared" si="1274"/>
        <v>53.494285714285716</v>
      </c>
    </row>
    <row r="2419" spans="1:13">
      <c r="A2419" s="65" t="s">
        <v>0</v>
      </c>
      <c r="B2419" s="66" t="s">
        <v>0</v>
      </c>
      <c r="C2419" s="59" t="s">
        <v>0</v>
      </c>
      <c r="D2419" s="59" t="s">
        <v>0</v>
      </c>
      <c r="E2419" s="59" t="s">
        <v>0</v>
      </c>
      <c r="F2419" s="59" t="s">
        <v>0</v>
      </c>
      <c r="G2419" s="67" t="s">
        <v>0</v>
      </c>
      <c r="H2419" s="67" t="s">
        <v>0</v>
      </c>
      <c r="I2419" s="67" t="s">
        <v>0</v>
      </c>
      <c r="J2419" s="67" t="s">
        <v>0</v>
      </c>
      <c r="K2419" s="67" t="s">
        <v>0</v>
      </c>
      <c r="L2419" s="67"/>
      <c r="M2419" s="67"/>
    </row>
    <row r="2420" spans="1:13" ht="25.5">
      <c r="A2420" s="57" t="s">
        <v>1005</v>
      </c>
      <c r="B2420" s="58" t="s">
        <v>1006</v>
      </c>
      <c r="C2420" s="59" t="s">
        <v>0</v>
      </c>
      <c r="D2420" s="59" t="s">
        <v>0</v>
      </c>
      <c r="E2420" s="59" t="s">
        <v>0</v>
      </c>
      <c r="F2420" s="59" t="s">
        <v>0</v>
      </c>
      <c r="G2420" s="31">
        <f>G2421</f>
        <v>49279.7</v>
      </c>
      <c r="H2420" s="31">
        <f t="shared" ref="H2420:K2424" si="1297">H2421</f>
        <v>49279.7</v>
      </c>
      <c r="I2420" s="31">
        <f t="shared" si="1297"/>
        <v>24148.7</v>
      </c>
      <c r="J2420" s="31">
        <f t="shared" si="1297"/>
        <v>24125.863670000002</v>
      </c>
      <c r="K2420" s="31">
        <f t="shared" si="1297"/>
        <v>22620.655150000002</v>
      </c>
      <c r="L2420" s="31">
        <f t="shared" si="1273"/>
        <v>45.90258290939272</v>
      </c>
      <c r="M2420" s="31">
        <f t="shared" si="1274"/>
        <v>93.672351513746094</v>
      </c>
    </row>
    <row r="2421" spans="1:13">
      <c r="A2421" s="60" t="s">
        <v>30</v>
      </c>
      <c r="B2421" s="29" t="s">
        <v>1006</v>
      </c>
      <c r="C2421" s="29" t="s">
        <v>19</v>
      </c>
      <c r="D2421" s="59" t="s">
        <v>0</v>
      </c>
      <c r="E2421" s="59" t="s">
        <v>0</v>
      </c>
      <c r="F2421" s="59" t="s">
        <v>0</v>
      </c>
      <c r="G2421" s="36">
        <f>G2422</f>
        <v>49279.7</v>
      </c>
      <c r="H2421" s="36">
        <f t="shared" si="1297"/>
        <v>49279.7</v>
      </c>
      <c r="I2421" s="36">
        <f t="shared" si="1297"/>
        <v>24148.7</v>
      </c>
      <c r="J2421" s="36">
        <f t="shared" si="1297"/>
        <v>24125.863670000002</v>
      </c>
      <c r="K2421" s="36">
        <f t="shared" si="1297"/>
        <v>22620.655150000002</v>
      </c>
      <c r="L2421" s="36">
        <f t="shared" si="1273"/>
        <v>45.90258290939272</v>
      </c>
      <c r="M2421" s="36">
        <f t="shared" si="1274"/>
        <v>93.672351513746094</v>
      </c>
    </row>
    <row r="2422" spans="1:13">
      <c r="A2422" s="60" t="s">
        <v>230</v>
      </c>
      <c r="B2422" s="29" t="s">
        <v>1006</v>
      </c>
      <c r="C2422" s="29" t="s">
        <v>19</v>
      </c>
      <c r="D2422" s="29" t="s">
        <v>17</v>
      </c>
      <c r="E2422" s="59" t="s">
        <v>0</v>
      </c>
      <c r="F2422" s="59" t="s">
        <v>0</v>
      </c>
      <c r="G2422" s="36">
        <f>G2423</f>
        <v>49279.7</v>
      </c>
      <c r="H2422" s="36">
        <f t="shared" si="1297"/>
        <v>49279.7</v>
      </c>
      <c r="I2422" s="36">
        <f t="shared" si="1297"/>
        <v>24148.7</v>
      </c>
      <c r="J2422" s="36">
        <f t="shared" si="1297"/>
        <v>24125.863670000002</v>
      </c>
      <c r="K2422" s="36">
        <f t="shared" si="1297"/>
        <v>22620.655150000002</v>
      </c>
      <c r="L2422" s="36">
        <f t="shared" si="1273"/>
        <v>45.90258290939272</v>
      </c>
      <c r="M2422" s="36">
        <f t="shared" si="1274"/>
        <v>93.672351513746094</v>
      </c>
    </row>
    <row r="2423" spans="1:13" ht="51">
      <c r="A2423" s="60" t="s">
        <v>713</v>
      </c>
      <c r="B2423" s="29" t="s">
        <v>1006</v>
      </c>
      <c r="C2423" s="29" t="s">
        <v>19</v>
      </c>
      <c r="D2423" s="29" t="s">
        <v>17</v>
      </c>
      <c r="E2423" s="29" t="s">
        <v>714</v>
      </c>
      <c r="F2423" s="59" t="s">
        <v>0</v>
      </c>
      <c r="G2423" s="36">
        <f>G2424</f>
        <v>49279.7</v>
      </c>
      <c r="H2423" s="36">
        <f t="shared" si="1297"/>
        <v>49279.7</v>
      </c>
      <c r="I2423" s="36">
        <f t="shared" si="1297"/>
        <v>24148.7</v>
      </c>
      <c r="J2423" s="36">
        <f t="shared" si="1297"/>
        <v>24125.863670000002</v>
      </c>
      <c r="K2423" s="36">
        <f t="shared" si="1297"/>
        <v>22620.655150000002</v>
      </c>
      <c r="L2423" s="36">
        <f t="shared" si="1273"/>
        <v>45.90258290939272</v>
      </c>
      <c r="M2423" s="36">
        <f t="shared" si="1274"/>
        <v>93.672351513746094</v>
      </c>
    </row>
    <row r="2424" spans="1:13" ht="38.25">
      <c r="A2424" s="60" t="s">
        <v>1007</v>
      </c>
      <c r="B2424" s="29" t="s">
        <v>1006</v>
      </c>
      <c r="C2424" s="29" t="s">
        <v>19</v>
      </c>
      <c r="D2424" s="29" t="s">
        <v>17</v>
      </c>
      <c r="E2424" s="29" t="s">
        <v>1008</v>
      </c>
      <c r="F2424" s="59" t="s">
        <v>0</v>
      </c>
      <c r="G2424" s="36">
        <f>G2425</f>
        <v>49279.7</v>
      </c>
      <c r="H2424" s="36">
        <f t="shared" si="1297"/>
        <v>49279.7</v>
      </c>
      <c r="I2424" s="36">
        <f t="shared" si="1297"/>
        <v>24148.7</v>
      </c>
      <c r="J2424" s="36">
        <f t="shared" si="1297"/>
        <v>24125.863670000002</v>
      </c>
      <c r="K2424" s="36">
        <f t="shared" si="1297"/>
        <v>22620.655150000002</v>
      </c>
      <c r="L2424" s="36">
        <f t="shared" si="1273"/>
        <v>45.90258290939272</v>
      </c>
      <c r="M2424" s="36">
        <f t="shared" si="1274"/>
        <v>93.672351513746094</v>
      </c>
    </row>
    <row r="2425" spans="1:13" ht="25.5">
      <c r="A2425" s="60" t="s">
        <v>58</v>
      </c>
      <c r="B2425" s="29" t="s">
        <v>1006</v>
      </c>
      <c r="C2425" s="29" t="s">
        <v>19</v>
      </c>
      <c r="D2425" s="29" t="s">
        <v>17</v>
      </c>
      <c r="E2425" s="29" t="s">
        <v>1009</v>
      </c>
      <c r="F2425" s="59" t="s">
        <v>0</v>
      </c>
      <c r="G2425" s="36">
        <f>G2426+G2428+G2430</f>
        <v>49279.7</v>
      </c>
      <c r="H2425" s="36">
        <f t="shared" ref="H2425:K2425" si="1298">H2426+H2428+H2430</f>
        <v>49279.7</v>
      </c>
      <c r="I2425" s="36">
        <f t="shared" si="1298"/>
        <v>24148.7</v>
      </c>
      <c r="J2425" s="36">
        <f t="shared" si="1298"/>
        <v>24125.863670000002</v>
      </c>
      <c r="K2425" s="36">
        <f t="shared" si="1298"/>
        <v>22620.655150000002</v>
      </c>
      <c r="L2425" s="36">
        <f t="shared" si="1273"/>
        <v>45.90258290939272</v>
      </c>
      <c r="M2425" s="36">
        <f t="shared" si="1274"/>
        <v>93.672351513746094</v>
      </c>
    </row>
    <row r="2426" spans="1:13" ht="63.75">
      <c r="A2426" s="60" t="s">
        <v>60</v>
      </c>
      <c r="B2426" s="29" t="s">
        <v>1006</v>
      </c>
      <c r="C2426" s="29" t="s">
        <v>19</v>
      </c>
      <c r="D2426" s="29" t="s">
        <v>17</v>
      </c>
      <c r="E2426" s="29" t="s">
        <v>1009</v>
      </c>
      <c r="F2426" s="29" t="s">
        <v>61</v>
      </c>
      <c r="G2426" s="36">
        <f>G2427</f>
        <v>47585</v>
      </c>
      <c r="H2426" s="36">
        <f t="shared" ref="H2426:K2426" si="1299">H2427</f>
        <v>47585</v>
      </c>
      <c r="I2426" s="36">
        <f t="shared" si="1299"/>
        <v>23205</v>
      </c>
      <c r="J2426" s="36">
        <f t="shared" si="1299"/>
        <v>23205</v>
      </c>
      <c r="K2426" s="36">
        <f t="shared" si="1299"/>
        <v>21801.44543</v>
      </c>
      <c r="L2426" s="36">
        <f t="shared" si="1273"/>
        <v>45.815793695492275</v>
      </c>
      <c r="M2426" s="36">
        <f t="shared" si="1274"/>
        <v>93.951499375134674</v>
      </c>
    </row>
    <row r="2427" spans="1:13" ht="25.5">
      <c r="A2427" s="60" t="s">
        <v>62</v>
      </c>
      <c r="B2427" s="29" t="s">
        <v>1006</v>
      </c>
      <c r="C2427" s="29" t="s">
        <v>19</v>
      </c>
      <c r="D2427" s="29" t="s">
        <v>17</v>
      </c>
      <c r="E2427" s="29" t="s">
        <v>1009</v>
      </c>
      <c r="F2427" s="29" t="s">
        <v>63</v>
      </c>
      <c r="G2427" s="36">
        <v>47585</v>
      </c>
      <c r="H2427" s="36">
        <v>47585</v>
      </c>
      <c r="I2427" s="36">
        <f>17200+865+5140</f>
        <v>23205</v>
      </c>
      <c r="J2427" s="36">
        <v>23205</v>
      </c>
      <c r="K2427" s="36">
        <f>16346.40025+856.23055+4598.81463</f>
        <v>21801.44543</v>
      </c>
      <c r="L2427" s="36">
        <f t="shared" si="1273"/>
        <v>45.815793695492275</v>
      </c>
      <c r="M2427" s="36">
        <f t="shared" si="1274"/>
        <v>93.951499375134674</v>
      </c>
    </row>
    <row r="2428" spans="1:13" ht="25.5">
      <c r="A2428" s="60" t="s">
        <v>64</v>
      </c>
      <c r="B2428" s="29" t="s">
        <v>1006</v>
      </c>
      <c r="C2428" s="29" t="s">
        <v>19</v>
      </c>
      <c r="D2428" s="29" t="s">
        <v>17</v>
      </c>
      <c r="E2428" s="29" t="s">
        <v>1009</v>
      </c>
      <c r="F2428" s="29" t="s">
        <v>65</v>
      </c>
      <c r="G2428" s="36">
        <f>G2429</f>
        <v>1633.7</v>
      </c>
      <c r="H2428" s="36">
        <f t="shared" ref="H2428:K2428" si="1300">H2429</f>
        <v>1633.7</v>
      </c>
      <c r="I2428" s="36">
        <f t="shared" si="1300"/>
        <v>913.7</v>
      </c>
      <c r="J2428" s="36">
        <f t="shared" si="1300"/>
        <v>913.7</v>
      </c>
      <c r="K2428" s="36">
        <f t="shared" si="1300"/>
        <v>812.04605000000004</v>
      </c>
      <c r="L2428" s="36">
        <f t="shared" si="1273"/>
        <v>49.705946624227217</v>
      </c>
      <c r="M2428" s="36">
        <f t="shared" si="1274"/>
        <v>88.874471927328443</v>
      </c>
    </row>
    <row r="2429" spans="1:13" ht="25.5">
      <c r="A2429" s="60" t="s">
        <v>66</v>
      </c>
      <c r="B2429" s="29" t="s">
        <v>1006</v>
      </c>
      <c r="C2429" s="29" t="s">
        <v>19</v>
      </c>
      <c r="D2429" s="29" t="s">
        <v>17</v>
      </c>
      <c r="E2429" s="29" t="s">
        <v>1009</v>
      </c>
      <c r="F2429" s="29" t="s">
        <v>67</v>
      </c>
      <c r="G2429" s="36">
        <v>1633.7</v>
      </c>
      <c r="H2429" s="36">
        <v>1633.7</v>
      </c>
      <c r="I2429" s="36">
        <v>913.7</v>
      </c>
      <c r="J2429" s="36">
        <v>913.7</v>
      </c>
      <c r="K2429" s="36">
        <v>812.04605000000004</v>
      </c>
      <c r="L2429" s="36">
        <f t="shared" si="1273"/>
        <v>49.705946624227217</v>
      </c>
      <c r="M2429" s="36">
        <f t="shared" si="1274"/>
        <v>88.874471927328443</v>
      </c>
    </row>
    <row r="2430" spans="1:13">
      <c r="A2430" s="60" t="s">
        <v>72</v>
      </c>
      <c r="B2430" s="29" t="s">
        <v>1006</v>
      </c>
      <c r="C2430" s="29" t="s">
        <v>19</v>
      </c>
      <c r="D2430" s="29" t="s">
        <v>17</v>
      </c>
      <c r="E2430" s="29" t="s">
        <v>1009</v>
      </c>
      <c r="F2430" s="29" t="s">
        <v>73</v>
      </c>
      <c r="G2430" s="36">
        <f>G2432</f>
        <v>61</v>
      </c>
      <c r="H2430" s="36">
        <f>H2431+H2432</f>
        <v>61</v>
      </c>
      <c r="I2430" s="36">
        <f t="shared" ref="I2430:K2430" si="1301">I2431+I2432</f>
        <v>30</v>
      </c>
      <c r="J2430" s="36">
        <f t="shared" si="1301"/>
        <v>7.1636699999999998</v>
      </c>
      <c r="K2430" s="36">
        <f t="shared" si="1301"/>
        <v>7.1636699999999998</v>
      </c>
      <c r="L2430" s="36">
        <f t="shared" si="1273"/>
        <v>11.74372131147541</v>
      </c>
      <c r="M2430" s="36">
        <f t="shared" si="1274"/>
        <v>23.878900000000002</v>
      </c>
    </row>
    <row r="2431" spans="1:13">
      <c r="A2431" s="60" t="s">
        <v>84</v>
      </c>
      <c r="B2431" s="29" t="s">
        <v>1006</v>
      </c>
      <c r="C2431" s="29" t="s">
        <v>19</v>
      </c>
      <c r="D2431" s="29" t="s">
        <v>17</v>
      </c>
      <c r="E2431" s="29" t="s">
        <v>1009</v>
      </c>
      <c r="F2431" s="29">
        <v>830</v>
      </c>
      <c r="G2431" s="36"/>
      <c r="H2431" s="36">
        <v>3</v>
      </c>
      <c r="I2431" s="36">
        <v>3</v>
      </c>
      <c r="J2431" s="36">
        <v>3</v>
      </c>
      <c r="K2431" s="36">
        <v>3</v>
      </c>
      <c r="L2431" s="36">
        <f t="shared" ref="L2431:L2432" si="1302">K2431/H2431*100</f>
        <v>100</v>
      </c>
      <c r="M2431" s="36">
        <f t="shared" ref="M2431:M2432" si="1303">K2431/I2431*100</f>
        <v>100</v>
      </c>
    </row>
    <row r="2432" spans="1:13">
      <c r="A2432" s="60" t="s">
        <v>74</v>
      </c>
      <c r="B2432" s="29" t="s">
        <v>1006</v>
      </c>
      <c r="C2432" s="29" t="s">
        <v>19</v>
      </c>
      <c r="D2432" s="29" t="s">
        <v>17</v>
      </c>
      <c r="E2432" s="29" t="s">
        <v>1009</v>
      </c>
      <c r="F2432" s="29" t="s">
        <v>75</v>
      </c>
      <c r="G2432" s="36">
        <v>61</v>
      </c>
      <c r="H2432" s="36">
        <v>58</v>
      </c>
      <c r="I2432" s="36">
        <f>22.83633+4.16367</f>
        <v>27</v>
      </c>
      <c r="J2432" s="36">
        <v>4.1636699999999998</v>
      </c>
      <c r="K2432" s="36">
        <v>4.1636699999999998</v>
      </c>
      <c r="L2432" s="36">
        <f t="shared" si="1302"/>
        <v>7.1787413793103436</v>
      </c>
      <c r="M2432" s="36">
        <f t="shared" si="1303"/>
        <v>15.420999999999999</v>
      </c>
    </row>
    <row r="2433" spans="1:13">
      <c r="A2433" s="65" t="s">
        <v>0</v>
      </c>
      <c r="B2433" s="66" t="s">
        <v>0</v>
      </c>
      <c r="C2433" s="59" t="s">
        <v>0</v>
      </c>
      <c r="D2433" s="59" t="s">
        <v>0</v>
      </c>
      <c r="E2433" s="59" t="s">
        <v>0</v>
      </c>
      <c r="F2433" s="59" t="s">
        <v>0</v>
      </c>
      <c r="G2433" s="67" t="s">
        <v>0</v>
      </c>
      <c r="H2433" s="67" t="s">
        <v>0</v>
      </c>
      <c r="I2433" s="67" t="s">
        <v>0</v>
      </c>
      <c r="J2433" s="67" t="s">
        <v>0</v>
      </c>
      <c r="K2433" s="67" t="s">
        <v>0</v>
      </c>
      <c r="L2433" s="67"/>
      <c r="M2433" s="67"/>
    </row>
    <row r="2434" spans="1:13" ht="25.5">
      <c r="A2434" s="57" t="s">
        <v>1010</v>
      </c>
      <c r="B2434" s="58" t="s">
        <v>1011</v>
      </c>
      <c r="C2434" s="59" t="s">
        <v>0</v>
      </c>
      <c r="D2434" s="59" t="s">
        <v>0</v>
      </c>
      <c r="E2434" s="59" t="s">
        <v>0</v>
      </c>
      <c r="F2434" s="59" t="s">
        <v>0</v>
      </c>
      <c r="G2434" s="31">
        <f>G2435</f>
        <v>43381</v>
      </c>
      <c r="H2434" s="31">
        <f t="shared" ref="H2434:K2436" si="1304">H2435</f>
        <v>43381</v>
      </c>
      <c r="I2434" s="31">
        <f t="shared" si="1304"/>
        <v>25540</v>
      </c>
      <c r="J2434" s="31">
        <f t="shared" si="1304"/>
        <v>21468.6</v>
      </c>
      <c r="K2434" s="31">
        <f t="shared" si="1304"/>
        <v>17989.789629999999</v>
      </c>
      <c r="L2434" s="31">
        <f t="shared" si="1273"/>
        <v>41.469282934925431</v>
      </c>
      <c r="M2434" s="31">
        <f t="shared" si="1274"/>
        <v>70.437704111198116</v>
      </c>
    </row>
    <row r="2435" spans="1:13">
      <c r="A2435" s="60" t="s">
        <v>16</v>
      </c>
      <c r="B2435" s="29" t="s">
        <v>1011</v>
      </c>
      <c r="C2435" s="29" t="s">
        <v>17</v>
      </c>
      <c r="D2435" s="59" t="s">
        <v>0</v>
      </c>
      <c r="E2435" s="59" t="s">
        <v>0</v>
      </c>
      <c r="F2435" s="59" t="s">
        <v>0</v>
      </c>
      <c r="G2435" s="36">
        <f>G2436</f>
        <v>43381</v>
      </c>
      <c r="H2435" s="36">
        <f t="shared" si="1304"/>
        <v>43381</v>
      </c>
      <c r="I2435" s="36">
        <f t="shared" si="1304"/>
        <v>25540</v>
      </c>
      <c r="J2435" s="36">
        <f t="shared" si="1304"/>
        <v>21468.6</v>
      </c>
      <c r="K2435" s="36">
        <f t="shared" si="1304"/>
        <v>17989.789629999999</v>
      </c>
      <c r="L2435" s="36">
        <f t="shared" si="1273"/>
        <v>41.469282934925431</v>
      </c>
      <c r="M2435" s="36">
        <f t="shared" si="1274"/>
        <v>70.437704111198116</v>
      </c>
    </row>
    <row r="2436" spans="1:13">
      <c r="A2436" s="60" t="s">
        <v>1012</v>
      </c>
      <c r="B2436" s="29" t="s">
        <v>1011</v>
      </c>
      <c r="C2436" s="29" t="s">
        <v>17</v>
      </c>
      <c r="D2436" s="29" t="s">
        <v>110</v>
      </c>
      <c r="E2436" s="59" t="s">
        <v>0</v>
      </c>
      <c r="F2436" s="59" t="s">
        <v>0</v>
      </c>
      <c r="G2436" s="36">
        <f>G2437</f>
        <v>43381</v>
      </c>
      <c r="H2436" s="36">
        <f t="shared" si="1304"/>
        <v>43381</v>
      </c>
      <c r="I2436" s="36">
        <f t="shared" si="1304"/>
        <v>25540</v>
      </c>
      <c r="J2436" s="36">
        <f t="shared" si="1304"/>
        <v>21468.6</v>
      </c>
      <c r="K2436" s="36">
        <f t="shared" si="1304"/>
        <v>17989.789629999999</v>
      </c>
      <c r="L2436" s="36">
        <f t="shared" si="1273"/>
        <v>41.469282934925431</v>
      </c>
      <c r="M2436" s="36">
        <f t="shared" si="1274"/>
        <v>70.437704111198116</v>
      </c>
    </row>
    <row r="2437" spans="1:13" ht="25.5">
      <c r="A2437" s="60" t="s">
        <v>1013</v>
      </c>
      <c r="B2437" s="29" t="s">
        <v>1011</v>
      </c>
      <c r="C2437" s="29" t="s">
        <v>17</v>
      </c>
      <c r="D2437" s="29" t="s">
        <v>110</v>
      </c>
      <c r="E2437" s="29" t="s">
        <v>1014</v>
      </c>
      <c r="F2437" s="59" t="s">
        <v>0</v>
      </c>
      <c r="G2437" s="36">
        <f>G2438+G2442+G2446+G2450</f>
        <v>43381</v>
      </c>
      <c r="H2437" s="36">
        <f t="shared" ref="H2437:J2437" si="1305">H2438+H2442+H2446+H2450</f>
        <v>43381</v>
      </c>
      <c r="I2437" s="36">
        <f t="shared" si="1305"/>
        <v>25540</v>
      </c>
      <c r="J2437" s="36">
        <f t="shared" si="1305"/>
        <v>21468.6</v>
      </c>
      <c r="K2437" s="36">
        <f t="shared" ref="K2437" si="1306">K2438+K2442+K2446+K2450</f>
        <v>17989.789629999999</v>
      </c>
      <c r="L2437" s="36">
        <f t="shared" si="1273"/>
        <v>41.469282934925431</v>
      </c>
      <c r="M2437" s="36">
        <f t="shared" si="1274"/>
        <v>70.437704111198116</v>
      </c>
    </row>
    <row r="2438" spans="1:13" ht="25.5">
      <c r="A2438" s="60" t="s">
        <v>1015</v>
      </c>
      <c r="B2438" s="29" t="s">
        <v>1011</v>
      </c>
      <c r="C2438" s="29" t="s">
        <v>17</v>
      </c>
      <c r="D2438" s="29" t="s">
        <v>110</v>
      </c>
      <c r="E2438" s="29" t="s">
        <v>1016</v>
      </c>
      <c r="F2438" s="59" t="s">
        <v>0</v>
      </c>
      <c r="G2438" s="36">
        <f>G2439</f>
        <v>8682.6</v>
      </c>
      <c r="H2438" s="36">
        <f t="shared" ref="H2438:K2440" si="1307">H2439</f>
        <v>8682.6</v>
      </c>
      <c r="I2438" s="36">
        <f t="shared" si="1307"/>
        <v>4445.8</v>
      </c>
      <c r="J2438" s="36">
        <f t="shared" si="1307"/>
        <v>4445.8</v>
      </c>
      <c r="K2438" s="36">
        <f t="shared" si="1307"/>
        <v>4077.1255900000001</v>
      </c>
      <c r="L2438" s="36">
        <f t="shared" si="1273"/>
        <v>46.957427383502633</v>
      </c>
      <c r="M2438" s="36">
        <f t="shared" si="1274"/>
        <v>91.707355031715323</v>
      </c>
    </row>
    <row r="2439" spans="1:13" ht="25.5">
      <c r="A2439" s="60" t="s">
        <v>58</v>
      </c>
      <c r="B2439" s="29" t="s">
        <v>1011</v>
      </c>
      <c r="C2439" s="29" t="s">
        <v>17</v>
      </c>
      <c r="D2439" s="29" t="s">
        <v>110</v>
      </c>
      <c r="E2439" s="29" t="s">
        <v>1017</v>
      </c>
      <c r="F2439" s="59" t="s">
        <v>0</v>
      </c>
      <c r="G2439" s="36">
        <f>G2440</f>
        <v>8682.6</v>
      </c>
      <c r="H2439" s="36">
        <f t="shared" si="1307"/>
        <v>8682.6</v>
      </c>
      <c r="I2439" s="36">
        <f t="shared" si="1307"/>
        <v>4445.8</v>
      </c>
      <c r="J2439" s="36">
        <f t="shared" si="1307"/>
        <v>4445.8</v>
      </c>
      <c r="K2439" s="36">
        <f t="shared" si="1307"/>
        <v>4077.1255900000001</v>
      </c>
      <c r="L2439" s="36">
        <f t="shared" ref="L2439:L2503" si="1308">K2439/H2439*100</f>
        <v>46.957427383502633</v>
      </c>
      <c r="M2439" s="36">
        <f t="shared" ref="M2439:M2503" si="1309">K2439/I2439*100</f>
        <v>91.707355031715323</v>
      </c>
    </row>
    <row r="2440" spans="1:13" ht="63.75">
      <c r="A2440" s="60" t="s">
        <v>60</v>
      </c>
      <c r="B2440" s="29" t="s">
        <v>1011</v>
      </c>
      <c r="C2440" s="29" t="s">
        <v>17</v>
      </c>
      <c r="D2440" s="29" t="s">
        <v>110</v>
      </c>
      <c r="E2440" s="29" t="s">
        <v>1017</v>
      </c>
      <c r="F2440" s="29" t="s">
        <v>61</v>
      </c>
      <c r="G2440" s="36">
        <f>G2441</f>
        <v>8682.6</v>
      </c>
      <c r="H2440" s="36">
        <f t="shared" si="1307"/>
        <v>8682.6</v>
      </c>
      <c r="I2440" s="36">
        <f t="shared" si="1307"/>
        <v>4445.8</v>
      </c>
      <c r="J2440" s="36">
        <f t="shared" si="1307"/>
        <v>4445.8</v>
      </c>
      <c r="K2440" s="36">
        <f t="shared" si="1307"/>
        <v>4077.1255900000001</v>
      </c>
      <c r="L2440" s="36">
        <f t="shared" si="1308"/>
        <v>46.957427383502633</v>
      </c>
      <c r="M2440" s="36">
        <f t="shared" si="1309"/>
        <v>91.707355031715323</v>
      </c>
    </row>
    <row r="2441" spans="1:13" ht="25.5">
      <c r="A2441" s="60" t="s">
        <v>62</v>
      </c>
      <c r="B2441" s="29" t="s">
        <v>1011</v>
      </c>
      <c r="C2441" s="29" t="s">
        <v>17</v>
      </c>
      <c r="D2441" s="29" t="s">
        <v>110</v>
      </c>
      <c r="E2441" s="29" t="s">
        <v>1017</v>
      </c>
      <c r="F2441" s="29" t="s">
        <v>63</v>
      </c>
      <c r="G2441" s="36">
        <v>8682.6</v>
      </c>
      <c r="H2441" s="36">
        <v>8682.6</v>
      </c>
      <c r="I2441" s="36">
        <v>4445.8</v>
      </c>
      <c r="J2441" s="36">
        <v>4445.8</v>
      </c>
      <c r="K2441" s="36">
        <v>4077.1255900000001</v>
      </c>
      <c r="L2441" s="36">
        <f t="shared" si="1308"/>
        <v>46.957427383502633</v>
      </c>
      <c r="M2441" s="36">
        <f t="shared" si="1309"/>
        <v>91.707355031715323</v>
      </c>
    </row>
    <row r="2442" spans="1:13" ht="51">
      <c r="A2442" s="60" t="s">
        <v>1018</v>
      </c>
      <c r="B2442" s="29" t="s">
        <v>1011</v>
      </c>
      <c r="C2442" s="29" t="s">
        <v>17</v>
      </c>
      <c r="D2442" s="29" t="s">
        <v>110</v>
      </c>
      <c r="E2442" s="29" t="s">
        <v>1019</v>
      </c>
      <c r="F2442" s="59" t="s">
        <v>0</v>
      </c>
      <c r="G2442" s="36">
        <f>G2443</f>
        <v>88</v>
      </c>
      <c r="H2442" s="36">
        <f t="shared" ref="H2442:K2444" si="1310">H2443</f>
        <v>88</v>
      </c>
      <c r="I2442" s="36">
        <f t="shared" si="1310"/>
        <v>88</v>
      </c>
      <c r="J2442" s="36">
        <f t="shared" si="1310"/>
        <v>88</v>
      </c>
      <c r="K2442" s="36">
        <f t="shared" si="1310"/>
        <v>0</v>
      </c>
      <c r="L2442" s="36">
        <f t="shared" si="1308"/>
        <v>0</v>
      </c>
      <c r="M2442" s="36">
        <f t="shared" si="1309"/>
        <v>0</v>
      </c>
    </row>
    <row r="2443" spans="1:13" ht="51">
      <c r="A2443" s="60" t="s">
        <v>1018</v>
      </c>
      <c r="B2443" s="29" t="s">
        <v>1011</v>
      </c>
      <c r="C2443" s="29" t="s">
        <v>17</v>
      </c>
      <c r="D2443" s="29" t="s">
        <v>110</v>
      </c>
      <c r="E2443" s="29" t="s">
        <v>1020</v>
      </c>
      <c r="F2443" s="59" t="s">
        <v>0</v>
      </c>
      <c r="G2443" s="36">
        <f>G2444</f>
        <v>88</v>
      </c>
      <c r="H2443" s="36">
        <f t="shared" si="1310"/>
        <v>88</v>
      </c>
      <c r="I2443" s="36">
        <f t="shared" si="1310"/>
        <v>88</v>
      </c>
      <c r="J2443" s="36">
        <f t="shared" si="1310"/>
        <v>88</v>
      </c>
      <c r="K2443" s="36">
        <f t="shared" si="1310"/>
        <v>0</v>
      </c>
      <c r="L2443" s="36">
        <f t="shared" si="1308"/>
        <v>0</v>
      </c>
      <c r="M2443" s="36">
        <f t="shared" si="1309"/>
        <v>0</v>
      </c>
    </row>
    <row r="2444" spans="1:13" ht="25.5">
      <c r="A2444" s="60" t="s">
        <v>64</v>
      </c>
      <c r="B2444" s="29" t="s">
        <v>1011</v>
      </c>
      <c r="C2444" s="29" t="s">
        <v>17</v>
      </c>
      <c r="D2444" s="29" t="s">
        <v>110</v>
      </c>
      <c r="E2444" s="29" t="s">
        <v>1020</v>
      </c>
      <c r="F2444" s="29" t="s">
        <v>65</v>
      </c>
      <c r="G2444" s="36">
        <f>G2445</f>
        <v>88</v>
      </c>
      <c r="H2444" s="36">
        <f t="shared" si="1310"/>
        <v>88</v>
      </c>
      <c r="I2444" s="36">
        <f t="shared" si="1310"/>
        <v>88</v>
      </c>
      <c r="J2444" s="36">
        <f t="shared" si="1310"/>
        <v>88</v>
      </c>
      <c r="K2444" s="36">
        <f t="shared" si="1310"/>
        <v>0</v>
      </c>
      <c r="L2444" s="36">
        <f t="shared" si="1308"/>
        <v>0</v>
      </c>
      <c r="M2444" s="36">
        <f t="shared" si="1309"/>
        <v>0</v>
      </c>
    </row>
    <row r="2445" spans="1:13" ht="25.5">
      <c r="A2445" s="60" t="s">
        <v>66</v>
      </c>
      <c r="B2445" s="29" t="s">
        <v>1011</v>
      </c>
      <c r="C2445" s="29" t="s">
        <v>17</v>
      </c>
      <c r="D2445" s="29" t="s">
        <v>110</v>
      </c>
      <c r="E2445" s="29" t="s">
        <v>1020</v>
      </c>
      <c r="F2445" s="29" t="s">
        <v>67</v>
      </c>
      <c r="G2445" s="36">
        <v>88</v>
      </c>
      <c r="H2445" s="36">
        <v>88</v>
      </c>
      <c r="I2445" s="36">
        <v>88</v>
      </c>
      <c r="J2445" s="36">
        <v>88</v>
      </c>
      <c r="K2445" s="36">
        <v>0</v>
      </c>
      <c r="L2445" s="36">
        <f t="shared" si="1308"/>
        <v>0</v>
      </c>
      <c r="M2445" s="36">
        <f t="shared" si="1309"/>
        <v>0</v>
      </c>
    </row>
    <row r="2446" spans="1:13">
      <c r="A2446" s="60" t="s">
        <v>1021</v>
      </c>
      <c r="B2446" s="29" t="s">
        <v>1011</v>
      </c>
      <c r="C2446" s="29" t="s">
        <v>17</v>
      </c>
      <c r="D2446" s="29" t="s">
        <v>110</v>
      </c>
      <c r="E2446" s="29" t="s">
        <v>1022</v>
      </c>
      <c r="F2446" s="59" t="s">
        <v>0</v>
      </c>
      <c r="G2446" s="36">
        <f>G2447</f>
        <v>4071.4</v>
      </c>
      <c r="H2446" s="36">
        <f t="shared" ref="H2446:K2448" si="1311">H2447</f>
        <v>4071.4</v>
      </c>
      <c r="I2446" s="36">
        <f t="shared" si="1311"/>
        <v>4071.4</v>
      </c>
      <c r="J2446" s="36">
        <f t="shared" si="1311"/>
        <v>0</v>
      </c>
      <c r="K2446" s="36">
        <f t="shared" si="1311"/>
        <v>0</v>
      </c>
      <c r="L2446" s="36">
        <f t="shared" si="1308"/>
        <v>0</v>
      </c>
      <c r="M2446" s="36">
        <f t="shared" si="1309"/>
        <v>0</v>
      </c>
    </row>
    <row r="2447" spans="1:13" ht="25.5">
      <c r="A2447" s="60" t="s">
        <v>1023</v>
      </c>
      <c r="B2447" s="29" t="s">
        <v>1011</v>
      </c>
      <c r="C2447" s="29" t="s">
        <v>17</v>
      </c>
      <c r="D2447" s="29" t="s">
        <v>110</v>
      </c>
      <c r="E2447" s="29" t="s">
        <v>1024</v>
      </c>
      <c r="F2447" s="59" t="s">
        <v>0</v>
      </c>
      <c r="G2447" s="36">
        <f>G2448</f>
        <v>4071.4</v>
      </c>
      <c r="H2447" s="36">
        <f t="shared" si="1311"/>
        <v>4071.4</v>
      </c>
      <c r="I2447" s="36">
        <f t="shared" si="1311"/>
        <v>4071.4</v>
      </c>
      <c r="J2447" s="36">
        <f t="shared" si="1311"/>
        <v>0</v>
      </c>
      <c r="K2447" s="36">
        <f t="shared" si="1311"/>
        <v>0</v>
      </c>
      <c r="L2447" s="36">
        <f t="shared" si="1308"/>
        <v>0</v>
      </c>
      <c r="M2447" s="36">
        <f t="shared" si="1309"/>
        <v>0</v>
      </c>
    </row>
    <row r="2448" spans="1:13">
      <c r="A2448" s="60" t="s">
        <v>72</v>
      </c>
      <c r="B2448" s="29" t="s">
        <v>1011</v>
      </c>
      <c r="C2448" s="29" t="s">
        <v>17</v>
      </c>
      <c r="D2448" s="29" t="s">
        <v>110</v>
      </c>
      <c r="E2448" s="29" t="s">
        <v>1024</v>
      </c>
      <c r="F2448" s="29" t="s">
        <v>73</v>
      </c>
      <c r="G2448" s="36">
        <f>G2449</f>
        <v>4071.4</v>
      </c>
      <c r="H2448" s="36">
        <f t="shared" si="1311"/>
        <v>4071.4</v>
      </c>
      <c r="I2448" s="36">
        <f t="shared" si="1311"/>
        <v>4071.4</v>
      </c>
      <c r="J2448" s="36">
        <f t="shared" si="1311"/>
        <v>0</v>
      </c>
      <c r="K2448" s="36">
        <f t="shared" si="1311"/>
        <v>0</v>
      </c>
      <c r="L2448" s="36">
        <f t="shared" si="1308"/>
        <v>0</v>
      </c>
      <c r="M2448" s="36">
        <f t="shared" si="1309"/>
        <v>0</v>
      </c>
    </row>
    <row r="2449" spans="1:13">
      <c r="A2449" s="60" t="s">
        <v>615</v>
      </c>
      <c r="B2449" s="29" t="s">
        <v>1011</v>
      </c>
      <c r="C2449" s="29" t="s">
        <v>17</v>
      </c>
      <c r="D2449" s="29" t="s">
        <v>110</v>
      </c>
      <c r="E2449" s="29" t="s">
        <v>1024</v>
      </c>
      <c r="F2449" s="29" t="s">
        <v>616</v>
      </c>
      <c r="G2449" s="36">
        <v>4071.4</v>
      </c>
      <c r="H2449" s="36">
        <v>4071.4</v>
      </c>
      <c r="I2449" s="36">
        <v>4071.4</v>
      </c>
      <c r="J2449" s="36">
        <v>0</v>
      </c>
      <c r="K2449" s="36">
        <v>0</v>
      </c>
      <c r="L2449" s="36">
        <f t="shared" si="1308"/>
        <v>0</v>
      </c>
      <c r="M2449" s="36">
        <f t="shared" si="1309"/>
        <v>0</v>
      </c>
    </row>
    <row r="2450" spans="1:13">
      <c r="A2450" s="60" t="s">
        <v>1025</v>
      </c>
      <c r="B2450" s="29" t="s">
        <v>1011</v>
      </c>
      <c r="C2450" s="29" t="s">
        <v>17</v>
      </c>
      <c r="D2450" s="29" t="s">
        <v>110</v>
      </c>
      <c r="E2450" s="29" t="s">
        <v>1026</v>
      </c>
      <c r="F2450" s="59" t="s">
        <v>0</v>
      </c>
      <c r="G2450" s="36">
        <f>G2451</f>
        <v>30539</v>
      </c>
      <c r="H2450" s="36">
        <f t="shared" ref="H2450:K2450" si="1312">H2451</f>
        <v>30539</v>
      </c>
      <c r="I2450" s="36">
        <f t="shared" si="1312"/>
        <v>16934.8</v>
      </c>
      <c r="J2450" s="36">
        <f t="shared" si="1312"/>
        <v>16934.8</v>
      </c>
      <c r="K2450" s="36">
        <f t="shared" si="1312"/>
        <v>13912.664039999998</v>
      </c>
      <c r="L2450" s="36">
        <f t="shared" si="1308"/>
        <v>45.557038671862202</v>
      </c>
      <c r="M2450" s="36">
        <f t="shared" si="1309"/>
        <v>82.154286085457144</v>
      </c>
    </row>
    <row r="2451" spans="1:13" ht="25.5">
      <c r="A2451" s="60" t="s">
        <v>58</v>
      </c>
      <c r="B2451" s="29" t="s">
        <v>1011</v>
      </c>
      <c r="C2451" s="29" t="s">
        <v>17</v>
      </c>
      <c r="D2451" s="29" t="s">
        <v>110</v>
      </c>
      <c r="E2451" s="29" t="s">
        <v>1027</v>
      </c>
      <c r="F2451" s="59" t="s">
        <v>0</v>
      </c>
      <c r="G2451" s="36">
        <f>G2452+G2454+G2456</f>
        <v>30539</v>
      </c>
      <c r="H2451" s="36">
        <f t="shared" ref="H2451:K2451" si="1313">H2452+H2454+H2456</f>
        <v>30539</v>
      </c>
      <c r="I2451" s="36">
        <f t="shared" si="1313"/>
        <v>16934.8</v>
      </c>
      <c r="J2451" s="36">
        <f t="shared" si="1313"/>
        <v>16934.8</v>
      </c>
      <c r="K2451" s="36">
        <f t="shared" si="1313"/>
        <v>13912.664039999998</v>
      </c>
      <c r="L2451" s="36">
        <f t="shared" si="1308"/>
        <v>45.557038671862202</v>
      </c>
      <c r="M2451" s="36">
        <f t="shared" si="1309"/>
        <v>82.154286085457144</v>
      </c>
    </row>
    <row r="2452" spans="1:13" ht="63.75">
      <c r="A2452" s="60" t="s">
        <v>60</v>
      </c>
      <c r="B2452" s="29" t="s">
        <v>1011</v>
      </c>
      <c r="C2452" s="29" t="s">
        <v>17</v>
      </c>
      <c r="D2452" s="29" t="s">
        <v>110</v>
      </c>
      <c r="E2452" s="29" t="s">
        <v>1027</v>
      </c>
      <c r="F2452" s="29" t="s">
        <v>61</v>
      </c>
      <c r="G2452" s="36">
        <f>G2453</f>
        <v>29891.8</v>
      </c>
      <c r="H2452" s="36">
        <f t="shared" ref="H2452:K2452" si="1314">H2453</f>
        <v>29891.8</v>
      </c>
      <c r="I2452" s="36">
        <f t="shared" si="1314"/>
        <v>16595.8</v>
      </c>
      <c r="J2452" s="36">
        <f t="shared" si="1314"/>
        <v>16595.8</v>
      </c>
      <c r="K2452" s="36">
        <f t="shared" si="1314"/>
        <v>13699.355099999999</v>
      </c>
      <c r="L2452" s="36">
        <f t="shared" si="1308"/>
        <v>45.829809847516707</v>
      </c>
      <c r="M2452" s="36">
        <f t="shared" si="1309"/>
        <v>82.54712095831475</v>
      </c>
    </row>
    <row r="2453" spans="1:13" ht="25.5">
      <c r="A2453" s="60" t="s">
        <v>62</v>
      </c>
      <c r="B2453" s="29" t="s">
        <v>1011</v>
      </c>
      <c r="C2453" s="29" t="s">
        <v>17</v>
      </c>
      <c r="D2453" s="29" t="s">
        <v>110</v>
      </c>
      <c r="E2453" s="29" t="s">
        <v>1027</v>
      </c>
      <c r="F2453" s="29" t="s">
        <v>63</v>
      </c>
      <c r="G2453" s="36">
        <v>29891.8</v>
      </c>
      <c r="H2453" s="36">
        <v>29891.8</v>
      </c>
      <c r="I2453" s="36">
        <f>12192.8+713+3690</f>
        <v>16595.8</v>
      </c>
      <c r="J2453" s="36">
        <f t="shared" ref="J2453" si="1315">12192.8+713+3690</f>
        <v>16595.8</v>
      </c>
      <c r="K2453" s="36">
        <f>10409.55941+230.80928+3058.98641</f>
        <v>13699.355099999999</v>
      </c>
      <c r="L2453" s="36">
        <f t="shared" si="1308"/>
        <v>45.829809847516707</v>
      </c>
      <c r="M2453" s="36">
        <f t="shared" si="1309"/>
        <v>82.54712095831475</v>
      </c>
    </row>
    <row r="2454" spans="1:13" ht="25.5">
      <c r="A2454" s="60" t="s">
        <v>64</v>
      </c>
      <c r="B2454" s="29" t="s">
        <v>1011</v>
      </c>
      <c r="C2454" s="29" t="s">
        <v>17</v>
      </c>
      <c r="D2454" s="29" t="s">
        <v>110</v>
      </c>
      <c r="E2454" s="29" t="s">
        <v>1027</v>
      </c>
      <c r="F2454" s="29" t="s">
        <v>65</v>
      </c>
      <c r="G2454" s="36">
        <f>G2455</f>
        <v>629.20000000000005</v>
      </c>
      <c r="H2454" s="36">
        <f t="shared" ref="H2454:K2454" si="1316">H2455</f>
        <v>629.20000000000005</v>
      </c>
      <c r="I2454" s="36">
        <f t="shared" si="1316"/>
        <v>330</v>
      </c>
      <c r="J2454" s="36">
        <f t="shared" si="1316"/>
        <v>330</v>
      </c>
      <c r="K2454" s="36">
        <f t="shared" si="1316"/>
        <v>204.59793999999999</v>
      </c>
      <c r="L2454" s="36">
        <f t="shared" si="1308"/>
        <v>32.517155117609661</v>
      </c>
      <c r="M2454" s="36">
        <f t="shared" si="1309"/>
        <v>61.999375757575756</v>
      </c>
    </row>
    <row r="2455" spans="1:13" ht="25.5">
      <c r="A2455" s="60" t="s">
        <v>66</v>
      </c>
      <c r="B2455" s="29" t="s">
        <v>1011</v>
      </c>
      <c r="C2455" s="29" t="s">
        <v>17</v>
      </c>
      <c r="D2455" s="29" t="s">
        <v>110</v>
      </c>
      <c r="E2455" s="29" t="s">
        <v>1027</v>
      </c>
      <c r="F2455" s="29" t="s">
        <v>67</v>
      </c>
      <c r="G2455" s="36">
        <v>629.20000000000005</v>
      </c>
      <c r="H2455" s="36">
        <v>629.20000000000005</v>
      </c>
      <c r="I2455" s="36">
        <v>330</v>
      </c>
      <c r="J2455" s="36">
        <v>330</v>
      </c>
      <c r="K2455" s="36">
        <v>204.59793999999999</v>
      </c>
      <c r="L2455" s="36">
        <f t="shared" si="1308"/>
        <v>32.517155117609661</v>
      </c>
      <c r="M2455" s="36">
        <f t="shared" si="1309"/>
        <v>61.999375757575756</v>
      </c>
    </row>
    <row r="2456" spans="1:13">
      <c r="A2456" s="60" t="s">
        <v>72</v>
      </c>
      <c r="B2456" s="29" t="s">
        <v>1011</v>
      </c>
      <c r="C2456" s="29" t="s">
        <v>17</v>
      </c>
      <c r="D2456" s="29" t="s">
        <v>110</v>
      </c>
      <c r="E2456" s="29" t="s">
        <v>1027</v>
      </c>
      <c r="F2456" s="29" t="s">
        <v>73</v>
      </c>
      <c r="G2456" s="36">
        <f>G2457</f>
        <v>18</v>
      </c>
      <c r="H2456" s="36">
        <f t="shared" ref="H2456:K2456" si="1317">H2457</f>
        <v>18</v>
      </c>
      <c r="I2456" s="36">
        <f t="shared" si="1317"/>
        <v>9</v>
      </c>
      <c r="J2456" s="36">
        <f t="shared" si="1317"/>
        <v>9</v>
      </c>
      <c r="K2456" s="36">
        <f t="shared" si="1317"/>
        <v>8.7110000000000003</v>
      </c>
      <c r="L2456" s="36">
        <f t="shared" si="1308"/>
        <v>48.394444444444446</v>
      </c>
      <c r="M2456" s="36">
        <f t="shared" si="1309"/>
        <v>96.788888888888891</v>
      </c>
    </row>
    <row r="2457" spans="1:13">
      <c r="A2457" s="60" t="s">
        <v>74</v>
      </c>
      <c r="B2457" s="29" t="s">
        <v>1011</v>
      </c>
      <c r="C2457" s="29" t="s">
        <v>17</v>
      </c>
      <c r="D2457" s="29" t="s">
        <v>110</v>
      </c>
      <c r="E2457" s="29" t="s">
        <v>1027</v>
      </c>
      <c r="F2457" s="29" t="s">
        <v>75</v>
      </c>
      <c r="G2457" s="36">
        <v>18</v>
      </c>
      <c r="H2457" s="36">
        <v>18</v>
      </c>
      <c r="I2457" s="36">
        <v>9</v>
      </c>
      <c r="J2457" s="36">
        <v>9</v>
      </c>
      <c r="K2457" s="36">
        <f>0.235+8.476</f>
        <v>8.7110000000000003</v>
      </c>
      <c r="L2457" s="36">
        <f t="shared" si="1308"/>
        <v>48.394444444444446</v>
      </c>
      <c r="M2457" s="36">
        <f t="shared" si="1309"/>
        <v>96.788888888888891</v>
      </c>
    </row>
    <row r="2458" spans="1:13">
      <c r="A2458" s="65" t="s">
        <v>0</v>
      </c>
      <c r="B2458" s="66" t="s">
        <v>0</v>
      </c>
      <c r="C2458" s="59" t="s">
        <v>0</v>
      </c>
      <c r="D2458" s="59" t="s">
        <v>0</v>
      </c>
      <c r="E2458" s="59" t="s">
        <v>0</v>
      </c>
      <c r="F2458" s="59" t="s">
        <v>0</v>
      </c>
      <c r="G2458" s="67" t="s">
        <v>0</v>
      </c>
      <c r="H2458" s="67" t="s">
        <v>0</v>
      </c>
      <c r="I2458" s="67" t="s">
        <v>0</v>
      </c>
      <c r="J2458" s="67" t="s">
        <v>0</v>
      </c>
      <c r="K2458" s="67" t="s">
        <v>0</v>
      </c>
      <c r="L2458" s="67"/>
      <c r="M2458" s="67"/>
    </row>
    <row r="2459" spans="1:13" ht="38.25">
      <c r="A2459" s="57" t="s">
        <v>1028</v>
      </c>
      <c r="B2459" s="58" t="s">
        <v>1029</v>
      </c>
      <c r="C2459" s="59" t="s">
        <v>0</v>
      </c>
      <c r="D2459" s="59" t="s">
        <v>0</v>
      </c>
      <c r="E2459" s="59" t="s">
        <v>0</v>
      </c>
      <c r="F2459" s="59" t="s">
        <v>0</v>
      </c>
      <c r="G2459" s="31">
        <f>G2460</f>
        <v>40128.400000000001</v>
      </c>
      <c r="H2459" s="31">
        <f t="shared" ref="H2459:K2463" si="1318">H2460</f>
        <v>13276.328000000001</v>
      </c>
      <c r="I2459" s="31">
        <f t="shared" si="1318"/>
        <v>12921.468000000001</v>
      </c>
      <c r="J2459" s="31">
        <f t="shared" si="1318"/>
        <v>11634.284000000001</v>
      </c>
      <c r="K2459" s="31">
        <f t="shared" si="1318"/>
        <v>8999.8022999999994</v>
      </c>
      <c r="L2459" s="31">
        <f t="shared" si="1308"/>
        <v>67.788339516769994</v>
      </c>
      <c r="M2459" s="31">
        <f t="shared" si="1309"/>
        <v>69.649998746272473</v>
      </c>
    </row>
    <row r="2460" spans="1:13">
      <c r="A2460" s="60" t="s">
        <v>16</v>
      </c>
      <c r="B2460" s="29" t="s">
        <v>1029</v>
      </c>
      <c r="C2460" s="29" t="s">
        <v>17</v>
      </c>
      <c r="D2460" s="59" t="s">
        <v>0</v>
      </c>
      <c r="E2460" s="59" t="s">
        <v>0</v>
      </c>
      <c r="F2460" s="59" t="s">
        <v>0</v>
      </c>
      <c r="G2460" s="36">
        <f>G2461</f>
        <v>40128.400000000001</v>
      </c>
      <c r="H2460" s="36">
        <f t="shared" si="1318"/>
        <v>13276.328000000001</v>
      </c>
      <c r="I2460" s="36">
        <f t="shared" si="1318"/>
        <v>12921.468000000001</v>
      </c>
      <c r="J2460" s="36">
        <f t="shared" si="1318"/>
        <v>11634.284000000001</v>
      </c>
      <c r="K2460" s="36">
        <f t="shared" si="1318"/>
        <v>8999.8022999999994</v>
      </c>
      <c r="L2460" s="36">
        <f t="shared" si="1308"/>
        <v>67.788339516769994</v>
      </c>
      <c r="M2460" s="36">
        <f t="shared" si="1309"/>
        <v>69.649998746272473</v>
      </c>
    </row>
    <row r="2461" spans="1:13">
      <c r="A2461" s="60" t="s">
        <v>386</v>
      </c>
      <c r="B2461" s="29" t="s">
        <v>1029</v>
      </c>
      <c r="C2461" s="29" t="s">
        <v>17</v>
      </c>
      <c r="D2461" s="29" t="s">
        <v>387</v>
      </c>
      <c r="E2461" s="59" t="s">
        <v>0</v>
      </c>
      <c r="F2461" s="59" t="s">
        <v>0</v>
      </c>
      <c r="G2461" s="36">
        <f>G2462</f>
        <v>40128.400000000001</v>
      </c>
      <c r="H2461" s="36">
        <f t="shared" si="1318"/>
        <v>13276.328000000001</v>
      </c>
      <c r="I2461" s="36">
        <f t="shared" si="1318"/>
        <v>12921.468000000001</v>
      </c>
      <c r="J2461" s="36">
        <f t="shared" si="1318"/>
        <v>11634.284000000001</v>
      </c>
      <c r="K2461" s="36">
        <f t="shared" si="1318"/>
        <v>8999.8022999999994</v>
      </c>
      <c r="L2461" s="36">
        <f t="shared" si="1308"/>
        <v>67.788339516769994</v>
      </c>
      <c r="M2461" s="36">
        <f t="shared" si="1309"/>
        <v>69.649998746272473</v>
      </c>
    </row>
    <row r="2462" spans="1:13" ht="63.75">
      <c r="A2462" s="60" t="s">
        <v>953</v>
      </c>
      <c r="B2462" s="29" t="s">
        <v>1029</v>
      </c>
      <c r="C2462" s="29" t="s">
        <v>17</v>
      </c>
      <c r="D2462" s="29" t="s">
        <v>387</v>
      </c>
      <c r="E2462" s="29" t="s">
        <v>954</v>
      </c>
      <c r="F2462" s="59" t="s">
        <v>0</v>
      </c>
      <c r="G2462" s="36">
        <f>G2463</f>
        <v>40128.400000000001</v>
      </c>
      <c r="H2462" s="36">
        <f t="shared" si="1318"/>
        <v>13276.328000000001</v>
      </c>
      <c r="I2462" s="36">
        <f t="shared" si="1318"/>
        <v>12921.468000000001</v>
      </c>
      <c r="J2462" s="36">
        <f t="shared" si="1318"/>
        <v>11634.284000000001</v>
      </c>
      <c r="K2462" s="36">
        <f t="shared" si="1318"/>
        <v>8999.8022999999994</v>
      </c>
      <c r="L2462" s="36">
        <f t="shared" si="1308"/>
        <v>67.788339516769994</v>
      </c>
      <c r="M2462" s="36">
        <f t="shared" si="1309"/>
        <v>69.649998746272473</v>
      </c>
    </row>
    <row r="2463" spans="1:13" ht="25.5">
      <c r="A2463" s="60" t="s">
        <v>965</v>
      </c>
      <c r="B2463" s="29" t="s">
        <v>1029</v>
      </c>
      <c r="C2463" s="29" t="s">
        <v>17</v>
      </c>
      <c r="D2463" s="29" t="s">
        <v>387</v>
      </c>
      <c r="E2463" s="29" t="s">
        <v>966</v>
      </c>
      <c r="F2463" s="59" t="s">
        <v>0</v>
      </c>
      <c r="G2463" s="36">
        <f>G2464</f>
        <v>40128.400000000001</v>
      </c>
      <c r="H2463" s="36">
        <f t="shared" si="1318"/>
        <v>13276.328000000001</v>
      </c>
      <c r="I2463" s="36">
        <f t="shared" si="1318"/>
        <v>12921.468000000001</v>
      </c>
      <c r="J2463" s="36">
        <f t="shared" si="1318"/>
        <v>11634.284000000001</v>
      </c>
      <c r="K2463" s="36">
        <f t="shared" si="1318"/>
        <v>8999.8022999999994</v>
      </c>
      <c r="L2463" s="36">
        <f t="shared" si="1308"/>
        <v>67.788339516769994</v>
      </c>
      <c r="M2463" s="36">
        <f t="shared" si="1309"/>
        <v>69.649998746272473</v>
      </c>
    </row>
    <row r="2464" spans="1:13" ht="25.5">
      <c r="A2464" s="60" t="s">
        <v>58</v>
      </c>
      <c r="B2464" s="29" t="s">
        <v>1029</v>
      </c>
      <c r="C2464" s="29" t="s">
        <v>17</v>
      </c>
      <c r="D2464" s="29" t="s">
        <v>387</v>
      </c>
      <c r="E2464" s="29" t="s">
        <v>1030</v>
      </c>
      <c r="F2464" s="59" t="s">
        <v>0</v>
      </c>
      <c r="G2464" s="36">
        <f>G2465+G2467+G2469</f>
        <v>40128.400000000001</v>
      </c>
      <c r="H2464" s="36">
        <f t="shared" ref="H2464:K2464" si="1319">H2465+H2467+H2469</f>
        <v>13276.328000000001</v>
      </c>
      <c r="I2464" s="36">
        <f t="shared" si="1319"/>
        <v>12921.468000000001</v>
      </c>
      <c r="J2464" s="36">
        <f t="shared" si="1319"/>
        <v>11634.284000000001</v>
      </c>
      <c r="K2464" s="36">
        <f t="shared" si="1319"/>
        <v>8999.8022999999994</v>
      </c>
      <c r="L2464" s="36">
        <f t="shared" si="1308"/>
        <v>67.788339516769994</v>
      </c>
      <c r="M2464" s="36">
        <f t="shared" si="1309"/>
        <v>69.649998746272473</v>
      </c>
    </row>
    <row r="2465" spans="1:13" ht="63.75">
      <c r="A2465" s="60" t="s">
        <v>60</v>
      </c>
      <c r="B2465" s="29" t="s">
        <v>1029</v>
      </c>
      <c r="C2465" s="29" t="s">
        <v>17</v>
      </c>
      <c r="D2465" s="29" t="s">
        <v>387</v>
      </c>
      <c r="E2465" s="29" t="s">
        <v>1030</v>
      </c>
      <c r="F2465" s="29" t="s">
        <v>61</v>
      </c>
      <c r="G2465" s="36">
        <f>G2466</f>
        <v>38487.5</v>
      </c>
      <c r="H2465" s="36">
        <f t="shared" ref="H2465:K2465" si="1320">H2466</f>
        <v>12035.468000000001</v>
      </c>
      <c r="I2465" s="36">
        <f t="shared" si="1320"/>
        <v>12199.468000000001</v>
      </c>
      <c r="J2465" s="36">
        <f t="shared" si="1320"/>
        <v>11014.284000000001</v>
      </c>
      <c r="K2465" s="36">
        <f t="shared" si="1320"/>
        <v>8446.7730499999998</v>
      </c>
      <c r="L2465" s="36">
        <f t="shared" si="1308"/>
        <v>70.182339814288895</v>
      </c>
      <c r="M2465" s="36">
        <f t="shared" si="1309"/>
        <v>69.238863940624285</v>
      </c>
    </row>
    <row r="2466" spans="1:13" ht="25.5">
      <c r="A2466" s="60" t="s">
        <v>62</v>
      </c>
      <c r="B2466" s="29" t="s">
        <v>1029</v>
      </c>
      <c r="C2466" s="29" t="s">
        <v>17</v>
      </c>
      <c r="D2466" s="29" t="s">
        <v>387</v>
      </c>
      <c r="E2466" s="29" t="s">
        <v>1030</v>
      </c>
      <c r="F2466" s="29" t="s">
        <v>63</v>
      </c>
      <c r="G2466" s="36">
        <v>38487.5</v>
      </c>
      <c r="H2466" s="36">
        <v>12035.468000000001</v>
      </c>
      <c r="I2466" s="36">
        <f>9137.858+761.61+2300</f>
        <v>12199.468000000001</v>
      </c>
      <c r="J2466" s="36">
        <f>8252.674+461.61+2300</f>
        <v>11014.284000000001</v>
      </c>
      <c r="K2466" s="36">
        <f>6678.91503+93.85689+1674.00113</f>
        <v>8446.7730499999998</v>
      </c>
      <c r="L2466" s="36">
        <f t="shared" si="1308"/>
        <v>70.182339814288895</v>
      </c>
      <c r="M2466" s="36">
        <f t="shared" si="1309"/>
        <v>69.238863940624285</v>
      </c>
    </row>
    <row r="2467" spans="1:13" ht="25.5">
      <c r="A2467" s="60" t="s">
        <v>64</v>
      </c>
      <c r="B2467" s="29" t="s">
        <v>1029</v>
      </c>
      <c r="C2467" s="29" t="s">
        <v>17</v>
      </c>
      <c r="D2467" s="29" t="s">
        <v>387</v>
      </c>
      <c r="E2467" s="29" t="s">
        <v>1030</v>
      </c>
      <c r="F2467" s="29" t="s">
        <v>65</v>
      </c>
      <c r="G2467" s="36">
        <f>G2468</f>
        <v>1637.9</v>
      </c>
      <c r="H2467" s="36">
        <f t="shared" ref="H2467:K2467" si="1321">H2468</f>
        <v>1237.8599999999999</v>
      </c>
      <c r="I2467" s="36">
        <f t="shared" si="1321"/>
        <v>720</v>
      </c>
      <c r="J2467" s="36">
        <f t="shared" si="1321"/>
        <v>620</v>
      </c>
      <c r="K2467" s="36">
        <f t="shared" si="1321"/>
        <v>553.02925000000005</v>
      </c>
      <c r="L2467" s="36">
        <f t="shared" si="1308"/>
        <v>44.676235600148651</v>
      </c>
      <c r="M2467" s="36">
        <f t="shared" si="1309"/>
        <v>76.809618055555561</v>
      </c>
    </row>
    <row r="2468" spans="1:13" ht="25.5">
      <c r="A2468" s="60" t="s">
        <v>66</v>
      </c>
      <c r="B2468" s="29" t="s">
        <v>1029</v>
      </c>
      <c r="C2468" s="29" t="s">
        <v>17</v>
      </c>
      <c r="D2468" s="29" t="s">
        <v>387</v>
      </c>
      <c r="E2468" s="29" t="s">
        <v>1030</v>
      </c>
      <c r="F2468" s="29" t="s">
        <v>67</v>
      </c>
      <c r="G2468" s="36">
        <v>1637.9</v>
      </c>
      <c r="H2468" s="36">
        <v>1237.8599999999999</v>
      </c>
      <c r="I2468" s="36">
        <v>720</v>
      </c>
      <c r="J2468" s="36">
        <v>620</v>
      </c>
      <c r="K2468" s="36">
        <v>553.02925000000005</v>
      </c>
      <c r="L2468" s="36">
        <f t="shared" si="1308"/>
        <v>44.676235600148651</v>
      </c>
      <c r="M2468" s="36">
        <f t="shared" si="1309"/>
        <v>76.809618055555561</v>
      </c>
    </row>
    <row r="2469" spans="1:13">
      <c r="A2469" s="60" t="s">
        <v>72</v>
      </c>
      <c r="B2469" s="29" t="s">
        <v>1029</v>
      </c>
      <c r="C2469" s="29" t="s">
        <v>17</v>
      </c>
      <c r="D2469" s="29" t="s">
        <v>387</v>
      </c>
      <c r="E2469" s="29" t="s">
        <v>1030</v>
      </c>
      <c r="F2469" s="29" t="s">
        <v>73</v>
      </c>
      <c r="G2469" s="36">
        <f>G2470</f>
        <v>3</v>
      </c>
      <c r="H2469" s="36">
        <f t="shared" ref="H2469:K2469" si="1322">H2470</f>
        <v>3</v>
      </c>
      <c r="I2469" s="36">
        <f t="shared" si="1322"/>
        <v>2</v>
      </c>
      <c r="J2469" s="36">
        <f t="shared" si="1322"/>
        <v>0</v>
      </c>
      <c r="K2469" s="36">
        <f t="shared" si="1322"/>
        <v>0</v>
      </c>
      <c r="L2469" s="36">
        <f t="shared" si="1308"/>
        <v>0</v>
      </c>
      <c r="M2469" s="36">
        <f t="shared" si="1309"/>
        <v>0</v>
      </c>
    </row>
    <row r="2470" spans="1:13">
      <c r="A2470" s="60" t="s">
        <v>74</v>
      </c>
      <c r="B2470" s="29" t="s">
        <v>1029</v>
      </c>
      <c r="C2470" s="29" t="s">
        <v>17</v>
      </c>
      <c r="D2470" s="29" t="s">
        <v>387</v>
      </c>
      <c r="E2470" s="29" t="s">
        <v>1030</v>
      </c>
      <c r="F2470" s="29" t="s">
        <v>75</v>
      </c>
      <c r="G2470" s="36">
        <v>3</v>
      </c>
      <c r="H2470" s="36">
        <v>3</v>
      </c>
      <c r="I2470" s="36">
        <v>2</v>
      </c>
      <c r="J2470" s="36">
        <v>0</v>
      </c>
      <c r="K2470" s="36">
        <v>0</v>
      </c>
      <c r="L2470" s="36">
        <f t="shared" si="1308"/>
        <v>0</v>
      </c>
      <c r="M2470" s="36">
        <f t="shared" si="1309"/>
        <v>0</v>
      </c>
    </row>
    <row r="2471" spans="1:13">
      <c r="A2471" s="65" t="s">
        <v>0</v>
      </c>
      <c r="B2471" s="66" t="s">
        <v>0</v>
      </c>
      <c r="C2471" s="59" t="s">
        <v>0</v>
      </c>
      <c r="D2471" s="59" t="s">
        <v>0</v>
      </c>
      <c r="E2471" s="59" t="s">
        <v>0</v>
      </c>
      <c r="F2471" s="59" t="s">
        <v>0</v>
      </c>
      <c r="G2471" s="67" t="s">
        <v>0</v>
      </c>
      <c r="H2471" s="67" t="s">
        <v>0</v>
      </c>
      <c r="I2471" s="67" t="s">
        <v>0</v>
      </c>
      <c r="J2471" s="67" t="s">
        <v>0</v>
      </c>
      <c r="K2471" s="67" t="s">
        <v>0</v>
      </c>
      <c r="L2471" s="67"/>
      <c r="M2471" s="67"/>
    </row>
    <row r="2472" spans="1:13" ht="25.5">
      <c r="A2472" s="57" t="s">
        <v>1031</v>
      </c>
      <c r="B2472" s="58" t="s">
        <v>1032</v>
      </c>
      <c r="C2472" s="59" t="s">
        <v>0</v>
      </c>
      <c r="D2472" s="59" t="s">
        <v>0</v>
      </c>
      <c r="E2472" s="59" t="s">
        <v>0</v>
      </c>
      <c r="F2472" s="59" t="s">
        <v>0</v>
      </c>
      <c r="G2472" s="31">
        <f>G2473</f>
        <v>190963.09999999998</v>
      </c>
      <c r="H2472" s="31">
        <f t="shared" ref="H2472:K2474" si="1323">H2473</f>
        <v>190963.09999999998</v>
      </c>
      <c r="I2472" s="31">
        <f t="shared" si="1323"/>
        <v>104311.28599999999</v>
      </c>
      <c r="J2472" s="31">
        <f t="shared" si="1323"/>
        <v>103324.28599999999</v>
      </c>
      <c r="K2472" s="31">
        <f t="shared" si="1323"/>
        <v>80987.493190000008</v>
      </c>
      <c r="L2472" s="31">
        <f t="shared" si="1308"/>
        <v>42.410022245135323</v>
      </c>
      <c r="M2472" s="31">
        <f t="shared" si="1309"/>
        <v>77.640202029529206</v>
      </c>
    </row>
    <row r="2473" spans="1:13">
      <c r="A2473" s="60" t="s">
        <v>16</v>
      </c>
      <c r="B2473" s="29" t="s">
        <v>1032</v>
      </c>
      <c r="C2473" s="29" t="s">
        <v>17</v>
      </c>
      <c r="D2473" s="59" t="s">
        <v>0</v>
      </c>
      <c r="E2473" s="59" t="s">
        <v>0</v>
      </c>
      <c r="F2473" s="59" t="s">
        <v>0</v>
      </c>
      <c r="G2473" s="36">
        <f>G2474</f>
        <v>190963.09999999998</v>
      </c>
      <c r="H2473" s="36">
        <f t="shared" si="1323"/>
        <v>190963.09999999998</v>
      </c>
      <c r="I2473" s="36">
        <f t="shared" si="1323"/>
        <v>104311.28599999999</v>
      </c>
      <c r="J2473" s="36">
        <f t="shared" si="1323"/>
        <v>103324.28599999999</v>
      </c>
      <c r="K2473" s="36">
        <f t="shared" si="1323"/>
        <v>80987.493190000008</v>
      </c>
      <c r="L2473" s="36">
        <f t="shared" si="1308"/>
        <v>42.410022245135323</v>
      </c>
      <c r="M2473" s="36">
        <f t="shared" si="1309"/>
        <v>77.640202029529206</v>
      </c>
    </row>
    <row r="2474" spans="1:13" ht="51">
      <c r="A2474" s="60" t="s">
        <v>1033</v>
      </c>
      <c r="B2474" s="29" t="s">
        <v>1032</v>
      </c>
      <c r="C2474" s="29" t="s">
        <v>17</v>
      </c>
      <c r="D2474" s="29" t="s">
        <v>150</v>
      </c>
      <c r="E2474" s="59" t="s">
        <v>0</v>
      </c>
      <c r="F2474" s="59" t="s">
        <v>0</v>
      </c>
      <c r="G2474" s="36">
        <f>G2475</f>
        <v>190963.09999999998</v>
      </c>
      <c r="H2474" s="36">
        <f t="shared" si="1323"/>
        <v>190963.09999999998</v>
      </c>
      <c r="I2474" s="36">
        <f t="shared" si="1323"/>
        <v>104311.28599999999</v>
      </c>
      <c r="J2474" s="36">
        <f t="shared" si="1323"/>
        <v>103324.28599999999</v>
      </c>
      <c r="K2474" s="36">
        <f t="shared" si="1323"/>
        <v>80987.493190000008</v>
      </c>
      <c r="L2474" s="36">
        <f t="shared" si="1308"/>
        <v>42.410022245135323</v>
      </c>
      <c r="M2474" s="36">
        <f t="shared" si="1309"/>
        <v>77.640202029529206</v>
      </c>
    </row>
    <row r="2475" spans="1:13" ht="25.5">
      <c r="A2475" s="60" t="s">
        <v>1034</v>
      </c>
      <c r="B2475" s="29" t="s">
        <v>1032</v>
      </c>
      <c r="C2475" s="29" t="s">
        <v>17</v>
      </c>
      <c r="D2475" s="29" t="s">
        <v>150</v>
      </c>
      <c r="E2475" s="29" t="s">
        <v>1035</v>
      </c>
      <c r="F2475" s="59" t="s">
        <v>0</v>
      </c>
      <c r="G2475" s="36">
        <f>G2476+G2480+G2484</f>
        <v>190963.09999999998</v>
      </c>
      <c r="H2475" s="36">
        <f t="shared" ref="H2475:K2475" si="1324">H2476+H2480+H2484</f>
        <v>190963.09999999998</v>
      </c>
      <c r="I2475" s="36">
        <f t="shared" si="1324"/>
        <v>104311.28599999999</v>
      </c>
      <c r="J2475" s="36">
        <f t="shared" si="1324"/>
        <v>103324.28599999999</v>
      </c>
      <c r="K2475" s="36">
        <f t="shared" si="1324"/>
        <v>80987.493190000008</v>
      </c>
      <c r="L2475" s="36">
        <f t="shared" si="1308"/>
        <v>42.410022245135323</v>
      </c>
      <c r="M2475" s="36">
        <f t="shared" si="1309"/>
        <v>77.640202029529206</v>
      </c>
    </row>
    <row r="2476" spans="1:13" ht="25.5">
      <c r="A2476" s="60" t="s">
        <v>1036</v>
      </c>
      <c r="B2476" s="29" t="s">
        <v>1032</v>
      </c>
      <c r="C2476" s="29" t="s">
        <v>17</v>
      </c>
      <c r="D2476" s="29" t="s">
        <v>150</v>
      </c>
      <c r="E2476" s="29" t="s">
        <v>1037</v>
      </c>
      <c r="F2476" s="59" t="s">
        <v>0</v>
      </c>
      <c r="G2476" s="36">
        <f>G2477</f>
        <v>4540.8999999999996</v>
      </c>
      <c r="H2476" s="36">
        <f t="shared" ref="H2476:K2478" si="1325">H2477</f>
        <v>4540.8999999999996</v>
      </c>
      <c r="I2476" s="36">
        <f t="shared" si="1325"/>
        <v>2444.7309999999998</v>
      </c>
      <c r="J2476" s="36">
        <f t="shared" si="1325"/>
        <v>2444.7309999999998</v>
      </c>
      <c r="K2476" s="36">
        <f t="shared" si="1325"/>
        <v>2444.7302199999999</v>
      </c>
      <c r="L2476" s="36">
        <f t="shared" si="1308"/>
        <v>53.838010526547606</v>
      </c>
      <c r="M2476" s="36">
        <f t="shared" si="1309"/>
        <v>99.999968094649276</v>
      </c>
    </row>
    <row r="2477" spans="1:13" ht="25.5">
      <c r="A2477" s="60" t="s">
        <v>58</v>
      </c>
      <c r="B2477" s="29" t="s">
        <v>1032</v>
      </c>
      <c r="C2477" s="29" t="s">
        <v>17</v>
      </c>
      <c r="D2477" s="29" t="s">
        <v>150</v>
      </c>
      <c r="E2477" s="29" t="s">
        <v>1038</v>
      </c>
      <c r="F2477" s="59" t="s">
        <v>0</v>
      </c>
      <c r="G2477" s="36">
        <f>G2478</f>
        <v>4540.8999999999996</v>
      </c>
      <c r="H2477" s="36">
        <f t="shared" si="1325"/>
        <v>4540.8999999999996</v>
      </c>
      <c r="I2477" s="36">
        <f t="shared" si="1325"/>
        <v>2444.7309999999998</v>
      </c>
      <c r="J2477" s="36">
        <f t="shared" si="1325"/>
        <v>2444.7309999999998</v>
      </c>
      <c r="K2477" s="36">
        <f t="shared" si="1325"/>
        <v>2444.7302199999999</v>
      </c>
      <c r="L2477" s="36">
        <f t="shared" si="1308"/>
        <v>53.838010526547606</v>
      </c>
      <c r="M2477" s="36">
        <f t="shared" si="1309"/>
        <v>99.999968094649276</v>
      </c>
    </row>
    <row r="2478" spans="1:13" ht="63.75">
      <c r="A2478" s="60" t="s">
        <v>60</v>
      </c>
      <c r="B2478" s="29" t="s">
        <v>1032</v>
      </c>
      <c r="C2478" s="29" t="s">
        <v>17</v>
      </c>
      <c r="D2478" s="29" t="s">
        <v>150</v>
      </c>
      <c r="E2478" s="29" t="s">
        <v>1038</v>
      </c>
      <c r="F2478" s="29" t="s">
        <v>61</v>
      </c>
      <c r="G2478" s="36">
        <f>G2479</f>
        <v>4540.8999999999996</v>
      </c>
      <c r="H2478" s="36">
        <f t="shared" si="1325"/>
        <v>4540.8999999999996</v>
      </c>
      <c r="I2478" s="36">
        <f t="shared" si="1325"/>
        <v>2444.7309999999998</v>
      </c>
      <c r="J2478" s="36">
        <f t="shared" si="1325"/>
        <v>2444.7309999999998</v>
      </c>
      <c r="K2478" s="36">
        <f t="shared" si="1325"/>
        <v>2444.7302199999999</v>
      </c>
      <c r="L2478" s="36">
        <f t="shared" si="1308"/>
        <v>53.838010526547606</v>
      </c>
      <c r="M2478" s="36">
        <f t="shared" si="1309"/>
        <v>99.999968094649276</v>
      </c>
    </row>
    <row r="2479" spans="1:13" ht="25.5">
      <c r="A2479" s="60" t="s">
        <v>62</v>
      </c>
      <c r="B2479" s="29" t="s">
        <v>1032</v>
      </c>
      <c r="C2479" s="29" t="s">
        <v>17</v>
      </c>
      <c r="D2479" s="29" t="s">
        <v>150</v>
      </c>
      <c r="E2479" s="29" t="s">
        <v>1038</v>
      </c>
      <c r="F2479" s="29" t="s">
        <v>63</v>
      </c>
      <c r="G2479" s="36">
        <v>4540.8999999999996</v>
      </c>
      <c r="H2479" s="36">
        <v>4540.8999999999996</v>
      </c>
      <c r="I2479" s="36">
        <f>1838.287+197.6+408.844</f>
        <v>2444.7309999999998</v>
      </c>
      <c r="J2479" s="36">
        <f>1838.287+197.6+408.844</f>
        <v>2444.7309999999998</v>
      </c>
      <c r="K2479" s="36">
        <f>1838.28622+197.6+408.844</f>
        <v>2444.7302199999999</v>
      </c>
      <c r="L2479" s="36">
        <f t="shared" si="1308"/>
        <v>53.838010526547606</v>
      </c>
      <c r="M2479" s="36">
        <f t="shared" si="1309"/>
        <v>99.999968094649276</v>
      </c>
    </row>
    <row r="2480" spans="1:13" ht="25.5">
      <c r="A2480" s="60" t="s">
        <v>1039</v>
      </c>
      <c r="B2480" s="29" t="s">
        <v>1032</v>
      </c>
      <c r="C2480" s="29" t="s">
        <v>17</v>
      </c>
      <c r="D2480" s="29" t="s">
        <v>150</v>
      </c>
      <c r="E2480" s="29" t="s">
        <v>1040</v>
      </c>
      <c r="F2480" s="59" t="s">
        <v>0</v>
      </c>
      <c r="G2480" s="36">
        <f>G2481</f>
        <v>41293.199999999997</v>
      </c>
      <c r="H2480" s="36">
        <f t="shared" ref="H2480:K2482" si="1326">H2481</f>
        <v>41293.199999999997</v>
      </c>
      <c r="I2480" s="36">
        <f t="shared" si="1326"/>
        <v>26928.875</v>
      </c>
      <c r="J2480" s="36">
        <f t="shared" si="1326"/>
        <v>26928.875</v>
      </c>
      <c r="K2480" s="36">
        <f t="shared" si="1326"/>
        <v>20644.53559</v>
      </c>
      <c r="L2480" s="36">
        <f t="shared" si="1308"/>
        <v>49.995000605426561</v>
      </c>
      <c r="M2480" s="36">
        <f t="shared" si="1309"/>
        <v>76.663193653652442</v>
      </c>
    </row>
    <row r="2481" spans="1:13" ht="25.5">
      <c r="A2481" s="60" t="s">
        <v>58</v>
      </c>
      <c r="B2481" s="29" t="s">
        <v>1032</v>
      </c>
      <c r="C2481" s="29" t="s">
        <v>17</v>
      </c>
      <c r="D2481" s="29" t="s">
        <v>150</v>
      </c>
      <c r="E2481" s="29" t="s">
        <v>1041</v>
      </c>
      <c r="F2481" s="59" t="s">
        <v>0</v>
      </c>
      <c r="G2481" s="36">
        <f>G2482</f>
        <v>41293.199999999997</v>
      </c>
      <c r="H2481" s="36">
        <f t="shared" si="1326"/>
        <v>41293.199999999997</v>
      </c>
      <c r="I2481" s="36">
        <f t="shared" si="1326"/>
        <v>26928.875</v>
      </c>
      <c r="J2481" s="36">
        <f t="shared" si="1326"/>
        <v>26928.875</v>
      </c>
      <c r="K2481" s="36">
        <f t="shared" si="1326"/>
        <v>20644.53559</v>
      </c>
      <c r="L2481" s="36">
        <f t="shared" si="1308"/>
        <v>49.995000605426561</v>
      </c>
      <c r="M2481" s="36">
        <f t="shared" si="1309"/>
        <v>76.663193653652442</v>
      </c>
    </row>
    <row r="2482" spans="1:13" ht="63.75">
      <c r="A2482" s="60" t="s">
        <v>60</v>
      </c>
      <c r="B2482" s="29" t="s">
        <v>1032</v>
      </c>
      <c r="C2482" s="29" t="s">
        <v>17</v>
      </c>
      <c r="D2482" s="29" t="s">
        <v>150</v>
      </c>
      <c r="E2482" s="29" t="s">
        <v>1041</v>
      </c>
      <c r="F2482" s="29" t="s">
        <v>61</v>
      </c>
      <c r="G2482" s="36">
        <f>G2483</f>
        <v>41293.199999999997</v>
      </c>
      <c r="H2482" s="36">
        <f t="shared" si="1326"/>
        <v>41293.199999999997</v>
      </c>
      <c r="I2482" s="36">
        <f t="shared" si="1326"/>
        <v>26928.875</v>
      </c>
      <c r="J2482" s="36">
        <f t="shared" si="1326"/>
        <v>26928.875</v>
      </c>
      <c r="K2482" s="36">
        <f t="shared" si="1326"/>
        <v>20644.53559</v>
      </c>
      <c r="L2482" s="36">
        <f t="shared" si="1308"/>
        <v>49.995000605426561</v>
      </c>
      <c r="M2482" s="36">
        <f t="shared" si="1309"/>
        <v>76.663193653652442</v>
      </c>
    </row>
    <row r="2483" spans="1:13" ht="25.5">
      <c r="A2483" s="60" t="s">
        <v>62</v>
      </c>
      <c r="B2483" s="29" t="s">
        <v>1032</v>
      </c>
      <c r="C2483" s="29" t="s">
        <v>17</v>
      </c>
      <c r="D2483" s="29" t="s">
        <v>150</v>
      </c>
      <c r="E2483" s="29" t="s">
        <v>1041</v>
      </c>
      <c r="F2483" s="29" t="s">
        <v>63</v>
      </c>
      <c r="G2483" s="36">
        <v>41293.199999999997</v>
      </c>
      <c r="H2483" s="36">
        <v>41293.199999999997</v>
      </c>
      <c r="I2483" s="36">
        <f>18624.37+3170+5134.505</f>
        <v>26928.875</v>
      </c>
      <c r="J2483" s="36">
        <f>18624.37+3170+5134.505</f>
        <v>26928.875</v>
      </c>
      <c r="K2483" s="36">
        <f>13904.75976+2703.27785+4036.49798</f>
        <v>20644.53559</v>
      </c>
      <c r="L2483" s="36">
        <f t="shared" si="1308"/>
        <v>49.995000605426561</v>
      </c>
      <c r="M2483" s="36">
        <f t="shared" si="1309"/>
        <v>76.663193653652442</v>
      </c>
    </row>
    <row r="2484" spans="1:13">
      <c r="A2484" s="60" t="s">
        <v>1042</v>
      </c>
      <c r="B2484" s="29" t="s">
        <v>1032</v>
      </c>
      <c r="C2484" s="29" t="s">
        <v>17</v>
      </c>
      <c r="D2484" s="29" t="s">
        <v>150</v>
      </c>
      <c r="E2484" s="29" t="s">
        <v>1043</v>
      </c>
      <c r="F2484" s="59" t="s">
        <v>0</v>
      </c>
      <c r="G2484" s="36">
        <f>G2485+G2493</f>
        <v>145128.99999999997</v>
      </c>
      <c r="H2484" s="36">
        <f t="shared" ref="H2484:K2484" si="1327">H2485+H2493</f>
        <v>145128.99999999997</v>
      </c>
      <c r="I2484" s="36">
        <f t="shared" si="1327"/>
        <v>74937.679999999993</v>
      </c>
      <c r="J2484" s="36">
        <f t="shared" si="1327"/>
        <v>73950.679999999993</v>
      </c>
      <c r="K2484" s="36">
        <f t="shared" si="1327"/>
        <v>57898.227380000004</v>
      </c>
      <c r="L2484" s="36">
        <f t="shared" si="1308"/>
        <v>39.894319798248468</v>
      </c>
      <c r="M2484" s="36">
        <f t="shared" si="1309"/>
        <v>77.261835941545044</v>
      </c>
    </row>
    <row r="2485" spans="1:13" ht="25.5">
      <c r="A2485" s="60" t="s">
        <v>58</v>
      </c>
      <c r="B2485" s="29" t="s">
        <v>1032</v>
      </c>
      <c r="C2485" s="29" t="s">
        <v>17</v>
      </c>
      <c r="D2485" s="29" t="s">
        <v>150</v>
      </c>
      <c r="E2485" s="29" t="s">
        <v>1044</v>
      </c>
      <c r="F2485" s="59" t="s">
        <v>0</v>
      </c>
      <c r="G2485" s="36">
        <f>G2486+G2488+G2490</f>
        <v>142809.59999999998</v>
      </c>
      <c r="H2485" s="36">
        <f t="shared" ref="H2485:K2485" si="1328">H2486+H2488+H2490</f>
        <v>142809.59999999998</v>
      </c>
      <c r="I2485" s="36">
        <f t="shared" si="1328"/>
        <v>74487.679999999993</v>
      </c>
      <c r="J2485" s="36">
        <f t="shared" si="1328"/>
        <v>73800.679999999993</v>
      </c>
      <c r="K2485" s="36">
        <f t="shared" si="1328"/>
        <v>57832.442520000004</v>
      </c>
      <c r="L2485" s="36">
        <f t="shared" si="1308"/>
        <v>40.496186894998665</v>
      </c>
      <c r="M2485" s="36">
        <f t="shared" si="1309"/>
        <v>77.640278929347801</v>
      </c>
    </row>
    <row r="2486" spans="1:13" ht="63.75">
      <c r="A2486" s="60" t="s">
        <v>60</v>
      </c>
      <c r="B2486" s="29" t="s">
        <v>1032</v>
      </c>
      <c r="C2486" s="29" t="s">
        <v>17</v>
      </c>
      <c r="D2486" s="29" t="s">
        <v>150</v>
      </c>
      <c r="E2486" s="29" t="s">
        <v>1044</v>
      </c>
      <c r="F2486" s="29" t="s">
        <v>61</v>
      </c>
      <c r="G2486" s="36">
        <f>G2487</f>
        <v>102047</v>
      </c>
      <c r="H2486" s="36">
        <f t="shared" ref="H2486:K2486" si="1329">H2487</f>
        <v>102047</v>
      </c>
      <c r="I2486" s="36">
        <f t="shared" si="1329"/>
        <v>61442.879999999997</v>
      </c>
      <c r="J2486" s="36">
        <f t="shared" si="1329"/>
        <v>61442.879999999997</v>
      </c>
      <c r="K2486" s="36">
        <f t="shared" si="1329"/>
        <v>49888.578240000003</v>
      </c>
      <c r="L2486" s="36">
        <f t="shared" si="1308"/>
        <v>48.887844071849244</v>
      </c>
      <c r="M2486" s="36">
        <f t="shared" si="1309"/>
        <v>81.195051794447153</v>
      </c>
    </row>
    <row r="2487" spans="1:13" ht="25.5">
      <c r="A2487" s="60" t="s">
        <v>62</v>
      </c>
      <c r="B2487" s="29" t="s">
        <v>1032</v>
      </c>
      <c r="C2487" s="29" t="s">
        <v>17</v>
      </c>
      <c r="D2487" s="29" t="s">
        <v>150</v>
      </c>
      <c r="E2487" s="29" t="s">
        <v>1044</v>
      </c>
      <c r="F2487" s="29" t="s">
        <v>63</v>
      </c>
      <c r="G2487" s="36">
        <v>102047</v>
      </c>
      <c r="H2487" s="36">
        <v>102047</v>
      </c>
      <c r="I2487" s="36">
        <f>32252.48+1951+14246.4+12993</f>
        <v>61442.879999999997</v>
      </c>
      <c r="J2487" s="36">
        <f>32252.48+1951+14246.4+12993</f>
        <v>61442.879999999997</v>
      </c>
      <c r="K2487" s="36">
        <f>23692.29202+1942.32631+13571.98025+10681.97966</f>
        <v>49888.578240000003</v>
      </c>
      <c r="L2487" s="36">
        <f t="shared" si="1308"/>
        <v>48.887844071849244</v>
      </c>
      <c r="M2487" s="36">
        <f t="shared" si="1309"/>
        <v>81.195051794447153</v>
      </c>
    </row>
    <row r="2488" spans="1:13" ht="25.5">
      <c r="A2488" s="60" t="s">
        <v>64</v>
      </c>
      <c r="B2488" s="29" t="s">
        <v>1032</v>
      </c>
      <c r="C2488" s="29" t="s">
        <v>17</v>
      </c>
      <c r="D2488" s="29" t="s">
        <v>150</v>
      </c>
      <c r="E2488" s="29" t="s">
        <v>1044</v>
      </c>
      <c r="F2488" s="29" t="s">
        <v>65</v>
      </c>
      <c r="G2488" s="36">
        <f>G2489</f>
        <v>40716.800000000003</v>
      </c>
      <c r="H2488" s="36">
        <f t="shared" ref="H2488:K2488" si="1330">H2489</f>
        <v>40714.800000000003</v>
      </c>
      <c r="I2488" s="36">
        <f t="shared" si="1330"/>
        <v>13019.9</v>
      </c>
      <c r="J2488" s="36">
        <f t="shared" si="1330"/>
        <v>12334.9</v>
      </c>
      <c r="K2488" s="36">
        <f t="shared" si="1330"/>
        <v>7925.5492800000002</v>
      </c>
      <c r="L2488" s="36">
        <f t="shared" si="1308"/>
        <v>19.466015502962065</v>
      </c>
      <c r="M2488" s="36">
        <f t="shared" si="1309"/>
        <v>60.872581817064656</v>
      </c>
    </row>
    <row r="2489" spans="1:13" ht="25.5">
      <c r="A2489" s="60" t="s">
        <v>66</v>
      </c>
      <c r="B2489" s="29" t="s">
        <v>1032</v>
      </c>
      <c r="C2489" s="29" t="s">
        <v>17</v>
      </c>
      <c r="D2489" s="29" t="s">
        <v>150</v>
      </c>
      <c r="E2489" s="29" t="s">
        <v>1044</v>
      </c>
      <c r="F2489" s="29" t="s">
        <v>67</v>
      </c>
      <c r="G2489" s="36">
        <v>40716.800000000003</v>
      </c>
      <c r="H2489" s="36">
        <v>40714.800000000003</v>
      </c>
      <c r="I2489" s="36">
        <v>13019.9</v>
      </c>
      <c r="J2489" s="36">
        <v>12334.9</v>
      </c>
      <c r="K2489" s="36">
        <v>7925.5492800000002</v>
      </c>
      <c r="L2489" s="36">
        <f t="shared" si="1308"/>
        <v>19.466015502962065</v>
      </c>
      <c r="M2489" s="36">
        <f t="shared" si="1309"/>
        <v>60.872581817064656</v>
      </c>
    </row>
    <row r="2490" spans="1:13">
      <c r="A2490" s="60" t="s">
        <v>72</v>
      </c>
      <c r="B2490" s="29" t="s">
        <v>1032</v>
      </c>
      <c r="C2490" s="29" t="s">
        <v>17</v>
      </c>
      <c r="D2490" s="29" t="s">
        <v>150</v>
      </c>
      <c r="E2490" s="29" t="s">
        <v>1044</v>
      </c>
      <c r="F2490" s="29" t="s">
        <v>73</v>
      </c>
      <c r="G2490" s="36">
        <f>G2492</f>
        <v>45.8</v>
      </c>
      <c r="H2490" s="36">
        <f>H2492+H2491</f>
        <v>47.8</v>
      </c>
      <c r="I2490" s="36">
        <f t="shared" ref="I2490:K2490" si="1331">I2492+I2491</f>
        <v>24.9</v>
      </c>
      <c r="J2490" s="36">
        <f t="shared" si="1331"/>
        <v>22.9</v>
      </c>
      <c r="K2490" s="36">
        <f t="shared" si="1331"/>
        <v>18.315000000000001</v>
      </c>
      <c r="L2490" s="36">
        <f t="shared" si="1308"/>
        <v>38.31589958158996</v>
      </c>
      <c r="M2490" s="36">
        <f t="shared" si="1309"/>
        <v>73.55421686746989</v>
      </c>
    </row>
    <row r="2491" spans="1:13">
      <c r="A2491" s="60" t="s">
        <v>84</v>
      </c>
      <c r="B2491" s="29" t="s">
        <v>1032</v>
      </c>
      <c r="C2491" s="29" t="s">
        <v>17</v>
      </c>
      <c r="D2491" s="29" t="s">
        <v>150</v>
      </c>
      <c r="E2491" s="29" t="s">
        <v>1044</v>
      </c>
      <c r="F2491" s="29">
        <v>830</v>
      </c>
      <c r="G2491" s="36"/>
      <c r="H2491" s="36">
        <v>2</v>
      </c>
      <c r="I2491" s="36">
        <v>2</v>
      </c>
      <c r="J2491" s="36">
        <v>2</v>
      </c>
      <c r="K2491" s="36">
        <v>0</v>
      </c>
      <c r="L2491" s="36"/>
      <c r="M2491" s="36"/>
    </row>
    <row r="2492" spans="1:13">
      <c r="A2492" s="60" t="s">
        <v>74</v>
      </c>
      <c r="B2492" s="29" t="s">
        <v>1032</v>
      </c>
      <c r="C2492" s="29" t="s">
        <v>17</v>
      </c>
      <c r="D2492" s="29" t="s">
        <v>150</v>
      </c>
      <c r="E2492" s="29" t="s">
        <v>1044</v>
      </c>
      <c r="F2492" s="29" t="s">
        <v>75</v>
      </c>
      <c r="G2492" s="36">
        <v>45.8</v>
      </c>
      <c r="H2492" s="36">
        <f>39.8+5+1</f>
        <v>45.8</v>
      </c>
      <c r="I2492" s="36">
        <v>22.9</v>
      </c>
      <c r="J2492" s="36">
        <v>20.9</v>
      </c>
      <c r="K2492" s="36">
        <v>18.315000000000001</v>
      </c>
      <c r="L2492" s="36">
        <f t="shared" si="1308"/>
        <v>39.989082969432324</v>
      </c>
      <c r="M2492" s="36">
        <f t="shared" si="1309"/>
        <v>79.978165938864649</v>
      </c>
    </row>
    <row r="2493" spans="1:13" ht="38.25">
      <c r="A2493" s="60" t="s">
        <v>1045</v>
      </c>
      <c r="B2493" s="29" t="s">
        <v>1032</v>
      </c>
      <c r="C2493" s="29" t="s">
        <v>17</v>
      </c>
      <c r="D2493" s="29" t="s">
        <v>150</v>
      </c>
      <c r="E2493" s="29" t="s">
        <v>1046</v>
      </c>
      <c r="F2493" s="59" t="s">
        <v>0</v>
      </c>
      <c r="G2493" s="36">
        <f>G2494</f>
        <v>2319.4</v>
      </c>
      <c r="H2493" s="36">
        <f t="shared" ref="H2493:K2494" si="1332">H2494</f>
        <v>2319.4</v>
      </c>
      <c r="I2493" s="36">
        <f t="shared" si="1332"/>
        <v>450</v>
      </c>
      <c r="J2493" s="36">
        <f t="shared" si="1332"/>
        <v>150</v>
      </c>
      <c r="K2493" s="36">
        <f t="shared" si="1332"/>
        <v>65.784859999999995</v>
      </c>
      <c r="L2493" s="36">
        <f t="shared" si="1308"/>
        <v>2.8362878330602737</v>
      </c>
      <c r="M2493" s="36">
        <f t="shared" si="1309"/>
        <v>14.618857777777777</v>
      </c>
    </row>
    <row r="2494" spans="1:13">
      <c r="A2494" s="60" t="s">
        <v>26</v>
      </c>
      <c r="B2494" s="29" t="s">
        <v>1032</v>
      </c>
      <c r="C2494" s="29" t="s">
        <v>17</v>
      </c>
      <c r="D2494" s="29" t="s">
        <v>150</v>
      </c>
      <c r="E2494" s="29" t="s">
        <v>1046</v>
      </c>
      <c r="F2494" s="29" t="s">
        <v>27</v>
      </c>
      <c r="G2494" s="36">
        <f>G2495</f>
        <v>2319.4</v>
      </c>
      <c r="H2494" s="36">
        <f t="shared" si="1332"/>
        <v>2319.4</v>
      </c>
      <c r="I2494" s="36">
        <f t="shared" si="1332"/>
        <v>450</v>
      </c>
      <c r="J2494" s="36">
        <f t="shared" si="1332"/>
        <v>150</v>
      </c>
      <c r="K2494" s="36">
        <f t="shared" si="1332"/>
        <v>65.784859999999995</v>
      </c>
      <c r="L2494" s="36">
        <f t="shared" si="1308"/>
        <v>2.8362878330602737</v>
      </c>
      <c r="M2494" s="36">
        <f t="shared" si="1309"/>
        <v>14.618857777777777</v>
      </c>
    </row>
    <row r="2495" spans="1:13">
      <c r="A2495" s="60" t="s">
        <v>352</v>
      </c>
      <c r="B2495" s="29" t="s">
        <v>1032</v>
      </c>
      <c r="C2495" s="29" t="s">
        <v>17</v>
      </c>
      <c r="D2495" s="29" t="s">
        <v>150</v>
      </c>
      <c r="E2495" s="29" t="s">
        <v>1046</v>
      </c>
      <c r="F2495" s="29" t="s">
        <v>353</v>
      </c>
      <c r="G2495" s="36">
        <v>2319.4</v>
      </c>
      <c r="H2495" s="36">
        <v>2319.4</v>
      </c>
      <c r="I2495" s="36">
        <v>450</v>
      </c>
      <c r="J2495" s="36">
        <v>150</v>
      </c>
      <c r="K2495" s="36">
        <v>65.784859999999995</v>
      </c>
      <c r="L2495" s="36">
        <f t="shared" si="1308"/>
        <v>2.8362878330602737</v>
      </c>
      <c r="M2495" s="36">
        <f t="shared" si="1309"/>
        <v>14.618857777777777</v>
      </c>
    </row>
    <row r="2496" spans="1:13">
      <c r="A2496" s="65" t="s">
        <v>0</v>
      </c>
      <c r="B2496" s="66" t="s">
        <v>0</v>
      </c>
      <c r="C2496" s="59" t="s">
        <v>0</v>
      </c>
      <c r="D2496" s="59" t="s">
        <v>0</v>
      </c>
      <c r="E2496" s="59" t="s">
        <v>0</v>
      </c>
      <c r="F2496" s="59" t="s">
        <v>0</v>
      </c>
      <c r="G2496" s="67" t="s">
        <v>0</v>
      </c>
      <c r="H2496" s="67" t="s">
        <v>0</v>
      </c>
      <c r="I2496" s="67" t="s">
        <v>0</v>
      </c>
      <c r="J2496" s="67" t="s">
        <v>0</v>
      </c>
      <c r="K2496" s="67" t="s">
        <v>0</v>
      </c>
      <c r="L2496" s="67"/>
      <c r="M2496" s="67"/>
    </row>
    <row r="2497" spans="1:13" ht="25.5">
      <c r="A2497" s="57" t="s">
        <v>1047</v>
      </c>
      <c r="B2497" s="58" t="s">
        <v>1048</v>
      </c>
      <c r="C2497" s="59" t="s">
        <v>0</v>
      </c>
      <c r="D2497" s="59" t="s">
        <v>0</v>
      </c>
      <c r="E2497" s="59" t="s">
        <v>0</v>
      </c>
      <c r="F2497" s="59" t="s">
        <v>0</v>
      </c>
      <c r="G2497" s="31">
        <f>G2498+G2515+G2539+G2560</f>
        <v>103683.8</v>
      </c>
      <c r="H2497" s="31">
        <f t="shared" ref="H2497:K2497" si="1333">H2498+H2515+H2539+H2560</f>
        <v>318011.00691</v>
      </c>
      <c r="I2497" s="31">
        <f t="shared" si="1333"/>
        <v>53259.795300000005</v>
      </c>
      <c r="J2497" s="31">
        <f t="shared" si="1333"/>
        <v>53259.795300000005</v>
      </c>
      <c r="K2497" s="31">
        <f t="shared" si="1333"/>
        <v>52639.20736</v>
      </c>
      <c r="L2497" s="31">
        <f t="shared" si="1308"/>
        <v>16.55263692646254</v>
      </c>
      <c r="M2497" s="31">
        <f t="shared" si="1309"/>
        <v>98.834790977876693</v>
      </c>
    </row>
    <row r="2498" spans="1:13">
      <c r="A2498" s="60" t="s">
        <v>16</v>
      </c>
      <c r="B2498" s="29" t="s">
        <v>1048</v>
      </c>
      <c r="C2498" s="29" t="s">
        <v>17</v>
      </c>
      <c r="D2498" s="59" t="s">
        <v>0</v>
      </c>
      <c r="E2498" s="59" t="s">
        <v>0</v>
      </c>
      <c r="F2498" s="59" t="s">
        <v>0</v>
      </c>
      <c r="G2498" s="36">
        <f>G2499</f>
        <v>24591.9</v>
      </c>
      <c r="H2498" s="36">
        <f t="shared" ref="H2498:K2499" si="1334">H2499</f>
        <v>24591.852200000001</v>
      </c>
      <c r="I2498" s="36">
        <f t="shared" si="1334"/>
        <v>7963.7779600000003</v>
      </c>
      <c r="J2498" s="36">
        <f t="shared" si="1334"/>
        <v>7963.7779600000003</v>
      </c>
      <c r="K2498" s="36">
        <f t="shared" si="1334"/>
        <v>7791.4439900000007</v>
      </c>
      <c r="L2498" s="36">
        <f t="shared" si="1308"/>
        <v>31.68303032497894</v>
      </c>
      <c r="M2498" s="36">
        <f t="shared" si="1309"/>
        <v>97.836027437409882</v>
      </c>
    </row>
    <row r="2499" spans="1:13">
      <c r="A2499" s="60" t="s">
        <v>386</v>
      </c>
      <c r="B2499" s="29" t="s">
        <v>1048</v>
      </c>
      <c r="C2499" s="29" t="s">
        <v>17</v>
      </c>
      <c r="D2499" s="29" t="s">
        <v>387</v>
      </c>
      <c r="E2499" s="59" t="s">
        <v>0</v>
      </c>
      <c r="F2499" s="59" t="s">
        <v>0</v>
      </c>
      <c r="G2499" s="36">
        <f>G2500</f>
        <v>24591.9</v>
      </c>
      <c r="H2499" s="36">
        <f t="shared" si="1334"/>
        <v>24591.852200000001</v>
      </c>
      <c r="I2499" s="36">
        <f t="shared" si="1334"/>
        <v>7963.7779600000003</v>
      </c>
      <c r="J2499" s="36">
        <f t="shared" si="1334"/>
        <v>7963.7779600000003</v>
      </c>
      <c r="K2499" s="36">
        <f t="shared" si="1334"/>
        <v>7791.4439900000007</v>
      </c>
      <c r="L2499" s="36">
        <f t="shared" si="1308"/>
        <v>31.68303032497894</v>
      </c>
      <c r="M2499" s="36">
        <f t="shared" si="1309"/>
        <v>97.836027437409882</v>
      </c>
    </row>
    <row r="2500" spans="1:13" ht="38.25">
      <c r="A2500" s="60" t="s">
        <v>1049</v>
      </c>
      <c r="B2500" s="29" t="s">
        <v>1048</v>
      </c>
      <c r="C2500" s="29" t="s">
        <v>17</v>
      </c>
      <c r="D2500" s="29" t="s">
        <v>387</v>
      </c>
      <c r="E2500" s="29" t="s">
        <v>1050</v>
      </c>
      <c r="F2500" s="59" t="s">
        <v>0</v>
      </c>
      <c r="G2500" s="36">
        <f>G2501+G2506+G2509</f>
        <v>24591.9</v>
      </c>
      <c r="H2500" s="36">
        <f t="shared" ref="H2500:K2500" si="1335">H2501+H2506+H2509</f>
        <v>24591.852200000001</v>
      </c>
      <c r="I2500" s="36">
        <f t="shared" si="1335"/>
        <v>7963.7779600000003</v>
      </c>
      <c r="J2500" s="36">
        <f t="shared" si="1335"/>
        <v>7963.7779600000003</v>
      </c>
      <c r="K2500" s="36">
        <f t="shared" si="1335"/>
        <v>7791.4439900000007</v>
      </c>
      <c r="L2500" s="36">
        <f t="shared" si="1308"/>
        <v>31.68303032497894</v>
      </c>
      <c r="M2500" s="36">
        <f t="shared" si="1309"/>
        <v>97.836027437409882</v>
      </c>
    </row>
    <row r="2501" spans="1:13" ht="25.5">
      <c r="A2501" s="60" t="s">
        <v>58</v>
      </c>
      <c r="B2501" s="29" t="s">
        <v>1048</v>
      </c>
      <c r="C2501" s="29" t="s">
        <v>17</v>
      </c>
      <c r="D2501" s="29" t="s">
        <v>387</v>
      </c>
      <c r="E2501" s="29" t="s">
        <v>1051</v>
      </c>
      <c r="F2501" s="59" t="s">
        <v>0</v>
      </c>
      <c r="G2501" s="36">
        <f>G2502+G2504</f>
        <v>9703</v>
      </c>
      <c r="H2501" s="36">
        <f t="shared" ref="H2501:K2501" si="1336">H2502+H2504</f>
        <v>9703</v>
      </c>
      <c r="I2501" s="36">
        <f t="shared" si="1336"/>
        <v>5520</v>
      </c>
      <c r="J2501" s="36">
        <f t="shared" si="1336"/>
        <v>5520</v>
      </c>
      <c r="K2501" s="36">
        <f t="shared" si="1336"/>
        <v>5347.6660300000003</v>
      </c>
      <c r="L2501" s="36">
        <f t="shared" si="1308"/>
        <v>55.113532206534067</v>
      </c>
      <c r="M2501" s="36">
        <f t="shared" si="1309"/>
        <v>96.878007789855076</v>
      </c>
    </row>
    <row r="2502" spans="1:13" ht="63.75">
      <c r="A2502" s="60" t="s">
        <v>60</v>
      </c>
      <c r="B2502" s="29" t="s">
        <v>1048</v>
      </c>
      <c r="C2502" s="29" t="s">
        <v>17</v>
      </c>
      <c r="D2502" s="29" t="s">
        <v>387</v>
      </c>
      <c r="E2502" s="29" t="s">
        <v>1051</v>
      </c>
      <c r="F2502" s="29" t="s">
        <v>61</v>
      </c>
      <c r="G2502" s="36">
        <f>G2503</f>
        <v>8570.2000000000007</v>
      </c>
      <c r="H2502" s="36">
        <f t="shared" ref="H2502:K2502" si="1337">H2503</f>
        <v>8570.2000000000007</v>
      </c>
      <c r="I2502" s="36">
        <f t="shared" si="1337"/>
        <v>4980</v>
      </c>
      <c r="J2502" s="36">
        <f t="shared" si="1337"/>
        <v>4980</v>
      </c>
      <c r="K2502" s="36">
        <f t="shared" si="1337"/>
        <v>4901.6953000000003</v>
      </c>
      <c r="L2502" s="36">
        <f t="shared" si="1308"/>
        <v>57.194643065506057</v>
      </c>
      <c r="M2502" s="36">
        <f t="shared" si="1309"/>
        <v>98.427616465863466</v>
      </c>
    </row>
    <row r="2503" spans="1:13" ht="25.5">
      <c r="A2503" s="60" t="s">
        <v>62</v>
      </c>
      <c r="B2503" s="29" t="s">
        <v>1048</v>
      </c>
      <c r="C2503" s="29" t="s">
        <v>17</v>
      </c>
      <c r="D2503" s="29" t="s">
        <v>387</v>
      </c>
      <c r="E2503" s="29" t="s">
        <v>1051</v>
      </c>
      <c r="F2503" s="29" t="s">
        <v>63</v>
      </c>
      <c r="G2503" s="36">
        <v>8570.2000000000007</v>
      </c>
      <c r="H2503" s="36">
        <v>8570.2000000000007</v>
      </c>
      <c r="I2503" s="36">
        <f>3210+800+970</f>
        <v>4980</v>
      </c>
      <c r="J2503" s="36">
        <f>3210+800+970</f>
        <v>4980</v>
      </c>
      <c r="K2503" s="36">
        <f>3206.75343+799.947+894.99487</f>
        <v>4901.6953000000003</v>
      </c>
      <c r="L2503" s="36">
        <f t="shared" si="1308"/>
        <v>57.194643065506057</v>
      </c>
      <c r="M2503" s="36">
        <f t="shared" si="1309"/>
        <v>98.427616465863466</v>
      </c>
    </row>
    <row r="2504" spans="1:13" ht="25.5">
      <c r="A2504" s="60" t="s">
        <v>64</v>
      </c>
      <c r="B2504" s="29" t="s">
        <v>1048</v>
      </c>
      <c r="C2504" s="29" t="s">
        <v>17</v>
      </c>
      <c r="D2504" s="29" t="s">
        <v>387</v>
      </c>
      <c r="E2504" s="29" t="s">
        <v>1051</v>
      </c>
      <c r="F2504" s="29" t="s">
        <v>65</v>
      </c>
      <c r="G2504" s="36">
        <f>G2505</f>
        <v>1132.8</v>
      </c>
      <c r="H2504" s="36">
        <f t="shared" ref="H2504:K2504" si="1338">H2505</f>
        <v>1132.8</v>
      </c>
      <c r="I2504" s="36">
        <f t="shared" si="1338"/>
        <v>540</v>
      </c>
      <c r="J2504" s="36">
        <f t="shared" si="1338"/>
        <v>540</v>
      </c>
      <c r="K2504" s="36">
        <f t="shared" si="1338"/>
        <v>445.97073</v>
      </c>
      <c r="L2504" s="36">
        <f t="shared" ref="L2504:L2570" si="1339">K2504/H2504*100</f>
        <v>39.368885063559325</v>
      </c>
      <c r="M2504" s="36">
        <f t="shared" ref="M2504:M2570" si="1340">K2504/I2504*100</f>
        <v>82.587172222222222</v>
      </c>
    </row>
    <row r="2505" spans="1:13" ht="25.5">
      <c r="A2505" s="60" t="s">
        <v>66</v>
      </c>
      <c r="B2505" s="29" t="s">
        <v>1048</v>
      </c>
      <c r="C2505" s="29" t="s">
        <v>17</v>
      </c>
      <c r="D2505" s="29" t="s">
        <v>387</v>
      </c>
      <c r="E2505" s="29" t="s">
        <v>1051</v>
      </c>
      <c r="F2505" s="29" t="s">
        <v>67</v>
      </c>
      <c r="G2505" s="36">
        <v>1132.8</v>
      </c>
      <c r="H2505" s="36">
        <v>1132.8</v>
      </c>
      <c r="I2505" s="36">
        <v>540</v>
      </c>
      <c r="J2505" s="36">
        <v>540</v>
      </c>
      <c r="K2505" s="36">
        <v>445.97073</v>
      </c>
      <c r="L2505" s="36">
        <f t="shared" si="1339"/>
        <v>39.368885063559325</v>
      </c>
      <c r="M2505" s="36">
        <f t="shared" si="1340"/>
        <v>82.587172222222222</v>
      </c>
    </row>
    <row r="2506" spans="1:13" ht="38.25">
      <c r="A2506" s="60" t="s">
        <v>37</v>
      </c>
      <c r="B2506" s="29" t="s">
        <v>1048</v>
      </c>
      <c r="C2506" s="29" t="s">
        <v>17</v>
      </c>
      <c r="D2506" s="29" t="s">
        <v>387</v>
      </c>
      <c r="E2506" s="29" t="s">
        <v>1052</v>
      </c>
      <c r="F2506" s="59" t="s">
        <v>0</v>
      </c>
      <c r="G2506" s="36">
        <f>G2507</f>
        <v>7576.9</v>
      </c>
      <c r="H2506" s="36">
        <f t="shared" ref="H2506:K2507" si="1341">H2507</f>
        <v>7576.8522000000003</v>
      </c>
      <c r="I2506" s="36">
        <f t="shared" si="1341"/>
        <v>231.77796000000001</v>
      </c>
      <c r="J2506" s="36">
        <f t="shared" si="1341"/>
        <v>231.77796000000001</v>
      </c>
      <c r="K2506" s="36">
        <f t="shared" si="1341"/>
        <v>231.77796000000001</v>
      </c>
      <c r="L2506" s="36">
        <f t="shared" si="1339"/>
        <v>3.0590270719547625</v>
      </c>
      <c r="M2506" s="36">
        <f t="shared" si="1340"/>
        <v>100</v>
      </c>
    </row>
    <row r="2507" spans="1:13" ht="25.5">
      <c r="A2507" s="60" t="s">
        <v>39</v>
      </c>
      <c r="B2507" s="29" t="s">
        <v>1048</v>
      </c>
      <c r="C2507" s="29" t="s">
        <v>17</v>
      </c>
      <c r="D2507" s="29" t="s">
        <v>387</v>
      </c>
      <c r="E2507" s="29" t="s">
        <v>1052</v>
      </c>
      <c r="F2507" s="29" t="s">
        <v>40</v>
      </c>
      <c r="G2507" s="36">
        <f>G2508</f>
        <v>7576.9</v>
      </c>
      <c r="H2507" s="36">
        <f t="shared" si="1341"/>
        <v>7576.8522000000003</v>
      </c>
      <c r="I2507" s="36">
        <f t="shared" si="1341"/>
        <v>231.77796000000001</v>
      </c>
      <c r="J2507" s="36">
        <f t="shared" si="1341"/>
        <v>231.77796000000001</v>
      </c>
      <c r="K2507" s="36">
        <f t="shared" si="1341"/>
        <v>231.77796000000001</v>
      </c>
      <c r="L2507" s="36">
        <f t="shared" si="1339"/>
        <v>3.0590270719547625</v>
      </c>
      <c r="M2507" s="36">
        <f t="shared" si="1340"/>
        <v>100</v>
      </c>
    </row>
    <row r="2508" spans="1:13">
      <c r="A2508" s="60" t="s">
        <v>41</v>
      </c>
      <c r="B2508" s="29" t="s">
        <v>1048</v>
      </c>
      <c r="C2508" s="29" t="s">
        <v>17</v>
      </c>
      <c r="D2508" s="29" t="s">
        <v>387</v>
      </c>
      <c r="E2508" s="29" t="s">
        <v>1052</v>
      </c>
      <c r="F2508" s="29" t="s">
        <v>42</v>
      </c>
      <c r="G2508" s="36">
        <v>7576.9</v>
      </c>
      <c r="H2508" s="36">
        <v>7576.8522000000003</v>
      </c>
      <c r="I2508" s="36">
        <v>231.77796000000001</v>
      </c>
      <c r="J2508" s="36">
        <v>231.77796000000001</v>
      </c>
      <c r="K2508" s="36">
        <v>231.77796000000001</v>
      </c>
      <c r="L2508" s="36">
        <f t="shared" si="1339"/>
        <v>3.0590270719547625</v>
      </c>
      <c r="M2508" s="36">
        <f t="shared" si="1340"/>
        <v>100</v>
      </c>
    </row>
    <row r="2509" spans="1:13" ht="25.5">
      <c r="A2509" s="60" t="s">
        <v>617</v>
      </c>
      <c r="B2509" s="29" t="s">
        <v>1048</v>
      </c>
      <c r="C2509" s="29" t="s">
        <v>17</v>
      </c>
      <c r="D2509" s="29" t="s">
        <v>387</v>
      </c>
      <c r="E2509" s="29" t="s">
        <v>1053</v>
      </c>
      <c r="F2509" s="59" t="s">
        <v>0</v>
      </c>
      <c r="G2509" s="36">
        <f>G2510+G2512</f>
        <v>7312</v>
      </c>
      <c r="H2509" s="36">
        <f t="shared" ref="H2509:K2509" si="1342">H2510+H2512</f>
        <v>7312</v>
      </c>
      <c r="I2509" s="36">
        <f t="shared" si="1342"/>
        <v>2212</v>
      </c>
      <c r="J2509" s="36">
        <f t="shared" si="1342"/>
        <v>2212</v>
      </c>
      <c r="K2509" s="36">
        <f t="shared" si="1342"/>
        <v>2212</v>
      </c>
      <c r="L2509" s="36">
        <f t="shared" si="1339"/>
        <v>30.251641137855579</v>
      </c>
      <c r="M2509" s="36">
        <f t="shared" si="1340"/>
        <v>100</v>
      </c>
    </row>
    <row r="2510" spans="1:13" ht="25.5">
      <c r="A2510" s="60" t="s">
        <v>64</v>
      </c>
      <c r="B2510" s="29" t="s">
        <v>1048</v>
      </c>
      <c r="C2510" s="29" t="s">
        <v>17</v>
      </c>
      <c r="D2510" s="29" t="s">
        <v>387</v>
      </c>
      <c r="E2510" s="29" t="s">
        <v>1053</v>
      </c>
      <c r="F2510" s="29" t="s">
        <v>65</v>
      </c>
      <c r="G2510" s="36">
        <f>G2511</f>
        <v>5612</v>
      </c>
      <c r="H2510" s="36">
        <f t="shared" ref="H2510:K2510" si="1343">H2511</f>
        <v>5612</v>
      </c>
      <c r="I2510" s="36">
        <f t="shared" si="1343"/>
        <v>1112</v>
      </c>
      <c r="J2510" s="36">
        <f t="shared" si="1343"/>
        <v>1112</v>
      </c>
      <c r="K2510" s="36">
        <f t="shared" si="1343"/>
        <v>1112</v>
      </c>
      <c r="L2510" s="36">
        <f t="shared" si="1339"/>
        <v>19.814682822523164</v>
      </c>
      <c r="M2510" s="36">
        <f t="shared" si="1340"/>
        <v>100</v>
      </c>
    </row>
    <row r="2511" spans="1:13" ht="25.5">
      <c r="A2511" s="60" t="s">
        <v>66</v>
      </c>
      <c r="B2511" s="29" t="s">
        <v>1048</v>
      </c>
      <c r="C2511" s="29" t="s">
        <v>17</v>
      </c>
      <c r="D2511" s="29" t="s">
        <v>387</v>
      </c>
      <c r="E2511" s="29" t="s">
        <v>1053</v>
      </c>
      <c r="F2511" s="29" t="s">
        <v>67</v>
      </c>
      <c r="G2511" s="36">
        <v>5612</v>
      </c>
      <c r="H2511" s="36">
        <v>5612</v>
      </c>
      <c r="I2511" s="36">
        <v>1112</v>
      </c>
      <c r="J2511" s="36">
        <v>1112</v>
      </c>
      <c r="K2511" s="36">
        <v>1112</v>
      </c>
      <c r="L2511" s="36">
        <f t="shared" si="1339"/>
        <v>19.814682822523164</v>
      </c>
      <c r="M2511" s="36">
        <f t="shared" si="1340"/>
        <v>100</v>
      </c>
    </row>
    <row r="2512" spans="1:13" ht="25.5">
      <c r="A2512" s="60" t="s">
        <v>80</v>
      </c>
      <c r="B2512" s="29" t="s">
        <v>1048</v>
      </c>
      <c r="C2512" s="29" t="s">
        <v>17</v>
      </c>
      <c r="D2512" s="29" t="s">
        <v>387</v>
      </c>
      <c r="E2512" s="29" t="s">
        <v>1053</v>
      </c>
      <c r="F2512" s="29" t="s">
        <v>81</v>
      </c>
      <c r="G2512" s="36">
        <f>G2513</f>
        <v>1700</v>
      </c>
      <c r="H2512" s="36">
        <f t="shared" ref="H2512:K2512" si="1344">H2513</f>
        <v>1700</v>
      </c>
      <c r="I2512" s="36">
        <f t="shared" si="1344"/>
        <v>1100</v>
      </c>
      <c r="J2512" s="36">
        <f t="shared" si="1344"/>
        <v>1100</v>
      </c>
      <c r="K2512" s="36">
        <f t="shared" si="1344"/>
        <v>1100</v>
      </c>
      <c r="L2512" s="36">
        <f t="shared" si="1339"/>
        <v>64.705882352941174</v>
      </c>
      <c r="M2512" s="36">
        <f t="shared" si="1340"/>
        <v>100</v>
      </c>
    </row>
    <row r="2513" spans="1:13" ht="38.25">
      <c r="A2513" s="60" t="s">
        <v>195</v>
      </c>
      <c r="B2513" s="29" t="s">
        <v>1048</v>
      </c>
      <c r="C2513" s="29" t="s">
        <v>17</v>
      </c>
      <c r="D2513" s="29" t="s">
        <v>387</v>
      </c>
      <c r="E2513" s="29" t="s">
        <v>1053</v>
      </c>
      <c r="F2513" s="29" t="s">
        <v>196</v>
      </c>
      <c r="G2513" s="36">
        <v>1700</v>
      </c>
      <c r="H2513" s="36">
        <v>1700</v>
      </c>
      <c r="I2513" s="36">
        <v>1100</v>
      </c>
      <c r="J2513" s="36">
        <v>1100</v>
      </c>
      <c r="K2513" s="36">
        <v>1100</v>
      </c>
      <c r="L2513" s="36">
        <f t="shared" si="1339"/>
        <v>64.705882352941174</v>
      </c>
      <c r="M2513" s="36">
        <f t="shared" si="1340"/>
        <v>100</v>
      </c>
    </row>
    <row r="2514" spans="1:13">
      <c r="A2514" s="61" t="s">
        <v>0</v>
      </c>
      <c r="B2514" s="59" t="s">
        <v>0</v>
      </c>
      <c r="C2514" s="59" t="s">
        <v>0</v>
      </c>
      <c r="D2514" s="59" t="s">
        <v>0</v>
      </c>
      <c r="E2514" s="59" t="s">
        <v>0</v>
      </c>
      <c r="F2514" s="59" t="s">
        <v>0</v>
      </c>
      <c r="G2514" s="62" t="s">
        <v>0</v>
      </c>
      <c r="H2514" s="62" t="s">
        <v>0</v>
      </c>
      <c r="I2514" s="62" t="s">
        <v>0</v>
      </c>
      <c r="J2514" s="62" t="s">
        <v>0</v>
      </c>
      <c r="K2514" s="62" t="s">
        <v>0</v>
      </c>
      <c r="L2514" s="62"/>
      <c r="M2514" s="62"/>
    </row>
    <row r="2515" spans="1:13">
      <c r="A2515" s="60" t="s">
        <v>30</v>
      </c>
      <c r="B2515" s="29" t="s">
        <v>1048</v>
      </c>
      <c r="C2515" s="29" t="s">
        <v>19</v>
      </c>
      <c r="D2515" s="59" t="s">
        <v>0</v>
      </c>
      <c r="E2515" s="59" t="s">
        <v>0</v>
      </c>
      <c r="F2515" s="59" t="s">
        <v>0</v>
      </c>
      <c r="G2515" s="36">
        <f>G2516+G2521+G2526+G2531</f>
        <v>20147.900000000001</v>
      </c>
      <c r="H2515" s="36">
        <f t="shared" ref="H2515:K2515" si="1345">H2516+H2521+H2526+H2531</f>
        <v>20147.900000000001</v>
      </c>
      <c r="I2515" s="36">
        <f t="shared" si="1345"/>
        <v>4203.8</v>
      </c>
      <c r="J2515" s="36">
        <f t="shared" si="1345"/>
        <v>4203.8</v>
      </c>
      <c r="K2515" s="36">
        <f t="shared" si="1345"/>
        <v>3755.5460300000004</v>
      </c>
      <c r="L2515" s="36">
        <f t="shared" si="1339"/>
        <v>18.639888176931592</v>
      </c>
      <c r="M2515" s="36">
        <f t="shared" si="1340"/>
        <v>89.336933964508319</v>
      </c>
    </row>
    <row r="2516" spans="1:13">
      <c r="A2516" s="60" t="s">
        <v>174</v>
      </c>
      <c r="B2516" s="29" t="s">
        <v>1048</v>
      </c>
      <c r="C2516" s="29" t="s">
        <v>19</v>
      </c>
      <c r="D2516" s="29" t="s">
        <v>106</v>
      </c>
      <c r="E2516" s="59" t="s">
        <v>0</v>
      </c>
      <c r="F2516" s="59" t="s">
        <v>0</v>
      </c>
      <c r="G2516" s="36">
        <f>G2517</f>
        <v>8000</v>
      </c>
      <c r="H2516" s="36">
        <f t="shared" ref="H2516:K2519" si="1346">H2517</f>
        <v>8000</v>
      </c>
      <c r="I2516" s="36">
        <f t="shared" si="1346"/>
        <v>0</v>
      </c>
      <c r="J2516" s="36">
        <f t="shared" si="1346"/>
        <v>0</v>
      </c>
      <c r="K2516" s="36">
        <f t="shared" si="1346"/>
        <v>0</v>
      </c>
      <c r="L2516" s="36">
        <f t="shared" si="1339"/>
        <v>0</v>
      </c>
      <c r="M2516" s="36">
        <v>0</v>
      </c>
    </row>
    <row r="2517" spans="1:13" ht="38.25">
      <c r="A2517" s="60" t="s">
        <v>1049</v>
      </c>
      <c r="B2517" s="29" t="s">
        <v>1048</v>
      </c>
      <c r="C2517" s="29" t="s">
        <v>19</v>
      </c>
      <c r="D2517" s="29" t="s">
        <v>106</v>
      </c>
      <c r="E2517" s="29" t="s">
        <v>1050</v>
      </c>
      <c r="F2517" s="59" t="s">
        <v>0</v>
      </c>
      <c r="G2517" s="36">
        <f>G2518</f>
        <v>8000</v>
      </c>
      <c r="H2517" s="36">
        <f t="shared" si="1346"/>
        <v>8000</v>
      </c>
      <c r="I2517" s="36">
        <f t="shared" si="1346"/>
        <v>0</v>
      </c>
      <c r="J2517" s="36">
        <f t="shared" si="1346"/>
        <v>0</v>
      </c>
      <c r="K2517" s="36">
        <f t="shared" si="1346"/>
        <v>0</v>
      </c>
      <c r="L2517" s="36">
        <f t="shared" si="1339"/>
        <v>0</v>
      </c>
      <c r="M2517" s="36">
        <v>0</v>
      </c>
    </row>
    <row r="2518" spans="1:13" ht="25.5">
      <c r="A2518" s="60" t="s">
        <v>76</v>
      </c>
      <c r="B2518" s="29" t="s">
        <v>1048</v>
      </c>
      <c r="C2518" s="29" t="s">
        <v>19</v>
      </c>
      <c r="D2518" s="29" t="s">
        <v>106</v>
      </c>
      <c r="E2518" s="29" t="s">
        <v>1054</v>
      </c>
      <c r="F2518" s="59" t="s">
        <v>0</v>
      </c>
      <c r="G2518" s="36">
        <f>G2519</f>
        <v>8000</v>
      </c>
      <c r="H2518" s="36">
        <f t="shared" si="1346"/>
        <v>8000</v>
      </c>
      <c r="I2518" s="36">
        <f t="shared" si="1346"/>
        <v>0</v>
      </c>
      <c r="J2518" s="36">
        <f t="shared" si="1346"/>
        <v>0</v>
      </c>
      <c r="K2518" s="36">
        <f t="shared" si="1346"/>
        <v>0</v>
      </c>
      <c r="L2518" s="36">
        <f t="shared" si="1339"/>
        <v>0</v>
      </c>
      <c r="M2518" s="36">
        <v>0</v>
      </c>
    </row>
    <row r="2519" spans="1:13" ht="25.5">
      <c r="A2519" s="60" t="s">
        <v>64</v>
      </c>
      <c r="B2519" s="29" t="s">
        <v>1048</v>
      </c>
      <c r="C2519" s="29" t="s">
        <v>19</v>
      </c>
      <c r="D2519" s="29" t="s">
        <v>106</v>
      </c>
      <c r="E2519" s="29" t="s">
        <v>1054</v>
      </c>
      <c r="F2519" s="29" t="s">
        <v>65</v>
      </c>
      <c r="G2519" s="36">
        <f>G2520</f>
        <v>8000</v>
      </c>
      <c r="H2519" s="36">
        <f t="shared" si="1346"/>
        <v>8000</v>
      </c>
      <c r="I2519" s="36">
        <f t="shared" si="1346"/>
        <v>0</v>
      </c>
      <c r="J2519" s="36">
        <f t="shared" si="1346"/>
        <v>0</v>
      </c>
      <c r="K2519" s="36">
        <f t="shared" si="1346"/>
        <v>0</v>
      </c>
      <c r="L2519" s="36">
        <f t="shared" si="1339"/>
        <v>0</v>
      </c>
      <c r="M2519" s="36">
        <v>0</v>
      </c>
    </row>
    <row r="2520" spans="1:13" ht="25.5">
      <c r="A2520" s="60" t="s">
        <v>66</v>
      </c>
      <c r="B2520" s="29" t="s">
        <v>1048</v>
      </c>
      <c r="C2520" s="29" t="s">
        <v>19</v>
      </c>
      <c r="D2520" s="29" t="s">
        <v>106</v>
      </c>
      <c r="E2520" s="29" t="s">
        <v>1054</v>
      </c>
      <c r="F2520" s="29" t="s">
        <v>67</v>
      </c>
      <c r="G2520" s="36">
        <v>8000</v>
      </c>
      <c r="H2520" s="36">
        <v>8000</v>
      </c>
      <c r="I2520" s="36">
        <v>0</v>
      </c>
      <c r="J2520" s="36">
        <v>0</v>
      </c>
      <c r="K2520" s="36">
        <v>0</v>
      </c>
      <c r="L2520" s="36">
        <f t="shared" si="1339"/>
        <v>0</v>
      </c>
      <c r="M2520" s="36">
        <v>0</v>
      </c>
    </row>
    <row r="2521" spans="1:13">
      <c r="A2521" s="60" t="s">
        <v>671</v>
      </c>
      <c r="B2521" s="29" t="s">
        <v>1048</v>
      </c>
      <c r="C2521" s="29" t="s">
        <v>19</v>
      </c>
      <c r="D2521" s="29" t="s">
        <v>130</v>
      </c>
      <c r="E2521" s="59" t="s">
        <v>0</v>
      </c>
      <c r="F2521" s="59" t="s">
        <v>0</v>
      </c>
      <c r="G2521" s="36">
        <f>G2522</f>
        <v>2500</v>
      </c>
      <c r="H2521" s="36">
        <f t="shared" ref="H2521:K2524" si="1347">H2522</f>
        <v>2500</v>
      </c>
      <c r="I2521" s="36">
        <f t="shared" si="1347"/>
        <v>0</v>
      </c>
      <c r="J2521" s="36">
        <f t="shared" si="1347"/>
        <v>0</v>
      </c>
      <c r="K2521" s="36">
        <f t="shared" si="1347"/>
        <v>0</v>
      </c>
      <c r="L2521" s="36">
        <f t="shared" si="1339"/>
        <v>0</v>
      </c>
      <c r="M2521" s="36">
        <v>0</v>
      </c>
    </row>
    <row r="2522" spans="1:13" ht="38.25">
      <c r="A2522" s="60" t="s">
        <v>1049</v>
      </c>
      <c r="B2522" s="29" t="s">
        <v>1048</v>
      </c>
      <c r="C2522" s="29" t="s">
        <v>19</v>
      </c>
      <c r="D2522" s="29" t="s">
        <v>130</v>
      </c>
      <c r="E2522" s="29" t="s">
        <v>1050</v>
      </c>
      <c r="F2522" s="59" t="s">
        <v>0</v>
      </c>
      <c r="G2522" s="36">
        <f>G2523</f>
        <v>2500</v>
      </c>
      <c r="H2522" s="36">
        <f t="shared" si="1347"/>
        <v>2500</v>
      </c>
      <c r="I2522" s="36">
        <f t="shared" si="1347"/>
        <v>0</v>
      </c>
      <c r="J2522" s="36">
        <f t="shared" si="1347"/>
        <v>0</v>
      </c>
      <c r="K2522" s="36">
        <f t="shared" si="1347"/>
        <v>0</v>
      </c>
      <c r="L2522" s="36">
        <f t="shared" si="1339"/>
        <v>0</v>
      </c>
      <c r="M2522" s="36">
        <v>0</v>
      </c>
    </row>
    <row r="2523" spans="1:13" ht="38.25">
      <c r="A2523" s="60" t="s">
        <v>37</v>
      </c>
      <c r="B2523" s="29" t="s">
        <v>1048</v>
      </c>
      <c r="C2523" s="29" t="s">
        <v>19</v>
      </c>
      <c r="D2523" s="29" t="s">
        <v>130</v>
      </c>
      <c r="E2523" s="29" t="s">
        <v>1052</v>
      </c>
      <c r="F2523" s="59" t="s">
        <v>0</v>
      </c>
      <c r="G2523" s="36">
        <f>G2524</f>
        <v>2500</v>
      </c>
      <c r="H2523" s="36">
        <f t="shared" si="1347"/>
        <v>2500</v>
      </c>
      <c r="I2523" s="36">
        <f t="shared" si="1347"/>
        <v>0</v>
      </c>
      <c r="J2523" s="36">
        <f t="shared" si="1347"/>
        <v>0</v>
      </c>
      <c r="K2523" s="36">
        <f t="shared" si="1347"/>
        <v>0</v>
      </c>
      <c r="L2523" s="36">
        <f t="shared" si="1339"/>
        <v>0</v>
      </c>
      <c r="M2523" s="36">
        <v>0</v>
      </c>
    </row>
    <row r="2524" spans="1:13" ht="25.5">
      <c r="A2524" s="60" t="s">
        <v>39</v>
      </c>
      <c r="B2524" s="29" t="s">
        <v>1048</v>
      </c>
      <c r="C2524" s="29" t="s">
        <v>19</v>
      </c>
      <c r="D2524" s="29" t="s">
        <v>130</v>
      </c>
      <c r="E2524" s="29" t="s">
        <v>1052</v>
      </c>
      <c r="F2524" s="29" t="s">
        <v>40</v>
      </c>
      <c r="G2524" s="36">
        <f>G2525</f>
        <v>2500</v>
      </c>
      <c r="H2524" s="36">
        <f t="shared" si="1347"/>
        <v>2500</v>
      </c>
      <c r="I2524" s="36">
        <f t="shared" si="1347"/>
        <v>0</v>
      </c>
      <c r="J2524" s="36">
        <f t="shared" si="1347"/>
        <v>0</v>
      </c>
      <c r="K2524" s="36">
        <f t="shared" si="1347"/>
        <v>0</v>
      </c>
      <c r="L2524" s="36">
        <f t="shared" si="1339"/>
        <v>0</v>
      </c>
      <c r="M2524" s="36">
        <v>0</v>
      </c>
    </row>
    <row r="2525" spans="1:13">
      <c r="A2525" s="60" t="s">
        <v>41</v>
      </c>
      <c r="B2525" s="29" t="s">
        <v>1048</v>
      </c>
      <c r="C2525" s="29" t="s">
        <v>19</v>
      </c>
      <c r="D2525" s="29" t="s">
        <v>130</v>
      </c>
      <c r="E2525" s="29" t="s">
        <v>1052</v>
      </c>
      <c r="F2525" s="29" t="s">
        <v>42</v>
      </c>
      <c r="G2525" s="36">
        <v>2500</v>
      </c>
      <c r="H2525" s="36">
        <v>2500</v>
      </c>
      <c r="I2525" s="36">
        <v>0</v>
      </c>
      <c r="J2525" s="36">
        <v>0</v>
      </c>
      <c r="K2525" s="36">
        <v>0</v>
      </c>
      <c r="L2525" s="36">
        <f t="shared" si="1339"/>
        <v>0</v>
      </c>
      <c r="M2525" s="36">
        <v>0</v>
      </c>
    </row>
    <row r="2526" spans="1:13">
      <c r="A2526" s="60" t="s">
        <v>45</v>
      </c>
      <c r="B2526" s="29" t="s">
        <v>1048</v>
      </c>
      <c r="C2526" s="29" t="s">
        <v>19</v>
      </c>
      <c r="D2526" s="29" t="s">
        <v>46</v>
      </c>
      <c r="E2526" s="59" t="s">
        <v>0</v>
      </c>
      <c r="F2526" s="59" t="s">
        <v>0</v>
      </c>
      <c r="G2526" s="36">
        <f>G2527</f>
        <v>2200</v>
      </c>
      <c r="H2526" s="36">
        <f t="shared" ref="H2526:K2529" si="1348">H2527</f>
        <v>2200</v>
      </c>
      <c r="I2526" s="36">
        <f t="shared" si="1348"/>
        <v>0</v>
      </c>
      <c r="J2526" s="36">
        <f t="shared" si="1348"/>
        <v>0</v>
      </c>
      <c r="K2526" s="36">
        <f t="shared" si="1348"/>
        <v>0</v>
      </c>
      <c r="L2526" s="36">
        <f t="shared" si="1339"/>
        <v>0</v>
      </c>
      <c r="M2526" s="36">
        <v>0</v>
      </c>
    </row>
    <row r="2527" spans="1:13" ht="38.25">
      <c r="A2527" s="60" t="s">
        <v>1049</v>
      </c>
      <c r="B2527" s="29" t="s">
        <v>1048</v>
      </c>
      <c r="C2527" s="29" t="s">
        <v>19</v>
      </c>
      <c r="D2527" s="29" t="s">
        <v>46</v>
      </c>
      <c r="E2527" s="29" t="s">
        <v>1050</v>
      </c>
      <c r="F2527" s="59" t="s">
        <v>0</v>
      </c>
      <c r="G2527" s="36">
        <f>G2528</f>
        <v>2200</v>
      </c>
      <c r="H2527" s="36">
        <f t="shared" si="1348"/>
        <v>2200</v>
      </c>
      <c r="I2527" s="36">
        <f t="shared" si="1348"/>
        <v>0</v>
      </c>
      <c r="J2527" s="36">
        <f t="shared" si="1348"/>
        <v>0</v>
      </c>
      <c r="K2527" s="36">
        <f t="shared" si="1348"/>
        <v>0</v>
      </c>
      <c r="L2527" s="36">
        <f t="shared" si="1339"/>
        <v>0</v>
      </c>
      <c r="M2527" s="36">
        <v>0</v>
      </c>
    </row>
    <row r="2528" spans="1:13" ht="25.5">
      <c r="A2528" s="60" t="s">
        <v>76</v>
      </c>
      <c r="B2528" s="29" t="s">
        <v>1048</v>
      </c>
      <c r="C2528" s="29" t="s">
        <v>19</v>
      </c>
      <c r="D2528" s="29" t="s">
        <v>46</v>
      </c>
      <c r="E2528" s="29" t="s">
        <v>1054</v>
      </c>
      <c r="F2528" s="59" t="s">
        <v>0</v>
      </c>
      <c r="G2528" s="36">
        <f>G2529</f>
        <v>2200</v>
      </c>
      <c r="H2528" s="36">
        <f t="shared" si="1348"/>
        <v>2200</v>
      </c>
      <c r="I2528" s="36">
        <f t="shared" si="1348"/>
        <v>0</v>
      </c>
      <c r="J2528" s="36">
        <f t="shared" si="1348"/>
        <v>0</v>
      </c>
      <c r="K2528" s="36">
        <f t="shared" si="1348"/>
        <v>0</v>
      </c>
      <c r="L2528" s="36">
        <f t="shared" si="1339"/>
        <v>0</v>
      </c>
      <c r="M2528" s="36">
        <v>0</v>
      </c>
    </row>
    <row r="2529" spans="1:13" ht="25.5">
      <c r="A2529" s="60" t="s">
        <v>64</v>
      </c>
      <c r="B2529" s="29" t="s">
        <v>1048</v>
      </c>
      <c r="C2529" s="29" t="s">
        <v>19</v>
      </c>
      <c r="D2529" s="29" t="s">
        <v>46</v>
      </c>
      <c r="E2529" s="29" t="s">
        <v>1054</v>
      </c>
      <c r="F2529" s="29" t="s">
        <v>65</v>
      </c>
      <c r="G2529" s="36">
        <f>G2530</f>
        <v>2200</v>
      </c>
      <c r="H2529" s="36">
        <f t="shared" si="1348"/>
        <v>2200</v>
      </c>
      <c r="I2529" s="36">
        <f t="shared" si="1348"/>
        <v>0</v>
      </c>
      <c r="J2529" s="36">
        <f t="shared" si="1348"/>
        <v>0</v>
      </c>
      <c r="K2529" s="36">
        <f t="shared" si="1348"/>
        <v>0</v>
      </c>
      <c r="L2529" s="36">
        <f t="shared" si="1339"/>
        <v>0</v>
      </c>
      <c r="M2529" s="36">
        <v>0</v>
      </c>
    </row>
    <row r="2530" spans="1:13" ht="25.5">
      <c r="A2530" s="60" t="s">
        <v>66</v>
      </c>
      <c r="B2530" s="29" t="s">
        <v>1048</v>
      </c>
      <c r="C2530" s="29" t="s">
        <v>19</v>
      </c>
      <c r="D2530" s="29" t="s">
        <v>46</v>
      </c>
      <c r="E2530" s="29" t="s">
        <v>1054</v>
      </c>
      <c r="F2530" s="29" t="s">
        <v>67</v>
      </c>
      <c r="G2530" s="36">
        <v>2200</v>
      </c>
      <c r="H2530" s="36">
        <v>2200</v>
      </c>
      <c r="I2530" s="36">
        <v>0</v>
      </c>
      <c r="J2530" s="36">
        <v>0</v>
      </c>
      <c r="K2530" s="36">
        <v>0</v>
      </c>
      <c r="L2530" s="36">
        <f t="shared" si="1339"/>
        <v>0</v>
      </c>
      <c r="M2530" s="36">
        <v>0</v>
      </c>
    </row>
    <row r="2531" spans="1:13">
      <c r="A2531" s="60" t="s">
        <v>50</v>
      </c>
      <c r="B2531" s="29" t="s">
        <v>1048</v>
      </c>
      <c r="C2531" s="29" t="s">
        <v>19</v>
      </c>
      <c r="D2531" s="29" t="s">
        <v>51</v>
      </c>
      <c r="E2531" s="59" t="s">
        <v>0</v>
      </c>
      <c r="F2531" s="59" t="s">
        <v>0</v>
      </c>
      <c r="G2531" s="36">
        <f>G2532</f>
        <v>7447.9</v>
      </c>
      <c r="H2531" s="36">
        <f t="shared" ref="H2531:K2532" si="1349">H2532</f>
        <v>7447.9</v>
      </c>
      <c r="I2531" s="36">
        <f t="shared" si="1349"/>
        <v>4203.8</v>
      </c>
      <c r="J2531" s="36">
        <f t="shared" si="1349"/>
        <v>4203.8</v>
      </c>
      <c r="K2531" s="36">
        <f t="shared" si="1349"/>
        <v>3755.5460300000004</v>
      </c>
      <c r="L2531" s="36">
        <f t="shared" si="1339"/>
        <v>50.424227366103203</v>
      </c>
      <c r="M2531" s="36">
        <f t="shared" si="1340"/>
        <v>89.336933964508319</v>
      </c>
    </row>
    <row r="2532" spans="1:13" ht="38.25">
      <c r="A2532" s="60" t="s">
        <v>1049</v>
      </c>
      <c r="B2532" s="29" t="s">
        <v>1048</v>
      </c>
      <c r="C2532" s="29" t="s">
        <v>19</v>
      </c>
      <c r="D2532" s="29" t="s">
        <v>51</v>
      </c>
      <c r="E2532" s="29" t="s">
        <v>1050</v>
      </c>
      <c r="F2532" s="59" t="s">
        <v>0</v>
      </c>
      <c r="G2532" s="36">
        <f>G2533</f>
        <v>7447.9</v>
      </c>
      <c r="H2532" s="36">
        <f t="shared" si="1349"/>
        <v>7447.9</v>
      </c>
      <c r="I2532" s="36">
        <f t="shared" si="1349"/>
        <v>4203.8</v>
      </c>
      <c r="J2532" s="36">
        <f t="shared" si="1349"/>
        <v>4203.8</v>
      </c>
      <c r="K2532" s="36">
        <f t="shared" si="1349"/>
        <v>3755.5460300000004</v>
      </c>
      <c r="L2532" s="36">
        <f t="shared" si="1339"/>
        <v>50.424227366103203</v>
      </c>
      <c r="M2532" s="36">
        <f t="shared" si="1340"/>
        <v>89.336933964508319</v>
      </c>
    </row>
    <row r="2533" spans="1:13" ht="25.5">
      <c r="A2533" s="60" t="s">
        <v>76</v>
      </c>
      <c r="B2533" s="29" t="s">
        <v>1048</v>
      </c>
      <c r="C2533" s="29" t="s">
        <v>19</v>
      </c>
      <c r="D2533" s="29" t="s">
        <v>51</v>
      </c>
      <c r="E2533" s="29" t="s">
        <v>1054</v>
      </c>
      <c r="F2533" s="59" t="s">
        <v>0</v>
      </c>
      <c r="G2533" s="36">
        <f>G2534+G2536</f>
        <v>7447.9</v>
      </c>
      <c r="H2533" s="36">
        <f t="shared" ref="H2533:K2533" si="1350">H2534+H2536</f>
        <v>7447.9</v>
      </c>
      <c r="I2533" s="36">
        <f t="shared" si="1350"/>
        <v>4203.8</v>
      </c>
      <c r="J2533" s="36">
        <f t="shared" si="1350"/>
        <v>4203.8</v>
      </c>
      <c r="K2533" s="36">
        <f t="shared" si="1350"/>
        <v>3755.5460300000004</v>
      </c>
      <c r="L2533" s="36">
        <f t="shared" si="1339"/>
        <v>50.424227366103203</v>
      </c>
      <c r="M2533" s="36">
        <f t="shared" si="1340"/>
        <v>89.336933964508319</v>
      </c>
    </row>
    <row r="2534" spans="1:13" ht="63.75">
      <c r="A2534" s="60" t="s">
        <v>60</v>
      </c>
      <c r="B2534" s="29" t="s">
        <v>1048</v>
      </c>
      <c r="C2534" s="29" t="s">
        <v>19</v>
      </c>
      <c r="D2534" s="29" t="s">
        <v>51</v>
      </c>
      <c r="E2534" s="29" t="s">
        <v>1054</v>
      </c>
      <c r="F2534" s="29" t="s">
        <v>61</v>
      </c>
      <c r="G2534" s="36">
        <f>G2535</f>
        <v>6233.8</v>
      </c>
      <c r="H2534" s="36">
        <f t="shared" ref="H2534:K2534" si="1351">H2535</f>
        <v>6233.8</v>
      </c>
      <c r="I2534" s="36">
        <f t="shared" si="1351"/>
        <v>3618.1800000000003</v>
      </c>
      <c r="J2534" s="36">
        <f t="shared" si="1351"/>
        <v>3618.1800000000003</v>
      </c>
      <c r="K2534" s="36">
        <f t="shared" si="1351"/>
        <v>3283.8434500000003</v>
      </c>
      <c r="L2534" s="36">
        <f t="shared" si="1339"/>
        <v>52.678036671051366</v>
      </c>
      <c r="M2534" s="36">
        <f t="shared" si="1340"/>
        <v>90.759537944491427</v>
      </c>
    </row>
    <row r="2535" spans="1:13">
      <c r="A2535" s="60" t="s">
        <v>78</v>
      </c>
      <c r="B2535" s="29" t="s">
        <v>1048</v>
      </c>
      <c r="C2535" s="29" t="s">
        <v>19</v>
      </c>
      <c r="D2535" s="29" t="s">
        <v>51</v>
      </c>
      <c r="E2535" s="29" t="s">
        <v>1054</v>
      </c>
      <c r="F2535" s="29" t="s">
        <v>79</v>
      </c>
      <c r="G2535" s="36">
        <v>6233.8</v>
      </c>
      <c r="H2535" s="36">
        <v>6233.8</v>
      </c>
      <c r="I2535" s="36">
        <f>2421.4+465.5+731.28</f>
        <v>3618.1800000000003</v>
      </c>
      <c r="J2535" s="36">
        <f>2421.4+465.5+731.28</f>
        <v>3618.1800000000003</v>
      </c>
      <c r="K2535" s="36">
        <f>2275.63918+465.5+542.70427</f>
        <v>3283.8434500000003</v>
      </c>
      <c r="L2535" s="36">
        <f t="shared" si="1339"/>
        <v>52.678036671051366</v>
      </c>
      <c r="M2535" s="36">
        <f t="shared" si="1340"/>
        <v>90.759537944491427</v>
      </c>
    </row>
    <row r="2536" spans="1:13" ht="25.5">
      <c r="A2536" s="60" t="s">
        <v>64</v>
      </c>
      <c r="B2536" s="29" t="s">
        <v>1048</v>
      </c>
      <c r="C2536" s="29" t="s">
        <v>19</v>
      </c>
      <c r="D2536" s="29" t="s">
        <v>51</v>
      </c>
      <c r="E2536" s="29" t="s">
        <v>1054</v>
      </c>
      <c r="F2536" s="29" t="s">
        <v>65</v>
      </c>
      <c r="G2536" s="36">
        <f>G2537</f>
        <v>1214.0999999999999</v>
      </c>
      <c r="H2536" s="36">
        <f t="shared" ref="H2536:K2536" si="1352">H2537</f>
        <v>1214.0999999999999</v>
      </c>
      <c r="I2536" s="36">
        <f t="shared" si="1352"/>
        <v>585.62</v>
      </c>
      <c r="J2536" s="36">
        <f t="shared" si="1352"/>
        <v>585.62</v>
      </c>
      <c r="K2536" s="36">
        <f t="shared" si="1352"/>
        <v>471.70258000000001</v>
      </c>
      <c r="L2536" s="36">
        <f t="shared" si="1339"/>
        <v>38.852036899761146</v>
      </c>
      <c r="M2536" s="36">
        <f t="shared" si="1340"/>
        <v>80.547553020730163</v>
      </c>
    </row>
    <row r="2537" spans="1:13" ht="25.5">
      <c r="A2537" s="60" t="s">
        <v>66</v>
      </c>
      <c r="B2537" s="29" t="s">
        <v>1048</v>
      </c>
      <c r="C2537" s="29" t="s">
        <v>19</v>
      </c>
      <c r="D2537" s="29" t="s">
        <v>51</v>
      </c>
      <c r="E2537" s="29" t="s">
        <v>1054</v>
      </c>
      <c r="F2537" s="29" t="s">
        <v>67</v>
      </c>
      <c r="G2537" s="36">
        <v>1214.0999999999999</v>
      </c>
      <c r="H2537" s="36">
        <v>1214.0999999999999</v>
      </c>
      <c r="I2537" s="36">
        <v>585.62</v>
      </c>
      <c r="J2537" s="36">
        <v>585.62</v>
      </c>
      <c r="K2537" s="36">
        <v>471.70258000000001</v>
      </c>
      <c r="L2537" s="36">
        <f t="shared" si="1339"/>
        <v>38.852036899761146</v>
      </c>
      <c r="M2537" s="36">
        <f t="shared" si="1340"/>
        <v>80.547553020730163</v>
      </c>
    </row>
    <row r="2538" spans="1:13">
      <c r="A2538" s="61" t="s">
        <v>0</v>
      </c>
      <c r="B2538" s="59" t="s">
        <v>0</v>
      </c>
      <c r="C2538" s="59" t="s">
        <v>0</v>
      </c>
      <c r="D2538" s="59" t="s">
        <v>0</v>
      </c>
      <c r="E2538" s="59" t="s">
        <v>0</v>
      </c>
      <c r="F2538" s="59" t="s">
        <v>0</v>
      </c>
      <c r="G2538" s="62" t="s">
        <v>0</v>
      </c>
      <c r="H2538" s="62" t="s">
        <v>0</v>
      </c>
      <c r="I2538" s="62" t="s">
        <v>0</v>
      </c>
      <c r="J2538" s="62" t="s">
        <v>0</v>
      </c>
      <c r="K2538" s="62" t="s">
        <v>0</v>
      </c>
      <c r="L2538" s="62"/>
      <c r="M2538" s="62"/>
    </row>
    <row r="2539" spans="1:13">
      <c r="A2539" s="60" t="s">
        <v>92</v>
      </c>
      <c r="B2539" s="29" t="s">
        <v>1048</v>
      </c>
      <c r="C2539" s="29" t="s">
        <v>93</v>
      </c>
      <c r="D2539" s="59" t="s">
        <v>0</v>
      </c>
      <c r="E2539" s="59" t="s">
        <v>0</v>
      </c>
      <c r="F2539" s="59" t="s">
        <v>0</v>
      </c>
      <c r="G2539" s="36">
        <f>G2540+G2548</f>
        <v>57944</v>
      </c>
      <c r="H2539" s="36">
        <f t="shared" ref="H2539:K2539" si="1353">H2540+H2548</f>
        <v>272271.25471000001</v>
      </c>
      <c r="I2539" s="36">
        <f t="shared" si="1353"/>
        <v>41092.217340000003</v>
      </c>
      <c r="J2539" s="36">
        <f t="shared" si="1353"/>
        <v>41092.217340000003</v>
      </c>
      <c r="K2539" s="36">
        <f t="shared" si="1353"/>
        <v>41092.217340000003</v>
      </c>
      <c r="L2539" s="36">
        <f t="shared" si="1339"/>
        <v>15.09238181745183</v>
      </c>
      <c r="M2539" s="36">
        <f t="shared" si="1340"/>
        <v>100</v>
      </c>
    </row>
    <row r="2540" spans="1:13">
      <c r="A2540" s="60" t="s">
        <v>94</v>
      </c>
      <c r="B2540" s="29" t="s">
        <v>1048</v>
      </c>
      <c r="C2540" s="29" t="s">
        <v>93</v>
      </c>
      <c r="D2540" s="29" t="s">
        <v>17</v>
      </c>
      <c r="E2540" s="59" t="s">
        <v>0</v>
      </c>
      <c r="F2540" s="59" t="s">
        <v>0</v>
      </c>
      <c r="G2540" s="36">
        <f>G2541</f>
        <v>9900</v>
      </c>
      <c r="H2540" s="36">
        <f t="shared" ref="H2540:K2540" si="1354">H2541</f>
        <v>9900</v>
      </c>
      <c r="I2540" s="36">
        <f t="shared" si="1354"/>
        <v>0</v>
      </c>
      <c r="J2540" s="36">
        <f t="shared" si="1354"/>
        <v>0</v>
      </c>
      <c r="K2540" s="36">
        <f t="shared" si="1354"/>
        <v>0</v>
      </c>
      <c r="L2540" s="36">
        <f t="shared" si="1339"/>
        <v>0</v>
      </c>
      <c r="M2540" s="36">
        <v>0</v>
      </c>
    </row>
    <row r="2541" spans="1:13" ht="38.25">
      <c r="A2541" s="60" t="s">
        <v>1049</v>
      </c>
      <c r="B2541" s="29" t="s">
        <v>1048</v>
      </c>
      <c r="C2541" s="29" t="s">
        <v>93</v>
      </c>
      <c r="D2541" s="29" t="s">
        <v>17</v>
      </c>
      <c r="E2541" s="29" t="s">
        <v>1050</v>
      </c>
      <c r="F2541" s="59" t="s">
        <v>0</v>
      </c>
      <c r="G2541" s="36">
        <f>G2542+G2545</f>
        <v>9900</v>
      </c>
      <c r="H2541" s="36">
        <f t="shared" ref="H2541:K2541" si="1355">H2542+H2545</f>
        <v>9900</v>
      </c>
      <c r="I2541" s="36">
        <f t="shared" si="1355"/>
        <v>0</v>
      </c>
      <c r="J2541" s="36">
        <f t="shared" si="1355"/>
        <v>0</v>
      </c>
      <c r="K2541" s="36">
        <f t="shared" si="1355"/>
        <v>0</v>
      </c>
      <c r="L2541" s="36">
        <f t="shared" si="1339"/>
        <v>0</v>
      </c>
      <c r="M2541" s="36">
        <v>0</v>
      </c>
    </row>
    <row r="2542" spans="1:13" ht="38.25">
      <c r="A2542" s="60" t="s">
        <v>37</v>
      </c>
      <c r="B2542" s="29" t="s">
        <v>1048</v>
      </c>
      <c r="C2542" s="29" t="s">
        <v>93</v>
      </c>
      <c r="D2542" s="29" t="s">
        <v>17</v>
      </c>
      <c r="E2542" s="29" t="s">
        <v>1052</v>
      </c>
      <c r="F2542" s="59" t="s">
        <v>0</v>
      </c>
      <c r="G2542" s="36">
        <f>G2543</f>
        <v>6700</v>
      </c>
      <c r="H2542" s="36">
        <f t="shared" ref="H2542:K2543" si="1356">H2543</f>
        <v>6700</v>
      </c>
      <c r="I2542" s="36">
        <f t="shared" si="1356"/>
        <v>0</v>
      </c>
      <c r="J2542" s="36">
        <f t="shared" si="1356"/>
        <v>0</v>
      </c>
      <c r="K2542" s="36">
        <f t="shared" si="1356"/>
        <v>0</v>
      </c>
      <c r="L2542" s="36">
        <f t="shared" si="1339"/>
        <v>0</v>
      </c>
      <c r="M2542" s="36">
        <v>0</v>
      </c>
    </row>
    <row r="2543" spans="1:13" ht="25.5">
      <c r="A2543" s="60" t="s">
        <v>39</v>
      </c>
      <c r="B2543" s="29" t="s">
        <v>1048</v>
      </c>
      <c r="C2543" s="29" t="s">
        <v>93</v>
      </c>
      <c r="D2543" s="29" t="s">
        <v>17</v>
      </c>
      <c r="E2543" s="29" t="s">
        <v>1052</v>
      </c>
      <c r="F2543" s="29" t="s">
        <v>40</v>
      </c>
      <c r="G2543" s="36">
        <f>G2544</f>
        <v>6700</v>
      </c>
      <c r="H2543" s="36">
        <f t="shared" si="1356"/>
        <v>6700</v>
      </c>
      <c r="I2543" s="36">
        <f t="shared" si="1356"/>
        <v>0</v>
      </c>
      <c r="J2543" s="36">
        <f t="shared" si="1356"/>
        <v>0</v>
      </c>
      <c r="K2543" s="36">
        <f t="shared" si="1356"/>
        <v>0</v>
      </c>
      <c r="L2543" s="36">
        <f t="shared" si="1339"/>
        <v>0</v>
      </c>
      <c r="M2543" s="36">
        <v>0</v>
      </c>
    </row>
    <row r="2544" spans="1:13">
      <c r="A2544" s="60" t="s">
        <v>41</v>
      </c>
      <c r="B2544" s="29" t="s">
        <v>1048</v>
      </c>
      <c r="C2544" s="29" t="s">
        <v>93</v>
      </c>
      <c r="D2544" s="29" t="s">
        <v>17</v>
      </c>
      <c r="E2544" s="29" t="s">
        <v>1052</v>
      </c>
      <c r="F2544" s="29" t="s">
        <v>42</v>
      </c>
      <c r="G2544" s="36">
        <v>6700</v>
      </c>
      <c r="H2544" s="36">
        <v>6700</v>
      </c>
      <c r="I2544" s="36">
        <v>0</v>
      </c>
      <c r="J2544" s="36">
        <v>0</v>
      </c>
      <c r="K2544" s="36">
        <v>0</v>
      </c>
      <c r="L2544" s="36">
        <f t="shared" si="1339"/>
        <v>0</v>
      </c>
      <c r="M2544" s="36">
        <v>0</v>
      </c>
    </row>
    <row r="2545" spans="1:13" ht="38.25">
      <c r="A2545" s="60" t="s">
        <v>1055</v>
      </c>
      <c r="B2545" s="29" t="s">
        <v>1048</v>
      </c>
      <c r="C2545" s="29" t="s">
        <v>93</v>
      </c>
      <c r="D2545" s="29" t="s">
        <v>17</v>
      </c>
      <c r="E2545" s="29" t="s">
        <v>1056</v>
      </c>
      <c r="F2545" s="59" t="s">
        <v>0</v>
      </c>
      <c r="G2545" s="36">
        <f>G2546</f>
        <v>3200</v>
      </c>
      <c r="H2545" s="36">
        <f t="shared" ref="H2545:K2546" si="1357">H2546</f>
        <v>3200</v>
      </c>
      <c r="I2545" s="36">
        <f t="shared" si="1357"/>
        <v>0</v>
      </c>
      <c r="J2545" s="36">
        <f t="shared" si="1357"/>
        <v>0</v>
      </c>
      <c r="K2545" s="36">
        <f t="shared" si="1357"/>
        <v>0</v>
      </c>
      <c r="L2545" s="36">
        <f t="shared" si="1339"/>
        <v>0</v>
      </c>
      <c r="M2545" s="36">
        <v>0</v>
      </c>
    </row>
    <row r="2546" spans="1:13">
      <c r="A2546" s="60" t="s">
        <v>26</v>
      </c>
      <c r="B2546" s="29" t="s">
        <v>1048</v>
      </c>
      <c r="C2546" s="29" t="s">
        <v>93</v>
      </c>
      <c r="D2546" s="29" t="s">
        <v>17</v>
      </c>
      <c r="E2546" s="29" t="s">
        <v>1056</v>
      </c>
      <c r="F2546" s="29" t="s">
        <v>27</v>
      </c>
      <c r="G2546" s="36">
        <f>G2547</f>
        <v>3200</v>
      </c>
      <c r="H2546" s="36">
        <f t="shared" si="1357"/>
        <v>3200</v>
      </c>
      <c r="I2546" s="36">
        <f t="shared" si="1357"/>
        <v>0</v>
      </c>
      <c r="J2546" s="36">
        <f t="shared" si="1357"/>
        <v>0</v>
      </c>
      <c r="K2546" s="36">
        <f t="shared" si="1357"/>
        <v>0</v>
      </c>
      <c r="L2546" s="36">
        <f t="shared" si="1339"/>
        <v>0</v>
      </c>
      <c r="M2546" s="36">
        <v>0</v>
      </c>
    </row>
    <row r="2547" spans="1:13">
      <c r="A2547" s="60" t="s">
        <v>56</v>
      </c>
      <c r="B2547" s="29" t="s">
        <v>1048</v>
      </c>
      <c r="C2547" s="29" t="s">
        <v>93</v>
      </c>
      <c r="D2547" s="29" t="s">
        <v>17</v>
      </c>
      <c r="E2547" s="29" t="s">
        <v>1056</v>
      </c>
      <c r="F2547" s="29" t="s">
        <v>57</v>
      </c>
      <c r="G2547" s="36">
        <v>3200</v>
      </c>
      <c r="H2547" s="36">
        <v>3200</v>
      </c>
      <c r="I2547" s="36">
        <v>0</v>
      </c>
      <c r="J2547" s="36">
        <v>0</v>
      </c>
      <c r="K2547" s="36">
        <v>0</v>
      </c>
      <c r="L2547" s="36">
        <f t="shared" si="1339"/>
        <v>0</v>
      </c>
      <c r="M2547" s="36">
        <v>0</v>
      </c>
    </row>
    <row r="2548" spans="1:13">
      <c r="A2548" s="60" t="s">
        <v>105</v>
      </c>
      <c r="B2548" s="29" t="s">
        <v>1048</v>
      </c>
      <c r="C2548" s="29" t="s">
        <v>93</v>
      </c>
      <c r="D2548" s="29" t="s">
        <v>106</v>
      </c>
      <c r="E2548" s="59" t="s">
        <v>0</v>
      </c>
      <c r="F2548" s="59" t="s">
        <v>0</v>
      </c>
      <c r="G2548" s="36">
        <f>G2549</f>
        <v>48044</v>
      </c>
      <c r="H2548" s="36">
        <f t="shared" ref="H2548:K2548" si="1358">H2549</f>
        <v>262371.25471000001</v>
      </c>
      <c r="I2548" s="36">
        <f t="shared" si="1358"/>
        <v>41092.217340000003</v>
      </c>
      <c r="J2548" s="36">
        <f t="shared" si="1358"/>
        <v>41092.217340000003</v>
      </c>
      <c r="K2548" s="36">
        <f t="shared" si="1358"/>
        <v>41092.217340000003</v>
      </c>
      <c r="L2548" s="36">
        <f t="shared" si="1339"/>
        <v>15.661859522461558</v>
      </c>
      <c r="M2548" s="36">
        <f t="shared" si="1340"/>
        <v>100</v>
      </c>
    </row>
    <row r="2549" spans="1:13" ht="38.25">
      <c r="A2549" s="60" t="s">
        <v>1049</v>
      </c>
      <c r="B2549" s="29" t="s">
        <v>1048</v>
      </c>
      <c r="C2549" s="29" t="s">
        <v>93</v>
      </c>
      <c r="D2549" s="29" t="s">
        <v>106</v>
      </c>
      <c r="E2549" s="29" t="s">
        <v>1050</v>
      </c>
      <c r="F2549" s="59" t="s">
        <v>0</v>
      </c>
      <c r="G2549" s="36">
        <f>G2553+G2556</f>
        <v>48044</v>
      </c>
      <c r="H2549" s="36">
        <f>H2553+H2556+H2550</f>
        <v>262371.25471000001</v>
      </c>
      <c r="I2549" s="36">
        <f t="shared" ref="I2549:K2549" si="1359">I2553+I2556+I2550</f>
        <v>41092.217340000003</v>
      </c>
      <c r="J2549" s="36">
        <f t="shared" si="1359"/>
        <v>41092.217340000003</v>
      </c>
      <c r="K2549" s="36">
        <f t="shared" si="1359"/>
        <v>41092.217340000003</v>
      </c>
      <c r="L2549" s="36">
        <f t="shared" si="1339"/>
        <v>15.661859522461558</v>
      </c>
      <c r="M2549" s="36">
        <f t="shared" si="1340"/>
        <v>100</v>
      </c>
    </row>
    <row r="2550" spans="1:13" ht="33" customHeight="1">
      <c r="A2550" s="60" t="s">
        <v>1214</v>
      </c>
      <c r="B2550" s="29" t="s">
        <v>1048</v>
      </c>
      <c r="C2550" s="29" t="s">
        <v>93</v>
      </c>
      <c r="D2550" s="29" t="s">
        <v>106</v>
      </c>
      <c r="E2550" s="30" t="s">
        <v>1215</v>
      </c>
      <c r="F2550" s="59"/>
      <c r="G2550" s="36"/>
      <c r="H2550" s="36">
        <f>H2551</f>
        <v>214327.21638</v>
      </c>
      <c r="I2550" s="36">
        <f>I2551</f>
        <v>37304.264260000004</v>
      </c>
      <c r="J2550" s="36">
        <f t="shared" ref="J2550:K2551" si="1360">J2551</f>
        <v>37304.264260000004</v>
      </c>
      <c r="K2550" s="36">
        <f t="shared" si="1360"/>
        <v>37304.264260000004</v>
      </c>
      <c r="L2550" s="36">
        <f t="shared" ref="L2550:L2552" si="1361">K2550/H2550*100</f>
        <v>17.405285660902681</v>
      </c>
      <c r="M2550" s="36">
        <f t="shared" ref="M2550:M2552" si="1362">K2550/I2550*100</f>
        <v>100</v>
      </c>
    </row>
    <row r="2551" spans="1:13">
      <c r="A2551" s="60" t="s">
        <v>26</v>
      </c>
      <c r="B2551" s="29" t="s">
        <v>1048</v>
      </c>
      <c r="C2551" s="29" t="s">
        <v>93</v>
      </c>
      <c r="D2551" s="29" t="s">
        <v>106</v>
      </c>
      <c r="E2551" s="30" t="s">
        <v>1215</v>
      </c>
      <c r="F2551" s="59">
        <v>500</v>
      </c>
      <c r="G2551" s="36"/>
      <c r="H2551" s="36">
        <f>H2552</f>
        <v>214327.21638</v>
      </c>
      <c r="I2551" s="36">
        <f>I2552</f>
        <v>37304.264260000004</v>
      </c>
      <c r="J2551" s="36">
        <f t="shared" si="1360"/>
        <v>37304.264260000004</v>
      </c>
      <c r="K2551" s="36">
        <f t="shared" si="1360"/>
        <v>37304.264260000004</v>
      </c>
      <c r="L2551" s="36">
        <f t="shared" si="1361"/>
        <v>17.405285660902681</v>
      </c>
      <c r="M2551" s="36">
        <f t="shared" si="1362"/>
        <v>100</v>
      </c>
    </row>
    <row r="2552" spans="1:13">
      <c r="A2552" s="60" t="s">
        <v>56</v>
      </c>
      <c r="B2552" s="29" t="s">
        <v>1048</v>
      </c>
      <c r="C2552" s="29" t="s">
        <v>93</v>
      </c>
      <c r="D2552" s="29" t="s">
        <v>106</v>
      </c>
      <c r="E2552" s="30" t="s">
        <v>1215</v>
      </c>
      <c r="F2552" s="59">
        <v>520</v>
      </c>
      <c r="G2552" s="36"/>
      <c r="H2552" s="36">
        <v>214327.21638</v>
      </c>
      <c r="I2552" s="36">
        <v>37304.264260000004</v>
      </c>
      <c r="J2552" s="36">
        <v>37304.264260000004</v>
      </c>
      <c r="K2552" s="36">
        <v>37304.264260000004</v>
      </c>
      <c r="L2552" s="36">
        <f t="shared" si="1361"/>
        <v>17.405285660902681</v>
      </c>
      <c r="M2552" s="36">
        <f t="shared" si="1362"/>
        <v>100</v>
      </c>
    </row>
    <row r="2553" spans="1:13" ht="25.5">
      <c r="A2553" s="60" t="s">
        <v>107</v>
      </c>
      <c r="B2553" s="29" t="s">
        <v>1048</v>
      </c>
      <c r="C2553" s="29" t="s">
        <v>93</v>
      </c>
      <c r="D2553" s="29" t="s">
        <v>106</v>
      </c>
      <c r="E2553" s="29" t="s">
        <v>1057</v>
      </c>
      <c r="F2553" s="59" t="s">
        <v>0</v>
      </c>
      <c r="G2553" s="36">
        <f>G2554</f>
        <v>40794</v>
      </c>
      <c r="H2553" s="36">
        <f t="shared" ref="H2553:K2554" si="1363">H2554</f>
        <v>40794.038330000003</v>
      </c>
      <c r="I2553" s="36">
        <f t="shared" si="1363"/>
        <v>1790.40338</v>
      </c>
      <c r="J2553" s="36">
        <f t="shared" si="1363"/>
        <v>1790.40338</v>
      </c>
      <c r="K2553" s="36">
        <f t="shared" si="1363"/>
        <v>1790.40338</v>
      </c>
      <c r="L2553" s="36">
        <f t="shared" si="1339"/>
        <v>4.3888848794931254</v>
      </c>
      <c r="M2553" s="36">
        <f t="shared" si="1340"/>
        <v>100</v>
      </c>
    </row>
    <row r="2554" spans="1:13">
      <c r="A2554" s="60" t="s">
        <v>26</v>
      </c>
      <c r="B2554" s="29" t="s">
        <v>1048</v>
      </c>
      <c r="C2554" s="29" t="s">
        <v>93</v>
      </c>
      <c r="D2554" s="29" t="s">
        <v>106</v>
      </c>
      <c r="E2554" s="29" t="s">
        <v>1057</v>
      </c>
      <c r="F2554" s="29" t="s">
        <v>27</v>
      </c>
      <c r="G2554" s="36">
        <f>G2555</f>
        <v>40794</v>
      </c>
      <c r="H2554" s="36">
        <f t="shared" si="1363"/>
        <v>40794.038330000003</v>
      </c>
      <c r="I2554" s="36">
        <f t="shared" si="1363"/>
        <v>1790.40338</v>
      </c>
      <c r="J2554" s="36">
        <f t="shared" si="1363"/>
        <v>1790.40338</v>
      </c>
      <c r="K2554" s="36">
        <f t="shared" si="1363"/>
        <v>1790.40338</v>
      </c>
      <c r="L2554" s="36">
        <f t="shared" si="1339"/>
        <v>4.3888848794931254</v>
      </c>
      <c r="M2554" s="36">
        <f t="shared" si="1340"/>
        <v>100</v>
      </c>
    </row>
    <row r="2555" spans="1:13">
      <c r="A2555" s="60" t="s">
        <v>56</v>
      </c>
      <c r="B2555" s="29" t="s">
        <v>1048</v>
      </c>
      <c r="C2555" s="29" t="s">
        <v>93</v>
      </c>
      <c r="D2555" s="29" t="s">
        <v>106</v>
      </c>
      <c r="E2555" s="29" t="s">
        <v>1057</v>
      </c>
      <c r="F2555" s="29" t="s">
        <v>57</v>
      </c>
      <c r="G2555" s="36">
        <v>40794</v>
      </c>
      <c r="H2555" s="36">
        <v>40794.038330000003</v>
      </c>
      <c r="I2555" s="36">
        <v>1790.40338</v>
      </c>
      <c r="J2555" s="36">
        <v>1790.40338</v>
      </c>
      <c r="K2555" s="36">
        <v>1790.40338</v>
      </c>
      <c r="L2555" s="36">
        <f t="shared" si="1339"/>
        <v>4.3888848794931254</v>
      </c>
      <c r="M2555" s="36">
        <f t="shared" si="1340"/>
        <v>100</v>
      </c>
    </row>
    <row r="2556" spans="1:13" ht="63.75">
      <c r="A2556" s="60" t="s">
        <v>184</v>
      </c>
      <c r="B2556" s="29" t="s">
        <v>1048</v>
      </c>
      <c r="C2556" s="29" t="s">
        <v>93</v>
      </c>
      <c r="D2556" s="29" t="s">
        <v>106</v>
      </c>
      <c r="E2556" s="29" t="s">
        <v>1058</v>
      </c>
      <c r="F2556" s="59" t="s">
        <v>0</v>
      </c>
      <c r="G2556" s="36">
        <f>G2557</f>
        <v>7250</v>
      </c>
      <c r="H2556" s="36">
        <f t="shared" ref="H2556:K2557" si="1364">H2557</f>
        <v>7250</v>
      </c>
      <c r="I2556" s="36">
        <f t="shared" si="1364"/>
        <v>1997.5497</v>
      </c>
      <c r="J2556" s="36">
        <f t="shared" si="1364"/>
        <v>1997.5497</v>
      </c>
      <c r="K2556" s="36">
        <f t="shared" si="1364"/>
        <v>1997.5497</v>
      </c>
      <c r="L2556" s="36">
        <f t="shared" si="1339"/>
        <v>27.552409655172415</v>
      </c>
      <c r="M2556" s="36">
        <f t="shared" si="1340"/>
        <v>100</v>
      </c>
    </row>
    <row r="2557" spans="1:13">
      <c r="A2557" s="60" t="s">
        <v>26</v>
      </c>
      <c r="B2557" s="29" t="s">
        <v>1048</v>
      </c>
      <c r="C2557" s="29" t="s">
        <v>93</v>
      </c>
      <c r="D2557" s="29" t="s">
        <v>106</v>
      </c>
      <c r="E2557" s="29" t="s">
        <v>1058</v>
      </c>
      <c r="F2557" s="29" t="s">
        <v>27</v>
      </c>
      <c r="G2557" s="36">
        <f>G2558</f>
        <v>7250</v>
      </c>
      <c r="H2557" s="36">
        <f t="shared" si="1364"/>
        <v>7250</v>
      </c>
      <c r="I2557" s="36">
        <f t="shared" si="1364"/>
        <v>1997.5497</v>
      </c>
      <c r="J2557" s="36">
        <f t="shared" si="1364"/>
        <v>1997.5497</v>
      </c>
      <c r="K2557" s="36">
        <f t="shared" si="1364"/>
        <v>1997.5497</v>
      </c>
      <c r="L2557" s="36">
        <f t="shared" si="1339"/>
        <v>27.552409655172415</v>
      </c>
      <c r="M2557" s="36">
        <f t="shared" si="1340"/>
        <v>100</v>
      </c>
    </row>
    <row r="2558" spans="1:13">
      <c r="A2558" s="60" t="s">
        <v>56</v>
      </c>
      <c r="B2558" s="29" t="s">
        <v>1048</v>
      </c>
      <c r="C2558" s="29" t="s">
        <v>93</v>
      </c>
      <c r="D2558" s="29" t="s">
        <v>106</v>
      </c>
      <c r="E2558" s="29" t="s">
        <v>1058</v>
      </c>
      <c r="F2558" s="29" t="s">
        <v>57</v>
      </c>
      <c r="G2558" s="36">
        <v>7250</v>
      </c>
      <c r="H2558" s="36">
        <v>7250</v>
      </c>
      <c r="I2558" s="36">
        <v>1997.5497</v>
      </c>
      <c r="J2558" s="36">
        <v>1997.5497</v>
      </c>
      <c r="K2558" s="36">
        <v>1997.5497</v>
      </c>
      <c r="L2558" s="36">
        <f t="shared" si="1339"/>
        <v>27.552409655172415</v>
      </c>
      <c r="M2558" s="36">
        <f t="shared" si="1340"/>
        <v>100</v>
      </c>
    </row>
    <row r="2559" spans="1:13">
      <c r="A2559" s="61" t="s">
        <v>0</v>
      </c>
      <c r="B2559" s="59" t="s">
        <v>0</v>
      </c>
      <c r="C2559" s="59" t="s">
        <v>0</v>
      </c>
      <c r="D2559" s="59" t="s">
        <v>0</v>
      </c>
      <c r="E2559" s="59" t="s">
        <v>0</v>
      </c>
      <c r="F2559" s="59" t="s">
        <v>0</v>
      </c>
      <c r="G2559" s="62" t="s">
        <v>0</v>
      </c>
      <c r="H2559" s="62" t="s">
        <v>0</v>
      </c>
      <c r="I2559" s="62" t="s">
        <v>0</v>
      </c>
      <c r="J2559" s="62" t="s">
        <v>0</v>
      </c>
      <c r="K2559" s="62" t="s">
        <v>0</v>
      </c>
      <c r="L2559" s="62"/>
      <c r="M2559" s="62"/>
    </row>
    <row r="2560" spans="1:13">
      <c r="A2560" s="60" t="s">
        <v>134</v>
      </c>
      <c r="B2560" s="29" t="s">
        <v>1048</v>
      </c>
      <c r="C2560" s="29" t="s">
        <v>46</v>
      </c>
      <c r="D2560" s="59" t="s">
        <v>0</v>
      </c>
      <c r="E2560" s="59" t="s">
        <v>0</v>
      </c>
      <c r="F2560" s="59" t="s">
        <v>0</v>
      </c>
      <c r="G2560" s="36">
        <f>G2561</f>
        <v>1000</v>
      </c>
      <c r="H2560" s="36">
        <f t="shared" ref="H2560:K2564" si="1365">H2561</f>
        <v>1000</v>
      </c>
      <c r="I2560" s="36">
        <f t="shared" si="1365"/>
        <v>0</v>
      </c>
      <c r="J2560" s="36">
        <f t="shared" si="1365"/>
        <v>0</v>
      </c>
      <c r="K2560" s="36">
        <f t="shared" si="1365"/>
        <v>0</v>
      </c>
      <c r="L2560" s="36">
        <f t="shared" si="1339"/>
        <v>0</v>
      </c>
      <c r="M2560" s="36">
        <v>0</v>
      </c>
    </row>
    <row r="2561" spans="1:13">
      <c r="A2561" s="60" t="s">
        <v>135</v>
      </c>
      <c r="B2561" s="29" t="s">
        <v>1048</v>
      </c>
      <c r="C2561" s="29" t="s">
        <v>46</v>
      </c>
      <c r="D2561" s="29" t="s">
        <v>17</v>
      </c>
      <c r="E2561" s="59" t="s">
        <v>0</v>
      </c>
      <c r="F2561" s="59" t="s">
        <v>0</v>
      </c>
      <c r="G2561" s="36">
        <f>G2562</f>
        <v>1000</v>
      </c>
      <c r="H2561" s="36">
        <f t="shared" si="1365"/>
        <v>1000</v>
      </c>
      <c r="I2561" s="36">
        <f t="shared" si="1365"/>
        <v>0</v>
      </c>
      <c r="J2561" s="36">
        <f t="shared" si="1365"/>
        <v>0</v>
      </c>
      <c r="K2561" s="36">
        <f t="shared" si="1365"/>
        <v>0</v>
      </c>
      <c r="L2561" s="36">
        <f t="shared" si="1339"/>
        <v>0</v>
      </c>
      <c r="M2561" s="36">
        <v>0</v>
      </c>
    </row>
    <row r="2562" spans="1:13" ht="38.25">
      <c r="A2562" s="60" t="s">
        <v>1049</v>
      </c>
      <c r="B2562" s="29" t="s">
        <v>1048</v>
      </c>
      <c r="C2562" s="29" t="s">
        <v>46</v>
      </c>
      <c r="D2562" s="29" t="s">
        <v>17</v>
      </c>
      <c r="E2562" s="29" t="s">
        <v>1050</v>
      </c>
      <c r="F2562" s="59" t="s">
        <v>0</v>
      </c>
      <c r="G2562" s="36">
        <f>G2563</f>
        <v>1000</v>
      </c>
      <c r="H2562" s="36">
        <f t="shared" si="1365"/>
        <v>1000</v>
      </c>
      <c r="I2562" s="36">
        <f t="shared" si="1365"/>
        <v>0</v>
      </c>
      <c r="J2562" s="36">
        <f t="shared" si="1365"/>
        <v>0</v>
      </c>
      <c r="K2562" s="36">
        <f t="shared" si="1365"/>
        <v>0</v>
      </c>
      <c r="L2562" s="36">
        <f t="shared" si="1339"/>
        <v>0</v>
      </c>
      <c r="M2562" s="36">
        <v>0</v>
      </c>
    </row>
    <row r="2563" spans="1:13" ht="38.25">
      <c r="A2563" s="60" t="s">
        <v>37</v>
      </c>
      <c r="B2563" s="29" t="s">
        <v>1048</v>
      </c>
      <c r="C2563" s="29" t="s">
        <v>46</v>
      </c>
      <c r="D2563" s="29" t="s">
        <v>17</v>
      </c>
      <c r="E2563" s="29" t="s">
        <v>1052</v>
      </c>
      <c r="F2563" s="59" t="s">
        <v>0</v>
      </c>
      <c r="G2563" s="36">
        <f>G2564</f>
        <v>1000</v>
      </c>
      <c r="H2563" s="36">
        <f t="shared" si="1365"/>
        <v>1000</v>
      </c>
      <c r="I2563" s="36">
        <f t="shared" si="1365"/>
        <v>0</v>
      </c>
      <c r="J2563" s="36">
        <f t="shared" si="1365"/>
        <v>0</v>
      </c>
      <c r="K2563" s="36">
        <f t="shared" si="1365"/>
        <v>0</v>
      </c>
      <c r="L2563" s="36">
        <f t="shared" si="1339"/>
        <v>0</v>
      </c>
      <c r="M2563" s="36">
        <v>0</v>
      </c>
    </row>
    <row r="2564" spans="1:13" ht="25.5">
      <c r="A2564" s="60" t="s">
        <v>39</v>
      </c>
      <c r="B2564" s="29" t="s">
        <v>1048</v>
      </c>
      <c r="C2564" s="29" t="s">
        <v>46</v>
      </c>
      <c r="D2564" s="29" t="s">
        <v>17</v>
      </c>
      <c r="E2564" s="29" t="s">
        <v>1052</v>
      </c>
      <c r="F2564" s="29" t="s">
        <v>40</v>
      </c>
      <c r="G2564" s="37">
        <f>G2565</f>
        <v>1000</v>
      </c>
      <c r="H2564" s="37">
        <f t="shared" si="1365"/>
        <v>1000</v>
      </c>
      <c r="I2564" s="37">
        <f t="shared" si="1365"/>
        <v>0</v>
      </c>
      <c r="J2564" s="37">
        <f t="shared" si="1365"/>
        <v>0</v>
      </c>
      <c r="K2564" s="37">
        <f t="shared" si="1365"/>
        <v>0</v>
      </c>
      <c r="L2564" s="36">
        <f t="shared" si="1339"/>
        <v>0</v>
      </c>
      <c r="M2564" s="36">
        <v>0</v>
      </c>
    </row>
    <row r="2565" spans="1:13">
      <c r="A2565" s="60" t="s">
        <v>41</v>
      </c>
      <c r="B2565" s="29" t="s">
        <v>1048</v>
      </c>
      <c r="C2565" s="29" t="s">
        <v>46</v>
      </c>
      <c r="D2565" s="29" t="s">
        <v>17</v>
      </c>
      <c r="E2565" s="29" t="s">
        <v>1052</v>
      </c>
      <c r="F2565" s="29" t="s">
        <v>42</v>
      </c>
      <c r="G2565" s="36">
        <v>1000</v>
      </c>
      <c r="H2565" s="36">
        <v>1000</v>
      </c>
      <c r="I2565" s="36">
        <v>0</v>
      </c>
      <c r="J2565" s="36">
        <v>0</v>
      </c>
      <c r="K2565" s="36">
        <v>0</v>
      </c>
      <c r="L2565" s="36">
        <f t="shared" si="1339"/>
        <v>0</v>
      </c>
      <c r="M2565" s="36">
        <v>0</v>
      </c>
    </row>
    <row r="2566" spans="1:13">
      <c r="A2566" s="65" t="s">
        <v>0</v>
      </c>
      <c r="B2566" s="66" t="s">
        <v>0</v>
      </c>
      <c r="C2566" s="59" t="s">
        <v>0</v>
      </c>
      <c r="D2566" s="59" t="s">
        <v>0</v>
      </c>
      <c r="E2566" s="59" t="s">
        <v>0</v>
      </c>
      <c r="F2566" s="59" t="s">
        <v>0</v>
      </c>
      <c r="G2566" s="67" t="s">
        <v>0</v>
      </c>
      <c r="H2566" s="67" t="s">
        <v>0</v>
      </c>
      <c r="I2566" s="67" t="s">
        <v>0</v>
      </c>
      <c r="J2566" s="67" t="s">
        <v>0</v>
      </c>
      <c r="K2566" s="67" t="s">
        <v>0</v>
      </c>
      <c r="L2566" s="67"/>
      <c r="M2566" s="67"/>
    </row>
    <row r="2567" spans="1:13" ht="25.5">
      <c r="A2567" s="57" t="s">
        <v>1059</v>
      </c>
      <c r="B2567" s="58" t="s">
        <v>1060</v>
      </c>
      <c r="C2567" s="59" t="s">
        <v>0</v>
      </c>
      <c r="D2567" s="59" t="s">
        <v>0</v>
      </c>
      <c r="E2567" s="59" t="s">
        <v>0</v>
      </c>
      <c r="F2567" s="59" t="s">
        <v>0</v>
      </c>
      <c r="G2567" s="31">
        <f>G2568</f>
        <v>73927.599999999991</v>
      </c>
      <c r="H2567" s="31">
        <f t="shared" ref="H2567:K2571" si="1366">H2568</f>
        <v>73927.599999999991</v>
      </c>
      <c r="I2567" s="31">
        <f t="shared" si="1366"/>
        <v>38145.699999999997</v>
      </c>
      <c r="J2567" s="31">
        <f t="shared" si="1366"/>
        <v>38145.699999999997</v>
      </c>
      <c r="K2567" s="31">
        <f t="shared" si="1366"/>
        <v>35913.401330000001</v>
      </c>
      <c r="L2567" s="31">
        <f t="shared" si="1339"/>
        <v>48.579152211082203</v>
      </c>
      <c r="M2567" s="31">
        <f t="shared" si="1340"/>
        <v>94.147967739483093</v>
      </c>
    </row>
    <row r="2568" spans="1:13">
      <c r="A2568" s="60" t="s">
        <v>16</v>
      </c>
      <c r="B2568" s="29" t="s">
        <v>1060</v>
      </c>
      <c r="C2568" s="29" t="s">
        <v>17</v>
      </c>
      <c r="D2568" s="59" t="s">
        <v>0</v>
      </c>
      <c r="E2568" s="59" t="s">
        <v>0</v>
      </c>
      <c r="F2568" s="59" t="s">
        <v>0</v>
      </c>
      <c r="G2568" s="36">
        <f>G2569</f>
        <v>73927.599999999991</v>
      </c>
      <c r="H2568" s="36">
        <f t="shared" si="1366"/>
        <v>73927.599999999991</v>
      </c>
      <c r="I2568" s="36">
        <f t="shared" si="1366"/>
        <v>38145.699999999997</v>
      </c>
      <c r="J2568" s="36">
        <f t="shared" si="1366"/>
        <v>38145.699999999997</v>
      </c>
      <c r="K2568" s="36">
        <f t="shared" si="1366"/>
        <v>35913.401330000001</v>
      </c>
      <c r="L2568" s="36">
        <f t="shared" si="1339"/>
        <v>48.579152211082203</v>
      </c>
      <c r="M2568" s="36">
        <f t="shared" si="1340"/>
        <v>94.147967739483093</v>
      </c>
    </row>
    <row r="2569" spans="1:13">
      <c r="A2569" s="60" t="s">
        <v>386</v>
      </c>
      <c r="B2569" s="29" t="s">
        <v>1060</v>
      </c>
      <c r="C2569" s="29" t="s">
        <v>17</v>
      </c>
      <c r="D2569" s="29" t="s">
        <v>387</v>
      </c>
      <c r="E2569" s="59" t="s">
        <v>0</v>
      </c>
      <c r="F2569" s="59" t="s">
        <v>0</v>
      </c>
      <c r="G2569" s="36">
        <f>G2570</f>
        <v>73927.599999999991</v>
      </c>
      <c r="H2569" s="36">
        <f t="shared" si="1366"/>
        <v>73927.599999999991</v>
      </c>
      <c r="I2569" s="36">
        <f t="shared" si="1366"/>
        <v>38145.699999999997</v>
      </c>
      <c r="J2569" s="36">
        <f t="shared" si="1366"/>
        <v>38145.699999999997</v>
      </c>
      <c r="K2569" s="36">
        <f t="shared" si="1366"/>
        <v>35913.401330000001</v>
      </c>
      <c r="L2569" s="36">
        <f t="shared" si="1339"/>
        <v>48.579152211082203</v>
      </c>
      <c r="M2569" s="36">
        <f t="shared" si="1340"/>
        <v>94.147967739483093</v>
      </c>
    </row>
    <row r="2570" spans="1:13" ht="38.25">
      <c r="A2570" s="60" t="s">
        <v>734</v>
      </c>
      <c r="B2570" s="29" t="s">
        <v>1060</v>
      </c>
      <c r="C2570" s="29" t="s">
        <v>17</v>
      </c>
      <c r="D2570" s="29" t="s">
        <v>387</v>
      </c>
      <c r="E2570" s="29" t="s">
        <v>735</v>
      </c>
      <c r="F2570" s="59" t="s">
        <v>0</v>
      </c>
      <c r="G2570" s="36">
        <f>G2571</f>
        <v>73927.599999999991</v>
      </c>
      <c r="H2570" s="36">
        <f t="shared" si="1366"/>
        <v>73927.599999999991</v>
      </c>
      <c r="I2570" s="36">
        <f t="shared" si="1366"/>
        <v>38145.699999999997</v>
      </c>
      <c r="J2570" s="36">
        <f t="shared" si="1366"/>
        <v>38145.699999999997</v>
      </c>
      <c r="K2570" s="36">
        <f t="shared" si="1366"/>
        <v>35913.401330000001</v>
      </c>
      <c r="L2570" s="36">
        <f t="shared" si="1339"/>
        <v>48.579152211082203</v>
      </c>
      <c r="M2570" s="36">
        <f t="shared" si="1340"/>
        <v>94.147967739483093</v>
      </c>
    </row>
    <row r="2571" spans="1:13" ht="38.25">
      <c r="A2571" s="60" t="s">
        <v>736</v>
      </c>
      <c r="B2571" s="29" t="s">
        <v>1060</v>
      </c>
      <c r="C2571" s="29" t="s">
        <v>17</v>
      </c>
      <c r="D2571" s="29" t="s">
        <v>387</v>
      </c>
      <c r="E2571" s="29" t="s">
        <v>737</v>
      </c>
      <c r="F2571" s="59" t="s">
        <v>0</v>
      </c>
      <c r="G2571" s="36">
        <f>G2572</f>
        <v>73927.599999999991</v>
      </c>
      <c r="H2571" s="36">
        <f t="shared" si="1366"/>
        <v>73927.599999999991</v>
      </c>
      <c r="I2571" s="36">
        <f t="shared" si="1366"/>
        <v>38145.699999999997</v>
      </c>
      <c r="J2571" s="36">
        <f t="shared" si="1366"/>
        <v>38145.699999999997</v>
      </c>
      <c r="K2571" s="36">
        <f t="shared" si="1366"/>
        <v>35913.401330000001</v>
      </c>
      <c r="L2571" s="36">
        <f t="shared" ref="L2571:L2634" si="1367">K2571/H2571*100</f>
        <v>48.579152211082203</v>
      </c>
      <c r="M2571" s="36">
        <f t="shared" ref="M2571:M2634" si="1368">K2571/I2571*100</f>
        <v>94.147967739483093</v>
      </c>
    </row>
    <row r="2572" spans="1:13" ht="89.25">
      <c r="A2572" s="60" t="s">
        <v>1061</v>
      </c>
      <c r="B2572" s="29" t="s">
        <v>1060</v>
      </c>
      <c r="C2572" s="29" t="s">
        <v>17</v>
      </c>
      <c r="D2572" s="29" t="s">
        <v>387</v>
      </c>
      <c r="E2572" s="29" t="s">
        <v>1062</v>
      </c>
      <c r="F2572" s="59" t="s">
        <v>0</v>
      </c>
      <c r="G2572" s="36">
        <f>G2573+G2575+G2577</f>
        <v>73927.599999999991</v>
      </c>
      <c r="H2572" s="36">
        <f t="shared" ref="H2572:K2572" si="1369">H2573+H2575+H2577</f>
        <v>73927.599999999991</v>
      </c>
      <c r="I2572" s="36">
        <f t="shared" si="1369"/>
        <v>38145.699999999997</v>
      </c>
      <c r="J2572" s="36">
        <f t="shared" si="1369"/>
        <v>38145.699999999997</v>
      </c>
      <c r="K2572" s="36">
        <f t="shared" si="1369"/>
        <v>35913.401330000001</v>
      </c>
      <c r="L2572" s="36">
        <f t="shared" si="1367"/>
        <v>48.579152211082203</v>
      </c>
      <c r="M2572" s="36">
        <f t="shared" si="1368"/>
        <v>94.147967739483093</v>
      </c>
    </row>
    <row r="2573" spans="1:13" ht="63.75">
      <c r="A2573" s="60" t="s">
        <v>60</v>
      </c>
      <c r="B2573" s="29" t="s">
        <v>1060</v>
      </c>
      <c r="C2573" s="29" t="s">
        <v>17</v>
      </c>
      <c r="D2573" s="29" t="s">
        <v>387</v>
      </c>
      <c r="E2573" s="29" t="s">
        <v>1062</v>
      </c>
      <c r="F2573" s="29" t="s">
        <v>61</v>
      </c>
      <c r="G2573" s="36">
        <f>G2574</f>
        <v>58765.9</v>
      </c>
      <c r="H2573" s="36">
        <f t="shared" ref="H2573:K2573" si="1370">H2574</f>
        <v>58765.9</v>
      </c>
      <c r="I2573" s="36">
        <f t="shared" si="1370"/>
        <v>32907.199999999997</v>
      </c>
      <c r="J2573" s="36">
        <f t="shared" si="1370"/>
        <v>32907.199999999997</v>
      </c>
      <c r="K2573" s="36">
        <f t="shared" si="1370"/>
        <v>30959.914670000002</v>
      </c>
      <c r="L2573" s="36">
        <f t="shared" si="1367"/>
        <v>52.683468933514163</v>
      </c>
      <c r="M2573" s="36">
        <f t="shared" si="1368"/>
        <v>94.082494621237927</v>
      </c>
    </row>
    <row r="2574" spans="1:13" ht="25.5">
      <c r="A2574" s="60" t="s">
        <v>62</v>
      </c>
      <c r="B2574" s="29" t="s">
        <v>1060</v>
      </c>
      <c r="C2574" s="29" t="s">
        <v>17</v>
      </c>
      <c r="D2574" s="29" t="s">
        <v>387</v>
      </c>
      <c r="E2574" s="29" t="s">
        <v>1062</v>
      </c>
      <c r="F2574" s="29" t="s">
        <v>63</v>
      </c>
      <c r="G2574" s="36">
        <v>58765.9</v>
      </c>
      <c r="H2574" s="36">
        <v>58765.9</v>
      </c>
      <c r="I2574" s="36">
        <f>24940+752+7215.2</f>
        <v>32907.199999999997</v>
      </c>
      <c r="J2574" s="36">
        <f>24940+752+7215.2</f>
        <v>32907.199999999997</v>
      </c>
      <c r="K2574" s="36">
        <f>22999.40996+751.77271+7208.732</f>
        <v>30959.914670000002</v>
      </c>
      <c r="L2574" s="36">
        <f t="shared" si="1367"/>
        <v>52.683468933514163</v>
      </c>
      <c r="M2574" s="36">
        <f t="shared" si="1368"/>
        <v>94.082494621237927</v>
      </c>
    </row>
    <row r="2575" spans="1:13" ht="25.5">
      <c r="A2575" s="60" t="s">
        <v>64</v>
      </c>
      <c r="B2575" s="29" t="s">
        <v>1060</v>
      </c>
      <c r="C2575" s="29" t="s">
        <v>17</v>
      </c>
      <c r="D2575" s="29" t="s">
        <v>387</v>
      </c>
      <c r="E2575" s="29" t="s">
        <v>1062</v>
      </c>
      <c r="F2575" s="29" t="s">
        <v>65</v>
      </c>
      <c r="G2575" s="36">
        <f>G2576</f>
        <v>14523</v>
      </c>
      <c r="H2575" s="36">
        <f t="shared" ref="H2575:K2575" si="1371">H2576</f>
        <v>14523</v>
      </c>
      <c r="I2575" s="36">
        <f t="shared" si="1371"/>
        <v>5036.5</v>
      </c>
      <c r="J2575" s="36">
        <f t="shared" si="1371"/>
        <v>5036.5</v>
      </c>
      <c r="K2575" s="36">
        <f t="shared" si="1371"/>
        <v>4760.0672400000003</v>
      </c>
      <c r="L2575" s="36">
        <f t="shared" si="1367"/>
        <v>32.776060318116095</v>
      </c>
      <c r="M2575" s="36">
        <f t="shared" si="1368"/>
        <v>94.511411496078637</v>
      </c>
    </row>
    <row r="2576" spans="1:13" ht="25.5">
      <c r="A2576" s="60" t="s">
        <v>66</v>
      </c>
      <c r="B2576" s="29" t="s">
        <v>1060</v>
      </c>
      <c r="C2576" s="29" t="s">
        <v>17</v>
      </c>
      <c r="D2576" s="29" t="s">
        <v>387</v>
      </c>
      <c r="E2576" s="29" t="s">
        <v>1062</v>
      </c>
      <c r="F2576" s="29" t="s">
        <v>67</v>
      </c>
      <c r="G2576" s="36">
        <v>14523</v>
      </c>
      <c r="H2576" s="36">
        <v>14523</v>
      </c>
      <c r="I2576" s="36">
        <v>5036.5</v>
      </c>
      <c r="J2576" s="36">
        <v>5036.5</v>
      </c>
      <c r="K2576" s="36">
        <v>4760.0672400000003</v>
      </c>
      <c r="L2576" s="36">
        <f t="shared" si="1367"/>
        <v>32.776060318116095</v>
      </c>
      <c r="M2576" s="36">
        <f t="shared" si="1368"/>
        <v>94.511411496078637</v>
      </c>
    </row>
    <row r="2577" spans="1:13">
      <c r="A2577" s="60" t="s">
        <v>72</v>
      </c>
      <c r="B2577" s="29" t="s">
        <v>1060</v>
      </c>
      <c r="C2577" s="29" t="s">
        <v>17</v>
      </c>
      <c r="D2577" s="29" t="s">
        <v>387</v>
      </c>
      <c r="E2577" s="29" t="s">
        <v>1062</v>
      </c>
      <c r="F2577" s="29" t="s">
        <v>73</v>
      </c>
      <c r="G2577" s="36">
        <f>G2578</f>
        <v>638.70000000000005</v>
      </c>
      <c r="H2577" s="36">
        <f t="shared" ref="H2577:K2577" si="1372">H2578</f>
        <v>638.70000000000005</v>
      </c>
      <c r="I2577" s="36">
        <f t="shared" si="1372"/>
        <v>202</v>
      </c>
      <c r="J2577" s="36">
        <f t="shared" si="1372"/>
        <v>202</v>
      </c>
      <c r="K2577" s="36">
        <f t="shared" si="1372"/>
        <v>193.41942</v>
      </c>
      <c r="L2577" s="36">
        <f t="shared" si="1367"/>
        <v>30.283297322686703</v>
      </c>
      <c r="M2577" s="36">
        <f t="shared" si="1368"/>
        <v>95.752188118811887</v>
      </c>
    </row>
    <row r="2578" spans="1:13">
      <c r="A2578" s="60" t="s">
        <v>74</v>
      </c>
      <c r="B2578" s="29" t="s">
        <v>1060</v>
      </c>
      <c r="C2578" s="29" t="s">
        <v>17</v>
      </c>
      <c r="D2578" s="29" t="s">
        <v>387</v>
      </c>
      <c r="E2578" s="29" t="s">
        <v>1062</v>
      </c>
      <c r="F2578" s="29" t="s">
        <v>75</v>
      </c>
      <c r="G2578" s="36">
        <v>638.70000000000005</v>
      </c>
      <c r="H2578" s="36">
        <v>638.70000000000005</v>
      </c>
      <c r="I2578" s="36">
        <f>190+12</f>
        <v>202</v>
      </c>
      <c r="J2578" s="36">
        <f>190+12</f>
        <v>202</v>
      </c>
      <c r="K2578" s="36">
        <f>183.8319+9.58752</f>
        <v>193.41942</v>
      </c>
      <c r="L2578" s="36">
        <f t="shared" si="1367"/>
        <v>30.283297322686703</v>
      </c>
      <c r="M2578" s="36">
        <f t="shared" si="1368"/>
        <v>95.752188118811887</v>
      </c>
    </row>
    <row r="2579" spans="1:13">
      <c r="A2579" s="65" t="s">
        <v>0</v>
      </c>
      <c r="B2579" s="66" t="s">
        <v>0</v>
      </c>
      <c r="C2579" s="59" t="s">
        <v>0</v>
      </c>
      <c r="D2579" s="59" t="s">
        <v>0</v>
      </c>
      <c r="E2579" s="59" t="s">
        <v>0</v>
      </c>
      <c r="F2579" s="59" t="s">
        <v>0</v>
      </c>
      <c r="G2579" s="67" t="s">
        <v>0</v>
      </c>
      <c r="H2579" s="67" t="s">
        <v>0</v>
      </c>
      <c r="I2579" s="67" t="s">
        <v>0</v>
      </c>
      <c r="J2579" s="67" t="s">
        <v>0</v>
      </c>
      <c r="K2579" s="67" t="s">
        <v>0</v>
      </c>
      <c r="L2579" s="67"/>
      <c r="M2579" s="67"/>
    </row>
    <row r="2580" spans="1:13" ht="25.5">
      <c r="A2580" s="57" t="s">
        <v>1063</v>
      </c>
      <c r="B2580" s="58" t="s">
        <v>1064</v>
      </c>
      <c r="C2580" s="59" t="s">
        <v>0</v>
      </c>
      <c r="D2580" s="59" t="s">
        <v>0</v>
      </c>
      <c r="E2580" s="59" t="s">
        <v>0</v>
      </c>
      <c r="F2580" s="59" t="s">
        <v>0</v>
      </c>
      <c r="G2580" s="31">
        <f>G2581</f>
        <v>54304.5</v>
      </c>
      <c r="H2580" s="31">
        <f t="shared" ref="H2580:K2584" si="1373">H2581</f>
        <v>54304.5</v>
      </c>
      <c r="I2580" s="31">
        <f t="shared" si="1373"/>
        <v>27620</v>
      </c>
      <c r="J2580" s="31">
        <f t="shared" si="1373"/>
        <v>24339.5229</v>
      </c>
      <c r="K2580" s="31">
        <f t="shared" si="1373"/>
        <v>22955.399219999999</v>
      </c>
      <c r="L2580" s="31">
        <f t="shared" si="1367"/>
        <v>42.271633511034992</v>
      </c>
      <c r="M2580" s="31">
        <f t="shared" si="1368"/>
        <v>83.111510572049241</v>
      </c>
    </row>
    <row r="2581" spans="1:13">
      <c r="A2581" s="60" t="s">
        <v>92</v>
      </c>
      <c r="B2581" s="29" t="s">
        <v>1064</v>
      </c>
      <c r="C2581" s="29" t="s">
        <v>93</v>
      </c>
      <c r="D2581" s="59" t="s">
        <v>0</v>
      </c>
      <c r="E2581" s="59" t="s">
        <v>0</v>
      </c>
      <c r="F2581" s="59" t="s">
        <v>0</v>
      </c>
      <c r="G2581" s="36">
        <f>G2582</f>
        <v>54304.5</v>
      </c>
      <c r="H2581" s="36">
        <f t="shared" si="1373"/>
        <v>54304.5</v>
      </c>
      <c r="I2581" s="36">
        <f t="shared" si="1373"/>
        <v>27620</v>
      </c>
      <c r="J2581" s="36">
        <f t="shared" si="1373"/>
        <v>24339.5229</v>
      </c>
      <c r="K2581" s="36">
        <f t="shared" si="1373"/>
        <v>22955.399219999999</v>
      </c>
      <c r="L2581" s="36">
        <f t="shared" si="1367"/>
        <v>42.271633511034992</v>
      </c>
      <c r="M2581" s="36">
        <f t="shared" si="1368"/>
        <v>83.111510572049241</v>
      </c>
    </row>
    <row r="2582" spans="1:13" ht="25.5">
      <c r="A2582" s="60" t="s">
        <v>1065</v>
      </c>
      <c r="B2582" s="29" t="s">
        <v>1064</v>
      </c>
      <c r="C2582" s="29" t="s">
        <v>93</v>
      </c>
      <c r="D2582" s="29" t="s">
        <v>93</v>
      </c>
      <c r="E2582" s="59" t="s">
        <v>0</v>
      </c>
      <c r="F2582" s="59" t="s">
        <v>0</v>
      </c>
      <c r="G2582" s="36">
        <f>G2583</f>
        <v>54304.5</v>
      </c>
      <c r="H2582" s="36">
        <f t="shared" si="1373"/>
        <v>54304.5</v>
      </c>
      <c r="I2582" s="36">
        <f t="shared" si="1373"/>
        <v>27620</v>
      </c>
      <c r="J2582" s="36">
        <f t="shared" si="1373"/>
        <v>24339.5229</v>
      </c>
      <c r="K2582" s="36">
        <f t="shared" si="1373"/>
        <v>22955.399219999999</v>
      </c>
      <c r="L2582" s="36">
        <f t="shared" si="1367"/>
        <v>42.271633511034992</v>
      </c>
      <c r="M2582" s="36">
        <f t="shared" si="1368"/>
        <v>83.111510572049241</v>
      </c>
    </row>
    <row r="2583" spans="1:13" ht="38.25">
      <c r="A2583" s="60" t="s">
        <v>175</v>
      </c>
      <c r="B2583" s="29" t="s">
        <v>1064</v>
      </c>
      <c r="C2583" s="29" t="s">
        <v>93</v>
      </c>
      <c r="D2583" s="29" t="s">
        <v>93</v>
      </c>
      <c r="E2583" s="29" t="s">
        <v>176</v>
      </c>
      <c r="F2583" s="59" t="s">
        <v>0</v>
      </c>
      <c r="G2583" s="36">
        <f>G2584</f>
        <v>54304.5</v>
      </c>
      <c r="H2583" s="36">
        <f t="shared" si="1373"/>
        <v>54304.5</v>
      </c>
      <c r="I2583" s="36">
        <f t="shared" si="1373"/>
        <v>27620</v>
      </c>
      <c r="J2583" s="36">
        <f t="shared" si="1373"/>
        <v>24339.5229</v>
      </c>
      <c r="K2583" s="36">
        <f t="shared" si="1373"/>
        <v>22955.399219999999</v>
      </c>
      <c r="L2583" s="36">
        <f t="shared" si="1367"/>
        <v>42.271633511034992</v>
      </c>
      <c r="M2583" s="36">
        <f t="shared" si="1368"/>
        <v>83.111510572049241</v>
      </c>
    </row>
    <row r="2584" spans="1:13" ht="38.25">
      <c r="A2584" s="60" t="s">
        <v>181</v>
      </c>
      <c r="B2584" s="29" t="s">
        <v>1064</v>
      </c>
      <c r="C2584" s="29" t="s">
        <v>93</v>
      </c>
      <c r="D2584" s="29" t="s">
        <v>93</v>
      </c>
      <c r="E2584" s="29" t="s">
        <v>182</v>
      </c>
      <c r="F2584" s="59" t="s">
        <v>0</v>
      </c>
      <c r="G2584" s="36">
        <f>G2585</f>
        <v>54304.5</v>
      </c>
      <c r="H2584" s="36">
        <f t="shared" si="1373"/>
        <v>54304.5</v>
      </c>
      <c r="I2584" s="36">
        <f t="shared" si="1373"/>
        <v>27620</v>
      </c>
      <c r="J2584" s="36">
        <f t="shared" si="1373"/>
        <v>24339.5229</v>
      </c>
      <c r="K2584" s="36">
        <f t="shared" si="1373"/>
        <v>22955.399219999999</v>
      </c>
      <c r="L2584" s="36">
        <f t="shared" si="1367"/>
        <v>42.271633511034992</v>
      </c>
      <c r="M2584" s="36">
        <f t="shared" si="1368"/>
        <v>83.111510572049241</v>
      </c>
    </row>
    <row r="2585" spans="1:13" ht="25.5">
      <c r="A2585" s="60" t="s">
        <v>58</v>
      </c>
      <c r="B2585" s="29" t="s">
        <v>1064</v>
      </c>
      <c r="C2585" s="29" t="s">
        <v>93</v>
      </c>
      <c r="D2585" s="29" t="s">
        <v>93</v>
      </c>
      <c r="E2585" s="29" t="s">
        <v>183</v>
      </c>
      <c r="F2585" s="59" t="s">
        <v>0</v>
      </c>
      <c r="G2585" s="36">
        <f>G2586+G2588+G2590</f>
        <v>54304.5</v>
      </c>
      <c r="H2585" s="36">
        <f t="shared" ref="H2585:K2585" si="1374">H2586+H2588+H2590</f>
        <v>54304.5</v>
      </c>
      <c r="I2585" s="36">
        <f t="shared" si="1374"/>
        <v>27620</v>
      </c>
      <c r="J2585" s="36">
        <f t="shared" si="1374"/>
        <v>24339.5229</v>
      </c>
      <c r="K2585" s="36">
        <f t="shared" si="1374"/>
        <v>22955.399219999999</v>
      </c>
      <c r="L2585" s="36">
        <f t="shared" si="1367"/>
        <v>42.271633511034992</v>
      </c>
      <c r="M2585" s="36">
        <f t="shared" si="1368"/>
        <v>83.111510572049241</v>
      </c>
    </row>
    <row r="2586" spans="1:13" ht="63.75">
      <c r="A2586" s="60" t="s">
        <v>60</v>
      </c>
      <c r="B2586" s="29" t="s">
        <v>1064</v>
      </c>
      <c r="C2586" s="29" t="s">
        <v>93</v>
      </c>
      <c r="D2586" s="29" t="s">
        <v>93</v>
      </c>
      <c r="E2586" s="29" t="s">
        <v>183</v>
      </c>
      <c r="F2586" s="29" t="s">
        <v>61</v>
      </c>
      <c r="G2586" s="36">
        <f>G2587</f>
        <v>48608.1</v>
      </c>
      <c r="H2586" s="36">
        <f t="shared" ref="H2586:K2586" si="1375">H2587</f>
        <v>48608.1</v>
      </c>
      <c r="I2586" s="36">
        <f t="shared" si="1375"/>
        <v>23575</v>
      </c>
      <c r="J2586" s="36">
        <f t="shared" si="1375"/>
        <v>21648.2</v>
      </c>
      <c r="K2586" s="36">
        <f t="shared" si="1375"/>
        <v>20498.412469999999</v>
      </c>
      <c r="L2586" s="36">
        <f t="shared" si="1367"/>
        <v>42.170774973718373</v>
      </c>
      <c r="M2586" s="36">
        <f t="shared" si="1368"/>
        <v>86.949787783669137</v>
      </c>
    </row>
    <row r="2587" spans="1:13" ht="25.5">
      <c r="A2587" s="60" t="s">
        <v>62</v>
      </c>
      <c r="B2587" s="29" t="s">
        <v>1064</v>
      </c>
      <c r="C2587" s="29" t="s">
        <v>93</v>
      </c>
      <c r="D2587" s="29" t="s">
        <v>93</v>
      </c>
      <c r="E2587" s="29" t="s">
        <v>183</v>
      </c>
      <c r="F2587" s="29" t="s">
        <v>63</v>
      </c>
      <c r="G2587" s="36">
        <v>48608.1</v>
      </c>
      <c r="H2587" s="36">
        <v>48608.1</v>
      </c>
      <c r="I2587" s="36">
        <f>17600+1100+4875</f>
        <v>23575</v>
      </c>
      <c r="J2587" s="36">
        <f>16000+1100+4548.2</f>
        <v>21648.2</v>
      </c>
      <c r="K2587" s="36">
        <f>15100.17315+968.71531+4429.52401</f>
        <v>20498.412469999999</v>
      </c>
      <c r="L2587" s="36">
        <f t="shared" si="1367"/>
        <v>42.170774973718373</v>
      </c>
      <c r="M2587" s="36">
        <f t="shared" si="1368"/>
        <v>86.949787783669137</v>
      </c>
    </row>
    <row r="2588" spans="1:13" ht="25.5">
      <c r="A2588" s="60" t="s">
        <v>64</v>
      </c>
      <c r="B2588" s="29" t="s">
        <v>1064</v>
      </c>
      <c r="C2588" s="29" t="s">
        <v>93</v>
      </c>
      <c r="D2588" s="29" t="s">
        <v>93</v>
      </c>
      <c r="E2588" s="29" t="s">
        <v>183</v>
      </c>
      <c r="F2588" s="29" t="s">
        <v>65</v>
      </c>
      <c r="G2588" s="36">
        <f>G2589</f>
        <v>5621.4</v>
      </c>
      <c r="H2588" s="36">
        <f t="shared" ref="H2588:K2588" si="1376">H2589</f>
        <v>5615.0771000000004</v>
      </c>
      <c r="I2588" s="36">
        <f t="shared" si="1376"/>
        <v>3963.6770999999999</v>
      </c>
      <c r="J2588" s="36">
        <f t="shared" si="1376"/>
        <v>2610</v>
      </c>
      <c r="K2588" s="36">
        <f t="shared" si="1376"/>
        <v>2378.6638499999999</v>
      </c>
      <c r="L2588" s="36">
        <f t="shared" si="1367"/>
        <v>42.362087067335189</v>
      </c>
      <c r="M2588" s="36">
        <f t="shared" si="1368"/>
        <v>60.011544583185142</v>
      </c>
    </row>
    <row r="2589" spans="1:13" ht="25.5">
      <c r="A2589" s="60" t="s">
        <v>66</v>
      </c>
      <c r="B2589" s="29" t="s">
        <v>1064</v>
      </c>
      <c r="C2589" s="29" t="s">
        <v>93</v>
      </c>
      <c r="D2589" s="29" t="s">
        <v>93</v>
      </c>
      <c r="E2589" s="29" t="s">
        <v>183</v>
      </c>
      <c r="F2589" s="29" t="s">
        <v>67</v>
      </c>
      <c r="G2589" s="36">
        <v>5621.4</v>
      </c>
      <c r="H2589" s="36">
        <v>5615.0771000000004</v>
      </c>
      <c r="I2589" s="36">
        <v>3963.6770999999999</v>
      </c>
      <c r="J2589" s="36">
        <v>2610</v>
      </c>
      <c r="K2589" s="36">
        <v>2378.6638499999999</v>
      </c>
      <c r="L2589" s="36">
        <f t="shared" si="1367"/>
        <v>42.362087067335189</v>
      </c>
      <c r="M2589" s="36">
        <f t="shared" si="1368"/>
        <v>60.011544583185142</v>
      </c>
    </row>
    <row r="2590" spans="1:13">
      <c r="A2590" s="60" t="s">
        <v>72</v>
      </c>
      <c r="B2590" s="29" t="s">
        <v>1064</v>
      </c>
      <c r="C2590" s="29" t="s">
        <v>93</v>
      </c>
      <c r="D2590" s="29" t="s">
        <v>93</v>
      </c>
      <c r="E2590" s="29" t="s">
        <v>183</v>
      </c>
      <c r="F2590" s="29" t="s">
        <v>73</v>
      </c>
      <c r="G2590" s="36">
        <f>G2591</f>
        <v>75</v>
      </c>
      <c r="H2590" s="36">
        <f t="shared" ref="H2590:K2590" si="1377">H2591</f>
        <v>81.322900000000004</v>
      </c>
      <c r="I2590" s="36">
        <f t="shared" si="1377"/>
        <v>81.322900000000004</v>
      </c>
      <c r="J2590" s="36">
        <f t="shared" si="1377"/>
        <v>81.322900000000004</v>
      </c>
      <c r="K2590" s="36">
        <f t="shared" si="1377"/>
        <v>78.322900000000004</v>
      </c>
      <c r="L2590" s="36">
        <f t="shared" si="1367"/>
        <v>96.311002190035026</v>
      </c>
      <c r="M2590" s="36">
        <f t="shared" si="1368"/>
        <v>96.311002190035026</v>
      </c>
    </row>
    <row r="2591" spans="1:13">
      <c r="A2591" s="60" t="s">
        <v>84</v>
      </c>
      <c r="B2591" s="29" t="s">
        <v>1064</v>
      </c>
      <c r="C2591" s="29" t="s">
        <v>93</v>
      </c>
      <c r="D2591" s="29" t="s">
        <v>93</v>
      </c>
      <c r="E2591" s="29" t="s">
        <v>183</v>
      </c>
      <c r="F2591" s="29" t="s">
        <v>85</v>
      </c>
      <c r="G2591" s="36">
        <v>75</v>
      </c>
      <c r="H2591" s="36">
        <v>81.322900000000004</v>
      </c>
      <c r="I2591" s="36">
        <v>81.322900000000004</v>
      </c>
      <c r="J2591" s="36">
        <v>81.322900000000004</v>
      </c>
      <c r="K2591" s="36">
        <v>78.322900000000004</v>
      </c>
      <c r="L2591" s="36">
        <f t="shared" si="1367"/>
        <v>96.311002190035026</v>
      </c>
      <c r="M2591" s="36">
        <f t="shared" si="1368"/>
        <v>96.311002190035026</v>
      </c>
    </row>
    <row r="2592" spans="1:13">
      <c r="A2592" s="65" t="s">
        <v>0</v>
      </c>
      <c r="B2592" s="66" t="s">
        <v>0</v>
      </c>
      <c r="C2592" s="59" t="s">
        <v>0</v>
      </c>
      <c r="D2592" s="59" t="s">
        <v>0</v>
      </c>
      <c r="E2592" s="59" t="s">
        <v>0</v>
      </c>
      <c r="F2592" s="59" t="s">
        <v>0</v>
      </c>
      <c r="G2592" s="67" t="s">
        <v>0</v>
      </c>
      <c r="H2592" s="67" t="s">
        <v>0</v>
      </c>
      <c r="I2592" s="67" t="s">
        <v>0</v>
      </c>
      <c r="J2592" s="67" t="s">
        <v>0</v>
      </c>
      <c r="K2592" s="67" t="s">
        <v>0</v>
      </c>
      <c r="L2592" s="67"/>
      <c r="M2592" s="67"/>
    </row>
    <row r="2593" spans="1:13" ht="38.25">
      <c r="A2593" s="57" t="s">
        <v>1066</v>
      </c>
      <c r="B2593" s="58" t="s">
        <v>1067</v>
      </c>
      <c r="C2593" s="59" t="s">
        <v>0</v>
      </c>
      <c r="D2593" s="59" t="s">
        <v>0</v>
      </c>
      <c r="E2593" s="59" t="s">
        <v>0</v>
      </c>
      <c r="F2593" s="59" t="s">
        <v>0</v>
      </c>
      <c r="G2593" s="31">
        <f>G2594</f>
        <v>92752.4</v>
      </c>
      <c r="H2593" s="31">
        <f t="shared" ref="H2593:K2593" si="1378">H2594</f>
        <v>92752.4</v>
      </c>
      <c r="I2593" s="31">
        <f t="shared" si="1378"/>
        <v>39541</v>
      </c>
      <c r="J2593" s="31">
        <f t="shared" si="1378"/>
        <v>39541</v>
      </c>
      <c r="K2593" s="31">
        <f t="shared" si="1378"/>
        <v>36757.108550000004</v>
      </c>
      <c r="L2593" s="31">
        <f t="shared" si="1367"/>
        <v>39.629280266602272</v>
      </c>
      <c r="M2593" s="31">
        <f t="shared" si="1368"/>
        <v>92.959481424344361</v>
      </c>
    </row>
    <row r="2594" spans="1:13">
      <c r="A2594" s="60" t="s">
        <v>1068</v>
      </c>
      <c r="B2594" s="29" t="s">
        <v>1067</v>
      </c>
      <c r="C2594" s="29" t="s">
        <v>51</v>
      </c>
      <c r="D2594" s="59" t="s">
        <v>0</v>
      </c>
      <c r="E2594" s="59" t="s">
        <v>0</v>
      </c>
      <c r="F2594" s="59" t="s">
        <v>0</v>
      </c>
      <c r="G2594" s="36">
        <f>G2595+G2609</f>
        <v>92752.4</v>
      </c>
      <c r="H2594" s="36">
        <f t="shared" ref="H2594:K2594" si="1379">H2595+H2609</f>
        <v>92752.4</v>
      </c>
      <c r="I2594" s="36">
        <f t="shared" si="1379"/>
        <v>39541</v>
      </c>
      <c r="J2594" s="36">
        <f t="shared" si="1379"/>
        <v>39541</v>
      </c>
      <c r="K2594" s="36">
        <f t="shared" si="1379"/>
        <v>36757.108550000004</v>
      </c>
      <c r="L2594" s="36">
        <f t="shared" si="1367"/>
        <v>39.629280266602272</v>
      </c>
      <c r="M2594" s="36">
        <f t="shared" si="1368"/>
        <v>92.959481424344361</v>
      </c>
    </row>
    <row r="2595" spans="1:13">
      <c r="A2595" s="60" t="s">
        <v>1069</v>
      </c>
      <c r="B2595" s="29" t="s">
        <v>1067</v>
      </c>
      <c r="C2595" s="29" t="s">
        <v>51</v>
      </c>
      <c r="D2595" s="29" t="s">
        <v>106</v>
      </c>
      <c r="E2595" s="59" t="s">
        <v>0</v>
      </c>
      <c r="F2595" s="59" t="s">
        <v>0</v>
      </c>
      <c r="G2595" s="36">
        <f>G2596+G2600+G2605</f>
        <v>44062.7</v>
      </c>
      <c r="H2595" s="36">
        <f t="shared" ref="H2595:K2595" si="1380">H2596+H2600+H2605</f>
        <v>44062.7</v>
      </c>
      <c r="I2595" s="36">
        <f t="shared" si="1380"/>
        <v>21671</v>
      </c>
      <c r="J2595" s="36">
        <f t="shared" si="1380"/>
        <v>21671</v>
      </c>
      <c r="K2595" s="36">
        <f t="shared" si="1380"/>
        <v>21671</v>
      </c>
      <c r="L2595" s="36">
        <f t="shared" si="1367"/>
        <v>49.182188109217094</v>
      </c>
      <c r="M2595" s="36">
        <f t="shared" si="1368"/>
        <v>100</v>
      </c>
    </row>
    <row r="2596" spans="1:13" ht="38.25">
      <c r="A2596" s="60" t="s">
        <v>1049</v>
      </c>
      <c r="B2596" s="29" t="s">
        <v>1067</v>
      </c>
      <c r="C2596" s="29" t="s">
        <v>51</v>
      </c>
      <c r="D2596" s="29" t="s">
        <v>106</v>
      </c>
      <c r="E2596" s="29" t="s">
        <v>1050</v>
      </c>
      <c r="F2596" s="59" t="s">
        <v>0</v>
      </c>
      <c r="G2596" s="36">
        <f>G2597</f>
        <v>2400</v>
      </c>
      <c r="H2596" s="36">
        <f t="shared" ref="H2596:K2598" si="1381">H2597</f>
        <v>2400</v>
      </c>
      <c r="I2596" s="36">
        <f t="shared" si="1381"/>
        <v>600</v>
      </c>
      <c r="J2596" s="36">
        <f t="shared" si="1381"/>
        <v>600</v>
      </c>
      <c r="K2596" s="36">
        <f t="shared" si="1381"/>
        <v>600</v>
      </c>
      <c r="L2596" s="36">
        <f t="shared" si="1367"/>
        <v>25</v>
      </c>
      <c r="M2596" s="36">
        <f t="shared" si="1368"/>
        <v>100</v>
      </c>
    </row>
    <row r="2597" spans="1:13" ht="25.5">
      <c r="A2597" s="60" t="s">
        <v>76</v>
      </c>
      <c r="B2597" s="29" t="s">
        <v>1067</v>
      </c>
      <c r="C2597" s="29" t="s">
        <v>51</v>
      </c>
      <c r="D2597" s="29" t="s">
        <v>106</v>
      </c>
      <c r="E2597" s="29" t="s">
        <v>1054</v>
      </c>
      <c r="F2597" s="59" t="s">
        <v>0</v>
      </c>
      <c r="G2597" s="36">
        <f>G2598</f>
        <v>2400</v>
      </c>
      <c r="H2597" s="36">
        <f t="shared" si="1381"/>
        <v>2400</v>
      </c>
      <c r="I2597" s="36">
        <f t="shared" si="1381"/>
        <v>600</v>
      </c>
      <c r="J2597" s="36">
        <f t="shared" si="1381"/>
        <v>600</v>
      </c>
      <c r="K2597" s="36">
        <f t="shared" si="1381"/>
        <v>600</v>
      </c>
      <c r="L2597" s="36">
        <f t="shared" si="1367"/>
        <v>25</v>
      </c>
      <c r="M2597" s="36">
        <f t="shared" si="1368"/>
        <v>100</v>
      </c>
    </row>
    <row r="2598" spans="1:13" ht="25.5">
      <c r="A2598" s="60" t="s">
        <v>80</v>
      </c>
      <c r="B2598" s="29" t="s">
        <v>1067</v>
      </c>
      <c r="C2598" s="29" t="s">
        <v>51</v>
      </c>
      <c r="D2598" s="29" t="s">
        <v>106</v>
      </c>
      <c r="E2598" s="29" t="s">
        <v>1054</v>
      </c>
      <c r="F2598" s="29" t="s">
        <v>81</v>
      </c>
      <c r="G2598" s="36">
        <f>G2599</f>
        <v>2400</v>
      </c>
      <c r="H2598" s="36">
        <f t="shared" si="1381"/>
        <v>2400</v>
      </c>
      <c r="I2598" s="36">
        <f t="shared" si="1381"/>
        <v>600</v>
      </c>
      <c r="J2598" s="36">
        <f t="shared" si="1381"/>
        <v>600</v>
      </c>
      <c r="K2598" s="36">
        <f t="shared" si="1381"/>
        <v>600</v>
      </c>
      <c r="L2598" s="36">
        <f t="shared" si="1367"/>
        <v>25</v>
      </c>
      <c r="M2598" s="36">
        <f t="shared" si="1368"/>
        <v>100</v>
      </c>
    </row>
    <row r="2599" spans="1:13">
      <c r="A2599" s="60" t="s">
        <v>82</v>
      </c>
      <c r="B2599" s="29" t="s">
        <v>1067</v>
      </c>
      <c r="C2599" s="29" t="s">
        <v>51</v>
      </c>
      <c r="D2599" s="29" t="s">
        <v>106</v>
      </c>
      <c r="E2599" s="29" t="s">
        <v>1054</v>
      </c>
      <c r="F2599" s="29" t="s">
        <v>83</v>
      </c>
      <c r="G2599" s="36">
        <v>2400</v>
      </c>
      <c r="H2599" s="36">
        <v>2400</v>
      </c>
      <c r="I2599" s="36">
        <v>600</v>
      </c>
      <c r="J2599" s="36">
        <v>600</v>
      </c>
      <c r="K2599" s="36">
        <v>600</v>
      </c>
      <c r="L2599" s="36">
        <f t="shared" si="1367"/>
        <v>25</v>
      </c>
      <c r="M2599" s="36">
        <f t="shared" si="1368"/>
        <v>100</v>
      </c>
    </row>
    <row r="2600" spans="1:13" ht="38.25">
      <c r="A2600" s="60" t="s">
        <v>734</v>
      </c>
      <c r="B2600" s="29" t="s">
        <v>1067</v>
      </c>
      <c r="C2600" s="29" t="s">
        <v>51</v>
      </c>
      <c r="D2600" s="29" t="s">
        <v>106</v>
      </c>
      <c r="E2600" s="29" t="s">
        <v>735</v>
      </c>
      <c r="F2600" s="59" t="s">
        <v>0</v>
      </c>
      <c r="G2600" s="36">
        <f>G2601</f>
        <v>40142.699999999997</v>
      </c>
      <c r="H2600" s="36">
        <f t="shared" ref="H2600:K2603" si="1382">H2601</f>
        <v>40142.699999999997</v>
      </c>
      <c r="I2600" s="36">
        <f t="shared" si="1382"/>
        <v>20071</v>
      </c>
      <c r="J2600" s="36">
        <f t="shared" si="1382"/>
        <v>20071</v>
      </c>
      <c r="K2600" s="36">
        <f t="shared" si="1382"/>
        <v>20071</v>
      </c>
      <c r="L2600" s="36">
        <f t="shared" si="1367"/>
        <v>49.999128110465918</v>
      </c>
      <c r="M2600" s="36">
        <f t="shared" si="1368"/>
        <v>100</v>
      </c>
    </row>
    <row r="2601" spans="1:13" ht="51">
      <c r="A2601" s="60" t="s">
        <v>1070</v>
      </c>
      <c r="B2601" s="29" t="s">
        <v>1067</v>
      </c>
      <c r="C2601" s="29" t="s">
        <v>51</v>
      </c>
      <c r="D2601" s="29" t="s">
        <v>106</v>
      </c>
      <c r="E2601" s="29" t="s">
        <v>1071</v>
      </c>
      <c r="F2601" s="59" t="s">
        <v>0</v>
      </c>
      <c r="G2601" s="36">
        <f>G2602</f>
        <v>40142.699999999997</v>
      </c>
      <c r="H2601" s="36">
        <f t="shared" si="1382"/>
        <v>40142.699999999997</v>
      </c>
      <c r="I2601" s="36">
        <f t="shared" si="1382"/>
        <v>20071</v>
      </c>
      <c r="J2601" s="36">
        <f t="shared" si="1382"/>
        <v>20071</v>
      </c>
      <c r="K2601" s="36">
        <f t="shared" si="1382"/>
        <v>20071</v>
      </c>
      <c r="L2601" s="36">
        <f t="shared" si="1367"/>
        <v>49.999128110465918</v>
      </c>
      <c r="M2601" s="36">
        <f t="shared" si="1368"/>
        <v>100</v>
      </c>
    </row>
    <row r="2602" spans="1:13" ht="25.5">
      <c r="A2602" s="60" t="s">
        <v>76</v>
      </c>
      <c r="B2602" s="29" t="s">
        <v>1067</v>
      </c>
      <c r="C2602" s="29" t="s">
        <v>51</v>
      </c>
      <c r="D2602" s="29" t="s">
        <v>106</v>
      </c>
      <c r="E2602" s="29" t="s">
        <v>1072</v>
      </c>
      <c r="F2602" s="59" t="s">
        <v>0</v>
      </c>
      <c r="G2602" s="36">
        <f>G2603</f>
        <v>40142.699999999997</v>
      </c>
      <c r="H2602" s="36">
        <f t="shared" si="1382"/>
        <v>40142.699999999997</v>
      </c>
      <c r="I2602" s="36">
        <f t="shared" si="1382"/>
        <v>20071</v>
      </c>
      <c r="J2602" s="36">
        <f t="shared" si="1382"/>
        <v>20071</v>
      </c>
      <c r="K2602" s="36">
        <f t="shared" si="1382"/>
        <v>20071</v>
      </c>
      <c r="L2602" s="36">
        <f t="shared" si="1367"/>
        <v>49.999128110465918</v>
      </c>
      <c r="M2602" s="36">
        <f t="shared" si="1368"/>
        <v>100</v>
      </c>
    </row>
    <row r="2603" spans="1:13" ht="25.5">
      <c r="A2603" s="60" t="s">
        <v>80</v>
      </c>
      <c r="B2603" s="29" t="s">
        <v>1067</v>
      </c>
      <c r="C2603" s="29" t="s">
        <v>51</v>
      </c>
      <c r="D2603" s="29" t="s">
        <v>106</v>
      </c>
      <c r="E2603" s="29" t="s">
        <v>1072</v>
      </c>
      <c r="F2603" s="29" t="s">
        <v>81</v>
      </c>
      <c r="G2603" s="36">
        <f>G2604</f>
        <v>40142.699999999997</v>
      </c>
      <c r="H2603" s="36">
        <f t="shared" si="1382"/>
        <v>40142.699999999997</v>
      </c>
      <c r="I2603" s="36">
        <f t="shared" si="1382"/>
        <v>20071</v>
      </c>
      <c r="J2603" s="36">
        <f t="shared" si="1382"/>
        <v>20071</v>
      </c>
      <c r="K2603" s="36">
        <f t="shared" si="1382"/>
        <v>20071</v>
      </c>
      <c r="L2603" s="36">
        <f t="shared" si="1367"/>
        <v>49.999128110465918</v>
      </c>
      <c r="M2603" s="36">
        <f t="shared" si="1368"/>
        <v>100</v>
      </c>
    </row>
    <row r="2604" spans="1:13">
      <c r="A2604" s="60" t="s">
        <v>82</v>
      </c>
      <c r="B2604" s="29" t="s">
        <v>1067</v>
      </c>
      <c r="C2604" s="29" t="s">
        <v>51</v>
      </c>
      <c r="D2604" s="29" t="s">
        <v>106</v>
      </c>
      <c r="E2604" s="29" t="s">
        <v>1072</v>
      </c>
      <c r="F2604" s="29" t="s">
        <v>83</v>
      </c>
      <c r="G2604" s="36">
        <v>40142.699999999997</v>
      </c>
      <c r="H2604" s="36">
        <v>40142.699999999997</v>
      </c>
      <c r="I2604" s="36">
        <v>20071</v>
      </c>
      <c r="J2604" s="36">
        <v>20071</v>
      </c>
      <c r="K2604" s="36">
        <v>20071</v>
      </c>
      <c r="L2604" s="36">
        <f t="shared" si="1367"/>
        <v>49.999128110465918</v>
      </c>
      <c r="M2604" s="36">
        <f t="shared" si="1368"/>
        <v>100</v>
      </c>
    </row>
    <row r="2605" spans="1:13" ht="51">
      <c r="A2605" s="60" t="s">
        <v>377</v>
      </c>
      <c r="B2605" s="29" t="s">
        <v>1067</v>
      </c>
      <c r="C2605" s="29" t="s">
        <v>51</v>
      </c>
      <c r="D2605" s="29" t="s">
        <v>106</v>
      </c>
      <c r="E2605" s="29" t="s">
        <v>378</v>
      </c>
      <c r="F2605" s="59" t="s">
        <v>0</v>
      </c>
      <c r="G2605" s="36">
        <f>G2606</f>
        <v>1520</v>
      </c>
      <c r="H2605" s="36">
        <f t="shared" ref="H2605:K2607" si="1383">H2606</f>
        <v>1520</v>
      </c>
      <c r="I2605" s="36">
        <f t="shared" si="1383"/>
        <v>1000</v>
      </c>
      <c r="J2605" s="36">
        <f t="shared" si="1383"/>
        <v>1000</v>
      </c>
      <c r="K2605" s="36">
        <f t="shared" si="1383"/>
        <v>1000</v>
      </c>
      <c r="L2605" s="36">
        <f t="shared" si="1367"/>
        <v>65.789473684210535</v>
      </c>
      <c r="M2605" s="36">
        <f t="shared" si="1368"/>
        <v>100</v>
      </c>
    </row>
    <row r="2606" spans="1:13" ht="25.5">
      <c r="A2606" s="60" t="s">
        <v>76</v>
      </c>
      <c r="B2606" s="29" t="s">
        <v>1067</v>
      </c>
      <c r="C2606" s="29" t="s">
        <v>51</v>
      </c>
      <c r="D2606" s="29" t="s">
        <v>106</v>
      </c>
      <c r="E2606" s="29" t="s">
        <v>379</v>
      </c>
      <c r="F2606" s="59" t="s">
        <v>0</v>
      </c>
      <c r="G2606" s="36">
        <f>G2607</f>
        <v>1520</v>
      </c>
      <c r="H2606" s="36">
        <f t="shared" si="1383"/>
        <v>1520</v>
      </c>
      <c r="I2606" s="36">
        <f t="shared" si="1383"/>
        <v>1000</v>
      </c>
      <c r="J2606" s="36">
        <f t="shared" si="1383"/>
        <v>1000</v>
      </c>
      <c r="K2606" s="36">
        <f t="shared" si="1383"/>
        <v>1000</v>
      </c>
      <c r="L2606" s="36">
        <f t="shared" si="1367"/>
        <v>65.789473684210535</v>
      </c>
      <c r="M2606" s="36">
        <f t="shared" si="1368"/>
        <v>100</v>
      </c>
    </row>
    <row r="2607" spans="1:13" ht="25.5">
      <c r="A2607" s="60" t="s">
        <v>80</v>
      </c>
      <c r="B2607" s="29" t="s">
        <v>1067</v>
      </c>
      <c r="C2607" s="29" t="s">
        <v>51</v>
      </c>
      <c r="D2607" s="29" t="s">
        <v>106</v>
      </c>
      <c r="E2607" s="29" t="s">
        <v>379</v>
      </c>
      <c r="F2607" s="29" t="s">
        <v>81</v>
      </c>
      <c r="G2607" s="36">
        <f>G2608</f>
        <v>1520</v>
      </c>
      <c r="H2607" s="36">
        <f t="shared" si="1383"/>
        <v>1520</v>
      </c>
      <c r="I2607" s="36">
        <f t="shared" si="1383"/>
        <v>1000</v>
      </c>
      <c r="J2607" s="36">
        <f t="shared" si="1383"/>
        <v>1000</v>
      </c>
      <c r="K2607" s="36">
        <f t="shared" si="1383"/>
        <v>1000</v>
      </c>
      <c r="L2607" s="36">
        <f t="shared" si="1367"/>
        <v>65.789473684210535</v>
      </c>
      <c r="M2607" s="36">
        <f t="shared" si="1368"/>
        <v>100</v>
      </c>
    </row>
    <row r="2608" spans="1:13">
      <c r="A2608" s="60" t="s">
        <v>82</v>
      </c>
      <c r="B2608" s="29" t="s">
        <v>1067</v>
      </c>
      <c r="C2608" s="29" t="s">
        <v>51</v>
      </c>
      <c r="D2608" s="29" t="s">
        <v>106</v>
      </c>
      <c r="E2608" s="29" t="s">
        <v>379</v>
      </c>
      <c r="F2608" s="29" t="s">
        <v>83</v>
      </c>
      <c r="G2608" s="36">
        <v>1520</v>
      </c>
      <c r="H2608" s="36">
        <v>1520</v>
      </c>
      <c r="I2608" s="36">
        <v>1000</v>
      </c>
      <c r="J2608" s="36">
        <v>1000</v>
      </c>
      <c r="K2608" s="36">
        <v>1000</v>
      </c>
      <c r="L2608" s="36">
        <f t="shared" si="1367"/>
        <v>65.789473684210535</v>
      </c>
      <c r="M2608" s="36">
        <f t="shared" si="1368"/>
        <v>100</v>
      </c>
    </row>
    <row r="2609" spans="1:13" ht="25.5">
      <c r="A2609" s="60" t="s">
        <v>1073</v>
      </c>
      <c r="B2609" s="29" t="s">
        <v>1067</v>
      </c>
      <c r="C2609" s="29" t="s">
        <v>51</v>
      </c>
      <c r="D2609" s="29" t="s">
        <v>19</v>
      </c>
      <c r="E2609" s="59" t="s">
        <v>0</v>
      </c>
      <c r="F2609" s="59" t="s">
        <v>0</v>
      </c>
      <c r="G2609" s="36">
        <f>G2610+G2615+G2620</f>
        <v>48689.7</v>
      </c>
      <c r="H2609" s="36">
        <f t="shared" ref="H2609:K2609" si="1384">H2610+H2615+H2620</f>
        <v>48689.7</v>
      </c>
      <c r="I2609" s="36">
        <f t="shared" si="1384"/>
        <v>17870</v>
      </c>
      <c r="J2609" s="36">
        <f t="shared" si="1384"/>
        <v>17870</v>
      </c>
      <c r="K2609" s="36">
        <f t="shared" si="1384"/>
        <v>15086.108550000001</v>
      </c>
      <c r="L2609" s="36">
        <f t="shared" si="1367"/>
        <v>30.9841887503928</v>
      </c>
      <c r="M2609" s="36">
        <f t="shared" si="1368"/>
        <v>84.421424454392849</v>
      </c>
    </row>
    <row r="2610" spans="1:13" ht="38.25">
      <c r="A2610" s="60" t="s">
        <v>299</v>
      </c>
      <c r="B2610" s="29" t="s">
        <v>1067</v>
      </c>
      <c r="C2610" s="29" t="s">
        <v>51</v>
      </c>
      <c r="D2610" s="29" t="s">
        <v>19</v>
      </c>
      <c r="E2610" s="29" t="s">
        <v>300</v>
      </c>
      <c r="F2610" s="59" t="s">
        <v>0</v>
      </c>
      <c r="G2610" s="36">
        <f>G2611</f>
        <v>956</v>
      </c>
      <c r="H2610" s="36">
        <f t="shared" ref="H2610:K2613" si="1385">H2611</f>
        <v>956</v>
      </c>
      <c r="I2610" s="36">
        <f t="shared" si="1385"/>
        <v>0</v>
      </c>
      <c r="J2610" s="36">
        <f t="shared" si="1385"/>
        <v>0</v>
      </c>
      <c r="K2610" s="36">
        <f t="shared" si="1385"/>
        <v>0</v>
      </c>
      <c r="L2610" s="36">
        <f t="shared" si="1367"/>
        <v>0</v>
      </c>
      <c r="M2610" s="36">
        <v>0</v>
      </c>
    </row>
    <row r="2611" spans="1:13">
      <c r="A2611" s="60" t="s">
        <v>301</v>
      </c>
      <c r="B2611" s="29" t="s">
        <v>1067</v>
      </c>
      <c r="C2611" s="29" t="s">
        <v>51</v>
      </c>
      <c r="D2611" s="29" t="s">
        <v>19</v>
      </c>
      <c r="E2611" s="29" t="s">
        <v>302</v>
      </c>
      <c r="F2611" s="59" t="s">
        <v>0</v>
      </c>
      <c r="G2611" s="36">
        <f>G2612</f>
        <v>956</v>
      </c>
      <c r="H2611" s="36">
        <f t="shared" si="1385"/>
        <v>956</v>
      </c>
      <c r="I2611" s="36">
        <f t="shared" si="1385"/>
        <v>0</v>
      </c>
      <c r="J2611" s="36">
        <f t="shared" si="1385"/>
        <v>0</v>
      </c>
      <c r="K2611" s="36">
        <f t="shared" si="1385"/>
        <v>0</v>
      </c>
      <c r="L2611" s="36">
        <f t="shared" si="1367"/>
        <v>0</v>
      </c>
      <c r="M2611" s="36">
        <v>0</v>
      </c>
    </row>
    <row r="2612" spans="1:13" ht="25.5">
      <c r="A2612" s="60" t="s">
        <v>1074</v>
      </c>
      <c r="B2612" s="29" t="s">
        <v>1067</v>
      </c>
      <c r="C2612" s="29" t="s">
        <v>51</v>
      </c>
      <c r="D2612" s="29" t="s">
        <v>19</v>
      </c>
      <c r="E2612" s="29" t="s">
        <v>1075</v>
      </c>
      <c r="F2612" s="59" t="s">
        <v>0</v>
      </c>
      <c r="G2612" s="36">
        <f>G2613</f>
        <v>956</v>
      </c>
      <c r="H2612" s="36">
        <f t="shared" si="1385"/>
        <v>956</v>
      </c>
      <c r="I2612" s="36">
        <f t="shared" si="1385"/>
        <v>0</v>
      </c>
      <c r="J2612" s="36">
        <f t="shared" si="1385"/>
        <v>0</v>
      </c>
      <c r="K2612" s="36">
        <f t="shared" si="1385"/>
        <v>0</v>
      </c>
      <c r="L2612" s="36">
        <f t="shared" si="1367"/>
        <v>0</v>
      </c>
      <c r="M2612" s="36">
        <v>0</v>
      </c>
    </row>
    <row r="2613" spans="1:13" ht="25.5">
      <c r="A2613" s="60" t="s">
        <v>64</v>
      </c>
      <c r="B2613" s="29" t="s">
        <v>1067</v>
      </c>
      <c r="C2613" s="29" t="s">
        <v>51</v>
      </c>
      <c r="D2613" s="29" t="s">
        <v>19</v>
      </c>
      <c r="E2613" s="29" t="s">
        <v>1075</v>
      </c>
      <c r="F2613" s="29" t="s">
        <v>65</v>
      </c>
      <c r="G2613" s="36">
        <f>G2614</f>
        <v>956</v>
      </c>
      <c r="H2613" s="36">
        <f t="shared" si="1385"/>
        <v>956</v>
      </c>
      <c r="I2613" s="36">
        <f t="shared" si="1385"/>
        <v>0</v>
      </c>
      <c r="J2613" s="36">
        <f t="shared" si="1385"/>
        <v>0</v>
      </c>
      <c r="K2613" s="36">
        <f t="shared" si="1385"/>
        <v>0</v>
      </c>
      <c r="L2613" s="36">
        <f t="shared" si="1367"/>
        <v>0</v>
      </c>
      <c r="M2613" s="36">
        <v>0</v>
      </c>
    </row>
    <row r="2614" spans="1:13" ht="25.5">
      <c r="A2614" s="60" t="s">
        <v>66</v>
      </c>
      <c r="B2614" s="29" t="s">
        <v>1067</v>
      </c>
      <c r="C2614" s="29" t="s">
        <v>51</v>
      </c>
      <c r="D2614" s="29" t="s">
        <v>19</v>
      </c>
      <c r="E2614" s="29" t="s">
        <v>1075</v>
      </c>
      <c r="F2614" s="29" t="s">
        <v>67</v>
      </c>
      <c r="G2614" s="36">
        <v>956</v>
      </c>
      <c r="H2614" s="36">
        <v>956</v>
      </c>
      <c r="I2614" s="36">
        <v>0</v>
      </c>
      <c r="J2614" s="36">
        <v>0</v>
      </c>
      <c r="K2614" s="36">
        <v>0</v>
      </c>
      <c r="L2614" s="36">
        <f t="shared" si="1367"/>
        <v>0</v>
      </c>
      <c r="M2614" s="36">
        <v>0</v>
      </c>
    </row>
    <row r="2615" spans="1:13" ht="76.5">
      <c r="A2615" s="60" t="s">
        <v>86</v>
      </c>
      <c r="B2615" s="29" t="s">
        <v>1067</v>
      </c>
      <c r="C2615" s="29" t="s">
        <v>51</v>
      </c>
      <c r="D2615" s="29" t="s">
        <v>19</v>
      </c>
      <c r="E2615" s="29" t="s">
        <v>87</v>
      </c>
      <c r="F2615" s="59" t="s">
        <v>0</v>
      </c>
      <c r="G2615" s="36">
        <f>G2616</f>
        <v>1233</v>
      </c>
      <c r="H2615" s="36">
        <f t="shared" ref="H2615:K2618" si="1386">H2616</f>
        <v>1233</v>
      </c>
      <c r="I2615" s="36">
        <f t="shared" si="1386"/>
        <v>180</v>
      </c>
      <c r="J2615" s="36">
        <f t="shared" si="1386"/>
        <v>180</v>
      </c>
      <c r="K2615" s="36">
        <f t="shared" si="1386"/>
        <v>180</v>
      </c>
      <c r="L2615" s="36">
        <f t="shared" si="1367"/>
        <v>14.5985401459854</v>
      </c>
      <c r="M2615" s="36">
        <f t="shared" si="1368"/>
        <v>100</v>
      </c>
    </row>
    <row r="2616" spans="1:13" ht="25.5">
      <c r="A2616" s="60" t="s">
        <v>88</v>
      </c>
      <c r="B2616" s="29" t="s">
        <v>1067</v>
      </c>
      <c r="C2616" s="29" t="s">
        <v>51</v>
      </c>
      <c r="D2616" s="29" t="s">
        <v>19</v>
      </c>
      <c r="E2616" s="29" t="s">
        <v>89</v>
      </c>
      <c r="F2616" s="59" t="s">
        <v>0</v>
      </c>
      <c r="G2616" s="36">
        <f>G2617</f>
        <v>1233</v>
      </c>
      <c r="H2616" s="36">
        <f t="shared" si="1386"/>
        <v>1233</v>
      </c>
      <c r="I2616" s="36">
        <f t="shared" si="1386"/>
        <v>180</v>
      </c>
      <c r="J2616" s="36">
        <f t="shared" si="1386"/>
        <v>180</v>
      </c>
      <c r="K2616" s="36">
        <f t="shared" si="1386"/>
        <v>180</v>
      </c>
      <c r="L2616" s="36">
        <f t="shared" si="1367"/>
        <v>14.5985401459854</v>
      </c>
      <c r="M2616" s="36">
        <f t="shared" si="1368"/>
        <v>100</v>
      </c>
    </row>
    <row r="2617" spans="1:13" ht="25.5">
      <c r="A2617" s="60" t="s">
        <v>1074</v>
      </c>
      <c r="B2617" s="29" t="s">
        <v>1067</v>
      </c>
      <c r="C2617" s="29" t="s">
        <v>51</v>
      </c>
      <c r="D2617" s="29" t="s">
        <v>19</v>
      </c>
      <c r="E2617" s="29" t="s">
        <v>1076</v>
      </c>
      <c r="F2617" s="59" t="s">
        <v>0</v>
      </c>
      <c r="G2617" s="36">
        <f>G2618</f>
        <v>1233</v>
      </c>
      <c r="H2617" s="36">
        <f t="shared" si="1386"/>
        <v>1233</v>
      </c>
      <c r="I2617" s="36">
        <f t="shared" si="1386"/>
        <v>180</v>
      </c>
      <c r="J2617" s="36">
        <f t="shared" si="1386"/>
        <v>180</v>
      </c>
      <c r="K2617" s="36">
        <f t="shared" si="1386"/>
        <v>180</v>
      </c>
      <c r="L2617" s="36">
        <f t="shared" si="1367"/>
        <v>14.5985401459854</v>
      </c>
      <c r="M2617" s="36">
        <f t="shared" si="1368"/>
        <v>100</v>
      </c>
    </row>
    <row r="2618" spans="1:13" ht="25.5">
      <c r="A2618" s="60" t="s">
        <v>64</v>
      </c>
      <c r="B2618" s="29" t="s">
        <v>1067</v>
      </c>
      <c r="C2618" s="29" t="s">
        <v>51</v>
      </c>
      <c r="D2618" s="29" t="s">
        <v>19</v>
      </c>
      <c r="E2618" s="29" t="s">
        <v>1076</v>
      </c>
      <c r="F2618" s="29" t="s">
        <v>65</v>
      </c>
      <c r="G2618" s="36">
        <f>G2619</f>
        <v>1233</v>
      </c>
      <c r="H2618" s="36">
        <f t="shared" si="1386"/>
        <v>1233</v>
      </c>
      <c r="I2618" s="36">
        <f t="shared" si="1386"/>
        <v>180</v>
      </c>
      <c r="J2618" s="36">
        <f t="shared" si="1386"/>
        <v>180</v>
      </c>
      <c r="K2618" s="36">
        <f t="shared" si="1386"/>
        <v>180</v>
      </c>
      <c r="L2618" s="36">
        <f t="shared" si="1367"/>
        <v>14.5985401459854</v>
      </c>
      <c r="M2618" s="36">
        <f t="shared" si="1368"/>
        <v>100</v>
      </c>
    </row>
    <row r="2619" spans="1:13" ht="25.5">
      <c r="A2619" s="60" t="s">
        <v>66</v>
      </c>
      <c r="B2619" s="29" t="s">
        <v>1067</v>
      </c>
      <c r="C2619" s="29" t="s">
        <v>51</v>
      </c>
      <c r="D2619" s="29" t="s">
        <v>19</v>
      </c>
      <c r="E2619" s="29" t="s">
        <v>1076</v>
      </c>
      <c r="F2619" s="29" t="s">
        <v>67</v>
      </c>
      <c r="G2619" s="36">
        <v>1233</v>
      </c>
      <c r="H2619" s="36">
        <v>1233</v>
      </c>
      <c r="I2619" s="36">
        <v>180</v>
      </c>
      <c r="J2619" s="36">
        <v>180</v>
      </c>
      <c r="K2619" s="36">
        <v>180</v>
      </c>
      <c r="L2619" s="36">
        <f t="shared" si="1367"/>
        <v>14.5985401459854</v>
      </c>
      <c r="M2619" s="36">
        <f t="shared" si="1368"/>
        <v>100</v>
      </c>
    </row>
    <row r="2620" spans="1:13" ht="38.25">
      <c r="A2620" s="60" t="s">
        <v>734</v>
      </c>
      <c r="B2620" s="29" t="s">
        <v>1067</v>
      </c>
      <c r="C2620" s="29" t="s">
        <v>51</v>
      </c>
      <c r="D2620" s="29" t="s">
        <v>19</v>
      </c>
      <c r="E2620" s="29" t="s">
        <v>735</v>
      </c>
      <c r="F2620" s="59" t="s">
        <v>0</v>
      </c>
      <c r="G2620" s="36">
        <f>G2621</f>
        <v>46500.7</v>
      </c>
      <c r="H2620" s="36">
        <f t="shared" ref="H2620:K2620" si="1387">H2621</f>
        <v>46500.7</v>
      </c>
      <c r="I2620" s="36">
        <f t="shared" si="1387"/>
        <v>17690</v>
      </c>
      <c r="J2620" s="36">
        <f t="shared" si="1387"/>
        <v>17690</v>
      </c>
      <c r="K2620" s="36">
        <f t="shared" si="1387"/>
        <v>14906.108550000001</v>
      </c>
      <c r="L2620" s="36">
        <f t="shared" si="1367"/>
        <v>32.055664860959091</v>
      </c>
      <c r="M2620" s="36">
        <f t="shared" si="1368"/>
        <v>84.262908705483326</v>
      </c>
    </row>
    <row r="2621" spans="1:13" ht="51">
      <c r="A2621" s="60" t="s">
        <v>1070</v>
      </c>
      <c r="B2621" s="29" t="s">
        <v>1067</v>
      </c>
      <c r="C2621" s="29" t="s">
        <v>51</v>
      </c>
      <c r="D2621" s="29" t="s">
        <v>19</v>
      </c>
      <c r="E2621" s="29" t="s">
        <v>1071</v>
      </c>
      <c r="F2621" s="59" t="s">
        <v>0</v>
      </c>
      <c r="G2621" s="36">
        <f>G2622+G2629</f>
        <v>46500.7</v>
      </c>
      <c r="H2621" s="36">
        <f t="shared" ref="H2621:K2621" si="1388">H2622+H2629</f>
        <v>46500.7</v>
      </c>
      <c r="I2621" s="36">
        <f t="shared" si="1388"/>
        <v>17690</v>
      </c>
      <c r="J2621" s="36">
        <f t="shared" si="1388"/>
        <v>17690</v>
      </c>
      <c r="K2621" s="36">
        <f t="shared" si="1388"/>
        <v>14906.108550000001</v>
      </c>
      <c r="L2621" s="36">
        <f t="shared" si="1367"/>
        <v>32.055664860959091</v>
      </c>
      <c r="M2621" s="36">
        <f t="shared" si="1368"/>
        <v>84.262908705483326</v>
      </c>
    </row>
    <row r="2622" spans="1:13" ht="25.5">
      <c r="A2622" s="60" t="s">
        <v>58</v>
      </c>
      <c r="B2622" s="29" t="s">
        <v>1067</v>
      </c>
      <c r="C2622" s="29" t="s">
        <v>51</v>
      </c>
      <c r="D2622" s="29" t="s">
        <v>19</v>
      </c>
      <c r="E2622" s="29" t="s">
        <v>1077</v>
      </c>
      <c r="F2622" s="59" t="s">
        <v>0</v>
      </c>
      <c r="G2622" s="36">
        <f>G2623+G2625+G2627</f>
        <v>21141.7</v>
      </c>
      <c r="H2622" s="36">
        <f t="shared" ref="H2622:K2622" si="1389">H2623+H2625+H2627</f>
        <v>21141.7</v>
      </c>
      <c r="I2622" s="36">
        <f t="shared" si="1389"/>
        <v>10690</v>
      </c>
      <c r="J2622" s="36">
        <f t="shared" si="1389"/>
        <v>10690</v>
      </c>
      <c r="K2622" s="36">
        <f t="shared" si="1389"/>
        <v>9532.0050900000006</v>
      </c>
      <c r="L2622" s="36">
        <f t="shared" si="1367"/>
        <v>45.086275417776243</v>
      </c>
      <c r="M2622" s="36">
        <f t="shared" si="1368"/>
        <v>89.167493826005611</v>
      </c>
    </row>
    <row r="2623" spans="1:13" ht="63.75">
      <c r="A2623" s="60" t="s">
        <v>60</v>
      </c>
      <c r="B2623" s="29" t="s">
        <v>1067</v>
      </c>
      <c r="C2623" s="29" t="s">
        <v>51</v>
      </c>
      <c r="D2623" s="29" t="s">
        <v>19</v>
      </c>
      <c r="E2623" s="29" t="s">
        <v>1077</v>
      </c>
      <c r="F2623" s="29" t="s">
        <v>61</v>
      </c>
      <c r="G2623" s="36">
        <f>G2624</f>
        <v>20194.5</v>
      </c>
      <c r="H2623" s="36">
        <f t="shared" ref="H2623:K2623" si="1390">H2624</f>
        <v>20194.5</v>
      </c>
      <c r="I2623" s="36">
        <f t="shared" si="1390"/>
        <v>10250</v>
      </c>
      <c r="J2623" s="36">
        <f t="shared" si="1390"/>
        <v>10250</v>
      </c>
      <c r="K2623" s="36">
        <f t="shared" si="1390"/>
        <v>9164.0835800000004</v>
      </c>
      <c r="L2623" s="36">
        <f t="shared" si="1367"/>
        <v>45.379106093243209</v>
      </c>
      <c r="M2623" s="36">
        <f t="shared" si="1368"/>
        <v>89.405693463414636</v>
      </c>
    </row>
    <row r="2624" spans="1:13" ht="25.5">
      <c r="A2624" s="60" t="s">
        <v>62</v>
      </c>
      <c r="B2624" s="29" t="s">
        <v>1067</v>
      </c>
      <c r="C2624" s="29" t="s">
        <v>51</v>
      </c>
      <c r="D2624" s="29" t="s">
        <v>19</v>
      </c>
      <c r="E2624" s="29" t="s">
        <v>1077</v>
      </c>
      <c r="F2624" s="29" t="s">
        <v>63</v>
      </c>
      <c r="G2624" s="36">
        <v>20194.5</v>
      </c>
      <c r="H2624" s="36">
        <v>20194.5</v>
      </c>
      <c r="I2624" s="36">
        <f>7500+470+2280</f>
        <v>10250</v>
      </c>
      <c r="J2624" s="36">
        <f>7500+470+2280</f>
        <v>10250</v>
      </c>
      <c r="K2624" s="36">
        <f>6958.34657+303.2937+1902.44331</f>
        <v>9164.0835800000004</v>
      </c>
      <c r="L2624" s="36">
        <f t="shared" si="1367"/>
        <v>45.379106093243209</v>
      </c>
      <c r="M2624" s="36">
        <f t="shared" si="1368"/>
        <v>89.405693463414636</v>
      </c>
    </row>
    <row r="2625" spans="1:13" ht="25.5">
      <c r="A2625" s="60" t="s">
        <v>64</v>
      </c>
      <c r="B2625" s="29" t="s">
        <v>1067</v>
      </c>
      <c r="C2625" s="29" t="s">
        <v>51</v>
      </c>
      <c r="D2625" s="29" t="s">
        <v>19</v>
      </c>
      <c r="E2625" s="29" t="s">
        <v>1077</v>
      </c>
      <c r="F2625" s="29" t="s">
        <v>65</v>
      </c>
      <c r="G2625" s="36">
        <f>G2626</f>
        <v>945.2</v>
      </c>
      <c r="H2625" s="36">
        <f t="shared" ref="H2625:K2625" si="1391">H2626</f>
        <v>945.2</v>
      </c>
      <c r="I2625" s="36">
        <f t="shared" si="1391"/>
        <v>440</v>
      </c>
      <c r="J2625" s="36">
        <f t="shared" si="1391"/>
        <v>440</v>
      </c>
      <c r="K2625" s="36">
        <f t="shared" si="1391"/>
        <v>367.92151000000001</v>
      </c>
      <c r="L2625" s="36">
        <f t="shared" si="1367"/>
        <v>38.925254972492596</v>
      </c>
      <c r="M2625" s="36">
        <f t="shared" si="1368"/>
        <v>83.618525000000005</v>
      </c>
    </row>
    <row r="2626" spans="1:13" ht="25.5">
      <c r="A2626" s="60" t="s">
        <v>66</v>
      </c>
      <c r="B2626" s="29" t="s">
        <v>1067</v>
      </c>
      <c r="C2626" s="29" t="s">
        <v>51</v>
      </c>
      <c r="D2626" s="29" t="s">
        <v>19</v>
      </c>
      <c r="E2626" s="29" t="s">
        <v>1077</v>
      </c>
      <c r="F2626" s="29" t="s">
        <v>67</v>
      </c>
      <c r="G2626" s="36">
        <v>945.2</v>
      </c>
      <c r="H2626" s="36">
        <v>945.2</v>
      </c>
      <c r="I2626" s="36">
        <v>440</v>
      </c>
      <c r="J2626" s="36">
        <v>440</v>
      </c>
      <c r="K2626" s="36">
        <v>367.92151000000001</v>
      </c>
      <c r="L2626" s="36">
        <f t="shared" si="1367"/>
        <v>38.925254972492596</v>
      </c>
      <c r="M2626" s="36">
        <f t="shared" si="1368"/>
        <v>83.618525000000005</v>
      </c>
    </row>
    <row r="2627" spans="1:13">
      <c r="A2627" s="60" t="s">
        <v>72</v>
      </c>
      <c r="B2627" s="29" t="s">
        <v>1067</v>
      </c>
      <c r="C2627" s="29" t="s">
        <v>51</v>
      </c>
      <c r="D2627" s="29" t="s">
        <v>19</v>
      </c>
      <c r="E2627" s="29" t="s">
        <v>1077</v>
      </c>
      <c r="F2627" s="29" t="s">
        <v>73</v>
      </c>
      <c r="G2627" s="36">
        <f>G2628</f>
        <v>2</v>
      </c>
      <c r="H2627" s="36">
        <f t="shared" ref="H2627:K2627" si="1392">H2628</f>
        <v>2</v>
      </c>
      <c r="I2627" s="36">
        <f t="shared" si="1392"/>
        <v>0</v>
      </c>
      <c r="J2627" s="36">
        <f t="shared" si="1392"/>
        <v>0</v>
      </c>
      <c r="K2627" s="36">
        <f t="shared" si="1392"/>
        <v>0</v>
      </c>
      <c r="L2627" s="36">
        <f t="shared" si="1367"/>
        <v>0</v>
      </c>
      <c r="M2627" s="36">
        <v>0</v>
      </c>
    </row>
    <row r="2628" spans="1:13">
      <c r="A2628" s="60" t="s">
        <v>74</v>
      </c>
      <c r="B2628" s="29" t="s">
        <v>1067</v>
      </c>
      <c r="C2628" s="29" t="s">
        <v>51</v>
      </c>
      <c r="D2628" s="29" t="s">
        <v>19</v>
      </c>
      <c r="E2628" s="29" t="s">
        <v>1077</v>
      </c>
      <c r="F2628" s="29" t="s">
        <v>75</v>
      </c>
      <c r="G2628" s="36">
        <v>2</v>
      </c>
      <c r="H2628" s="36">
        <v>2</v>
      </c>
      <c r="I2628" s="36">
        <v>0</v>
      </c>
      <c r="J2628" s="36">
        <v>0</v>
      </c>
      <c r="K2628" s="36">
        <v>0</v>
      </c>
      <c r="L2628" s="36">
        <v>0</v>
      </c>
      <c r="M2628" s="36">
        <v>0</v>
      </c>
    </row>
    <row r="2629" spans="1:13" ht="25.5">
      <c r="A2629" s="60" t="s">
        <v>1074</v>
      </c>
      <c r="B2629" s="29" t="s">
        <v>1067</v>
      </c>
      <c r="C2629" s="29" t="s">
        <v>51</v>
      </c>
      <c r="D2629" s="29" t="s">
        <v>19</v>
      </c>
      <c r="E2629" s="29" t="s">
        <v>1078</v>
      </c>
      <c r="F2629" s="59" t="s">
        <v>0</v>
      </c>
      <c r="G2629" s="36">
        <f>G2630</f>
        <v>25359</v>
      </c>
      <c r="H2629" s="36">
        <f t="shared" ref="H2629:K2630" si="1393">H2630</f>
        <v>25359</v>
      </c>
      <c r="I2629" s="36">
        <f t="shared" si="1393"/>
        <v>7000</v>
      </c>
      <c r="J2629" s="36">
        <f t="shared" si="1393"/>
        <v>7000</v>
      </c>
      <c r="K2629" s="36">
        <f t="shared" si="1393"/>
        <v>5374.1034600000003</v>
      </c>
      <c r="L2629" s="36">
        <f t="shared" si="1367"/>
        <v>21.192095350763044</v>
      </c>
      <c r="M2629" s="36">
        <f t="shared" si="1368"/>
        <v>76.772906571428578</v>
      </c>
    </row>
    <row r="2630" spans="1:13" ht="25.5">
      <c r="A2630" s="60" t="s">
        <v>64</v>
      </c>
      <c r="B2630" s="29" t="s">
        <v>1067</v>
      </c>
      <c r="C2630" s="29" t="s">
        <v>51</v>
      </c>
      <c r="D2630" s="29" t="s">
        <v>19</v>
      </c>
      <c r="E2630" s="29" t="s">
        <v>1078</v>
      </c>
      <c r="F2630" s="29" t="s">
        <v>65</v>
      </c>
      <c r="G2630" s="36">
        <f>G2631</f>
        <v>25359</v>
      </c>
      <c r="H2630" s="36">
        <f t="shared" si="1393"/>
        <v>25359</v>
      </c>
      <c r="I2630" s="36">
        <f t="shared" si="1393"/>
        <v>7000</v>
      </c>
      <c r="J2630" s="36">
        <f t="shared" si="1393"/>
        <v>7000</v>
      </c>
      <c r="K2630" s="36">
        <f t="shared" si="1393"/>
        <v>5374.1034600000003</v>
      </c>
      <c r="L2630" s="36">
        <f t="shared" si="1367"/>
        <v>21.192095350763044</v>
      </c>
      <c r="M2630" s="36">
        <f t="shared" si="1368"/>
        <v>76.772906571428578</v>
      </c>
    </row>
    <row r="2631" spans="1:13" ht="25.5">
      <c r="A2631" s="60" t="s">
        <v>66</v>
      </c>
      <c r="B2631" s="29" t="s">
        <v>1067</v>
      </c>
      <c r="C2631" s="29" t="s">
        <v>51</v>
      </c>
      <c r="D2631" s="29" t="s">
        <v>19</v>
      </c>
      <c r="E2631" s="29" t="s">
        <v>1078</v>
      </c>
      <c r="F2631" s="29" t="s">
        <v>67</v>
      </c>
      <c r="G2631" s="36">
        <v>25359</v>
      </c>
      <c r="H2631" s="36">
        <v>25359</v>
      </c>
      <c r="I2631" s="36">
        <v>7000</v>
      </c>
      <c r="J2631" s="36">
        <v>7000</v>
      </c>
      <c r="K2631" s="36">
        <v>5374.1034600000003</v>
      </c>
      <c r="L2631" s="36">
        <f t="shared" si="1367"/>
        <v>21.192095350763044</v>
      </c>
      <c r="M2631" s="36">
        <f t="shared" si="1368"/>
        <v>76.772906571428578</v>
      </c>
    </row>
    <row r="2632" spans="1:13">
      <c r="A2632" s="65" t="s">
        <v>0</v>
      </c>
      <c r="B2632" s="66" t="s">
        <v>0</v>
      </c>
      <c r="C2632" s="59" t="s">
        <v>0</v>
      </c>
      <c r="D2632" s="59" t="s">
        <v>0</v>
      </c>
      <c r="E2632" s="59" t="s">
        <v>0</v>
      </c>
      <c r="F2632" s="59" t="s">
        <v>0</v>
      </c>
      <c r="G2632" s="67" t="s">
        <v>0</v>
      </c>
      <c r="H2632" s="67" t="s">
        <v>0</v>
      </c>
      <c r="I2632" s="67" t="s">
        <v>0</v>
      </c>
      <c r="J2632" s="67" t="s">
        <v>0</v>
      </c>
      <c r="K2632" s="67" t="s">
        <v>0</v>
      </c>
      <c r="L2632" s="67"/>
      <c r="M2632" s="67"/>
    </row>
    <row r="2633" spans="1:13" ht="38.25">
      <c r="A2633" s="57" t="s">
        <v>1079</v>
      </c>
      <c r="B2633" s="58" t="s">
        <v>1080</v>
      </c>
      <c r="C2633" s="59" t="s">
        <v>0</v>
      </c>
      <c r="D2633" s="59" t="s">
        <v>0</v>
      </c>
      <c r="E2633" s="59" t="s">
        <v>0</v>
      </c>
      <c r="F2633" s="59" t="s">
        <v>0</v>
      </c>
      <c r="G2633" s="31">
        <f>G2634</f>
        <v>288271.5</v>
      </c>
      <c r="H2633" s="31">
        <f t="shared" ref="H2633:K2636" si="1394">H2634</f>
        <v>288271.5</v>
      </c>
      <c r="I2633" s="31">
        <f t="shared" si="1394"/>
        <v>141700</v>
      </c>
      <c r="J2633" s="31">
        <f t="shared" si="1394"/>
        <v>141700</v>
      </c>
      <c r="K2633" s="31">
        <f t="shared" si="1394"/>
        <v>138832.55961</v>
      </c>
      <c r="L2633" s="31">
        <f t="shared" si="1367"/>
        <v>48.160348702525226</v>
      </c>
      <c r="M2633" s="31">
        <f t="shared" si="1368"/>
        <v>97.976400571630208</v>
      </c>
    </row>
    <row r="2634" spans="1:13">
      <c r="A2634" s="60" t="s">
        <v>16</v>
      </c>
      <c r="B2634" s="29" t="s">
        <v>1080</v>
      </c>
      <c r="C2634" s="29" t="s">
        <v>17</v>
      </c>
      <c r="D2634" s="59" t="s">
        <v>0</v>
      </c>
      <c r="E2634" s="59" t="s">
        <v>0</v>
      </c>
      <c r="F2634" s="59" t="s">
        <v>0</v>
      </c>
      <c r="G2634" s="36">
        <f>G2635</f>
        <v>288271.5</v>
      </c>
      <c r="H2634" s="36">
        <f t="shared" si="1394"/>
        <v>288271.5</v>
      </c>
      <c r="I2634" s="36">
        <f t="shared" si="1394"/>
        <v>141700</v>
      </c>
      <c r="J2634" s="36">
        <f t="shared" si="1394"/>
        <v>141700</v>
      </c>
      <c r="K2634" s="36">
        <f t="shared" si="1394"/>
        <v>138832.55961</v>
      </c>
      <c r="L2634" s="36">
        <f t="shared" si="1367"/>
        <v>48.160348702525226</v>
      </c>
      <c r="M2634" s="36">
        <f t="shared" si="1368"/>
        <v>97.976400571630208</v>
      </c>
    </row>
    <row r="2635" spans="1:13">
      <c r="A2635" s="60" t="s">
        <v>604</v>
      </c>
      <c r="B2635" s="29" t="s">
        <v>1080</v>
      </c>
      <c r="C2635" s="29" t="s">
        <v>17</v>
      </c>
      <c r="D2635" s="29" t="s">
        <v>93</v>
      </c>
      <c r="E2635" s="59" t="s">
        <v>0</v>
      </c>
      <c r="F2635" s="59" t="s">
        <v>0</v>
      </c>
      <c r="G2635" s="36">
        <f>G2636</f>
        <v>288271.5</v>
      </c>
      <c r="H2635" s="36">
        <f t="shared" si="1394"/>
        <v>288271.5</v>
      </c>
      <c r="I2635" s="36">
        <f t="shared" si="1394"/>
        <v>141700</v>
      </c>
      <c r="J2635" s="36">
        <f t="shared" si="1394"/>
        <v>141700</v>
      </c>
      <c r="K2635" s="36">
        <f t="shared" si="1394"/>
        <v>138832.55961</v>
      </c>
      <c r="L2635" s="36">
        <f t="shared" ref="L2635:L2698" si="1395">K2635/H2635*100</f>
        <v>48.160348702525226</v>
      </c>
      <c r="M2635" s="36">
        <f t="shared" ref="M2635:M2698" si="1396">K2635/I2635*100</f>
        <v>97.976400571630208</v>
      </c>
    </row>
    <row r="2636" spans="1:13" ht="38.25">
      <c r="A2636" s="60" t="s">
        <v>734</v>
      </c>
      <c r="B2636" s="29" t="s">
        <v>1080</v>
      </c>
      <c r="C2636" s="29" t="s">
        <v>17</v>
      </c>
      <c r="D2636" s="29" t="s">
        <v>93</v>
      </c>
      <c r="E2636" s="29" t="s">
        <v>735</v>
      </c>
      <c r="F2636" s="59" t="s">
        <v>0</v>
      </c>
      <c r="G2636" s="36">
        <f>G2637</f>
        <v>288271.5</v>
      </c>
      <c r="H2636" s="36">
        <f t="shared" si="1394"/>
        <v>288271.5</v>
      </c>
      <c r="I2636" s="36">
        <f t="shared" si="1394"/>
        <v>141700</v>
      </c>
      <c r="J2636" s="36">
        <f t="shared" si="1394"/>
        <v>141700</v>
      </c>
      <c r="K2636" s="36">
        <f t="shared" si="1394"/>
        <v>138832.55961</v>
      </c>
      <c r="L2636" s="36">
        <f t="shared" si="1395"/>
        <v>48.160348702525226</v>
      </c>
      <c r="M2636" s="36">
        <f t="shared" si="1396"/>
        <v>97.976400571630208</v>
      </c>
    </row>
    <row r="2637" spans="1:13" ht="38.25">
      <c r="A2637" s="60" t="s">
        <v>736</v>
      </c>
      <c r="B2637" s="29" t="s">
        <v>1080</v>
      </c>
      <c r="C2637" s="29" t="s">
        <v>17</v>
      </c>
      <c r="D2637" s="29" t="s">
        <v>93</v>
      </c>
      <c r="E2637" s="29" t="s">
        <v>737</v>
      </c>
      <c r="F2637" s="59" t="s">
        <v>0</v>
      </c>
      <c r="G2637" s="36">
        <f>G2638+G2645</f>
        <v>288271.5</v>
      </c>
      <c r="H2637" s="36">
        <f t="shared" ref="H2637:K2637" si="1397">H2638+H2645</f>
        <v>288271.5</v>
      </c>
      <c r="I2637" s="36">
        <f t="shared" si="1397"/>
        <v>141700</v>
      </c>
      <c r="J2637" s="36">
        <f t="shared" si="1397"/>
        <v>141700</v>
      </c>
      <c r="K2637" s="36">
        <f t="shared" si="1397"/>
        <v>138832.55961</v>
      </c>
      <c r="L2637" s="36">
        <f t="shared" si="1395"/>
        <v>48.160348702525226</v>
      </c>
      <c r="M2637" s="36">
        <f t="shared" si="1396"/>
        <v>97.976400571630208</v>
      </c>
    </row>
    <row r="2638" spans="1:13" ht="25.5">
      <c r="A2638" s="60" t="s">
        <v>58</v>
      </c>
      <c r="B2638" s="29" t="s">
        <v>1080</v>
      </c>
      <c r="C2638" s="29" t="s">
        <v>17</v>
      </c>
      <c r="D2638" s="29" t="s">
        <v>93</v>
      </c>
      <c r="E2638" s="29" t="s">
        <v>738</v>
      </c>
      <c r="F2638" s="59" t="s">
        <v>0</v>
      </c>
      <c r="G2638" s="36">
        <f>G2639+G2641+G2643</f>
        <v>169056.90000000002</v>
      </c>
      <c r="H2638" s="36">
        <f t="shared" ref="H2638:K2638" si="1398">H2639+H2641+H2643</f>
        <v>169056.90000000002</v>
      </c>
      <c r="I2638" s="36">
        <f t="shared" si="1398"/>
        <v>85080</v>
      </c>
      <c r="J2638" s="36">
        <f t="shared" si="1398"/>
        <v>85080</v>
      </c>
      <c r="K2638" s="36">
        <f t="shared" si="1398"/>
        <v>82803.158509999994</v>
      </c>
      <c r="L2638" s="36">
        <f t="shared" si="1395"/>
        <v>48.979461063109511</v>
      </c>
      <c r="M2638" s="36">
        <f t="shared" si="1396"/>
        <v>97.323881652562278</v>
      </c>
    </row>
    <row r="2639" spans="1:13" ht="63.75">
      <c r="A2639" s="60" t="s">
        <v>60</v>
      </c>
      <c r="B2639" s="29" t="s">
        <v>1080</v>
      </c>
      <c r="C2639" s="29" t="s">
        <v>17</v>
      </c>
      <c r="D2639" s="29" t="s">
        <v>93</v>
      </c>
      <c r="E2639" s="29" t="s">
        <v>738</v>
      </c>
      <c r="F2639" s="29" t="s">
        <v>61</v>
      </c>
      <c r="G2639" s="36">
        <f>G2640</f>
        <v>147638.20000000001</v>
      </c>
      <c r="H2639" s="36">
        <f t="shared" ref="H2639:K2639" si="1399">H2640</f>
        <v>147638.20000000001</v>
      </c>
      <c r="I2639" s="36">
        <f t="shared" si="1399"/>
        <v>73400</v>
      </c>
      <c r="J2639" s="36">
        <f t="shared" si="1399"/>
        <v>73400</v>
      </c>
      <c r="K2639" s="36">
        <f t="shared" si="1399"/>
        <v>73006.600900000005</v>
      </c>
      <c r="L2639" s="36">
        <f t="shared" si="1395"/>
        <v>49.449668784907971</v>
      </c>
      <c r="M2639" s="36">
        <f t="shared" si="1396"/>
        <v>99.464033923705728</v>
      </c>
    </row>
    <row r="2640" spans="1:13" ht="25.5">
      <c r="A2640" s="60" t="s">
        <v>62</v>
      </c>
      <c r="B2640" s="29" t="s">
        <v>1080</v>
      </c>
      <c r="C2640" s="29" t="s">
        <v>17</v>
      </c>
      <c r="D2640" s="29" t="s">
        <v>93</v>
      </c>
      <c r="E2640" s="29" t="s">
        <v>738</v>
      </c>
      <c r="F2640" s="29" t="s">
        <v>63</v>
      </c>
      <c r="G2640" s="36">
        <v>147638.20000000001</v>
      </c>
      <c r="H2640" s="36">
        <v>147638.20000000001</v>
      </c>
      <c r="I2640" s="36">
        <f>2100+16500+54800</f>
        <v>73400</v>
      </c>
      <c r="J2640" s="36">
        <f>2100+16500+54800</f>
        <v>73400</v>
      </c>
      <c r="K2640" s="36">
        <f>54790.52629+1716.98743+16499.08718</f>
        <v>73006.600900000005</v>
      </c>
      <c r="L2640" s="36">
        <f t="shared" si="1395"/>
        <v>49.449668784907971</v>
      </c>
      <c r="M2640" s="36">
        <f t="shared" si="1396"/>
        <v>99.464033923705728</v>
      </c>
    </row>
    <row r="2641" spans="1:13" ht="25.5">
      <c r="A2641" s="60" t="s">
        <v>64</v>
      </c>
      <c r="B2641" s="29" t="s">
        <v>1080</v>
      </c>
      <c r="C2641" s="29" t="s">
        <v>17</v>
      </c>
      <c r="D2641" s="29" t="s">
        <v>93</v>
      </c>
      <c r="E2641" s="29" t="s">
        <v>738</v>
      </c>
      <c r="F2641" s="29" t="s">
        <v>65</v>
      </c>
      <c r="G2641" s="36">
        <f>G2642</f>
        <v>20001.599999999999</v>
      </c>
      <c r="H2641" s="36">
        <f t="shared" ref="H2641:K2641" si="1400">H2642</f>
        <v>20001.599999999999</v>
      </c>
      <c r="I2641" s="36">
        <f t="shared" si="1400"/>
        <v>10980</v>
      </c>
      <c r="J2641" s="36">
        <f t="shared" si="1400"/>
        <v>10980</v>
      </c>
      <c r="K2641" s="36">
        <f t="shared" si="1400"/>
        <v>9112.1856800000005</v>
      </c>
      <c r="L2641" s="36">
        <f t="shared" si="1395"/>
        <v>45.557283817294625</v>
      </c>
      <c r="M2641" s="36">
        <f t="shared" si="1396"/>
        <v>82.98894061930784</v>
      </c>
    </row>
    <row r="2642" spans="1:13" ht="25.5">
      <c r="A2642" s="60" t="s">
        <v>66</v>
      </c>
      <c r="B2642" s="29" t="s">
        <v>1080</v>
      </c>
      <c r="C2642" s="29" t="s">
        <v>17</v>
      </c>
      <c r="D2642" s="29" t="s">
        <v>93</v>
      </c>
      <c r="E2642" s="29" t="s">
        <v>738</v>
      </c>
      <c r="F2642" s="29" t="s">
        <v>67</v>
      </c>
      <c r="G2642" s="36">
        <v>20001.599999999999</v>
      </c>
      <c r="H2642" s="36">
        <v>20001.599999999999</v>
      </c>
      <c r="I2642" s="36">
        <v>10980</v>
      </c>
      <c r="J2642" s="36">
        <v>10980</v>
      </c>
      <c r="K2642" s="36">
        <v>9112.1856800000005</v>
      </c>
      <c r="L2642" s="36">
        <f t="shared" si="1395"/>
        <v>45.557283817294625</v>
      </c>
      <c r="M2642" s="36">
        <f t="shared" si="1396"/>
        <v>82.98894061930784</v>
      </c>
    </row>
    <row r="2643" spans="1:13">
      <c r="A2643" s="60" t="s">
        <v>72</v>
      </c>
      <c r="B2643" s="29" t="s">
        <v>1080</v>
      </c>
      <c r="C2643" s="29" t="s">
        <v>17</v>
      </c>
      <c r="D2643" s="29" t="s">
        <v>93</v>
      </c>
      <c r="E2643" s="29" t="s">
        <v>738</v>
      </c>
      <c r="F2643" s="29" t="s">
        <v>73</v>
      </c>
      <c r="G2643" s="36">
        <f>G2644</f>
        <v>1417.1</v>
      </c>
      <c r="H2643" s="36">
        <f t="shared" ref="H2643:K2643" si="1401">H2644</f>
        <v>1417.1</v>
      </c>
      <c r="I2643" s="36">
        <f t="shared" si="1401"/>
        <v>700</v>
      </c>
      <c r="J2643" s="36">
        <f t="shared" si="1401"/>
        <v>700</v>
      </c>
      <c r="K2643" s="36">
        <f t="shared" si="1401"/>
        <v>684.37193000000002</v>
      </c>
      <c r="L2643" s="36">
        <f t="shared" si="1395"/>
        <v>48.293834591771933</v>
      </c>
      <c r="M2643" s="36">
        <f t="shared" si="1396"/>
        <v>97.767418571428578</v>
      </c>
    </row>
    <row r="2644" spans="1:13">
      <c r="A2644" s="60" t="s">
        <v>74</v>
      </c>
      <c r="B2644" s="29" t="s">
        <v>1080</v>
      </c>
      <c r="C2644" s="29" t="s">
        <v>17</v>
      </c>
      <c r="D2644" s="29" t="s">
        <v>93</v>
      </c>
      <c r="E2644" s="29" t="s">
        <v>738</v>
      </c>
      <c r="F2644" s="29" t="s">
        <v>75</v>
      </c>
      <c r="G2644" s="36">
        <v>1417.1</v>
      </c>
      <c r="H2644" s="36">
        <v>1417.1</v>
      </c>
      <c r="I2644" s="36">
        <v>700</v>
      </c>
      <c r="J2644" s="36">
        <v>700</v>
      </c>
      <c r="K2644" s="36">
        <v>684.37193000000002</v>
      </c>
      <c r="L2644" s="36">
        <f t="shared" si="1395"/>
        <v>48.293834591771933</v>
      </c>
      <c r="M2644" s="36">
        <f t="shared" si="1396"/>
        <v>97.767418571428578</v>
      </c>
    </row>
    <row r="2645" spans="1:13">
      <c r="A2645" s="60" t="s">
        <v>1081</v>
      </c>
      <c r="B2645" s="29" t="s">
        <v>1080</v>
      </c>
      <c r="C2645" s="29" t="s">
        <v>17</v>
      </c>
      <c r="D2645" s="29" t="s">
        <v>93</v>
      </c>
      <c r="E2645" s="29" t="s">
        <v>1082</v>
      </c>
      <c r="F2645" s="59" t="s">
        <v>0</v>
      </c>
      <c r="G2645" s="36">
        <f>G2646</f>
        <v>119214.6</v>
      </c>
      <c r="H2645" s="36">
        <f t="shared" ref="H2645:K2646" si="1402">H2646</f>
        <v>119214.6</v>
      </c>
      <c r="I2645" s="36">
        <f t="shared" si="1402"/>
        <v>56620</v>
      </c>
      <c r="J2645" s="36">
        <f t="shared" si="1402"/>
        <v>56620</v>
      </c>
      <c r="K2645" s="36">
        <f t="shared" si="1402"/>
        <v>56029.401100000003</v>
      </c>
      <c r="L2645" s="36">
        <f t="shared" si="1395"/>
        <v>46.998774562847167</v>
      </c>
      <c r="M2645" s="36">
        <f t="shared" si="1396"/>
        <v>98.95690762981279</v>
      </c>
    </row>
    <row r="2646" spans="1:13" ht="25.5">
      <c r="A2646" s="60" t="s">
        <v>64</v>
      </c>
      <c r="B2646" s="29" t="s">
        <v>1080</v>
      </c>
      <c r="C2646" s="29" t="s">
        <v>17</v>
      </c>
      <c r="D2646" s="29" t="s">
        <v>93</v>
      </c>
      <c r="E2646" s="29" t="s">
        <v>1082</v>
      </c>
      <c r="F2646" s="29" t="s">
        <v>65</v>
      </c>
      <c r="G2646" s="36">
        <f>G2647</f>
        <v>119214.6</v>
      </c>
      <c r="H2646" s="36">
        <f t="shared" si="1402"/>
        <v>119214.6</v>
      </c>
      <c r="I2646" s="36">
        <f t="shared" si="1402"/>
        <v>56620</v>
      </c>
      <c r="J2646" s="36">
        <f t="shared" si="1402"/>
        <v>56620</v>
      </c>
      <c r="K2646" s="36">
        <f t="shared" si="1402"/>
        <v>56029.401100000003</v>
      </c>
      <c r="L2646" s="36">
        <f t="shared" si="1395"/>
        <v>46.998774562847167</v>
      </c>
      <c r="M2646" s="36">
        <f t="shared" si="1396"/>
        <v>98.95690762981279</v>
      </c>
    </row>
    <row r="2647" spans="1:13" ht="25.5">
      <c r="A2647" s="60" t="s">
        <v>66</v>
      </c>
      <c r="B2647" s="29" t="s">
        <v>1080</v>
      </c>
      <c r="C2647" s="29" t="s">
        <v>17</v>
      </c>
      <c r="D2647" s="29" t="s">
        <v>93</v>
      </c>
      <c r="E2647" s="29" t="s">
        <v>1082</v>
      </c>
      <c r="F2647" s="29" t="s">
        <v>67</v>
      </c>
      <c r="G2647" s="36">
        <v>119214.6</v>
      </c>
      <c r="H2647" s="36">
        <v>119214.6</v>
      </c>
      <c r="I2647" s="36">
        <v>56620</v>
      </c>
      <c r="J2647" s="36">
        <v>56620</v>
      </c>
      <c r="K2647" s="36">
        <v>56029.401100000003</v>
      </c>
      <c r="L2647" s="36">
        <f t="shared" si="1395"/>
        <v>46.998774562847167</v>
      </c>
      <c r="M2647" s="36">
        <f t="shared" si="1396"/>
        <v>98.95690762981279</v>
      </c>
    </row>
    <row r="2648" spans="1:13">
      <c r="A2648" s="65" t="s">
        <v>0</v>
      </c>
      <c r="B2648" s="66" t="s">
        <v>0</v>
      </c>
      <c r="C2648" s="59" t="s">
        <v>0</v>
      </c>
      <c r="D2648" s="59" t="s">
        <v>0</v>
      </c>
      <c r="E2648" s="59" t="s">
        <v>0</v>
      </c>
      <c r="F2648" s="59" t="s">
        <v>0</v>
      </c>
      <c r="G2648" s="67" t="s">
        <v>0</v>
      </c>
      <c r="H2648" s="67" t="s">
        <v>0</v>
      </c>
      <c r="I2648" s="67" t="s">
        <v>0</v>
      </c>
      <c r="J2648" s="67" t="s">
        <v>0</v>
      </c>
      <c r="K2648" s="67" t="s">
        <v>0</v>
      </c>
      <c r="L2648" s="67"/>
      <c r="M2648" s="67"/>
    </row>
    <row r="2649" spans="1:13" ht="25.5">
      <c r="A2649" s="57" t="s">
        <v>1083</v>
      </c>
      <c r="B2649" s="58" t="s">
        <v>1084</v>
      </c>
      <c r="C2649" s="59" t="s">
        <v>0</v>
      </c>
      <c r="D2649" s="59" t="s">
        <v>0</v>
      </c>
      <c r="E2649" s="59" t="s">
        <v>0</v>
      </c>
      <c r="F2649" s="59" t="s">
        <v>0</v>
      </c>
      <c r="G2649" s="31">
        <f>G2650</f>
        <v>27799.8</v>
      </c>
      <c r="H2649" s="31">
        <f t="shared" ref="H2649:K2653" si="1403">H2650</f>
        <v>27799.8</v>
      </c>
      <c r="I2649" s="31">
        <f t="shared" si="1403"/>
        <v>13800.5</v>
      </c>
      <c r="J2649" s="31">
        <f t="shared" si="1403"/>
        <v>13800.5</v>
      </c>
      <c r="K2649" s="31">
        <f t="shared" si="1403"/>
        <v>13267.411539999999</v>
      </c>
      <c r="L2649" s="31">
        <f t="shared" si="1395"/>
        <v>47.724845286656738</v>
      </c>
      <c r="M2649" s="31">
        <f t="shared" si="1396"/>
        <v>96.137180102170205</v>
      </c>
    </row>
    <row r="2650" spans="1:13">
      <c r="A2650" s="60" t="s">
        <v>16</v>
      </c>
      <c r="B2650" s="29" t="s">
        <v>1084</v>
      </c>
      <c r="C2650" s="29" t="s">
        <v>17</v>
      </c>
      <c r="D2650" s="59" t="s">
        <v>0</v>
      </c>
      <c r="E2650" s="59" t="s">
        <v>0</v>
      </c>
      <c r="F2650" s="59" t="s">
        <v>0</v>
      </c>
      <c r="G2650" s="36">
        <f>G2651</f>
        <v>27799.8</v>
      </c>
      <c r="H2650" s="36">
        <f t="shared" si="1403"/>
        <v>27799.8</v>
      </c>
      <c r="I2650" s="36">
        <f t="shared" si="1403"/>
        <v>13800.5</v>
      </c>
      <c r="J2650" s="36">
        <f t="shared" si="1403"/>
        <v>13800.5</v>
      </c>
      <c r="K2650" s="36">
        <f t="shared" si="1403"/>
        <v>13267.411539999999</v>
      </c>
      <c r="L2650" s="36">
        <f t="shared" si="1395"/>
        <v>47.724845286656738</v>
      </c>
      <c r="M2650" s="36">
        <f t="shared" si="1396"/>
        <v>96.137180102170205</v>
      </c>
    </row>
    <row r="2651" spans="1:13" ht="38.25">
      <c r="A2651" s="60" t="s">
        <v>607</v>
      </c>
      <c r="B2651" s="29" t="s">
        <v>1084</v>
      </c>
      <c r="C2651" s="29" t="s">
        <v>17</v>
      </c>
      <c r="D2651" s="29" t="s">
        <v>32</v>
      </c>
      <c r="E2651" s="59" t="s">
        <v>0</v>
      </c>
      <c r="F2651" s="59" t="s">
        <v>0</v>
      </c>
      <c r="G2651" s="36">
        <f>G2652</f>
        <v>27799.8</v>
      </c>
      <c r="H2651" s="36">
        <f t="shared" si="1403"/>
        <v>27799.8</v>
      </c>
      <c r="I2651" s="36">
        <f t="shared" si="1403"/>
        <v>13800.5</v>
      </c>
      <c r="J2651" s="36">
        <f t="shared" si="1403"/>
        <v>13800.5</v>
      </c>
      <c r="K2651" s="36">
        <f t="shared" si="1403"/>
        <v>13267.411539999999</v>
      </c>
      <c r="L2651" s="36">
        <f t="shared" si="1395"/>
        <v>47.724845286656738</v>
      </c>
      <c r="M2651" s="36">
        <f t="shared" si="1396"/>
        <v>96.137180102170205</v>
      </c>
    </row>
    <row r="2652" spans="1:13" ht="51">
      <c r="A2652" s="60" t="s">
        <v>596</v>
      </c>
      <c r="B2652" s="29" t="s">
        <v>1084</v>
      </c>
      <c r="C2652" s="29" t="s">
        <v>17</v>
      </c>
      <c r="D2652" s="29" t="s">
        <v>32</v>
      </c>
      <c r="E2652" s="29" t="s">
        <v>597</v>
      </c>
      <c r="F2652" s="59" t="s">
        <v>0</v>
      </c>
      <c r="G2652" s="36">
        <f>G2653</f>
        <v>27799.8</v>
      </c>
      <c r="H2652" s="36">
        <f t="shared" si="1403"/>
        <v>27799.8</v>
      </c>
      <c r="I2652" s="36">
        <f t="shared" si="1403"/>
        <v>13800.5</v>
      </c>
      <c r="J2652" s="36">
        <f t="shared" si="1403"/>
        <v>13800.5</v>
      </c>
      <c r="K2652" s="36">
        <f t="shared" si="1403"/>
        <v>13267.411539999999</v>
      </c>
      <c r="L2652" s="36">
        <f t="shared" si="1395"/>
        <v>47.724845286656738</v>
      </c>
      <c r="M2652" s="36">
        <f t="shared" si="1396"/>
        <v>96.137180102170205</v>
      </c>
    </row>
    <row r="2653" spans="1:13" ht="38.25">
      <c r="A2653" s="60" t="s">
        <v>1085</v>
      </c>
      <c r="B2653" s="29" t="s">
        <v>1084</v>
      </c>
      <c r="C2653" s="29" t="s">
        <v>17</v>
      </c>
      <c r="D2653" s="29" t="s">
        <v>32</v>
      </c>
      <c r="E2653" s="29" t="s">
        <v>1086</v>
      </c>
      <c r="F2653" s="59" t="s">
        <v>0</v>
      </c>
      <c r="G2653" s="36">
        <f>G2654</f>
        <v>27799.8</v>
      </c>
      <c r="H2653" s="36">
        <f t="shared" si="1403"/>
        <v>27799.8</v>
      </c>
      <c r="I2653" s="36">
        <f t="shared" si="1403"/>
        <v>13800.5</v>
      </c>
      <c r="J2653" s="36">
        <f t="shared" si="1403"/>
        <v>13800.5</v>
      </c>
      <c r="K2653" s="36">
        <f t="shared" si="1403"/>
        <v>13267.411539999999</v>
      </c>
      <c r="L2653" s="36">
        <f t="shared" si="1395"/>
        <v>47.724845286656738</v>
      </c>
      <c r="M2653" s="36">
        <f t="shared" si="1396"/>
        <v>96.137180102170205</v>
      </c>
    </row>
    <row r="2654" spans="1:13" ht="25.5">
      <c r="A2654" s="60" t="s">
        <v>58</v>
      </c>
      <c r="B2654" s="29" t="s">
        <v>1084</v>
      </c>
      <c r="C2654" s="29" t="s">
        <v>17</v>
      </c>
      <c r="D2654" s="29" t="s">
        <v>32</v>
      </c>
      <c r="E2654" s="29" t="s">
        <v>1087</v>
      </c>
      <c r="F2654" s="59" t="s">
        <v>0</v>
      </c>
      <c r="G2654" s="36">
        <f>G2655+G2657+G2659</f>
        <v>27799.8</v>
      </c>
      <c r="H2654" s="36">
        <f t="shared" ref="H2654:K2654" si="1404">H2655+H2657+H2659</f>
        <v>27799.8</v>
      </c>
      <c r="I2654" s="36">
        <f t="shared" si="1404"/>
        <v>13800.5</v>
      </c>
      <c r="J2654" s="36">
        <f t="shared" si="1404"/>
        <v>13800.5</v>
      </c>
      <c r="K2654" s="36">
        <f t="shared" si="1404"/>
        <v>13267.411539999999</v>
      </c>
      <c r="L2654" s="36">
        <f t="shared" si="1395"/>
        <v>47.724845286656738</v>
      </c>
      <c r="M2654" s="36">
        <f t="shared" si="1396"/>
        <v>96.137180102170205</v>
      </c>
    </row>
    <row r="2655" spans="1:13" ht="63.75">
      <c r="A2655" s="60" t="s">
        <v>60</v>
      </c>
      <c r="B2655" s="29" t="s">
        <v>1084</v>
      </c>
      <c r="C2655" s="29" t="s">
        <v>17</v>
      </c>
      <c r="D2655" s="29" t="s">
        <v>32</v>
      </c>
      <c r="E2655" s="29" t="s">
        <v>1087</v>
      </c>
      <c r="F2655" s="29" t="s">
        <v>61</v>
      </c>
      <c r="G2655" s="36">
        <f>G2656</f>
        <v>25985.5</v>
      </c>
      <c r="H2655" s="36">
        <f t="shared" ref="H2655:K2655" si="1405">H2656</f>
        <v>25985.5</v>
      </c>
      <c r="I2655" s="36">
        <f t="shared" si="1405"/>
        <v>12999</v>
      </c>
      <c r="J2655" s="36">
        <f t="shared" si="1405"/>
        <v>12999</v>
      </c>
      <c r="K2655" s="36">
        <f t="shared" si="1405"/>
        <v>12513.877919999999</v>
      </c>
      <c r="L2655" s="36">
        <f t="shared" si="1395"/>
        <v>48.157156568086045</v>
      </c>
      <c r="M2655" s="36">
        <f t="shared" si="1396"/>
        <v>96.26800461573967</v>
      </c>
    </row>
    <row r="2656" spans="1:13" ht="25.5">
      <c r="A2656" s="60" t="s">
        <v>62</v>
      </c>
      <c r="B2656" s="29" t="s">
        <v>1084</v>
      </c>
      <c r="C2656" s="29" t="s">
        <v>17</v>
      </c>
      <c r="D2656" s="29" t="s">
        <v>32</v>
      </c>
      <c r="E2656" s="29" t="s">
        <v>1087</v>
      </c>
      <c r="F2656" s="29" t="s">
        <v>63</v>
      </c>
      <c r="G2656" s="36">
        <v>25985.5</v>
      </c>
      <c r="H2656" s="36">
        <v>25985.5</v>
      </c>
      <c r="I2656" s="36">
        <f>9100+1150+2749</f>
        <v>12999</v>
      </c>
      <c r="J2656" s="36">
        <f>9100+1150+2749</f>
        <v>12999</v>
      </c>
      <c r="K2656" s="36">
        <f>736.836+2702.3838+9074.65812</f>
        <v>12513.877919999999</v>
      </c>
      <c r="L2656" s="36">
        <f t="shared" si="1395"/>
        <v>48.157156568086045</v>
      </c>
      <c r="M2656" s="36">
        <f t="shared" si="1396"/>
        <v>96.26800461573967</v>
      </c>
    </row>
    <row r="2657" spans="1:13" ht="25.5">
      <c r="A2657" s="60" t="s">
        <v>64</v>
      </c>
      <c r="B2657" s="29" t="s">
        <v>1084</v>
      </c>
      <c r="C2657" s="29" t="s">
        <v>17</v>
      </c>
      <c r="D2657" s="29" t="s">
        <v>32</v>
      </c>
      <c r="E2657" s="29" t="s">
        <v>1087</v>
      </c>
      <c r="F2657" s="29" t="s">
        <v>65</v>
      </c>
      <c r="G2657" s="36">
        <f>G2658</f>
        <v>1812.3</v>
      </c>
      <c r="H2657" s="36">
        <f t="shared" ref="H2657:K2657" si="1406">H2658</f>
        <v>1812.3</v>
      </c>
      <c r="I2657" s="36">
        <f t="shared" si="1406"/>
        <v>800</v>
      </c>
      <c r="J2657" s="36">
        <f t="shared" si="1406"/>
        <v>800</v>
      </c>
      <c r="K2657" s="36">
        <f t="shared" si="1406"/>
        <v>753.53362000000004</v>
      </c>
      <c r="L2657" s="36">
        <f t="shared" si="1395"/>
        <v>41.578856701429132</v>
      </c>
      <c r="M2657" s="36">
        <f t="shared" si="1396"/>
        <v>94.191702500000005</v>
      </c>
    </row>
    <row r="2658" spans="1:13" ht="25.5">
      <c r="A2658" s="60" t="s">
        <v>66</v>
      </c>
      <c r="B2658" s="29" t="s">
        <v>1084</v>
      </c>
      <c r="C2658" s="29" t="s">
        <v>17</v>
      </c>
      <c r="D2658" s="29" t="s">
        <v>32</v>
      </c>
      <c r="E2658" s="29" t="s">
        <v>1087</v>
      </c>
      <c r="F2658" s="29" t="s">
        <v>67</v>
      </c>
      <c r="G2658" s="36">
        <v>1812.3</v>
      </c>
      <c r="H2658" s="36">
        <v>1812.3</v>
      </c>
      <c r="I2658" s="36">
        <v>800</v>
      </c>
      <c r="J2658" s="36">
        <v>800</v>
      </c>
      <c r="K2658" s="36">
        <v>753.53362000000004</v>
      </c>
      <c r="L2658" s="36">
        <f t="shared" si="1395"/>
        <v>41.578856701429132</v>
      </c>
      <c r="M2658" s="36">
        <f t="shared" si="1396"/>
        <v>94.191702500000005</v>
      </c>
    </row>
    <row r="2659" spans="1:13">
      <c r="A2659" s="60" t="s">
        <v>72</v>
      </c>
      <c r="B2659" s="29" t="s">
        <v>1084</v>
      </c>
      <c r="C2659" s="29" t="s">
        <v>17</v>
      </c>
      <c r="D2659" s="29" t="s">
        <v>32</v>
      </c>
      <c r="E2659" s="29" t="s">
        <v>1087</v>
      </c>
      <c r="F2659" s="29" t="s">
        <v>73</v>
      </c>
      <c r="G2659" s="36">
        <f>G2660</f>
        <v>2</v>
      </c>
      <c r="H2659" s="36">
        <f t="shared" ref="H2659:K2659" si="1407">H2660</f>
        <v>2</v>
      </c>
      <c r="I2659" s="36">
        <f t="shared" si="1407"/>
        <v>1.5</v>
      </c>
      <c r="J2659" s="36">
        <f t="shared" si="1407"/>
        <v>1.5</v>
      </c>
      <c r="K2659" s="36">
        <f t="shared" si="1407"/>
        <v>0</v>
      </c>
      <c r="L2659" s="36">
        <f t="shared" si="1395"/>
        <v>0</v>
      </c>
      <c r="M2659" s="36">
        <f t="shared" si="1396"/>
        <v>0</v>
      </c>
    </row>
    <row r="2660" spans="1:13">
      <c r="A2660" s="60" t="s">
        <v>74</v>
      </c>
      <c r="B2660" s="29" t="s">
        <v>1084</v>
      </c>
      <c r="C2660" s="29" t="s">
        <v>17</v>
      </c>
      <c r="D2660" s="29" t="s">
        <v>32</v>
      </c>
      <c r="E2660" s="29" t="s">
        <v>1087</v>
      </c>
      <c r="F2660" s="29" t="s">
        <v>75</v>
      </c>
      <c r="G2660" s="36">
        <v>2</v>
      </c>
      <c r="H2660" s="36">
        <v>2</v>
      </c>
      <c r="I2660" s="36">
        <v>1.5</v>
      </c>
      <c r="J2660" s="36">
        <v>1.5</v>
      </c>
      <c r="K2660" s="36">
        <v>0</v>
      </c>
      <c r="L2660" s="36">
        <f t="shared" si="1395"/>
        <v>0</v>
      </c>
      <c r="M2660" s="36">
        <f t="shared" si="1396"/>
        <v>0</v>
      </c>
    </row>
    <row r="2661" spans="1:13">
      <c r="A2661" s="65" t="s">
        <v>0</v>
      </c>
      <c r="B2661" s="66" t="s">
        <v>0</v>
      </c>
      <c r="C2661" s="59" t="s">
        <v>0</v>
      </c>
      <c r="D2661" s="59" t="s">
        <v>0</v>
      </c>
      <c r="E2661" s="59" t="s">
        <v>0</v>
      </c>
      <c r="F2661" s="59" t="s">
        <v>0</v>
      </c>
      <c r="G2661" s="67" t="s">
        <v>0</v>
      </c>
      <c r="H2661" s="67" t="s">
        <v>0</v>
      </c>
      <c r="I2661" s="67" t="s">
        <v>0</v>
      </c>
      <c r="J2661" s="67" t="s">
        <v>0</v>
      </c>
      <c r="K2661" s="67" t="s">
        <v>0</v>
      </c>
      <c r="L2661" s="67"/>
      <c r="M2661" s="67"/>
    </row>
    <row r="2662" spans="1:13" ht="51">
      <c r="A2662" s="57" t="s">
        <v>1088</v>
      </c>
      <c r="B2662" s="58" t="s">
        <v>1089</v>
      </c>
      <c r="C2662" s="59" t="s">
        <v>0</v>
      </c>
      <c r="D2662" s="59" t="s">
        <v>0</v>
      </c>
      <c r="E2662" s="59" t="s">
        <v>0</v>
      </c>
      <c r="F2662" s="59" t="s">
        <v>0</v>
      </c>
      <c r="G2662" s="31">
        <f>G2663</f>
        <v>28788.5</v>
      </c>
      <c r="H2662" s="31">
        <f t="shared" ref="H2662:K2666" si="1408">H2663</f>
        <v>0</v>
      </c>
      <c r="I2662" s="31">
        <f t="shared" si="1408"/>
        <v>0</v>
      </c>
      <c r="J2662" s="31">
        <f t="shared" si="1408"/>
        <v>0</v>
      </c>
      <c r="K2662" s="31">
        <f t="shared" si="1408"/>
        <v>0</v>
      </c>
      <c r="L2662" s="31">
        <v>0</v>
      </c>
      <c r="M2662" s="31">
        <v>0</v>
      </c>
    </row>
    <row r="2663" spans="1:13">
      <c r="A2663" s="60" t="s">
        <v>30</v>
      </c>
      <c r="B2663" s="29" t="s">
        <v>1089</v>
      </c>
      <c r="C2663" s="29" t="s">
        <v>19</v>
      </c>
      <c r="D2663" s="59" t="s">
        <v>0</v>
      </c>
      <c r="E2663" s="59" t="s">
        <v>0</v>
      </c>
      <c r="F2663" s="59" t="s">
        <v>0</v>
      </c>
      <c r="G2663" s="36">
        <f>G2664</f>
        <v>28788.5</v>
      </c>
      <c r="H2663" s="36">
        <f t="shared" si="1408"/>
        <v>0</v>
      </c>
      <c r="I2663" s="36">
        <f t="shared" si="1408"/>
        <v>0</v>
      </c>
      <c r="J2663" s="36">
        <f t="shared" si="1408"/>
        <v>0</v>
      </c>
      <c r="K2663" s="36">
        <f t="shared" si="1408"/>
        <v>0</v>
      </c>
      <c r="L2663" s="36">
        <v>0</v>
      </c>
      <c r="M2663" s="36">
        <v>0</v>
      </c>
    </row>
    <row r="2664" spans="1:13">
      <c r="A2664" s="60" t="s">
        <v>50</v>
      </c>
      <c r="B2664" s="29" t="s">
        <v>1089</v>
      </c>
      <c r="C2664" s="29" t="s">
        <v>19</v>
      </c>
      <c r="D2664" s="29" t="s">
        <v>51</v>
      </c>
      <c r="E2664" s="59" t="s">
        <v>0</v>
      </c>
      <c r="F2664" s="59" t="s">
        <v>0</v>
      </c>
      <c r="G2664" s="36">
        <f>G2665</f>
        <v>28788.5</v>
      </c>
      <c r="H2664" s="36">
        <f t="shared" si="1408"/>
        <v>0</v>
      </c>
      <c r="I2664" s="36">
        <f t="shared" si="1408"/>
        <v>0</v>
      </c>
      <c r="J2664" s="36">
        <f t="shared" si="1408"/>
        <v>0</v>
      </c>
      <c r="K2664" s="36">
        <f t="shared" si="1408"/>
        <v>0</v>
      </c>
      <c r="L2664" s="36">
        <v>0</v>
      </c>
      <c r="M2664" s="36">
        <v>0</v>
      </c>
    </row>
    <row r="2665" spans="1:13" ht="38.25">
      <c r="A2665" s="60" t="s">
        <v>665</v>
      </c>
      <c r="B2665" s="29" t="s">
        <v>1089</v>
      </c>
      <c r="C2665" s="29" t="s">
        <v>19</v>
      </c>
      <c r="D2665" s="29" t="s">
        <v>51</v>
      </c>
      <c r="E2665" s="29" t="s">
        <v>666</v>
      </c>
      <c r="F2665" s="59" t="s">
        <v>0</v>
      </c>
      <c r="G2665" s="36">
        <f>G2666</f>
        <v>28788.5</v>
      </c>
      <c r="H2665" s="36">
        <f t="shared" si="1408"/>
        <v>0</v>
      </c>
      <c r="I2665" s="36">
        <f t="shared" si="1408"/>
        <v>0</v>
      </c>
      <c r="J2665" s="36">
        <f t="shared" si="1408"/>
        <v>0</v>
      </c>
      <c r="K2665" s="36">
        <f t="shared" si="1408"/>
        <v>0</v>
      </c>
      <c r="L2665" s="36">
        <v>0</v>
      </c>
      <c r="M2665" s="36">
        <v>0</v>
      </c>
    </row>
    <row r="2666" spans="1:13" ht="38.25">
      <c r="A2666" s="60" t="s">
        <v>667</v>
      </c>
      <c r="B2666" s="29" t="s">
        <v>1089</v>
      </c>
      <c r="C2666" s="29" t="s">
        <v>19</v>
      </c>
      <c r="D2666" s="29" t="s">
        <v>51</v>
      </c>
      <c r="E2666" s="29" t="s">
        <v>668</v>
      </c>
      <c r="F2666" s="59" t="s">
        <v>0</v>
      </c>
      <c r="G2666" s="36">
        <f>G2667</f>
        <v>28788.5</v>
      </c>
      <c r="H2666" s="36">
        <f t="shared" si="1408"/>
        <v>0</v>
      </c>
      <c r="I2666" s="36">
        <f t="shared" si="1408"/>
        <v>0</v>
      </c>
      <c r="J2666" s="36">
        <f t="shared" si="1408"/>
        <v>0</v>
      </c>
      <c r="K2666" s="36">
        <f t="shared" si="1408"/>
        <v>0</v>
      </c>
      <c r="L2666" s="36">
        <v>0</v>
      </c>
      <c r="M2666" s="36">
        <v>0</v>
      </c>
    </row>
    <row r="2667" spans="1:13" ht="25.5">
      <c r="A2667" s="60" t="s">
        <v>58</v>
      </c>
      <c r="B2667" s="29" t="s">
        <v>1089</v>
      </c>
      <c r="C2667" s="29" t="s">
        <v>19</v>
      </c>
      <c r="D2667" s="29" t="s">
        <v>51</v>
      </c>
      <c r="E2667" s="29" t="s">
        <v>686</v>
      </c>
      <c r="F2667" s="59" t="s">
        <v>0</v>
      </c>
      <c r="G2667" s="36">
        <f>G2668+G2670+G2672</f>
        <v>28788.5</v>
      </c>
      <c r="H2667" s="36">
        <f t="shared" ref="H2667:K2667" si="1409">H2668+H2670+H2672</f>
        <v>0</v>
      </c>
      <c r="I2667" s="36">
        <f t="shared" si="1409"/>
        <v>0</v>
      </c>
      <c r="J2667" s="36">
        <f t="shared" si="1409"/>
        <v>0</v>
      </c>
      <c r="K2667" s="36">
        <f t="shared" si="1409"/>
        <v>0</v>
      </c>
      <c r="L2667" s="36">
        <v>0</v>
      </c>
      <c r="M2667" s="36">
        <v>0</v>
      </c>
    </row>
    <row r="2668" spans="1:13" ht="63.75">
      <c r="A2668" s="60" t="s">
        <v>60</v>
      </c>
      <c r="B2668" s="29" t="s">
        <v>1089</v>
      </c>
      <c r="C2668" s="29" t="s">
        <v>19</v>
      </c>
      <c r="D2668" s="29" t="s">
        <v>51</v>
      </c>
      <c r="E2668" s="29" t="s">
        <v>686</v>
      </c>
      <c r="F2668" s="29" t="s">
        <v>61</v>
      </c>
      <c r="G2668" s="36">
        <f>G2669</f>
        <v>25390</v>
      </c>
      <c r="H2668" s="36">
        <f t="shared" ref="H2668:K2668" si="1410">H2669</f>
        <v>0</v>
      </c>
      <c r="I2668" s="36">
        <f t="shared" si="1410"/>
        <v>0</v>
      </c>
      <c r="J2668" s="36">
        <f t="shared" si="1410"/>
        <v>0</v>
      </c>
      <c r="K2668" s="36">
        <f t="shared" si="1410"/>
        <v>0</v>
      </c>
      <c r="L2668" s="36">
        <v>0</v>
      </c>
      <c r="M2668" s="36">
        <v>0</v>
      </c>
    </row>
    <row r="2669" spans="1:13" ht="25.5">
      <c r="A2669" s="60" t="s">
        <v>62</v>
      </c>
      <c r="B2669" s="29" t="s">
        <v>1089</v>
      </c>
      <c r="C2669" s="29" t="s">
        <v>19</v>
      </c>
      <c r="D2669" s="29" t="s">
        <v>51</v>
      </c>
      <c r="E2669" s="29" t="s">
        <v>686</v>
      </c>
      <c r="F2669" s="29" t="s">
        <v>63</v>
      </c>
      <c r="G2669" s="36">
        <v>25390</v>
      </c>
      <c r="H2669" s="36">
        <v>0</v>
      </c>
      <c r="I2669" s="36">
        <v>0</v>
      </c>
      <c r="J2669" s="36">
        <v>0</v>
      </c>
      <c r="K2669" s="36">
        <v>0</v>
      </c>
      <c r="L2669" s="36">
        <v>0</v>
      </c>
      <c r="M2669" s="36">
        <v>0</v>
      </c>
    </row>
    <row r="2670" spans="1:13" ht="25.5">
      <c r="A2670" s="60" t="s">
        <v>64</v>
      </c>
      <c r="B2670" s="29" t="s">
        <v>1089</v>
      </c>
      <c r="C2670" s="29" t="s">
        <v>19</v>
      </c>
      <c r="D2670" s="29" t="s">
        <v>51</v>
      </c>
      <c r="E2670" s="29" t="s">
        <v>686</v>
      </c>
      <c r="F2670" s="29" t="s">
        <v>65</v>
      </c>
      <c r="G2670" s="36">
        <f>G2671</f>
        <v>3365</v>
      </c>
      <c r="H2670" s="36">
        <f t="shared" ref="H2670:K2670" si="1411">H2671</f>
        <v>0</v>
      </c>
      <c r="I2670" s="36">
        <f t="shared" si="1411"/>
        <v>0</v>
      </c>
      <c r="J2670" s="36">
        <f t="shared" si="1411"/>
        <v>0</v>
      </c>
      <c r="K2670" s="36">
        <f t="shared" si="1411"/>
        <v>0</v>
      </c>
      <c r="L2670" s="36">
        <v>0</v>
      </c>
      <c r="M2670" s="36">
        <v>0</v>
      </c>
    </row>
    <row r="2671" spans="1:13" ht="25.5">
      <c r="A2671" s="60" t="s">
        <v>66</v>
      </c>
      <c r="B2671" s="29" t="s">
        <v>1089</v>
      </c>
      <c r="C2671" s="29" t="s">
        <v>19</v>
      </c>
      <c r="D2671" s="29" t="s">
        <v>51</v>
      </c>
      <c r="E2671" s="29" t="s">
        <v>686</v>
      </c>
      <c r="F2671" s="29" t="s">
        <v>67</v>
      </c>
      <c r="G2671" s="36">
        <v>3365</v>
      </c>
      <c r="H2671" s="36">
        <v>0</v>
      </c>
      <c r="I2671" s="36">
        <v>0</v>
      </c>
      <c r="J2671" s="36">
        <v>0</v>
      </c>
      <c r="K2671" s="36"/>
      <c r="L2671" s="36">
        <v>0</v>
      </c>
      <c r="M2671" s="36">
        <v>0</v>
      </c>
    </row>
    <row r="2672" spans="1:13">
      <c r="A2672" s="60" t="s">
        <v>72</v>
      </c>
      <c r="B2672" s="29" t="s">
        <v>1089</v>
      </c>
      <c r="C2672" s="29" t="s">
        <v>19</v>
      </c>
      <c r="D2672" s="29" t="s">
        <v>51</v>
      </c>
      <c r="E2672" s="29" t="s">
        <v>686</v>
      </c>
      <c r="F2672" s="29" t="s">
        <v>73</v>
      </c>
      <c r="G2672" s="36">
        <f>G2673</f>
        <v>33.5</v>
      </c>
      <c r="H2672" s="36">
        <f t="shared" ref="H2672:K2672" si="1412">H2673</f>
        <v>0</v>
      </c>
      <c r="I2672" s="36">
        <f t="shared" si="1412"/>
        <v>0</v>
      </c>
      <c r="J2672" s="36">
        <f t="shared" si="1412"/>
        <v>0</v>
      </c>
      <c r="K2672" s="36">
        <f t="shared" si="1412"/>
        <v>0</v>
      </c>
      <c r="L2672" s="36">
        <v>0</v>
      </c>
      <c r="M2672" s="36">
        <v>0</v>
      </c>
    </row>
    <row r="2673" spans="1:13">
      <c r="A2673" s="60" t="s">
        <v>74</v>
      </c>
      <c r="B2673" s="29" t="s">
        <v>1089</v>
      </c>
      <c r="C2673" s="29" t="s">
        <v>19</v>
      </c>
      <c r="D2673" s="29" t="s">
        <v>51</v>
      </c>
      <c r="E2673" s="29" t="s">
        <v>686</v>
      </c>
      <c r="F2673" s="29" t="s">
        <v>75</v>
      </c>
      <c r="G2673" s="36">
        <v>33.5</v>
      </c>
      <c r="H2673" s="36">
        <v>0</v>
      </c>
      <c r="I2673" s="36">
        <v>0</v>
      </c>
      <c r="J2673" s="36">
        <v>0</v>
      </c>
      <c r="K2673" s="36">
        <v>0</v>
      </c>
      <c r="L2673" s="36">
        <v>0</v>
      </c>
      <c r="M2673" s="36">
        <v>0</v>
      </c>
    </row>
    <row r="2674" spans="1:13">
      <c r="A2674" s="65" t="s">
        <v>0</v>
      </c>
      <c r="B2674" s="66" t="s">
        <v>0</v>
      </c>
      <c r="C2674" s="59" t="s">
        <v>0</v>
      </c>
      <c r="D2674" s="59" t="s">
        <v>0</v>
      </c>
      <c r="E2674" s="59" t="s">
        <v>0</v>
      </c>
      <c r="F2674" s="59" t="s">
        <v>0</v>
      </c>
      <c r="G2674" s="67" t="s">
        <v>0</v>
      </c>
      <c r="H2674" s="67" t="s">
        <v>0</v>
      </c>
      <c r="I2674" s="67" t="s">
        <v>0</v>
      </c>
      <c r="J2674" s="67" t="s">
        <v>0</v>
      </c>
      <c r="K2674" s="67" t="s">
        <v>0</v>
      </c>
      <c r="L2674" s="67"/>
      <c r="M2674" s="67"/>
    </row>
    <row r="2675" spans="1:13" ht="38.25">
      <c r="A2675" s="57" t="s">
        <v>1090</v>
      </c>
      <c r="B2675" s="58" t="s">
        <v>1091</v>
      </c>
      <c r="C2675" s="59" t="s">
        <v>0</v>
      </c>
      <c r="D2675" s="59" t="s">
        <v>0</v>
      </c>
      <c r="E2675" s="59" t="s">
        <v>0</v>
      </c>
      <c r="F2675" s="59" t="s">
        <v>0</v>
      </c>
      <c r="G2675" s="31">
        <f>G2676</f>
        <v>26920.5</v>
      </c>
      <c r="H2675" s="31">
        <f t="shared" ref="H2675:K2679" si="1413">H2676</f>
        <v>26920.5</v>
      </c>
      <c r="I2675" s="31">
        <f t="shared" si="1413"/>
        <v>13562.100000000002</v>
      </c>
      <c r="J2675" s="31">
        <f t="shared" si="1413"/>
        <v>13562.100000000002</v>
      </c>
      <c r="K2675" s="31">
        <f t="shared" si="1413"/>
        <v>13361.39047</v>
      </c>
      <c r="L2675" s="31">
        <f t="shared" si="1395"/>
        <v>49.632772311064059</v>
      </c>
      <c r="M2675" s="31">
        <f t="shared" si="1396"/>
        <v>98.52007041682333</v>
      </c>
    </row>
    <row r="2676" spans="1:13">
      <c r="A2676" s="60" t="s">
        <v>30</v>
      </c>
      <c r="B2676" s="29" t="s">
        <v>1091</v>
      </c>
      <c r="C2676" s="29" t="s">
        <v>19</v>
      </c>
      <c r="D2676" s="59" t="s">
        <v>0</v>
      </c>
      <c r="E2676" s="59" t="s">
        <v>0</v>
      </c>
      <c r="F2676" s="59" t="s">
        <v>0</v>
      </c>
      <c r="G2676" s="36">
        <f>G2677</f>
        <v>26920.5</v>
      </c>
      <c r="H2676" s="36">
        <f t="shared" si="1413"/>
        <v>26920.5</v>
      </c>
      <c r="I2676" s="36">
        <f t="shared" si="1413"/>
        <v>13562.100000000002</v>
      </c>
      <c r="J2676" s="36">
        <f t="shared" si="1413"/>
        <v>13562.100000000002</v>
      </c>
      <c r="K2676" s="36">
        <f t="shared" si="1413"/>
        <v>13361.39047</v>
      </c>
      <c r="L2676" s="36">
        <f t="shared" si="1395"/>
        <v>49.632772311064059</v>
      </c>
      <c r="M2676" s="36">
        <f t="shared" si="1396"/>
        <v>98.52007041682333</v>
      </c>
    </row>
    <row r="2677" spans="1:13">
      <c r="A2677" s="60" t="s">
        <v>230</v>
      </c>
      <c r="B2677" s="29" t="s">
        <v>1091</v>
      </c>
      <c r="C2677" s="29" t="s">
        <v>19</v>
      </c>
      <c r="D2677" s="29" t="s">
        <v>17</v>
      </c>
      <c r="E2677" s="59" t="s">
        <v>0</v>
      </c>
      <c r="F2677" s="59" t="s">
        <v>0</v>
      </c>
      <c r="G2677" s="36">
        <f>G2678</f>
        <v>26920.5</v>
      </c>
      <c r="H2677" s="36">
        <f t="shared" si="1413"/>
        <v>26920.5</v>
      </c>
      <c r="I2677" s="36">
        <f t="shared" si="1413"/>
        <v>13562.100000000002</v>
      </c>
      <c r="J2677" s="36">
        <f t="shared" si="1413"/>
        <v>13562.100000000002</v>
      </c>
      <c r="K2677" s="36">
        <f t="shared" si="1413"/>
        <v>13361.39047</v>
      </c>
      <c r="L2677" s="36">
        <f t="shared" si="1395"/>
        <v>49.632772311064059</v>
      </c>
      <c r="M2677" s="36">
        <f t="shared" si="1396"/>
        <v>98.52007041682333</v>
      </c>
    </row>
    <row r="2678" spans="1:13" ht="51">
      <c r="A2678" s="60" t="s">
        <v>20</v>
      </c>
      <c r="B2678" s="29" t="s">
        <v>1091</v>
      </c>
      <c r="C2678" s="29" t="s">
        <v>19</v>
      </c>
      <c r="D2678" s="29" t="s">
        <v>17</v>
      </c>
      <c r="E2678" s="29" t="s">
        <v>21</v>
      </c>
      <c r="F2678" s="59" t="s">
        <v>0</v>
      </c>
      <c r="G2678" s="36">
        <f>G2679</f>
        <v>26920.5</v>
      </c>
      <c r="H2678" s="36">
        <f t="shared" si="1413"/>
        <v>26920.5</v>
      </c>
      <c r="I2678" s="36">
        <f t="shared" si="1413"/>
        <v>13562.100000000002</v>
      </c>
      <c r="J2678" s="36">
        <f t="shared" si="1413"/>
        <v>13562.100000000002</v>
      </c>
      <c r="K2678" s="36">
        <f t="shared" si="1413"/>
        <v>13361.39047</v>
      </c>
      <c r="L2678" s="36">
        <f t="shared" si="1395"/>
        <v>49.632772311064059</v>
      </c>
      <c r="M2678" s="36">
        <f t="shared" si="1396"/>
        <v>98.52007041682333</v>
      </c>
    </row>
    <row r="2679" spans="1:13" ht="25.5">
      <c r="A2679" s="60" t="s">
        <v>22</v>
      </c>
      <c r="B2679" s="29" t="s">
        <v>1091</v>
      </c>
      <c r="C2679" s="29" t="s">
        <v>19</v>
      </c>
      <c r="D2679" s="29" t="s">
        <v>17</v>
      </c>
      <c r="E2679" s="29" t="s">
        <v>23</v>
      </c>
      <c r="F2679" s="59" t="s">
        <v>0</v>
      </c>
      <c r="G2679" s="36">
        <f>G2680</f>
        <v>26920.5</v>
      </c>
      <c r="H2679" s="36">
        <f t="shared" si="1413"/>
        <v>26920.5</v>
      </c>
      <c r="I2679" s="36">
        <f t="shared" si="1413"/>
        <v>13562.100000000002</v>
      </c>
      <c r="J2679" s="36">
        <f t="shared" si="1413"/>
        <v>13562.100000000002</v>
      </c>
      <c r="K2679" s="36">
        <f t="shared" si="1413"/>
        <v>13361.39047</v>
      </c>
      <c r="L2679" s="36">
        <f t="shared" si="1395"/>
        <v>49.632772311064059</v>
      </c>
      <c r="M2679" s="36">
        <f t="shared" si="1396"/>
        <v>98.52007041682333</v>
      </c>
    </row>
    <row r="2680" spans="1:13" ht="25.5">
      <c r="A2680" s="60" t="s">
        <v>58</v>
      </c>
      <c r="B2680" s="29" t="s">
        <v>1091</v>
      </c>
      <c r="C2680" s="29" t="s">
        <v>19</v>
      </c>
      <c r="D2680" s="29" t="s">
        <v>17</v>
      </c>
      <c r="E2680" s="29" t="s">
        <v>59</v>
      </c>
      <c r="F2680" s="59" t="s">
        <v>0</v>
      </c>
      <c r="G2680" s="36">
        <f>G2681+G2683+G2685</f>
        <v>26920.5</v>
      </c>
      <c r="H2680" s="36">
        <f t="shared" ref="H2680:K2680" si="1414">H2681+H2683+H2685</f>
        <v>26920.5</v>
      </c>
      <c r="I2680" s="36">
        <f t="shared" si="1414"/>
        <v>13562.100000000002</v>
      </c>
      <c r="J2680" s="36">
        <f t="shared" si="1414"/>
        <v>13562.100000000002</v>
      </c>
      <c r="K2680" s="36">
        <f t="shared" si="1414"/>
        <v>13361.39047</v>
      </c>
      <c r="L2680" s="36">
        <f t="shared" si="1395"/>
        <v>49.632772311064059</v>
      </c>
      <c r="M2680" s="36">
        <f t="shared" si="1396"/>
        <v>98.52007041682333</v>
      </c>
    </row>
    <row r="2681" spans="1:13" ht="63.75">
      <c r="A2681" s="60" t="s">
        <v>60</v>
      </c>
      <c r="B2681" s="29" t="s">
        <v>1091</v>
      </c>
      <c r="C2681" s="29" t="s">
        <v>19</v>
      </c>
      <c r="D2681" s="29" t="s">
        <v>17</v>
      </c>
      <c r="E2681" s="29" t="s">
        <v>59</v>
      </c>
      <c r="F2681" s="29" t="s">
        <v>61</v>
      </c>
      <c r="G2681" s="36">
        <f>G2682</f>
        <v>23604</v>
      </c>
      <c r="H2681" s="36">
        <f t="shared" ref="H2681:K2681" si="1415">H2682</f>
        <v>23604</v>
      </c>
      <c r="I2681" s="36">
        <f t="shared" si="1415"/>
        <v>11801.400000000001</v>
      </c>
      <c r="J2681" s="36">
        <f t="shared" si="1415"/>
        <v>11801.400000000001</v>
      </c>
      <c r="K2681" s="36">
        <f t="shared" si="1415"/>
        <v>11691.328229999999</v>
      </c>
      <c r="L2681" s="36">
        <f t="shared" si="1395"/>
        <v>49.531131291306558</v>
      </c>
      <c r="M2681" s="36">
        <f t="shared" si="1396"/>
        <v>99.06729904926533</v>
      </c>
    </row>
    <row r="2682" spans="1:13" ht="25.5">
      <c r="A2682" s="60" t="s">
        <v>62</v>
      </c>
      <c r="B2682" s="29" t="s">
        <v>1091</v>
      </c>
      <c r="C2682" s="29" t="s">
        <v>19</v>
      </c>
      <c r="D2682" s="29" t="s">
        <v>17</v>
      </c>
      <c r="E2682" s="29" t="s">
        <v>59</v>
      </c>
      <c r="F2682" s="29" t="s">
        <v>63</v>
      </c>
      <c r="G2682" s="36">
        <v>23604</v>
      </c>
      <c r="H2682" s="36">
        <v>23604</v>
      </c>
      <c r="I2682" s="36">
        <f>8872.2+350.4+2578.8</f>
        <v>11801.400000000001</v>
      </c>
      <c r="J2682" s="36">
        <f>8872.2+350.4+2578.8</f>
        <v>11801.400000000001</v>
      </c>
      <c r="K2682" s="36">
        <f>8872.2+240.32823+2578.8</f>
        <v>11691.328229999999</v>
      </c>
      <c r="L2682" s="36">
        <f t="shared" si="1395"/>
        <v>49.531131291306558</v>
      </c>
      <c r="M2682" s="36">
        <f t="shared" si="1396"/>
        <v>99.06729904926533</v>
      </c>
    </row>
    <row r="2683" spans="1:13" ht="25.5">
      <c r="A2683" s="60" t="s">
        <v>64</v>
      </c>
      <c r="B2683" s="29" t="s">
        <v>1091</v>
      </c>
      <c r="C2683" s="29" t="s">
        <v>19</v>
      </c>
      <c r="D2683" s="29" t="s">
        <v>17</v>
      </c>
      <c r="E2683" s="29" t="s">
        <v>59</v>
      </c>
      <c r="F2683" s="29" t="s">
        <v>65</v>
      </c>
      <c r="G2683" s="36">
        <f>G2684</f>
        <v>3313.7</v>
      </c>
      <c r="H2683" s="36">
        <f t="shared" ref="H2683:K2683" si="1416">H2684</f>
        <v>3313.7</v>
      </c>
      <c r="I2683" s="36">
        <f t="shared" si="1416"/>
        <v>1759</v>
      </c>
      <c r="J2683" s="36">
        <f t="shared" si="1416"/>
        <v>1759</v>
      </c>
      <c r="K2683" s="36">
        <f t="shared" si="1416"/>
        <v>1669.1132399999999</v>
      </c>
      <c r="L2683" s="36">
        <f t="shared" si="1395"/>
        <v>50.370076953254674</v>
      </c>
      <c r="M2683" s="36">
        <f t="shared" si="1396"/>
        <v>94.889894258101194</v>
      </c>
    </row>
    <row r="2684" spans="1:13" ht="25.5">
      <c r="A2684" s="60" t="s">
        <v>66</v>
      </c>
      <c r="B2684" s="29" t="s">
        <v>1091</v>
      </c>
      <c r="C2684" s="29" t="s">
        <v>19</v>
      </c>
      <c r="D2684" s="29" t="s">
        <v>17</v>
      </c>
      <c r="E2684" s="29" t="s">
        <v>59</v>
      </c>
      <c r="F2684" s="29" t="s">
        <v>67</v>
      </c>
      <c r="G2684" s="36">
        <v>3313.7</v>
      </c>
      <c r="H2684" s="36">
        <v>3313.7</v>
      </c>
      <c r="I2684" s="36">
        <v>1759</v>
      </c>
      <c r="J2684" s="36">
        <v>1759</v>
      </c>
      <c r="K2684" s="36">
        <v>1669.1132399999999</v>
      </c>
      <c r="L2684" s="36">
        <f t="shared" si="1395"/>
        <v>50.370076953254674</v>
      </c>
      <c r="M2684" s="36">
        <f t="shared" si="1396"/>
        <v>94.889894258101194</v>
      </c>
    </row>
    <row r="2685" spans="1:13">
      <c r="A2685" s="60" t="s">
        <v>72</v>
      </c>
      <c r="B2685" s="29" t="s">
        <v>1091</v>
      </c>
      <c r="C2685" s="29" t="s">
        <v>19</v>
      </c>
      <c r="D2685" s="29" t="s">
        <v>17</v>
      </c>
      <c r="E2685" s="29" t="s">
        <v>59</v>
      </c>
      <c r="F2685" s="29" t="s">
        <v>73</v>
      </c>
      <c r="G2685" s="36">
        <f>G2686</f>
        <v>2.8</v>
      </c>
      <c r="H2685" s="36">
        <f t="shared" ref="H2685:K2685" si="1417">H2686</f>
        <v>2.8</v>
      </c>
      <c r="I2685" s="36">
        <f t="shared" si="1417"/>
        <v>1.7</v>
      </c>
      <c r="J2685" s="36">
        <f t="shared" si="1417"/>
        <v>1.7</v>
      </c>
      <c r="K2685" s="36">
        <f t="shared" si="1417"/>
        <v>0.94899999999999995</v>
      </c>
      <c r="L2685" s="36">
        <f t="shared" si="1395"/>
        <v>33.892857142857139</v>
      </c>
      <c r="M2685" s="36">
        <f t="shared" si="1396"/>
        <v>55.823529411764703</v>
      </c>
    </row>
    <row r="2686" spans="1:13">
      <c r="A2686" s="60" t="s">
        <v>74</v>
      </c>
      <c r="B2686" s="29" t="s">
        <v>1091</v>
      </c>
      <c r="C2686" s="29" t="s">
        <v>19</v>
      </c>
      <c r="D2686" s="29" t="s">
        <v>17</v>
      </c>
      <c r="E2686" s="29" t="s">
        <v>59</v>
      </c>
      <c r="F2686" s="29" t="s">
        <v>75</v>
      </c>
      <c r="G2686" s="36">
        <v>2.8</v>
      </c>
      <c r="H2686" s="36">
        <v>2.8</v>
      </c>
      <c r="I2686" s="36">
        <f>1.15+0.55</f>
        <v>1.7</v>
      </c>
      <c r="J2686" s="36">
        <f>1.15+0.55</f>
        <v>1.7</v>
      </c>
      <c r="K2686" s="36">
        <f>0.849+0.1</f>
        <v>0.94899999999999995</v>
      </c>
      <c r="L2686" s="36">
        <f t="shared" si="1395"/>
        <v>33.892857142857139</v>
      </c>
      <c r="M2686" s="36">
        <f t="shared" si="1396"/>
        <v>55.823529411764703</v>
      </c>
    </row>
    <row r="2687" spans="1:13">
      <c r="A2687" s="65" t="s">
        <v>0</v>
      </c>
      <c r="B2687" s="66" t="s">
        <v>0</v>
      </c>
      <c r="C2687" s="59" t="s">
        <v>0</v>
      </c>
      <c r="D2687" s="59" t="s">
        <v>0</v>
      </c>
      <c r="E2687" s="59" t="s">
        <v>0</v>
      </c>
      <c r="F2687" s="59" t="s">
        <v>0</v>
      </c>
      <c r="G2687" s="67" t="s">
        <v>0</v>
      </c>
      <c r="H2687" s="67" t="s">
        <v>0</v>
      </c>
      <c r="I2687" s="67" t="s">
        <v>0</v>
      </c>
      <c r="J2687" s="67" t="s">
        <v>0</v>
      </c>
      <c r="K2687" s="67" t="s">
        <v>0</v>
      </c>
      <c r="L2687" s="67"/>
      <c r="M2687" s="67"/>
    </row>
    <row r="2688" spans="1:13" ht="25.5">
      <c r="A2688" s="57" t="s">
        <v>1092</v>
      </c>
      <c r="B2688" s="58" t="s">
        <v>1093</v>
      </c>
      <c r="C2688" s="59" t="s">
        <v>0</v>
      </c>
      <c r="D2688" s="59" t="s">
        <v>0</v>
      </c>
      <c r="E2688" s="59" t="s">
        <v>0</v>
      </c>
      <c r="F2688" s="59" t="s">
        <v>0</v>
      </c>
      <c r="G2688" s="31">
        <f>G2689</f>
        <v>58926.7</v>
      </c>
      <c r="H2688" s="31">
        <f t="shared" ref="H2688:K2691" si="1418">H2689</f>
        <v>61587.733</v>
      </c>
      <c r="I2688" s="31">
        <f t="shared" si="1418"/>
        <v>33772.397000000004</v>
      </c>
      <c r="J2688" s="31">
        <f t="shared" si="1418"/>
        <v>33772.397000000004</v>
      </c>
      <c r="K2688" s="31">
        <f t="shared" si="1418"/>
        <v>29826.9899</v>
      </c>
      <c r="L2688" s="31">
        <f t="shared" si="1395"/>
        <v>48.430082497110263</v>
      </c>
      <c r="M2688" s="31">
        <f t="shared" si="1396"/>
        <v>88.317657464467203</v>
      </c>
    </row>
    <row r="2689" spans="1:13">
      <c r="A2689" s="60" t="s">
        <v>16</v>
      </c>
      <c r="B2689" s="29" t="s">
        <v>1093</v>
      </c>
      <c r="C2689" s="29" t="s">
        <v>17</v>
      </c>
      <c r="D2689" s="59" t="s">
        <v>0</v>
      </c>
      <c r="E2689" s="59" t="s">
        <v>0</v>
      </c>
      <c r="F2689" s="59" t="s">
        <v>0</v>
      </c>
      <c r="G2689" s="36">
        <f>G2690</f>
        <v>58926.7</v>
      </c>
      <c r="H2689" s="36">
        <f t="shared" si="1418"/>
        <v>61587.733</v>
      </c>
      <c r="I2689" s="36">
        <f t="shared" si="1418"/>
        <v>33772.397000000004</v>
      </c>
      <c r="J2689" s="36">
        <f t="shared" si="1418"/>
        <v>33772.397000000004</v>
      </c>
      <c r="K2689" s="36">
        <f t="shared" si="1418"/>
        <v>29826.9899</v>
      </c>
      <c r="L2689" s="36">
        <f t="shared" si="1395"/>
        <v>48.430082497110263</v>
      </c>
      <c r="M2689" s="36">
        <f t="shared" si="1396"/>
        <v>88.317657464467203</v>
      </c>
    </row>
    <row r="2690" spans="1:13">
      <c r="A2690" s="60" t="s">
        <v>386</v>
      </c>
      <c r="B2690" s="29" t="s">
        <v>1093</v>
      </c>
      <c r="C2690" s="29" t="s">
        <v>17</v>
      </c>
      <c r="D2690" s="29" t="s">
        <v>387</v>
      </c>
      <c r="E2690" s="59" t="s">
        <v>0</v>
      </c>
      <c r="F2690" s="59" t="s">
        <v>0</v>
      </c>
      <c r="G2690" s="36">
        <f>G2691</f>
        <v>58926.7</v>
      </c>
      <c r="H2690" s="36">
        <f>H2691+H2707</f>
        <v>61587.733</v>
      </c>
      <c r="I2690" s="36">
        <f t="shared" ref="I2690:K2690" si="1419">I2691+I2707</f>
        <v>33772.397000000004</v>
      </c>
      <c r="J2690" s="36">
        <f t="shared" si="1419"/>
        <v>33772.397000000004</v>
      </c>
      <c r="K2690" s="36">
        <f t="shared" si="1419"/>
        <v>29826.9899</v>
      </c>
      <c r="L2690" s="36">
        <f t="shared" si="1395"/>
        <v>48.430082497110263</v>
      </c>
      <c r="M2690" s="36">
        <f t="shared" si="1396"/>
        <v>88.317657464467203</v>
      </c>
    </row>
    <row r="2691" spans="1:13" ht="51">
      <c r="A2691" s="60" t="s">
        <v>713</v>
      </c>
      <c r="B2691" s="29" t="s">
        <v>1093</v>
      </c>
      <c r="C2691" s="29" t="s">
        <v>17</v>
      </c>
      <c r="D2691" s="29" t="s">
        <v>387</v>
      </c>
      <c r="E2691" s="29" t="s">
        <v>714</v>
      </c>
      <c r="F2691" s="59" t="s">
        <v>0</v>
      </c>
      <c r="G2691" s="36">
        <f>G2692</f>
        <v>58926.7</v>
      </c>
      <c r="H2691" s="36">
        <f t="shared" si="1418"/>
        <v>58926.7</v>
      </c>
      <c r="I2691" s="36">
        <f t="shared" si="1418"/>
        <v>31111.364000000001</v>
      </c>
      <c r="J2691" s="36">
        <f t="shared" si="1418"/>
        <v>31111.364000000001</v>
      </c>
      <c r="K2691" s="36">
        <f t="shared" si="1418"/>
        <v>27827.584160000002</v>
      </c>
      <c r="L2691" s="36">
        <f t="shared" si="1395"/>
        <v>47.224066781272334</v>
      </c>
      <c r="M2691" s="36">
        <f t="shared" si="1396"/>
        <v>89.445079167856477</v>
      </c>
    </row>
    <row r="2692" spans="1:13" ht="25.5">
      <c r="A2692" s="60" t="s">
        <v>1094</v>
      </c>
      <c r="B2692" s="29" t="s">
        <v>1093</v>
      </c>
      <c r="C2692" s="29" t="s">
        <v>17</v>
      </c>
      <c r="D2692" s="29" t="s">
        <v>387</v>
      </c>
      <c r="E2692" s="29" t="s">
        <v>1095</v>
      </c>
      <c r="F2692" s="59" t="s">
        <v>0</v>
      </c>
      <c r="G2692" s="36">
        <f>G2693+G2700</f>
        <v>58926.7</v>
      </c>
      <c r="H2692" s="36">
        <f t="shared" ref="H2692:K2692" si="1420">H2693+H2700</f>
        <v>58926.7</v>
      </c>
      <c r="I2692" s="36">
        <f t="shared" si="1420"/>
        <v>31111.364000000001</v>
      </c>
      <c r="J2692" s="36">
        <f t="shared" si="1420"/>
        <v>31111.364000000001</v>
      </c>
      <c r="K2692" s="36">
        <f t="shared" si="1420"/>
        <v>27827.584160000002</v>
      </c>
      <c r="L2692" s="36">
        <f t="shared" si="1395"/>
        <v>47.224066781272334</v>
      </c>
      <c r="M2692" s="36">
        <f t="shared" si="1396"/>
        <v>89.445079167856477</v>
      </c>
    </row>
    <row r="2693" spans="1:13" ht="25.5">
      <c r="A2693" s="60" t="s">
        <v>58</v>
      </c>
      <c r="B2693" s="29" t="s">
        <v>1093</v>
      </c>
      <c r="C2693" s="29" t="s">
        <v>17</v>
      </c>
      <c r="D2693" s="29" t="s">
        <v>387</v>
      </c>
      <c r="E2693" s="29" t="s">
        <v>1096</v>
      </c>
      <c r="F2693" s="59" t="s">
        <v>0</v>
      </c>
      <c r="G2693" s="36">
        <f>G2694+G2696+G2698</f>
        <v>45478.6</v>
      </c>
      <c r="H2693" s="36">
        <f t="shared" ref="H2693:K2693" si="1421">H2694+H2696+H2698</f>
        <v>45478.6</v>
      </c>
      <c r="I2693" s="36">
        <f t="shared" si="1421"/>
        <v>24065.9</v>
      </c>
      <c r="J2693" s="36">
        <f t="shared" si="1421"/>
        <v>24065.9</v>
      </c>
      <c r="K2693" s="36">
        <f t="shared" si="1421"/>
        <v>21356.130060000003</v>
      </c>
      <c r="L2693" s="36">
        <f t="shared" si="1395"/>
        <v>46.958635622028829</v>
      </c>
      <c r="M2693" s="36">
        <f t="shared" si="1396"/>
        <v>88.740209424953989</v>
      </c>
    </row>
    <row r="2694" spans="1:13" ht="63.75">
      <c r="A2694" s="60" t="s">
        <v>60</v>
      </c>
      <c r="B2694" s="29" t="s">
        <v>1093</v>
      </c>
      <c r="C2694" s="29" t="s">
        <v>17</v>
      </c>
      <c r="D2694" s="29" t="s">
        <v>387</v>
      </c>
      <c r="E2694" s="29" t="s">
        <v>1096</v>
      </c>
      <c r="F2694" s="29" t="s">
        <v>61</v>
      </c>
      <c r="G2694" s="36">
        <f>G2695</f>
        <v>43549.8</v>
      </c>
      <c r="H2694" s="36">
        <f t="shared" ref="H2694:K2694" si="1422">H2695</f>
        <v>43549.8</v>
      </c>
      <c r="I2694" s="36">
        <f t="shared" si="1422"/>
        <v>23060</v>
      </c>
      <c r="J2694" s="36">
        <f t="shared" si="1422"/>
        <v>23060</v>
      </c>
      <c r="K2694" s="36">
        <f t="shared" si="1422"/>
        <v>20886.467380000002</v>
      </c>
      <c r="L2694" s="36">
        <f t="shared" si="1395"/>
        <v>47.959961653095995</v>
      </c>
      <c r="M2694" s="36">
        <f t="shared" si="1396"/>
        <v>90.574446574154393</v>
      </c>
    </row>
    <row r="2695" spans="1:13" ht="25.5">
      <c r="A2695" s="60" t="s">
        <v>62</v>
      </c>
      <c r="B2695" s="29" t="s">
        <v>1093</v>
      </c>
      <c r="C2695" s="29" t="s">
        <v>17</v>
      </c>
      <c r="D2695" s="29" t="s">
        <v>387</v>
      </c>
      <c r="E2695" s="29" t="s">
        <v>1096</v>
      </c>
      <c r="F2695" s="29" t="s">
        <v>63</v>
      </c>
      <c r="G2695" s="36">
        <v>43549.8</v>
      </c>
      <c r="H2695" s="36">
        <v>43549.8</v>
      </c>
      <c r="I2695" s="36">
        <f>17200+480+5380</f>
        <v>23060</v>
      </c>
      <c r="J2695" s="36">
        <f>17200+480+5380</f>
        <v>23060</v>
      </c>
      <c r="K2695" s="36">
        <f>15548.61922+479.8476+4858.00056</f>
        <v>20886.467380000002</v>
      </c>
      <c r="L2695" s="36">
        <f t="shared" si="1395"/>
        <v>47.959961653095995</v>
      </c>
      <c r="M2695" s="36">
        <f t="shared" si="1396"/>
        <v>90.574446574154393</v>
      </c>
    </row>
    <row r="2696" spans="1:13" ht="25.5">
      <c r="A2696" s="60" t="s">
        <v>64</v>
      </c>
      <c r="B2696" s="29" t="s">
        <v>1093</v>
      </c>
      <c r="C2696" s="29" t="s">
        <v>17</v>
      </c>
      <c r="D2696" s="29" t="s">
        <v>387</v>
      </c>
      <c r="E2696" s="29" t="s">
        <v>1096</v>
      </c>
      <c r="F2696" s="29" t="s">
        <v>65</v>
      </c>
      <c r="G2696" s="36">
        <f>G2697</f>
        <v>1916.6</v>
      </c>
      <c r="H2696" s="36">
        <f t="shared" ref="H2696:K2696" si="1423">H2697</f>
        <v>1916.6</v>
      </c>
      <c r="I2696" s="36">
        <f t="shared" si="1423"/>
        <v>997.5</v>
      </c>
      <c r="J2696" s="36">
        <f t="shared" si="1423"/>
        <v>997.5</v>
      </c>
      <c r="K2696" s="36">
        <f t="shared" si="1423"/>
        <v>466.19868000000002</v>
      </c>
      <c r="L2696" s="36">
        <f t="shared" si="1395"/>
        <v>24.324255452363563</v>
      </c>
      <c r="M2696" s="36">
        <f t="shared" si="1396"/>
        <v>46.736709774436093</v>
      </c>
    </row>
    <row r="2697" spans="1:13" ht="25.5">
      <c r="A2697" s="60" t="s">
        <v>66</v>
      </c>
      <c r="B2697" s="29" t="s">
        <v>1093</v>
      </c>
      <c r="C2697" s="29" t="s">
        <v>17</v>
      </c>
      <c r="D2697" s="29" t="s">
        <v>387</v>
      </c>
      <c r="E2697" s="29" t="s">
        <v>1096</v>
      </c>
      <c r="F2697" s="29" t="s">
        <v>67</v>
      </c>
      <c r="G2697" s="36">
        <v>1916.6</v>
      </c>
      <c r="H2697" s="36">
        <v>1916.6</v>
      </c>
      <c r="I2697" s="36">
        <v>997.5</v>
      </c>
      <c r="J2697" s="36">
        <v>997.5</v>
      </c>
      <c r="K2697" s="36">
        <v>466.19868000000002</v>
      </c>
      <c r="L2697" s="36">
        <f t="shared" si="1395"/>
        <v>24.324255452363563</v>
      </c>
      <c r="M2697" s="36">
        <f t="shared" si="1396"/>
        <v>46.736709774436093</v>
      </c>
    </row>
    <row r="2698" spans="1:13">
      <c r="A2698" s="60" t="s">
        <v>72</v>
      </c>
      <c r="B2698" s="29" t="s">
        <v>1093</v>
      </c>
      <c r="C2698" s="29" t="s">
        <v>17</v>
      </c>
      <c r="D2698" s="29" t="s">
        <v>387</v>
      </c>
      <c r="E2698" s="29" t="s">
        <v>1096</v>
      </c>
      <c r="F2698" s="29" t="s">
        <v>73</v>
      </c>
      <c r="G2698" s="36">
        <f>G2699</f>
        <v>12.2</v>
      </c>
      <c r="H2698" s="36">
        <f t="shared" ref="H2698:K2698" si="1424">H2699</f>
        <v>12.2</v>
      </c>
      <c r="I2698" s="36">
        <f t="shared" si="1424"/>
        <v>8.4</v>
      </c>
      <c r="J2698" s="36">
        <f t="shared" si="1424"/>
        <v>8.4</v>
      </c>
      <c r="K2698" s="36">
        <f t="shared" si="1424"/>
        <v>3.464</v>
      </c>
      <c r="L2698" s="36">
        <f t="shared" si="1395"/>
        <v>28.393442622950822</v>
      </c>
      <c r="M2698" s="36">
        <f t="shared" si="1396"/>
        <v>41.238095238095234</v>
      </c>
    </row>
    <row r="2699" spans="1:13">
      <c r="A2699" s="60" t="s">
        <v>74</v>
      </c>
      <c r="B2699" s="29" t="s">
        <v>1093</v>
      </c>
      <c r="C2699" s="29" t="s">
        <v>17</v>
      </c>
      <c r="D2699" s="29" t="s">
        <v>387</v>
      </c>
      <c r="E2699" s="29" t="s">
        <v>1096</v>
      </c>
      <c r="F2699" s="29" t="s">
        <v>75</v>
      </c>
      <c r="G2699" s="36">
        <v>12.2</v>
      </c>
      <c r="H2699" s="36">
        <v>12.2</v>
      </c>
      <c r="I2699" s="36">
        <v>8.4</v>
      </c>
      <c r="J2699" s="36">
        <v>8.4</v>
      </c>
      <c r="K2699" s="36">
        <v>3.464</v>
      </c>
      <c r="L2699" s="36">
        <f t="shared" ref="L2699:L2755" si="1425">K2699/H2699*100</f>
        <v>28.393442622950822</v>
      </c>
      <c r="M2699" s="36">
        <f t="shared" ref="M2699:M2755" si="1426">K2699/I2699*100</f>
        <v>41.238095238095234</v>
      </c>
    </row>
    <row r="2700" spans="1:13" ht="25.5">
      <c r="A2700" s="60" t="s">
        <v>76</v>
      </c>
      <c r="B2700" s="29" t="s">
        <v>1093</v>
      </c>
      <c r="C2700" s="29" t="s">
        <v>17</v>
      </c>
      <c r="D2700" s="29" t="s">
        <v>387</v>
      </c>
      <c r="E2700" s="29" t="s">
        <v>1097</v>
      </c>
      <c r="F2700" s="59" t="s">
        <v>0</v>
      </c>
      <c r="G2700" s="36">
        <f>G2701</f>
        <v>13448.099999999999</v>
      </c>
      <c r="H2700" s="36">
        <f t="shared" ref="H2700:K2700" si="1427">H2701</f>
        <v>13448.1</v>
      </c>
      <c r="I2700" s="36">
        <f t="shared" si="1427"/>
        <v>7045.4639999999999</v>
      </c>
      <c r="J2700" s="36">
        <f t="shared" si="1427"/>
        <v>7045.4639999999999</v>
      </c>
      <c r="K2700" s="36">
        <f t="shared" si="1427"/>
        <v>6471.4540999999999</v>
      </c>
      <c r="L2700" s="36">
        <f t="shared" si="1425"/>
        <v>48.12169823246407</v>
      </c>
      <c r="M2700" s="36">
        <f t="shared" si="1426"/>
        <v>91.852773642729574</v>
      </c>
    </row>
    <row r="2701" spans="1:13" ht="63.75">
      <c r="A2701" s="60" t="s">
        <v>60</v>
      </c>
      <c r="B2701" s="29" t="s">
        <v>1093</v>
      </c>
      <c r="C2701" s="29" t="s">
        <v>17</v>
      </c>
      <c r="D2701" s="29" t="s">
        <v>387</v>
      </c>
      <c r="E2701" s="29" t="s">
        <v>1097</v>
      </c>
      <c r="F2701" s="29" t="s">
        <v>61</v>
      </c>
      <c r="G2701" s="36">
        <f>G2702+G2703+G2705</f>
        <v>13448.099999999999</v>
      </c>
      <c r="H2701" s="36">
        <f t="shared" ref="H2701:K2701" si="1428">H2702+H2703+H2705</f>
        <v>13448.1</v>
      </c>
      <c r="I2701" s="36">
        <f t="shared" si="1428"/>
        <v>7045.4639999999999</v>
      </c>
      <c r="J2701" s="36">
        <f t="shared" si="1428"/>
        <v>7045.4639999999999</v>
      </c>
      <c r="K2701" s="36">
        <f t="shared" si="1428"/>
        <v>6471.4540999999999</v>
      </c>
      <c r="L2701" s="36">
        <f t="shared" si="1425"/>
        <v>48.12169823246407</v>
      </c>
      <c r="M2701" s="36">
        <f t="shared" si="1426"/>
        <v>91.852773642729574</v>
      </c>
    </row>
    <row r="2702" spans="1:13">
      <c r="A2702" s="60" t="s">
        <v>78</v>
      </c>
      <c r="B2702" s="29" t="s">
        <v>1093</v>
      </c>
      <c r="C2702" s="29" t="s">
        <v>17</v>
      </c>
      <c r="D2702" s="29" t="s">
        <v>387</v>
      </c>
      <c r="E2702" s="29" t="s">
        <v>1097</v>
      </c>
      <c r="F2702" s="29" t="s">
        <v>79</v>
      </c>
      <c r="G2702" s="36">
        <v>11202.8</v>
      </c>
      <c r="H2702" s="36">
        <v>11202.758</v>
      </c>
      <c r="I2702" s="36">
        <f>4267+180.5+1289.23</f>
        <v>5736.73</v>
      </c>
      <c r="J2702" s="36">
        <f>4267+180.5+1289.23</f>
        <v>5736.73</v>
      </c>
      <c r="K2702" s="36">
        <f>4036.34736+176.8997+1187.59906</f>
        <v>5400.8461200000002</v>
      </c>
      <c r="L2702" s="36">
        <f t="shared" si="1425"/>
        <v>48.209968652362214</v>
      </c>
      <c r="M2702" s="36">
        <f t="shared" si="1426"/>
        <v>94.145028962492589</v>
      </c>
    </row>
    <row r="2703" spans="1:13" ht="25.5">
      <c r="A2703" s="60" t="s">
        <v>64</v>
      </c>
      <c r="B2703" s="29" t="s">
        <v>1093</v>
      </c>
      <c r="C2703" s="29" t="s">
        <v>17</v>
      </c>
      <c r="D2703" s="29" t="s">
        <v>387</v>
      </c>
      <c r="E2703" s="29" t="s">
        <v>1097</v>
      </c>
      <c r="F2703" s="29" t="s">
        <v>65</v>
      </c>
      <c r="G2703" s="36">
        <f>G2704</f>
        <v>2240.3000000000002</v>
      </c>
      <c r="H2703" s="36">
        <f t="shared" ref="H2703:K2703" si="1429">H2704</f>
        <v>2240.3420000000001</v>
      </c>
      <c r="I2703" s="36">
        <f t="shared" si="1429"/>
        <v>1303.7339999999999</v>
      </c>
      <c r="J2703" s="36">
        <f t="shared" si="1429"/>
        <v>1303.7339999999999</v>
      </c>
      <c r="K2703" s="36">
        <f t="shared" si="1429"/>
        <v>1070.60798</v>
      </c>
      <c r="L2703" s="36">
        <f t="shared" si="1425"/>
        <v>47.78770294892476</v>
      </c>
      <c r="M2703" s="36">
        <f t="shared" si="1426"/>
        <v>82.118590141854099</v>
      </c>
    </row>
    <row r="2704" spans="1:13" ht="25.5">
      <c r="A2704" s="60" t="s">
        <v>66</v>
      </c>
      <c r="B2704" s="29" t="s">
        <v>1093</v>
      </c>
      <c r="C2704" s="29" t="s">
        <v>17</v>
      </c>
      <c r="D2704" s="29" t="s">
        <v>387</v>
      </c>
      <c r="E2704" s="29" t="s">
        <v>1097</v>
      </c>
      <c r="F2704" s="29" t="s">
        <v>67</v>
      </c>
      <c r="G2704" s="36">
        <v>2240.3000000000002</v>
      </c>
      <c r="H2704" s="36">
        <v>2240.3420000000001</v>
      </c>
      <c r="I2704" s="36">
        <v>1303.7339999999999</v>
      </c>
      <c r="J2704" s="36">
        <v>1303.7339999999999</v>
      </c>
      <c r="K2704" s="36">
        <v>1070.60798</v>
      </c>
      <c r="L2704" s="36">
        <f t="shared" si="1425"/>
        <v>47.78770294892476</v>
      </c>
      <c r="M2704" s="36">
        <f t="shared" si="1426"/>
        <v>82.118590141854099</v>
      </c>
    </row>
    <row r="2705" spans="1:13">
      <c r="A2705" s="60" t="s">
        <v>72</v>
      </c>
      <c r="B2705" s="29" t="s">
        <v>1093</v>
      </c>
      <c r="C2705" s="29" t="s">
        <v>17</v>
      </c>
      <c r="D2705" s="29" t="s">
        <v>387</v>
      </c>
      <c r="E2705" s="29" t="s">
        <v>1097</v>
      </c>
      <c r="F2705" s="29" t="s">
        <v>73</v>
      </c>
      <c r="G2705" s="36">
        <v>5</v>
      </c>
      <c r="H2705" s="36">
        <f>H2706</f>
        <v>5</v>
      </c>
      <c r="I2705" s="36">
        <f t="shared" ref="I2705:K2705" si="1430">I2706</f>
        <v>5</v>
      </c>
      <c r="J2705" s="36">
        <f t="shared" si="1430"/>
        <v>5</v>
      </c>
      <c r="K2705" s="36">
        <f t="shared" si="1430"/>
        <v>0</v>
      </c>
      <c r="L2705" s="36">
        <f t="shared" si="1425"/>
        <v>0</v>
      </c>
      <c r="M2705" s="36">
        <f t="shared" si="1426"/>
        <v>0</v>
      </c>
    </row>
    <row r="2706" spans="1:13">
      <c r="A2706" s="60" t="s">
        <v>74</v>
      </c>
      <c r="B2706" s="29" t="s">
        <v>1093</v>
      </c>
      <c r="C2706" s="29" t="s">
        <v>17</v>
      </c>
      <c r="D2706" s="29" t="s">
        <v>387</v>
      </c>
      <c r="E2706" s="29" t="s">
        <v>1097</v>
      </c>
      <c r="F2706" s="29" t="s">
        <v>75</v>
      </c>
      <c r="G2706" s="36">
        <v>5</v>
      </c>
      <c r="H2706" s="36">
        <v>5</v>
      </c>
      <c r="I2706" s="36">
        <v>5</v>
      </c>
      <c r="J2706" s="36">
        <v>5</v>
      </c>
      <c r="K2706" s="36">
        <v>0</v>
      </c>
      <c r="L2706" s="36">
        <f t="shared" si="1425"/>
        <v>0</v>
      </c>
      <c r="M2706" s="36">
        <f t="shared" si="1426"/>
        <v>0</v>
      </c>
    </row>
    <row r="2707" spans="1:13">
      <c r="A2707" s="63" t="s">
        <v>612</v>
      </c>
      <c r="B2707" s="29" t="s">
        <v>1093</v>
      </c>
      <c r="C2707" s="29" t="s">
        <v>17</v>
      </c>
      <c r="D2707" s="29" t="s">
        <v>387</v>
      </c>
      <c r="E2707" s="30" t="s">
        <v>613</v>
      </c>
      <c r="F2707" s="29"/>
      <c r="G2707" s="36"/>
      <c r="H2707" s="36">
        <f>H2708</f>
        <v>2661.0329999999999</v>
      </c>
      <c r="I2707" s="36">
        <f t="shared" ref="I2707:K2707" si="1431">I2708</f>
        <v>2661.0329999999999</v>
      </c>
      <c r="J2707" s="36">
        <f t="shared" si="1431"/>
        <v>2661.0329999999999</v>
      </c>
      <c r="K2707" s="36">
        <f t="shared" si="1431"/>
        <v>1999.4057399999999</v>
      </c>
      <c r="L2707" s="36">
        <f t="shared" ref="L2707:L2713" si="1432">K2707/H2707*100</f>
        <v>75.136450393512604</v>
      </c>
      <c r="M2707" s="36">
        <f t="shared" ref="M2707:M2713" si="1433">K2707/I2707*100</f>
        <v>75.136450393512604</v>
      </c>
    </row>
    <row r="2708" spans="1:13">
      <c r="A2708" s="63" t="s">
        <v>612</v>
      </c>
      <c r="B2708" s="29" t="s">
        <v>1093</v>
      </c>
      <c r="C2708" s="29" t="s">
        <v>17</v>
      </c>
      <c r="D2708" s="29" t="s">
        <v>387</v>
      </c>
      <c r="E2708" s="30" t="s">
        <v>614</v>
      </c>
      <c r="F2708" s="29"/>
      <c r="G2708" s="36"/>
      <c r="H2708" s="36">
        <f>H2709+H2712</f>
        <v>2661.0329999999999</v>
      </c>
      <c r="I2708" s="36">
        <f t="shared" ref="I2708:K2708" si="1434">I2709+I2712</f>
        <v>2661.0329999999999</v>
      </c>
      <c r="J2708" s="36">
        <f t="shared" si="1434"/>
        <v>2661.0329999999999</v>
      </c>
      <c r="K2708" s="36">
        <f t="shared" si="1434"/>
        <v>1999.4057399999999</v>
      </c>
      <c r="L2708" s="36">
        <f t="shared" si="1432"/>
        <v>75.136450393512604</v>
      </c>
      <c r="M2708" s="36">
        <f t="shared" si="1433"/>
        <v>75.136450393512604</v>
      </c>
    </row>
    <row r="2709" spans="1:13" ht="63.75">
      <c r="A2709" s="60" t="s">
        <v>60</v>
      </c>
      <c r="B2709" s="29" t="s">
        <v>1093</v>
      </c>
      <c r="C2709" s="29" t="s">
        <v>17</v>
      </c>
      <c r="D2709" s="29" t="s">
        <v>387</v>
      </c>
      <c r="E2709" s="30" t="s">
        <v>614</v>
      </c>
      <c r="F2709" s="29">
        <v>100</v>
      </c>
      <c r="G2709" s="36"/>
      <c r="H2709" s="36">
        <f>H2710+H2711</f>
        <v>159.5</v>
      </c>
      <c r="I2709" s="36">
        <f t="shared" ref="I2709:K2709" si="1435">I2710+I2711</f>
        <v>159.5</v>
      </c>
      <c r="J2709" s="36">
        <f t="shared" si="1435"/>
        <v>159.5</v>
      </c>
      <c r="K2709" s="36">
        <f t="shared" si="1435"/>
        <v>159.5</v>
      </c>
      <c r="L2709" s="36">
        <f t="shared" si="1432"/>
        <v>100</v>
      </c>
      <c r="M2709" s="36">
        <f t="shared" si="1433"/>
        <v>100</v>
      </c>
    </row>
    <row r="2710" spans="1:13">
      <c r="A2710" s="60" t="s">
        <v>78</v>
      </c>
      <c r="B2710" s="29" t="s">
        <v>1093</v>
      </c>
      <c r="C2710" s="29" t="s">
        <v>17</v>
      </c>
      <c r="D2710" s="29" t="s">
        <v>387</v>
      </c>
      <c r="E2710" s="30" t="s">
        <v>614</v>
      </c>
      <c r="F2710" s="29">
        <v>110</v>
      </c>
      <c r="G2710" s="36"/>
      <c r="H2710" s="36">
        <v>51.524999999999999</v>
      </c>
      <c r="I2710" s="36">
        <v>51.524999999999999</v>
      </c>
      <c r="J2710" s="36">
        <v>51.524999999999999</v>
      </c>
      <c r="K2710" s="36">
        <v>51.524999999999999</v>
      </c>
      <c r="L2710" s="36">
        <f t="shared" si="1432"/>
        <v>100</v>
      </c>
      <c r="M2710" s="36">
        <f t="shared" si="1433"/>
        <v>100</v>
      </c>
    </row>
    <row r="2711" spans="1:13" ht="25.5">
      <c r="A2711" s="60" t="s">
        <v>62</v>
      </c>
      <c r="B2711" s="29" t="s">
        <v>1093</v>
      </c>
      <c r="C2711" s="29" t="s">
        <v>17</v>
      </c>
      <c r="D2711" s="29" t="s">
        <v>387</v>
      </c>
      <c r="E2711" s="30" t="s">
        <v>614</v>
      </c>
      <c r="F2711" s="29">
        <v>120</v>
      </c>
      <c r="G2711" s="36"/>
      <c r="H2711" s="36">
        <v>107.97499999999999</v>
      </c>
      <c r="I2711" s="36">
        <v>107.97499999999999</v>
      </c>
      <c r="J2711" s="36">
        <v>107.97499999999999</v>
      </c>
      <c r="K2711" s="36">
        <v>107.97499999999999</v>
      </c>
      <c r="L2711" s="36">
        <f t="shared" si="1432"/>
        <v>100</v>
      </c>
      <c r="M2711" s="36">
        <f t="shared" si="1433"/>
        <v>100</v>
      </c>
    </row>
    <row r="2712" spans="1:13" ht="25.5">
      <c r="A2712" s="60" t="s">
        <v>64</v>
      </c>
      <c r="B2712" s="29" t="s">
        <v>1093</v>
      </c>
      <c r="C2712" s="29" t="s">
        <v>17</v>
      </c>
      <c r="D2712" s="29" t="s">
        <v>387</v>
      </c>
      <c r="E2712" s="30" t="s">
        <v>614</v>
      </c>
      <c r="F2712" s="29">
        <v>200</v>
      </c>
      <c r="G2712" s="36"/>
      <c r="H2712" s="36">
        <f>H2713</f>
        <v>2501.5329999999999</v>
      </c>
      <c r="I2712" s="36">
        <f t="shared" ref="I2712:K2712" si="1436">I2713</f>
        <v>2501.5329999999999</v>
      </c>
      <c r="J2712" s="36">
        <f t="shared" si="1436"/>
        <v>2501.5329999999999</v>
      </c>
      <c r="K2712" s="36">
        <f t="shared" si="1436"/>
        <v>1839.9057399999999</v>
      </c>
      <c r="L2712" s="36">
        <f t="shared" si="1432"/>
        <v>73.551128048280788</v>
      </c>
      <c r="M2712" s="36">
        <f t="shared" si="1433"/>
        <v>73.551128048280788</v>
      </c>
    </row>
    <row r="2713" spans="1:13" ht="25.5">
      <c r="A2713" s="60" t="s">
        <v>66</v>
      </c>
      <c r="B2713" s="29" t="s">
        <v>1093</v>
      </c>
      <c r="C2713" s="29" t="s">
        <v>17</v>
      </c>
      <c r="D2713" s="29" t="s">
        <v>387</v>
      </c>
      <c r="E2713" s="30" t="s">
        <v>614</v>
      </c>
      <c r="F2713" s="29">
        <v>240</v>
      </c>
      <c r="G2713" s="36"/>
      <c r="H2713" s="36">
        <v>2501.5329999999999</v>
      </c>
      <c r="I2713" s="36">
        <v>2501.5329999999999</v>
      </c>
      <c r="J2713" s="36">
        <v>2501.5329999999999</v>
      </c>
      <c r="K2713" s="36">
        <v>1839.9057399999999</v>
      </c>
      <c r="L2713" s="36">
        <f t="shared" si="1432"/>
        <v>73.551128048280788</v>
      </c>
      <c r="M2713" s="36">
        <f t="shared" si="1433"/>
        <v>73.551128048280788</v>
      </c>
    </row>
    <row r="2714" spans="1:13">
      <c r="A2714" s="65" t="s">
        <v>0</v>
      </c>
      <c r="B2714" s="66" t="s">
        <v>0</v>
      </c>
      <c r="C2714" s="59" t="s">
        <v>0</v>
      </c>
      <c r="D2714" s="59" t="s">
        <v>0</v>
      </c>
      <c r="E2714" s="59" t="s">
        <v>0</v>
      </c>
      <c r="F2714" s="59" t="s">
        <v>0</v>
      </c>
      <c r="G2714" s="67" t="s">
        <v>0</v>
      </c>
      <c r="H2714" s="67" t="s">
        <v>0</v>
      </c>
      <c r="I2714" s="67" t="s">
        <v>0</v>
      </c>
      <c r="J2714" s="67" t="s">
        <v>0</v>
      </c>
      <c r="K2714" s="67" t="s">
        <v>0</v>
      </c>
      <c r="L2714" s="67"/>
      <c r="M2714" s="67"/>
    </row>
    <row r="2715" spans="1:13" ht="25.5">
      <c r="A2715" s="57" t="s">
        <v>1098</v>
      </c>
      <c r="B2715" s="58" t="s">
        <v>1099</v>
      </c>
      <c r="C2715" s="59" t="s">
        <v>0</v>
      </c>
      <c r="D2715" s="59" t="s">
        <v>0</v>
      </c>
      <c r="E2715" s="59" t="s">
        <v>0</v>
      </c>
      <c r="F2715" s="59" t="s">
        <v>0</v>
      </c>
      <c r="G2715" s="31">
        <f>G2716</f>
        <v>177872.6</v>
      </c>
      <c r="H2715" s="31">
        <f t="shared" ref="H2715:K2717" si="1437">H2716</f>
        <v>177872.6</v>
      </c>
      <c r="I2715" s="31">
        <f t="shared" si="1437"/>
        <v>86417.700000000012</v>
      </c>
      <c r="J2715" s="31">
        <f t="shared" si="1437"/>
        <v>86157.700000000012</v>
      </c>
      <c r="K2715" s="31">
        <f t="shared" si="1437"/>
        <v>85965.901640000011</v>
      </c>
      <c r="L2715" s="31">
        <f t="shared" si="1425"/>
        <v>48.330041636542113</v>
      </c>
      <c r="M2715" s="31">
        <f t="shared" si="1426"/>
        <v>99.477192334440744</v>
      </c>
    </row>
    <row r="2716" spans="1:13">
      <c r="A2716" s="60" t="s">
        <v>30</v>
      </c>
      <c r="B2716" s="29" t="s">
        <v>1099</v>
      </c>
      <c r="C2716" s="29" t="s">
        <v>19</v>
      </c>
      <c r="D2716" s="59" t="s">
        <v>0</v>
      </c>
      <c r="E2716" s="59" t="s">
        <v>0</v>
      </c>
      <c r="F2716" s="59" t="s">
        <v>0</v>
      </c>
      <c r="G2716" s="36">
        <f>G2717</f>
        <v>177872.6</v>
      </c>
      <c r="H2716" s="36">
        <f t="shared" si="1437"/>
        <v>177872.6</v>
      </c>
      <c r="I2716" s="36">
        <f t="shared" si="1437"/>
        <v>86417.700000000012</v>
      </c>
      <c r="J2716" s="36">
        <f t="shared" si="1437"/>
        <v>86157.700000000012</v>
      </c>
      <c r="K2716" s="36">
        <f t="shared" si="1437"/>
        <v>85965.901640000011</v>
      </c>
      <c r="L2716" s="36">
        <f t="shared" si="1425"/>
        <v>48.330041636542113</v>
      </c>
      <c r="M2716" s="36">
        <f t="shared" si="1426"/>
        <v>99.477192334440744</v>
      </c>
    </row>
    <row r="2717" spans="1:13">
      <c r="A2717" s="60" t="s">
        <v>489</v>
      </c>
      <c r="B2717" s="29" t="s">
        <v>1099</v>
      </c>
      <c r="C2717" s="29" t="s">
        <v>19</v>
      </c>
      <c r="D2717" s="29" t="s">
        <v>93</v>
      </c>
      <c r="E2717" s="59" t="s">
        <v>0</v>
      </c>
      <c r="F2717" s="59" t="s">
        <v>0</v>
      </c>
      <c r="G2717" s="36">
        <f>G2718</f>
        <v>177872.6</v>
      </c>
      <c r="H2717" s="36">
        <f t="shared" si="1437"/>
        <v>177872.6</v>
      </c>
      <c r="I2717" s="36">
        <f t="shared" si="1437"/>
        <v>86417.700000000012</v>
      </c>
      <c r="J2717" s="36">
        <f t="shared" si="1437"/>
        <v>86157.700000000012</v>
      </c>
      <c r="K2717" s="36">
        <f t="shared" si="1437"/>
        <v>85965.901640000011</v>
      </c>
      <c r="L2717" s="36">
        <f t="shared" si="1425"/>
        <v>48.330041636542113</v>
      </c>
      <c r="M2717" s="36">
        <f t="shared" si="1426"/>
        <v>99.477192334440744</v>
      </c>
    </row>
    <row r="2718" spans="1:13" ht="63.75">
      <c r="A2718" s="60" t="s">
        <v>186</v>
      </c>
      <c r="B2718" s="29" t="s">
        <v>1099</v>
      </c>
      <c r="C2718" s="29" t="s">
        <v>19</v>
      </c>
      <c r="D2718" s="29" t="s">
        <v>93</v>
      </c>
      <c r="E2718" s="29" t="s">
        <v>187</v>
      </c>
      <c r="F2718" s="59" t="s">
        <v>0</v>
      </c>
      <c r="G2718" s="36">
        <f>G2719+G2723</f>
        <v>177872.6</v>
      </c>
      <c r="H2718" s="36">
        <f t="shared" ref="H2718:K2718" si="1438">H2719+H2723</f>
        <v>177872.6</v>
      </c>
      <c r="I2718" s="36">
        <f t="shared" si="1438"/>
        <v>86417.700000000012</v>
      </c>
      <c r="J2718" s="36">
        <f t="shared" si="1438"/>
        <v>86157.700000000012</v>
      </c>
      <c r="K2718" s="36">
        <f t="shared" si="1438"/>
        <v>85965.901640000011</v>
      </c>
      <c r="L2718" s="36">
        <f t="shared" si="1425"/>
        <v>48.330041636542113</v>
      </c>
      <c r="M2718" s="36">
        <f t="shared" si="1426"/>
        <v>99.477192334440744</v>
      </c>
    </row>
    <row r="2719" spans="1:13" ht="25.5">
      <c r="A2719" s="60" t="s">
        <v>188</v>
      </c>
      <c r="B2719" s="29" t="s">
        <v>1099</v>
      </c>
      <c r="C2719" s="29" t="s">
        <v>19</v>
      </c>
      <c r="D2719" s="29" t="s">
        <v>93</v>
      </c>
      <c r="E2719" s="29" t="s">
        <v>189</v>
      </c>
      <c r="F2719" s="59" t="s">
        <v>0</v>
      </c>
      <c r="G2719" s="36">
        <f>G2720</f>
        <v>4000</v>
      </c>
      <c r="H2719" s="36">
        <f t="shared" ref="H2719:K2721" si="1439">H2720</f>
        <v>4000</v>
      </c>
      <c r="I2719" s="36">
        <f t="shared" si="1439"/>
        <v>1640</v>
      </c>
      <c r="J2719" s="36">
        <f t="shared" si="1439"/>
        <v>1380</v>
      </c>
      <c r="K2719" s="36">
        <f t="shared" si="1439"/>
        <v>1344.7731699999999</v>
      </c>
      <c r="L2719" s="36">
        <f t="shared" si="1425"/>
        <v>33.619329249999993</v>
      </c>
      <c r="M2719" s="36">
        <f t="shared" si="1426"/>
        <v>81.998364024390241</v>
      </c>
    </row>
    <row r="2720" spans="1:13">
      <c r="A2720" s="60" t="s">
        <v>1100</v>
      </c>
      <c r="B2720" s="29" t="s">
        <v>1099</v>
      </c>
      <c r="C2720" s="29" t="s">
        <v>19</v>
      </c>
      <c r="D2720" s="29" t="s">
        <v>93</v>
      </c>
      <c r="E2720" s="29" t="s">
        <v>1101</v>
      </c>
      <c r="F2720" s="59" t="s">
        <v>0</v>
      </c>
      <c r="G2720" s="36">
        <f>G2721</f>
        <v>4000</v>
      </c>
      <c r="H2720" s="36">
        <f t="shared" si="1439"/>
        <v>4000</v>
      </c>
      <c r="I2720" s="36">
        <f t="shared" si="1439"/>
        <v>1640</v>
      </c>
      <c r="J2720" s="36">
        <f t="shared" si="1439"/>
        <v>1380</v>
      </c>
      <c r="K2720" s="36">
        <f t="shared" si="1439"/>
        <v>1344.7731699999999</v>
      </c>
      <c r="L2720" s="36">
        <f t="shared" si="1425"/>
        <v>33.619329249999993</v>
      </c>
      <c r="M2720" s="36">
        <f t="shared" si="1426"/>
        <v>81.998364024390241</v>
      </c>
    </row>
    <row r="2721" spans="1:13" ht="25.5">
      <c r="A2721" s="60" t="s">
        <v>64</v>
      </c>
      <c r="B2721" s="29" t="s">
        <v>1099</v>
      </c>
      <c r="C2721" s="29" t="s">
        <v>19</v>
      </c>
      <c r="D2721" s="29" t="s">
        <v>93</v>
      </c>
      <c r="E2721" s="29" t="s">
        <v>1101</v>
      </c>
      <c r="F2721" s="29" t="s">
        <v>65</v>
      </c>
      <c r="G2721" s="36">
        <f>G2722</f>
        <v>4000</v>
      </c>
      <c r="H2721" s="36">
        <f t="shared" si="1439"/>
        <v>4000</v>
      </c>
      <c r="I2721" s="36">
        <f t="shared" si="1439"/>
        <v>1640</v>
      </c>
      <c r="J2721" s="36">
        <f t="shared" si="1439"/>
        <v>1380</v>
      </c>
      <c r="K2721" s="36">
        <f t="shared" si="1439"/>
        <v>1344.7731699999999</v>
      </c>
      <c r="L2721" s="36">
        <f t="shared" si="1425"/>
        <v>33.619329249999993</v>
      </c>
      <c r="M2721" s="36">
        <f t="shared" si="1426"/>
        <v>81.998364024390241</v>
      </c>
    </row>
    <row r="2722" spans="1:13" ht="25.5">
      <c r="A2722" s="60" t="s">
        <v>66</v>
      </c>
      <c r="B2722" s="29" t="s">
        <v>1099</v>
      </c>
      <c r="C2722" s="29" t="s">
        <v>19</v>
      </c>
      <c r="D2722" s="29" t="s">
        <v>93</v>
      </c>
      <c r="E2722" s="29" t="s">
        <v>1101</v>
      </c>
      <c r="F2722" s="29" t="s">
        <v>67</v>
      </c>
      <c r="G2722" s="36">
        <v>4000</v>
      </c>
      <c r="H2722" s="36">
        <v>4000</v>
      </c>
      <c r="I2722" s="36">
        <v>1640</v>
      </c>
      <c r="J2722" s="36">
        <v>1380</v>
      </c>
      <c r="K2722" s="36">
        <v>1344.7731699999999</v>
      </c>
      <c r="L2722" s="36">
        <f t="shared" si="1425"/>
        <v>33.619329249999993</v>
      </c>
      <c r="M2722" s="36">
        <f t="shared" si="1426"/>
        <v>81.998364024390241</v>
      </c>
    </row>
    <row r="2723" spans="1:13" ht="25.5">
      <c r="A2723" s="60" t="s">
        <v>22</v>
      </c>
      <c r="B2723" s="29" t="s">
        <v>1099</v>
      </c>
      <c r="C2723" s="29" t="s">
        <v>19</v>
      </c>
      <c r="D2723" s="29" t="s">
        <v>93</v>
      </c>
      <c r="E2723" s="29" t="s">
        <v>486</v>
      </c>
      <c r="F2723" s="59" t="s">
        <v>0</v>
      </c>
      <c r="G2723" s="36">
        <f>G2724+G2729</f>
        <v>173872.6</v>
      </c>
      <c r="H2723" s="36">
        <f t="shared" ref="H2723:K2723" si="1440">H2724+H2729</f>
        <v>173872.6</v>
      </c>
      <c r="I2723" s="36">
        <f t="shared" si="1440"/>
        <v>84777.700000000012</v>
      </c>
      <c r="J2723" s="36">
        <f t="shared" si="1440"/>
        <v>84777.700000000012</v>
      </c>
      <c r="K2723" s="36">
        <f t="shared" si="1440"/>
        <v>84621.128470000011</v>
      </c>
      <c r="L2723" s="36">
        <f t="shared" si="1425"/>
        <v>48.668466722186245</v>
      </c>
      <c r="M2723" s="36">
        <f t="shared" si="1426"/>
        <v>99.815315194915641</v>
      </c>
    </row>
    <row r="2724" spans="1:13" ht="25.5">
      <c r="A2724" s="60" t="s">
        <v>58</v>
      </c>
      <c r="B2724" s="29" t="s">
        <v>1099</v>
      </c>
      <c r="C2724" s="29" t="s">
        <v>19</v>
      </c>
      <c r="D2724" s="29" t="s">
        <v>93</v>
      </c>
      <c r="E2724" s="29" t="s">
        <v>586</v>
      </c>
      <c r="F2724" s="59" t="s">
        <v>0</v>
      </c>
      <c r="G2724" s="36">
        <f>G2725+G2727</f>
        <v>6865.4</v>
      </c>
      <c r="H2724" s="36">
        <f t="shared" ref="H2724:K2724" si="1441">H2725+H2727</f>
        <v>6865.4</v>
      </c>
      <c r="I2724" s="36">
        <f t="shared" si="1441"/>
        <v>3420.1</v>
      </c>
      <c r="J2724" s="36">
        <f t="shared" si="1441"/>
        <v>3420.1</v>
      </c>
      <c r="K2724" s="36">
        <f t="shared" si="1441"/>
        <v>3263.5284700000002</v>
      </c>
      <c r="L2724" s="36">
        <f t="shared" si="1425"/>
        <v>47.535882395781755</v>
      </c>
      <c r="M2724" s="36">
        <f t="shared" si="1426"/>
        <v>95.422018946814418</v>
      </c>
    </row>
    <row r="2725" spans="1:13" ht="63.75">
      <c r="A2725" s="60" t="s">
        <v>60</v>
      </c>
      <c r="B2725" s="29" t="s">
        <v>1099</v>
      </c>
      <c r="C2725" s="29" t="s">
        <v>19</v>
      </c>
      <c r="D2725" s="29" t="s">
        <v>93</v>
      </c>
      <c r="E2725" s="29" t="s">
        <v>586</v>
      </c>
      <c r="F2725" s="29" t="s">
        <v>61</v>
      </c>
      <c r="G2725" s="36">
        <f>G2726</f>
        <v>6600.2</v>
      </c>
      <c r="H2725" s="36">
        <f t="shared" ref="H2725:K2725" si="1442">H2726</f>
        <v>6600.2</v>
      </c>
      <c r="I2725" s="36">
        <f t="shared" si="1442"/>
        <v>3290.5</v>
      </c>
      <c r="J2725" s="36">
        <f t="shared" si="1442"/>
        <v>3290.5</v>
      </c>
      <c r="K2725" s="36">
        <f t="shared" si="1442"/>
        <v>3175.5556200000001</v>
      </c>
      <c r="L2725" s="36">
        <f t="shared" si="1425"/>
        <v>48.113021120572107</v>
      </c>
      <c r="M2725" s="36">
        <f t="shared" si="1426"/>
        <v>96.506780732411485</v>
      </c>
    </row>
    <row r="2726" spans="1:13" ht="25.5">
      <c r="A2726" s="60" t="s">
        <v>62</v>
      </c>
      <c r="B2726" s="29" t="s">
        <v>1099</v>
      </c>
      <c r="C2726" s="29" t="s">
        <v>19</v>
      </c>
      <c r="D2726" s="29" t="s">
        <v>93</v>
      </c>
      <c r="E2726" s="29" t="s">
        <v>586</v>
      </c>
      <c r="F2726" s="29" t="s">
        <v>63</v>
      </c>
      <c r="G2726" s="36">
        <v>6600.2</v>
      </c>
      <c r="H2726" s="36">
        <v>6600.2</v>
      </c>
      <c r="I2726" s="36">
        <f>2449.8+129.1+711.6</f>
        <v>3290.5</v>
      </c>
      <c r="J2726" s="36">
        <f>2449.8+129.1+711.6</f>
        <v>3290.5</v>
      </c>
      <c r="K2726" s="36">
        <f>2440.03602+23.9196+711.6</f>
        <v>3175.5556200000001</v>
      </c>
      <c r="L2726" s="36">
        <f t="shared" si="1425"/>
        <v>48.113021120572107</v>
      </c>
      <c r="M2726" s="36">
        <f t="shared" si="1426"/>
        <v>96.506780732411485</v>
      </c>
    </row>
    <row r="2727" spans="1:13" ht="25.5">
      <c r="A2727" s="60" t="s">
        <v>64</v>
      </c>
      <c r="B2727" s="29" t="s">
        <v>1099</v>
      </c>
      <c r="C2727" s="29" t="s">
        <v>19</v>
      </c>
      <c r="D2727" s="29" t="s">
        <v>93</v>
      </c>
      <c r="E2727" s="29" t="s">
        <v>586</v>
      </c>
      <c r="F2727" s="29" t="s">
        <v>65</v>
      </c>
      <c r="G2727" s="36">
        <f>G2728</f>
        <v>265.2</v>
      </c>
      <c r="H2727" s="36">
        <f t="shared" ref="H2727:K2727" si="1443">H2728</f>
        <v>265.2</v>
      </c>
      <c r="I2727" s="36">
        <f t="shared" si="1443"/>
        <v>129.6</v>
      </c>
      <c r="J2727" s="36">
        <f t="shared" si="1443"/>
        <v>129.6</v>
      </c>
      <c r="K2727" s="36">
        <f t="shared" si="1443"/>
        <v>87.972849999999994</v>
      </c>
      <c r="L2727" s="36">
        <f t="shared" si="1425"/>
        <v>33.172266214177974</v>
      </c>
      <c r="M2727" s="36">
        <f t="shared" si="1426"/>
        <v>67.880285493827159</v>
      </c>
    </row>
    <row r="2728" spans="1:13" ht="25.5">
      <c r="A2728" s="60" t="s">
        <v>66</v>
      </c>
      <c r="B2728" s="29" t="s">
        <v>1099</v>
      </c>
      <c r="C2728" s="29" t="s">
        <v>19</v>
      </c>
      <c r="D2728" s="29" t="s">
        <v>93</v>
      </c>
      <c r="E2728" s="29" t="s">
        <v>586</v>
      </c>
      <c r="F2728" s="29" t="s">
        <v>67</v>
      </c>
      <c r="G2728" s="36">
        <v>265.2</v>
      </c>
      <c r="H2728" s="36">
        <v>265.2</v>
      </c>
      <c r="I2728" s="36">
        <v>129.6</v>
      </c>
      <c r="J2728" s="36">
        <v>129.6</v>
      </c>
      <c r="K2728" s="36">
        <v>87.972849999999994</v>
      </c>
      <c r="L2728" s="36">
        <f t="shared" si="1425"/>
        <v>33.172266214177974</v>
      </c>
      <c r="M2728" s="36">
        <f t="shared" si="1426"/>
        <v>67.880285493827159</v>
      </c>
    </row>
    <row r="2729" spans="1:13" ht="25.5">
      <c r="A2729" s="60" t="s">
        <v>76</v>
      </c>
      <c r="B2729" s="29" t="s">
        <v>1099</v>
      </c>
      <c r="C2729" s="29" t="s">
        <v>19</v>
      </c>
      <c r="D2729" s="29" t="s">
        <v>93</v>
      </c>
      <c r="E2729" s="29" t="s">
        <v>587</v>
      </c>
      <c r="F2729" s="59" t="s">
        <v>0</v>
      </c>
      <c r="G2729" s="36">
        <f>G2730</f>
        <v>167007.20000000001</v>
      </c>
      <c r="H2729" s="36">
        <f t="shared" ref="H2729:K2730" si="1444">H2730</f>
        <v>167007.20000000001</v>
      </c>
      <c r="I2729" s="36">
        <f t="shared" si="1444"/>
        <v>81357.600000000006</v>
      </c>
      <c r="J2729" s="36">
        <f t="shared" si="1444"/>
        <v>81357.600000000006</v>
      </c>
      <c r="K2729" s="36">
        <f t="shared" si="1444"/>
        <v>81357.600000000006</v>
      </c>
      <c r="L2729" s="36">
        <f t="shared" si="1425"/>
        <v>48.715025459980168</v>
      </c>
      <c r="M2729" s="36">
        <f t="shared" si="1426"/>
        <v>100</v>
      </c>
    </row>
    <row r="2730" spans="1:13" ht="25.5">
      <c r="A2730" s="60" t="s">
        <v>80</v>
      </c>
      <c r="B2730" s="29" t="s">
        <v>1099</v>
      </c>
      <c r="C2730" s="29" t="s">
        <v>19</v>
      </c>
      <c r="D2730" s="29" t="s">
        <v>93</v>
      </c>
      <c r="E2730" s="29" t="s">
        <v>587</v>
      </c>
      <c r="F2730" s="29" t="s">
        <v>81</v>
      </c>
      <c r="G2730" s="36">
        <f>G2731</f>
        <v>167007.20000000001</v>
      </c>
      <c r="H2730" s="36">
        <f t="shared" si="1444"/>
        <v>167007.20000000001</v>
      </c>
      <c r="I2730" s="36">
        <f t="shared" si="1444"/>
        <v>81357.600000000006</v>
      </c>
      <c r="J2730" s="36">
        <f t="shared" si="1444"/>
        <v>81357.600000000006</v>
      </c>
      <c r="K2730" s="36">
        <f t="shared" si="1444"/>
        <v>81357.600000000006</v>
      </c>
      <c r="L2730" s="36">
        <f t="shared" si="1425"/>
        <v>48.715025459980168</v>
      </c>
      <c r="M2730" s="36">
        <f t="shared" si="1426"/>
        <v>100</v>
      </c>
    </row>
    <row r="2731" spans="1:13">
      <c r="A2731" s="60" t="s">
        <v>271</v>
      </c>
      <c r="B2731" s="29" t="s">
        <v>1099</v>
      </c>
      <c r="C2731" s="29" t="s">
        <v>19</v>
      </c>
      <c r="D2731" s="29" t="s">
        <v>93</v>
      </c>
      <c r="E2731" s="29" t="s">
        <v>587</v>
      </c>
      <c r="F2731" s="29" t="s">
        <v>272</v>
      </c>
      <c r="G2731" s="36">
        <v>167007.20000000001</v>
      </c>
      <c r="H2731" s="36">
        <v>167007.20000000001</v>
      </c>
      <c r="I2731" s="36">
        <v>81357.600000000006</v>
      </c>
      <c r="J2731" s="36">
        <v>81357.600000000006</v>
      </c>
      <c r="K2731" s="36">
        <v>81357.600000000006</v>
      </c>
      <c r="L2731" s="36">
        <f t="shared" si="1425"/>
        <v>48.715025459980168</v>
      </c>
      <c r="M2731" s="36">
        <f t="shared" si="1426"/>
        <v>100</v>
      </c>
    </row>
    <row r="2732" spans="1:13">
      <c r="A2732" s="60"/>
      <c r="B2732" s="29"/>
      <c r="C2732" s="29"/>
      <c r="D2732" s="29"/>
      <c r="E2732" s="29"/>
      <c r="F2732" s="29"/>
      <c r="G2732" s="36"/>
      <c r="H2732" s="36"/>
      <c r="I2732" s="36"/>
      <c r="J2732" s="36"/>
      <c r="K2732" s="36"/>
      <c r="L2732" s="36"/>
      <c r="M2732" s="36"/>
    </row>
    <row r="2733" spans="1:13" ht="25.5">
      <c r="A2733" s="74" t="s">
        <v>1216</v>
      </c>
      <c r="B2733" s="80">
        <v>738</v>
      </c>
      <c r="C2733" s="29"/>
      <c r="D2733" s="29"/>
      <c r="E2733" s="29"/>
      <c r="F2733" s="29"/>
      <c r="G2733" s="36"/>
      <c r="H2733" s="76">
        <f>H2734+H2745</f>
        <v>10738.7</v>
      </c>
      <c r="I2733" s="76">
        <f t="shared" ref="I2733:M2733" si="1445">I2734+I2745</f>
        <v>1921.8</v>
      </c>
      <c r="J2733" s="76">
        <f t="shared" si="1445"/>
        <v>1921.8</v>
      </c>
      <c r="K2733" s="76">
        <f t="shared" si="1445"/>
        <v>1103.0809300000001</v>
      </c>
      <c r="L2733" s="76">
        <f t="shared" si="1445"/>
        <v>16.799068550992963</v>
      </c>
      <c r="M2733" s="76">
        <f t="shared" si="1445"/>
        <v>137.59694458252488</v>
      </c>
    </row>
    <row r="2734" spans="1:13">
      <c r="A2734" s="63" t="s">
        <v>16</v>
      </c>
      <c r="B2734" s="30">
        <v>738</v>
      </c>
      <c r="C2734" s="68" t="s">
        <v>17</v>
      </c>
      <c r="D2734" s="29"/>
      <c r="E2734" s="29"/>
      <c r="F2734" s="29"/>
      <c r="G2734" s="36"/>
      <c r="H2734" s="36">
        <f>H2735</f>
        <v>8538.7000000000007</v>
      </c>
      <c r="I2734" s="36">
        <f t="shared" ref="I2734:K2737" si="1446">I2735</f>
        <v>1781.8</v>
      </c>
      <c r="J2734" s="36">
        <f t="shared" si="1446"/>
        <v>1781.8</v>
      </c>
      <c r="K2734" s="36">
        <f t="shared" si="1446"/>
        <v>988.08092999999997</v>
      </c>
      <c r="L2734" s="36">
        <f t="shared" ref="L2734:L2744" si="1447">K2734/H2734*100</f>
        <v>11.571795823720237</v>
      </c>
      <c r="M2734" s="36">
        <f t="shared" ref="M2734:M2742" si="1448">K2734/I2734*100</f>
        <v>55.454087439667752</v>
      </c>
    </row>
    <row r="2735" spans="1:13">
      <c r="A2735" s="63" t="s">
        <v>386</v>
      </c>
      <c r="B2735" s="30">
        <v>738</v>
      </c>
      <c r="C2735" s="68" t="s">
        <v>17</v>
      </c>
      <c r="D2735" s="29">
        <v>13</v>
      </c>
      <c r="E2735" s="29"/>
      <c r="F2735" s="29"/>
      <c r="G2735" s="36"/>
      <c r="H2735" s="36">
        <f>H2736</f>
        <v>8538.7000000000007</v>
      </c>
      <c r="I2735" s="36">
        <f t="shared" si="1446"/>
        <v>1781.8</v>
      </c>
      <c r="J2735" s="36">
        <f t="shared" si="1446"/>
        <v>1781.8</v>
      </c>
      <c r="K2735" s="36">
        <f t="shared" si="1446"/>
        <v>988.08092999999997</v>
      </c>
      <c r="L2735" s="36">
        <f t="shared" si="1447"/>
        <v>11.571795823720237</v>
      </c>
      <c r="M2735" s="36">
        <f t="shared" si="1448"/>
        <v>55.454087439667752</v>
      </c>
    </row>
    <row r="2736" spans="1:13" ht="53.25" customHeight="1">
      <c r="A2736" s="60" t="s">
        <v>713</v>
      </c>
      <c r="B2736" s="30">
        <v>738</v>
      </c>
      <c r="C2736" s="68" t="s">
        <v>17</v>
      </c>
      <c r="D2736" s="29">
        <v>13</v>
      </c>
      <c r="E2736" s="30" t="s">
        <v>714</v>
      </c>
      <c r="F2736" s="29"/>
      <c r="G2736" s="36"/>
      <c r="H2736" s="36">
        <f>H2737</f>
        <v>8538.7000000000007</v>
      </c>
      <c r="I2736" s="36">
        <f t="shared" si="1446"/>
        <v>1781.8</v>
      </c>
      <c r="J2736" s="36">
        <f t="shared" si="1446"/>
        <v>1781.8</v>
      </c>
      <c r="K2736" s="36">
        <f t="shared" si="1446"/>
        <v>988.08092999999997</v>
      </c>
      <c r="L2736" s="36">
        <f t="shared" si="1447"/>
        <v>11.571795823720237</v>
      </c>
      <c r="M2736" s="36">
        <f t="shared" si="1448"/>
        <v>55.454087439667752</v>
      </c>
    </row>
    <row r="2737" spans="1:13" ht="46.5" customHeight="1">
      <c r="A2737" s="60" t="s">
        <v>715</v>
      </c>
      <c r="B2737" s="30">
        <v>738</v>
      </c>
      <c r="C2737" s="68" t="s">
        <v>17</v>
      </c>
      <c r="D2737" s="29">
        <v>13</v>
      </c>
      <c r="E2737" s="30" t="s">
        <v>716</v>
      </c>
      <c r="F2737" s="29"/>
      <c r="G2737" s="36"/>
      <c r="H2737" s="36">
        <f>H2738</f>
        <v>8538.7000000000007</v>
      </c>
      <c r="I2737" s="36">
        <f t="shared" si="1446"/>
        <v>1781.8</v>
      </c>
      <c r="J2737" s="36">
        <f t="shared" si="1446"/>
        <v>1781.8</v>
      </c>
      <c r="K2737" s="36">
        <f t="shared" si="1446"/>
        <v>988.08092999999997</v>
      </c>
      <c r="L2737" s="36">
        <f t="shared" si="1447"/>
        <v>11.571795823720237</v>
      </c>
      <c r="M2737" s="36">
        <f t="shared" si="1448"/>
        <v>55.454087439667752</v>
      </c>
    </row>
    <row r="2738" spans="1:13" ht="35.25" customHeight="1">
      <c r="A2738" s="60" t="s">
        <v>58</v>
      </c>
      <c r="B2738" s="30">
        <v>738</v>
      </c>
      <c r="C2738" s="68" t="s">
        <v>17</v>
      </c>
      <c r="D2738" s="29">
        <v>13</v>
      </c>
      <c r="E2738" s="30" t="s">
        <v>717</v>
      </c>
      <c r="F2738" s="29"/>
      <c r="G2738" s="36"/>
      <c r="H2738" s="36">
        <f>H2739+H2741+H2743</f>
        <v>8538.7000000000007</v>
      </c>
      <c r="I2738" s="36">
        <f t="shared" ref="I2738:K2738" si="1449">I2739+I2741+I2743</f>
        <v>1781.8</v>
      </c>
      <c r="J2738" s="36">
        <f t="shared" si="1449"/>
        <v>1781.8</v>
      </c>
      <c r="K2738" s="36">
        <f t="shared" si="1449"/>
        <v>988.08092999999997</v>
      </c>
      <c r="L2738" s="36">
        <f t="shared" si="1447"/>
        <v>11.571795823720237</v>
      </c>
      <c r="M2738" s="36">
        <f t="shared" si="1448"/>
        <v>55.454087439667752</v>
      </c>
    </row>
    <row r="2739" spans="1:13" ht="63.75">
      <c r="A2739" s="60" t="s">
        <v>60</v>
      </c>
      <c r="B2739" s="30">
        <v>738</v>
      </c>
      <c r="C2739" s="68" t="s">
        <v>17</v>
      </c>
      <c r="D2739" s="29">
        <v>13</v>
      </c>
      <c r="E2739" s="30" t="s">
        <v>717</v>
      </c>
      <c r="F2739" s="29">
        <v>100</v>
      </c>
      <c r="G2739" s="36"/>
      <c r="H2739" s="36">
        <f>H2740</f>
        <v>6948.2</v>
      </c>
      <c r="I2739" s="36">
        <f t="shared" ref="I2739:K2739" si="1450">I2740</f>
        <v>1271.8</v>
      </c>
      <c r="J2739" s="36">
        <f t="shared" si="1450"/>
        <v>1271.8</v>
      </c>
      <c r="K2739" s="36">
        <f t="shared" si="1450"/>
        <v>599.93202999999994</v>
      </c>
      <c r="L2739" s="36">
        <f t="shared" si="1447"/>
        <v>8.6343517745603169</v>
      </c>
      <c r="M2739" s="36">
        <f t="shared" si="1448"/>
        <v>47.171884730303503</v>
      </c>
    </row>
    <row r="2740" spans="1:13" ht="25.5">
      <c r="A2740" s="60" t="s">
        <v>62</v>
      </c>
      <c r="B2740" s="30">
        <v>738</v>
      </c>
      <c r="C2740" s="68" t="s">
        <v>17</v>
      </c>
      <c r="D2740" s="29">
        <v>13</v>
      </c>
      <c r="E2740" s="30" t="s">
        <v>717</v>
      </c>
      <c r="F2740" s="29">
        <v>120</v>
      </c>
      <c r="G2740" s="36"/>
      <c r="H2740" s="36">
        <v>6948.2</v>
      </c>
      <c r="I2740" s="36">
        <f>1271.8</f>
        <v>1271.8</v>
      </c>
      <c r="J2740" s="36">
        <v>1271.8</v>
      </c>
      <c r="K2740" s="36">
        <f>399.33335+80+120.59868</f>
        <v>599.93202999999994</v>
      </c>
      <c r="L2740" s="36">
        <f t="shared" si="1447"/>
        <v>8.6343517745603169</v>
      </c>
      <c r="M2740" s="36">
        <f t="shared" si="1448"/>
        <v>47.171884730303503</v>
      </c>
    </row>
    <row r="2741" spans="1:13" ht="25.5">
      <c r="A2741" s="60" t="s">
        <v>64</v>
      </c>
      <c r="B2741" s="30">
        <v>738</v>
      </c>
      <c r="C2741" s="68" t="s">
        <v>17</v>
      </c>
      <c r="D2741" s="29">
        <v>13</v>
      </c>
      <c r="E2741" s="30" t="s">
        <v>717</v>
      </c>
      <c r="F2741" s="29">
        <v>200</v>
      </c>
      <c r="G2741" s="36"/>
      <c r="H2741" s="36">
        <f>H2742</f>
        <v>1586</v>
      </c>
      <c r="I2741" s="36">
        <f t="shared" ref="I2741:K2741" si="1451">I2742</f>
        <v>510</v>
      </c>
      <c r="J2741" s="36">
        <f t="shared" si="1451"/>
        <v>510</v>
      </c>
      <c r="K2741" s="36">
        <f t="shared" si="1451"/>
        <v>388.14890000000003</v>
      </c>
      <c r="L2741" s="36">
        <f t="shared" si="1447"/>
        <v>24.473448928121062</v>
      </c>
      <c r="M2741" s="36">
        <f t="shared" si="1448"/>
        <v>76.107627450980402</v>
      </c>
    </row>
    <row r="2742" spans="1:13" ht="25.5">
      <c r="A2742" s="60" t="s">
        <v>66</v>
      </c>
      <c r="B2742" s="30">
        <v>738</v>
      </c>
      <c r="C2742" s="68" t="s">
        <v>17</v>
      </c>
      <c r="D2742" s="29">
        <v>13</v>
      </c>
      <c r="E2742" s="30" t="s">
        <v>717</v>
      </c>
      <c r="F2742" s="29">
        <v>240</v>
      </c>
      <c r="G2742" s="36"/>
      <c r="H2742" s="36">
        <v>1586</v>
      </c>
      <c r="I2742" s="36">
        <v>510</v>
      </c>
      <c r="J2742" s="36">
        <v>510</v>
      </c>
      <c r="K2742" s="36">
        <v>388.14890000000003</v>
      </c>
      <c r="L2742" s="36">
        <f t="shared" si="1447"/>
        <v>24.473448928121062</v>
      </c>
      <c r="M2742" s="36">
        <f t="shared" si="1448"/>
        <v>76.107627450980402</v>
      </c>
    </row>
    <row r="2743" spans="1:13">
      <c r="A2743" s="60" t="s">
        <v>72</v>
      </c>
      <c r="B2743" s="30">
        <v>738</v>
      </c>
      <c r="C2743" s="68" t="s">
        <v>17</v>
      </c>
      <c r="D2743" s="29">
        <v>13</v>
      </c>
      <c r="E2743" s="30" t="s">
        <v>717</v>
      </c>
      <c r="F2743" s="29">
        <v>800</v>
      </c>
      <c r="G2743" s="36"/>
      <c r="H2743" s="36">
        <f>H2744</f>
        <v>4.5</v>
      </c>
      <c r="I2743" s="36">
        <f t="shared" ref="I2743:K2743" si="1452">I2744</f>
        <v>0</v>
      </c>
      <c r="J2743" s="36">
        <f t="shared" si="1452"/>
        <v>0</v>
      </c>
      <c r="K2743" s="36">
        <f t="shared" si="1452"/>
        <v>0</v>
      </c>
      <c r="L2743" s="36">
        <f t="shared" si="1447"/>
        <v>0</v>
      </c>
      <c r="M2743" s="36">
        <v>0</v>
      </c>
    </row>
    <row r="2744" spans="1:13">
      <c r="A2744" s="60" t="s">
        <v>74</v>
      </c>
      <c r="B2744" s="30">
        <v>738</v>
      </c>
      <c r="C2744" s="68" t="s">
        <v>17</v>
      </c>
      <c r="D2744" s="29">
        <v>13</v>
      </c>
      <c r="E2744" s="30" t="s">
        <v>717</v>
      </c>
      <c r="F2744" s="29">
        <v>850</v>
      </c>
      <c r="G2744" s="36"/>
      <c r="H2744" s="36">
        <v>4.5</v>
      </c>
      <c r="I2744" s="36">
        <v>0</v>
      </c>
      <c r="J2744" s="36">
        <v>0</v>
      </c>
      <c r="K2744" s="36">
        <v>0</v>
      </c>
      <c r="L2744" s="36">
        <f t="shared" si="1447"/>
        <v>0</v>
      </c>
      <c r="M2744" s="36">
        <v>0</v>
      </c>
    </row>
    <row r="2745" spans="1:13">
      <c r="A2745" s="63" t="s">
        <v>30</v>
      </c>
      <c r="B2745" s="30">
        <v>738</v>
      </c>
      <c r="C2745" s="68" t="s">
        <v>19</v>
      </c>
      <c r="D2745" s="29"/>
      <c r="E2745" s="30"/>
      <c r="F2745" s="29"/>
      <c r="G2745" s="36"/>
      <c r="H2745" s="36">
        <f>H2746</f>
        <v>2200</v>
      </c>
      <c r="I2745" s="36">
        <f t="shared" ref="I2745:K2748" si="1453">I2746</f>
        <v>140</v>
      </c>
      <c r="J2745" s="36">
        <f t="shared" si="1453"/>
        <v>140</v>
      </c>
      <c r="K2745" s="36">
        <f t="shared" si="1453"/>
        <v>115</v>
      </c>
      <c r="L2745" s="36">
        <f t="shared" ref="L2745:L2753" si="1454">K2745/H2745*100</f>
        <v>5.2272727272727266</v>
      </c>
      <c r="M2745" s="36">
        <f t="shared" ref="M2745:M2751" si="1455">K2745/I2745*100</f>
        <v>82.142857142857139</v>
      </c>
    </row>
    <row r="2746" spans="1:13">
      <c r="A2746" s="63" t="s">
        <v>50</v>
      </c>
      <c r="B2746" s="30">
        <v>738</v>
      </c>
      <c r="C2746" s="68" t="s">
        <v>19</v>
      </c>
      <c r="D2746" s="29">
        <v>12</v>
      </c>
      <c r="E2746" s="30"/>
      <c r="F2746" s="29"/>
      <c r="G2746" s="36"/>
      <c r="H2746" s="36">
        <f>H2747</f>
        <v>2200</v>
      </c>
      <c r="I2746" s="36">
        <f t="shared" si="1453"/>
        <v>140</v>
      </c>
      <c r="J2746" s="36">
        <f t="shared" si="1453"/>
        <v>140</v>
      </c>
      <c r="K2746" s="36">
        <f t="shared" si="1453"/>
        <v>115</v>
      </c>
      <c r="L2746" s="36">
        <f t="shared" si="1454"/>
        <v>5.2272727272727266</v>
      </c>
      <c r="M2746" s="36">
        <f t="shared" si="1455"/>
        <v>82.142857142857139</v>
      </c>
    </row>
    <row r="2747" spans="1:13" ht="51">
      <c r="A2747" s="60" t="s">
        <v>713</v>
      </c>
      <c r="B2747" s="30">
        <v>738</v>
      </c>
      <c r="C2747" s="68" t="s">
        <v>19</v>
      </c>
      <c r="D2747" s="29">
        <v>12</v>
      </c>
      <c r="E2747" s="30" t="s">
        <v>714</v>
      </c>
      <c r="F2747" s="29"/>
      <c r="G2747" s="36"/>
      <c r="H2747" s="36">
        <f>H2748</f>
        <v>2200</v>
      </c>
      <c r="I2747" s="36">
        <f t="shared" si="1453"/>
        <v>140</v>
      </c>
      <c r="J2747" s="36">
        <f t="shared" si="1453"/>
        <v>140</v>
      </c>
      <c r="K2747" s="36">
        <f t="shared" si="1453"/>
        <v>115</v>
      </c>
      <c r="L2747" s="36">
        <f t="shared" si="1454"/>
        <v>5.2272727272727266</v>
      </c>
      <c r="M2747" s="36">
        <f t="shared" si="1455"/>
        <v>82.142857142857139</v>
      </c>
    </row>
    <row r="2748" spans="1:13" ht="33" customHeight="1">
      <c r="A2748" s="60" t="s">
        <v>719</v>
      </c>
      <c r="B2748" s="30">
        <v>738</v>
      </c>
      <c r="C2748" s="68" t="s">
        <v>19</v>
      </c>
      <c r="D2748" s="29">
        <v>12</v>
      </c>
      <c r="E2748" s="30" t="s">
        <v>720</v>
      </c>
      <c r="F2748" s="29"/>
      <c r="G2748" s="36"/>
      <c r="H2748" s="36">
        <f>H2749</f>
        <v>2200</v>
      </c>
      <c r="I2748" s="36">
        <f t="shared" si="1453"/>
        <v>140</v>
      </c>
      <c r="J2748" s="36">
        <f t="shared" si="1453"/>
        <v>140</v>
      </c>
      <c r="K2748" s="36">
        <f t="shared" si="1453"/>
        <v>115</v>
      </c>
      <c r="L2748" s="36">
        <f t="shared" si="1454"/>
        <v>5.2272727272727266</v>
      </c>
      <c r="M2748" s="36">
        <f t="shared" si="1455"/>
        <v>82.142857142857139</v>
      </c>
    </row>
    <row r="2749" spans="1:13" ht="24.75" customHeight="1">
      <c r="A2749" s="60" t="s">
        <v>721</v>
      </c>
      <c r="B2749" s="30">
        <v>738</v>
      </c>
      <c r="C2749" s="68" t="s">
        <v>19</v>
      </c>
      <c r="D2749" s="29">
        <v>12</v>
      </c>
      <c r="E2749" s="30" t="s">
        <v>722</v>
      </c>
      <c r="F2749" s="29"/>
      <c r="G2749" s="36"/>
      <c r="H2749" s="36">
        <f>H2750+H2752</f>
        <v>2200</v>
      </c>
      <c r="I2749" s="36">
        <f t="shared" ref="I2749:K2749" si="1456">I2750+I2752</f>
        <v>140</v>
      </c>
      <c r="J2749" s="36">
        <f t="shared" si="1456"/>
        <v>140</v>
      </c>
      <c r="K2749" s="36">
        <f t="shared" si="1456"/>
        <v>115</v>
      </c>
      <c r="L2749" s="36">
        <f t="shared" si="1454"/>
        <v>5.2272727272727266</v>
      </c>
      <c r="M2749" s="36">
        <f t="shared" si="1455"/>
        <v>82.142857142857139</v>
      </c>
    </row>
    <row r="2750" spans="1:13" ht="63.75">
      <c r="A2750" s="60" t="s">
        <v>60</v>
      </c>
      <c r="B2750" s="30">
        <v>738</v>
      </c>
      <c r="C2750" s="68" t="s">
        <v>19</v>
      </c>
      <c r="D2750" s="29">
        <v>12</v>
      </c>
      <c r="E2750" s="30" t="s">
        <v>722</v>
      </c>
      <c r="F2750" s="29">
        <v>100</v>
      </c>
      <c r="G2750" s="36"/>
      <c r="H2750" s="36">
        <f>H2751</f>
        <v>140</v>
      </c>
      <c r="I2750" s="36">
        <f t="shared" ref="I2750:K2750" si="1457">I2751</f>
        <v>140</v>
      </c>
      <c r="J2750" s="36">
        <f t="shared" si="1457"/>
        <v>140</v>
      </c>
      <c r="K2750" s="36">
        <f t="shared" si="1457"/>
        <v>115</v>
      </c>
      <c r="L2750" s="36">
        <f t="shared" si="1454"/>
        <v>82.142857142857139</v>
      </c>
      <c r="M2750" s="36">
        <f t="shared" si="1455"/>
        <v>82.142857142857139</v>
      </c>
    </row>
    <row r="2751" spans="1:13" ht="25.5">
      <c r="A2751" s="60" t="s">
        <v>62</v>
      </c>
      <c r="B2751" s="30">
        <v>738</v>
      </c>
      <c r="C2751" s="68" t="s">
        <v>19</v>
      </c>
      <c r="D2751" s="29">
        <v>12</v>
      </c>
      <c r="E2751" s="30" t="s">
        <v>722</v>
      </c>
      <c r="F2751" s="29">
        <v>120</v>
      </c>
      <c r="G2751" s="36"/>
      <c r="H2751" s="36">
        <v>140</v>
      </c>
      <c r="I2751" s="36">
        <v>140</v>
      </c>
      <c r="J2751" s="36">
        <v>140</v>
      </c>
      <c r="K2751" s="36">
        <v>115</v>
      </c>
      <c r="L2751" s="36">
        <f t="shared" si="1454"/>
        <v>82.142857142857139</v>
      </c>
      <c r="M2751" s="36">
        <f t="shared" si="1455"/>
        <v>82.142857142857139</v>
      </c>
    </row>
    <row r="2752" spans="1:13" ht="25.5">
      <c r="A2752" s="60" t="s">
        <v>64</v>
      </c>
      <c r="B2752" s="30">
        <v>738</v>
      </c>
      <c r="C2752" s="68" t="s">
        <v>19</v>
      </c>
      <c r="D2752" s="29">
        <v>12</v>
      </c>
      <c r="E2752" s="30" t="s">
        <v>722</v>
      </c>
      <c r="F2752" s="29">
        <v>200</v>
      </c>
      <c r="G2752" s="36"/>
      <c r="H2752" s="36">
        <f>H2753</f>
        <v>2060</v>
      </c>
      <c r="I2752" s="36">
        <f t="shared" ref="I2752:K2752" si="1458">I2753</f>
        <v>0</v>
      </c>
      <c r="J2752" s="36">
        <f t="shared" si="1458"/>
        <v>0</v>
      </c>
      <c r="K2752" s="36">
        <f t="shared" si="1458"/>
        <v>0</v>
      </c>
      <c r="L2752" s="36">
        <f t="shared" si="1454"/>
        <v>0</v>
      </c>
      <c r="M2752" s="36">
        <v>0</v>
      </c>
    </row>
    <row r="2753" spans="1:13" ht="25.5">
      <c r="A2753" s="60" t="s">
        <v>66</v>
      </c>
      <c r="B2753" s="30">
        <v>738</v>
      </c>
      <c r="C2753" s="68" t="s">
        <v>19</v>
      </c>
      <c r="D2753" s="29">
        <v>12</v>
      </c>
      <c r="E2753" s="30" t="s">
        <v>722</v>
      </c>
      <c r="F2753" s="29">
        <v>240</v>
      </c>
      <c r="G2753" s="36"/>
      <c r="H2753" s="36">
        <v>2060</v>
      </c>
      <c r="I2753" s="36">
        <v>0</v>
      </c>
      <c r="J2753" s="36">
        <v>0</v>
      </c>
      <c r="K2753" s="36">
        <v>0</v>
      </c>
      <c r="L2753" s="36">
        <f t="shared" si="1454"/>
        <v>0</v>
      </c>
      <c r="M2753" s="36">
        <v>0</v>
      </c>
    </row>
    <row r="2754" spans="1:13">
      <c r="A2754" s="65" t="s">
        <v>0</v>
      </c>
      <c r="B2754" s="66" t="s">
        <v>0</v>
      </c>
      <c r="C2754" s="66" t="s">
        <v>0</v>
      </c>
      <c r="D2754" s="66" t="s">
        <v>0</v>
      </c>
      <c r="E2754" s="66" t="s">
        <v>0</v>
      </c>
      <c r="F2754" s="66" t="s">
        <v>0</v>
      </c>
      <c r="G2754" s="67" t="s">
        <v>0</v>
      </c>
      <c r="H2754" s="67" t="s">
        <v>0</v>
      </c>
      <c r="I2754" s="67" t="s">
        <v>0</v>
      </c>
      <c r="J2754" s="67" t="s">
        <v>0</v>
      </c>
      <c r="K2754" s="67" t="s">
        <v>0</v>
      </c>
      <c r="L2754" s="67"/>
      <c r="M2754" s="67"/>
    </row>
    <row r="2755" spans="1:13">
      <c r="A2755" s="57" t="s">
        <v>1102</v>
      </c>
      <c r="B2755" s="66" t="s">
        <v>0</v>
      </c>
      <c r="C2755" s="66" t="s">
        <v>0</v>
      </c>
      <c r="D2755" s="66" t="s">
        <v>0</v>
      </c>
      <c r="E2755" s="66" t="s">
        <v>0</v>
      </c>
      <c r="F2755" s="66" t="s">
        <v>0</v>
      </c>
      <c r="G2755" s="31">
        <f>G8+G205+G356+G466+G684+G797+G838+G1108+G1347+G1461+G1578+G1622+G1636+G2043+G2059+G2128+G2206+G2218+G2407+G2420+G2434+G2459+G2472+G2497+G2567+G2580+G2593+G2633+G2649+G2662+G2675+G2688+G2715</f>
        <v>67671392.5</v>
      </c>
      <c r="H2755" s="31">
        <f>H8+H205+H356+H466+H684+H797+H838+H1108+H1347+H1461+H1578+H1622+H1636+H2043+H2059+H2128+H2206+H2218+H2407+H2420+H2434+H2459+H2472+H2497+H2567+H2580+H2593+H2633+H2649+H2662+H2675+H2688+H2715+H2733</f>
        <v>70409311.413684979</v>
      </c>
      <c r="I2755" s="31">
        <f t="shared" ref="I2755:K2755" si="1459">I8+I205+I356+I466+I684+I797+I838+I1108+I1347+I1461+I1578+I1622+I1636+I2043+I2059+I2128+I2206+I2218+I2407+I2420+I2434+I2459+I2472+I2497+I2567+I2580+I2593+I2633+I2649+I2662+I2675+I2688+I2715+I2733</f>
        <v>33969699.638789997</v>
      </c>
      <c r="J2755" s="31">
        <f t="shared" si="1459"/>
        <v>33804940.185119994</v>
      </c>
      <c r="K2755" s="31">
        <f t="shared" si="1459"/>
        <v>33119235.066390008</v>
      </c>
      <c r="L2755" s="31">
        <f t="shared" si="1425"/>
        <v>47.03814651985482</v>
      </c>
      <c r="M2755" s="31">
        <f t="shared" si="1426"/>
        <v>97.496402436750301</v>
      </c>
    </row>
    <row r="2756" spans="1:13">
      <c r="G2756" s="81"/>
      <c r="H2756" s="81"/>
      <c r="I2756" s="81"/>
      <c r="J2756" s="81"/>
      <c r="K2756" s="81"/>
    </row>
    <row r="2757" spans="1:13">
      <c r="G2757" s="81"/>
      <c r="H2757" s="31">
        <v>70409311.400000006</v>
      </c>
      <c r="I2757" s="31">
        <v>33969699.63899</v>
      </c>
      <c r="J2757" s="31">
        <v>33804940.187590003</v>
      </c>
      <c r="K2757" s="31">
        <v>33119235.06693</v>
      </c>
    </row>
  </sheetData>
  <mergeCells count="15">
    <mergeCell ref="F1:G1"/>
    <mergeCell ref="G5:G6"/>
    <mergeCell ref="H5:H6"/>
    <mergeCell ref="A3:M3"/>
    <mergeCell ref="J1:M1"/>
    <mergeCell ref="I5:I6"/>
    <mergeCell ref="J5:J6"/>
    <mergeCell ref="K5:K6"/>
    <mergeCell ref="L5:M5"/>
    <mergeCell ref="A5:A6"/>
    <mergeCell ref="B5:B6"/>
    <mergeCell ref="C5:C6"/>
    <mergeCell ref="D5:D6"/>
    <mergeCell ref="E5:E6"/>
    <mergeCell ref="F5:F6"/>
  </mergeCells>
  <pageMargins left="1.1811023622047245" right="0.59055118110236227" top="0.78740157480314965" bottom="0.98425196850393704" header="0.31496062992125984" footer="0.31496062992125984"/>
  <pageSetup paperSize="9" scale="63" orientation="landscape" r:id="rId1"/>
  <headerFooter>
    <oddFooter>&amp;C&amp;P</oddFooter>
  </headerFooter>
  <ignoredErrors>
    <ignoredError sqref="C824:D82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K2009"/>
  <sheetViews>
    <sheetView view="pageBreakPreview" zoomScale="120" zoomScaleSheetLayoutView="120" workbookViewId="0">
      <selection activeCell="G1762" sqref="G1762"/>
    </sheetView>
  </sheetViews>
  <sheetFormatPr defaultRowHeight="12.75"/>
  <cols>
    <col min="1" max="1" width="66.5" customWidth="1"/>
    <col min="2" max="2" width="14.83203125" bestFit="1" customWidth="1"/>
    <col min="3" max="3" width="5" style="84" customWidth="1"/>
    <col min="4" max="4" width="18.6640625" style="84" customWidth="1"/>
    <col min="5" max="5" width="19.83203125" style="84" customWidth="1"/>
    <col min="6" max="6" width="15.83203125" style="84" customWidth="1"/>
    <col min="7" max="7" width="20.1640625" style="84" customWidth="1"/>
    <col min="8" max="8" width="17.33203125" style="84" customWidth="1"/>
    <col min="9" max="9" width="16.83203125" style="84" customWidth="1"/>
    <col min="10" max="10" width="15.5" style="84" customWidth="1"/>
  </cols>
  <sheetData>
    <row r="1" spans="1:11" ht="30" customHeight="1">
      <c r="E1" s="115" t="s">
        <v>1222</v>
      </c>
      <c r="F1" s="115"/>
      <c r="G1" s="115"/>
      <c r="H1" s="115"/>
      <c r="I1" s="116"/>
      <c r="J1" s="116"/>
    </row>
    <row r="3" spans="1:11" ht="44.25" customHeight="1">
      <c r="A3" s="117" t="s">
        <v>1223</v>
      </c>
      <c r="B3" s="117"/>
      <c r="C3" s="117"/>
      <c r="D3" s="117"/>
      <c r="E3" s="118"/>
      <c r="F3" s="118"/>
      <c r="G3" s="118"/>
      <c r="H3" s="118"/>
      <c r="I3" s="118"/>
      <c r="J3" s="118"/>
    </row>
    <row r="4" spans="1:11" ht="20.25" customHeight="1">
      <c r="A4" s="45"/>
      <c r="B4" s="45"/>
      <c r="C4" s="85"/>
      <c r="D4" s="85"/>
      <c r="E4" s="86"/>
      <c r="F4" s="86"/>
      <c r="G4" s="86"/>
      <c r="H4" s="86"/>
      <c r="I4" s="86"/>
      <c r="J4" s="86"/>
    </row>
    <row r="5" spans="1:11" ht="18" customHeight="1">
      <c r="A5" s="40"/>
      <c r="B5" s="40"/>
      <c r="C5" s="40"/>
      <c r="D5" s="40"/>
      <c r="J5" s="46" t="s">
        <v>1221</v>
      </c>
    </row>
    <row r="6" spans="1:11" ht="33" customHeight="1">
      <c r="A6" s="95" t="s">
        <v>1</v>
      </c>
      <c r="B6" s="95" t="s">
        <v>5</v>
      </c>
      <c r="C6" s="95" t="s">
        <v>6</v>
      </c>
      <c r="D6" s="97" t="s">
        <v>1115</v>
      </c>
      <c r="E6" s="91" t="s">
        <v>1114</v>
      </c>
      <c r="F6" s="91" t="s">
        <v>1113</v>
      </c>
      <c r="G6" s="91" t="s">
        <v>1107</v>
      </c>
      <c r="H6" s="91" t="s">
        <v>1112</v>
      </c>
      <c r="I6" s="93" t="s">
        <v>1110</v>
      </c>
      <c r="J6" s="94"/>
    </row>
    <row r="7" spans="1:11" ht="111.75" customHeight="1">
      <c r="A7" s="96"/>
      <c r="B7" s="96"/>
      <c r="C7" s="96"/>
      <c r="D7" s="98"/>
      <c r="E7" s="92"/>
      <c r="F7" s="92"/>
      <c r="G7" s="92"/>
      <c r="H7" s="92"/>
      <c r="I7" s="88" t="s">
        <v>1108</v>
      </c>
      <c r="J7" s="88" t="s">
        <v>1111</v>
      </c>
    </row>
    <row r="8" spans="1:11">
      <c r="A8" s="2" t="s">
        <v>7</v>
      </c>
      <c r="B8" s="2" t="s">
        <v>8</v>
      </c>
      <c r="C8" s="2" t="s">
        <v>9</v>
      </c>
      <c r="D8" s="2" t="s">
        <v>10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3"/>
    </row>
    <row r="9" spans="1:11" ht="25.5">
      <c r="A9" s="4" t="s">
        <v>1103</v>
      </c>
      <c r="B9" s="1" t="s">
        <v>0</v>
      </c>
      <c r="C9" s="1" t="s">
        <v>0</v>
      </c>
      <c r="D9" s="7">
        <v>61818593.799999997</v>
      </c>
      <c r="E9" s="7">
        <f>E11+E143+E318+E635+E706+E926+E983+E1043+E1079+E1136+E1180+E1264+E1331+E1339+E1400+E1463+E1502+E1581+E1615+E1628+E1701+E1774</f>
        <v>64549064.020375021</v>
      </c>
      <c r="F9" s="7">
        <f>F11+F143+F318+F635+F706+F926+F983+F1043+F1079+F1136+F1180+F1264+F1331+F1339+F1400+F1463+F1502+F1581+F1615+F1628+F1701+F1774</f>
        <v>32860029.046179995</v>
      </c>
      <c r="G9" s="7">
        <f>G11+G143+G318+G635+G706+G926+G983+G1043+G1079+G1136+G1180+G1264+G1331+G1339+G1400+G1463+G1502+G1581+G1615+G1628+G1701+G1774</f>
        <v>32728022.30512999</v>
      </c>
      <c r="H9" s="7">
        <f>H11+H143+H318+H635+H706+H926+H983+H1043+H1079+H1136+H1180+H1264+H1331+H1339+H1400+H1463+H1502+H1581+H1615+H1628+H1701+H1774</f>
        <v>32149297.877460007</v>
      </c>
      <c r="I9" s="7">
        <f>H9/E9*100</f>
        <v>49.805986136858664</v>
      </c>
      <c r="J9" s="7">
        <f>H9/F9*100</f>
        <v>97.837095129401263</v>
      </c>
    </row>
    <row r="10" spans="1:11">
      <c r="A10" s="4" t="s">
        <v>0</v>
      </c>
      <c r="B10" s="17" t="s">
        <v>0</v>
      </c>
      <c r="C10" s="5" t="s">
        <v>0</v>
      </c>
      <c r="D10" s="7" t="s">
        <v>0</v>
      </c>
      <c r="E10" s="7" t="s">
        <v>0</v>
      </c>
      <c r="F10" s="7"/>
      <c r="G10" s="7"/>
      <c r="H10" s="7"/>
      <c r="I10" s="7"/>
      <c r="J10" s="7"/>
    </row>
    <row r="11" spans="1:11" ht="25.5">
      <c r="A11" s="4" t="s">
        <v>136</v>
      </c>
      <c r="B11" s="5" t="s">
        <v>137</v>
      </c>
      <c r="C11" s="5" t="s">
        <v>0</v>
      </c>
      <c r="D11" s="7">
        <v>12149240.4</v>
      </c>
      <c r="E11" s="7">
        <f>E12+E26+E43+E51+E57+E62+E82+E106</f>
        <v>12489271.53792</v>
      </c>
      <c r="F11" s="7">
        <f t="shared" ref="F11:H11" si="0">F12+F26+F43+F51+F57+F62+F82+F106</f>
        <v>6093444.6892200001</v>
      </c>
      <c r="G11" s="7">
        <f t="shared" si="0"/>
        <v>6088290.7332199998</v>
      </c>
      <c r="H11" s="7">
        <f t="shared" si="0"/>
        <v>6052776.1163900001</v>
      </c>
      <c r="I11" s="7">
        <f t="shared" ref="I11:I74" si="1">H11/E11*100</f>
        <v>48.463804298053134</v>
      </c>
      <c r="J11" s="7">
        <f t="shared" ref="J11:J74" si="2">H11/F11*100</f>
        <v>99.332584852998707</v>
      </c>
    </row>
    <row r="12" spans="1:11" ht="38.25">
      <c r="A12" s="4" t="s">
        <v>306</v>
      </c>
      <c r="B12" s="5" t="s">
        <v>307</v>
      </c>
      <c r="C12" s="5" t="s">
        <v>0</v>
      </c>
      <c r="D12" s="7">
        <v>149772.29999999999</v>
      </c>
      <c r="E12" s="7">
        <f>E13+E16+E19+E22</f>
        <v>149772.29999999999</v>
      </c>
      <c r="F12" s="7">
        <f t="shared" ref="F12:H12" si="3">F13+F16+F19+F22</f>
        <v>42032.619189999998</v>
      </c>
      <c r="G12" s="7">
        <f t="shared" si="3"/>
        <v>42032.619189999998</v>
      </c>
      <c r="H12" s="7">
        <f t="shared" si="3"/>
        <v>41581.46269</v>
      </c>
      <c r="I12" s="7">
        <f t="shared" si="1"/>
        <v>27.763119542131626</v>
      </c>
      <c r="J12" s="7">
        <f t="shared" si="2"/>
        <v>98.926651470467178</v>
      </c>
    </row>
    <row r="13" spans="1:11" ht="38.25">
      <c r="A13" s="8" t="s">
        <v>323</v>
      </c>
      <c r="B13" s="1" t="s">
        <v>324</v>
      </c>
      <c r="C13" s="1" t="s">
        <v>0</v>
      </c>
      <c r="D13" s="9">
        <v>81403.5</v>
      </c>
      <c r="E13" s="9">
        <f>E14</f>
        <v>81403.5</v>
      </c>
      <c r="F13" s="9">
        <f t="shared" ref="F13:H14" si="4">F14</f>
        <v>10700</v>
      </c>
      <c r="G13" s="9">
        <f t="shared" si="4"/>
        <v>10700</v>
      </c>
      <c r="H13" s="9">
        <f t="shared" si="4"/>
        <v>10700</v>
      </c>
      <c r="I13" s="9">
        <f t="shared" si="1"/>
        <v>13.144397968146333</v>
      </c>
      <c r="J13" s="9">
        <f t="shared" si="2"/>
        <v>100</v>
      </c>
    </row>
    <row r="14" spans="1:11" ht="25.5">
      <c r="A14" s="8" t="s">
        <v>80</v>
      </c>
      <c r="B14" s="1" t="s">
        <v>324</v>
      </c>
      <c r="C14" s="1" t="s">
        <v>81</v>
      </c>
      <c r="D14" s="9">
        <v>81403.5</v>
      </c>
      <c r="E14" s="9">
        <f>E15</f>
        <v>81403.5</v>
      </c>
      <c r="F14" s="9">
        <f t="shared" si="4"/>
        <v>10700</v>
      </c>
      <c r="G14" s="9">
        <f t="shared" si="4"/>
        <v>10700</v>
      </c>
      <c r="H14" s="9">
        <f t="shared" si="4"/>
        <v>10700</v>
      </c>
      <c r="I14" s="9">
        <f t="shared" si="1"/>
        <v>13.144397968146333</v>
      </c>
      <c r="J14" s="9">
        <f t="shared" si="2"/>
        <v>100</v>
      </c>
    </row>
    <row r="15" spans="1:11">
      <c r="A15" s="8" t="s">
        <v>271</v>
      </c>
      <c r="B15" s="1" t="s">
        <v>324</v>
      </c>
      <c r="C15" s="1" t="s">
        <v>272</v>
      </c>
      <c r="D15" s="9">
        <v>81403.5</v>
      </c>
      <c r="E15" s="9">
        <f>ведомство!H585</f>
        <v>81403.5</v>
      </c>
      <c r="F15" s="9">
        <f>ведомство!I585</f>
        <v>10700</v>
      </c>
      <c r="G15" s="9">
        <f>ведомство!J585</f>
        <v>10700</v>
      </c>
      <c r="H15" s="9">
        <f>ведомство!K585</f>
        <v>10700</v>
      </c>
      <c r="I15" s="9">
        <f t="shared" si="1"/>
        <v>13.144397968146333</v>
      </c>
      <c r="J15" s="9">
        <f t="shared" si="2"/>
        <v>100</v>
      </c>
    </row>
    <row r="16" spans="1:11" ht="25.5">
      <c r="A16" s="8" t="s">
        <v>325</v>
      </c>
      <c r="B16" s="1" t="s">
        <v>326</v>
      </c>
      <c r="C16" s="1" t="s">
        <v>0</v>
      </c>
      <c r="D16" s="9">
        <v>2795.6</v>
      </c>
      <c r="E16" s="9">
        <f>E17</f>
        <v>2795.6</v>
      </c>
      <c r="F16" s="9">
        <f t="shared" ref="F16:H17" si="5">F17</f>
        <v>1124.1191899999999</v>
      </c>
      <c r="G16" s="9">
        <f t="shared" si="5"/>
        <v>1124.1191899999999</v>
      </c>
      <c r="H16" s="9">
        <f t="shared" si="5"/>
        <v>706.01769000000002</v>
      </c>
      <c r="I16" s="9">
        <f t="shared" si="1"/>
        <v>25.254603305193879</v>
      </c>
      <c r="J16" s="9">
        <f t="shared" si="2"/>
        <v>62.806301705426812</v>
      </c>
    </row>
    <row r="17" spans="1:10" ht="25.5">
      <c r="A17" s="8" t="s">
        <v>64</v>
      </c>
      <c r="B17" s="1" t="s">
        <v>326</v>
      </c>
      <c r="C17" s="1" t="s">
        <v>65</v>
      </c>
      <c r="D17" s="9">
        <v>2795.6</v>
      </c>
      <c r="E17" s="9">
        <f>E18</f>
        <v>2795.6</v>
      </c>
      <c r="F17" s="9">
        <f t="shared" si="5"/>
        <v>1124.1191899999999</v>
      </c>
      <c r="G17" s="9">
        <f t="shared" si="5"/>
        <v>1124.1191899999999</v>
      </c>
      <c r="H17" s="9">
        <f t="shared" si="5"/>
        <v>706.01769000000002</v>
      </c>
      <c r="I17" s="9">
        <f t="shared" si="1"/>
        <v>25.254603305193879</v>
      </c>
      <c r="J17" s="9">
        <f t="shared" si="2"/>
        <v>62.806301705426812</v>
      </c>
    </row>
    <row r="18" spans="1:10" ht="25.5">
      <c r="A18" s="8" t="s">
        <v>66</v>
      </c>
      <c r="B18" s="1" t="s">
        <v>326</v>
      </c>
      <c r="C18" s="1" t="s">
        <v>67</v>
      </c>
      <c r="D18" s="9">
        <v>2795.6</v>
      </c>
      <c r="E18" s="9">
        <f>ведомство!H588</f>
        <v>2795.6</v>
      </c>
      <c r="F18" s="9">
        <f>ведомство!I588</f>
        <v>1124.1191899999999</v>
      </c>
      <c r="G18" s="9">
        <f>ведомство!J588</f>
        <v>1124.1191899999999</v>
      </c>
      <c r="H18" s="9">
        <f>ведомство!K588</f>
        <v>706.01769000000002</v>
      </c>
      <c r="I18" s="9">
        <f t="shared" si="1"/>
        <v>25.254603305193879</v>
      </c>
      <c r="J18" s="9">
        <f t="shared" si="2"/>
        <v>62.806301705426812</v>
      </c>
    </row>
    <row r="19" spans="1:10" ht="25.5">
      <c r="A19" s="8" t="s">
        <v>76</v>
      </c>
      <c r="B19" s="1" t="s">
        <v>308</v>
      </c>
      <c r="C19" s="1" t="s">
        <v>0</v>
      </c>
      <c r="D19" s="9">
        <v>64993.2</v>
      </c>
      <c r="E19" s="9">
        <f>E20</f>
        <v>64993.2</v>
      </c>
      <c r="F19" s="9">
        <f t="shared" ref="F19:H20" si="6">F20</f>
        <v>29628.5</v>
      </c>
      <c r="G19" s="9">
        <f t="shared" si="6"/>
        <v>29628.5</v>
      </c>
      <c r="H19" s="9">
        <f t="shared" si="6"/>
        <v>29628.5</v>
      </c>
      <c r="I19" s="9">
        <f t="shared" si="1"/>
        <v>45.587076801880819</v>
      </c>
      <c r="J19" s="9">
        <f t="shared" si="2"/>
        <v>100</v>
      </c>
    </row>
    <row r="20" spans="1:10" ht="25.5">
      <c r="A20" s="8" t="s">
        <v>80</v>
      </c>
      <c r="B20" s="1" t="s">
        <v>308</v>
      </c>
      <c r="C20" s="1" t="s">
        <v>81</v>
      </c>
      <c r="D20" s="9">
        <v>64993.2</v>
      </c>
      <c r="E20" s="9">
        <f>E21</f>
        <v>64993.2</v>
      </c>
      <c r="F20" s="9">
        <f t="shared" si="6"/>
        <v>29628.5</v>
      </c>
      <c r="G20" s="9">
        <f t="shared" si="6"/>
        <v>29628.5</v>
      </c>
      <c r="H20" s="9">
        <f t="shared" si="6"/>
        <v>29628.5</v>
      </c>
      <c r="I20" s="9">
        <f t="shared" si="1"/>
        <v>45.587076801880819</v>
      </c>
      <c r="J20" s="9">
        <f t="shared" si="2"/>
        <v>100</v>
      </c>
    </row>
    <row r="21" spans="1:10">
      <c r="A21" s="8" t="s">
        <v>271</v>
      </c>
      <c r="B21" s="1" t="s">
        <v>308</v>
      </c>
      <c r="C21" s="1" t="s">
        <v>272</v>
      </c>
      <c r="D21" s="9">
        <v>64993.2</v>
      </c>
      <c r="E21" s="9">
        <f>ведомство!H529</f>
        <v>64993.2</v>
      </c>
      <c r="F21" s="9">
        <f>ведомство!I529</f>
        <v>29628.5</v>
      </c>
      <c r="G21" s="9">
        <f>ведомство!J529</f>
        <v>29628.5</v>
      </c>
      <c r="H21" s="9">
        <f>ведомство!K529</f>
        <v>29628.5</v>
      </c>
      <c r="I21" s="9">
        <f t="shared" si="1"/>
        <v>45.587076801880819</v>
      </c>
      <c r="J21" s="9">
        <f t="shared" si="2"/>
        <v>100</v>
      </c>
    </row>
    <row r="22" spans="1:10">
      <c r="A22" s="8" t="s">
        <v>303</v>
      </c>
      <c r="B22" s="1" t="s">
        <v>327</v>
      </c>
      <c r="C22" s="1" t="s">
        <v>0</v>
      </c>
      <c r="D22" s="9">
        <v>580</v>
      </c>
      <c r="E22" s="9">
        <f>E23</f>
        <v>580</v>
      </c>
      <c r="F22" s="9">
        <f t="shared" ref="F22:H23" si="7">F23</f>
        <v>580</v>
      </c>
      <c r="G22" s="9">
        <f t="shared" si="7"/>
        <v>580</v>
      </c>
      <c r="H22" s="9">
        <f t="shared" si="7"/>
        <v>546.94500000000005</v>
      </c>
      <c r="I22" s="9">
        <f t="shared" si="1"/>
        <v>94.300862068965529</v>
      </c>
      <c r="J22" s="9">
        <f t="shared" si="2"/>
        <v>94.300862068965529</v>
      </c>
    </row>
    <row r="23" spans="1:10" ht="25.5">
      <c r="A23" s="8" t="s">
        <v>64</v>
      </c>
      <c r="B23" s="1" t="s">
        <v>327</v>
      </c>
      <c r="C23" s="1" t="s">
        <v>65</v>
      </c>
      <c r="D23" s="9">
        <v>580</v>
      </c>
      <c r="E23" s="9">
        <f>E24</f>
        <v>580</v>
      </c>
      <c r="F23" s="9">
        <f t="shared" si="7"/>
        <v>580</v>
      </c>
      <c r="G23" s="9">
        <f t="shared" si="7"/>
        <v>580</v>
      </c>
      <c r="H23" s="9">
        <f t="shared" si="7"/>
        <v>546.94500000000005</v>
      </c>
      <c r="I23" s="9">
        <f t="shared" si="1"/>
        <v>94.300862068965529</v>
      </c>
      <c r="J23" s="9">
        <f t="shared" si="2"/>
        <v>94.300862068965529</v>
      </c>
    </row>
    <row r="24" spans="1:10" ht="25.5">
      <c r="A24" s="8" t="s">
        <v>66</v>
      </c>
      <c r="B24" s="1" t="s">
        <v>327</v>
      </c>
      <c r="C24" s="1" t="s">
        <v>67</v>
      </c>
      <c r="D24" s="9">
        <v>580</v>
      </c>
      <c r="E24" s="9">
        <f>ведомство!H591</f>
        <v>580</v>
      </c>
      <c r="F24" s="9">
        <f>ведомство!I591</f>
        <v>580</v>
      </c>
      <c r="G24" s="9">
        <f>ведомство!J591</f>
        <v>580</v>
      </c>
      <c r="H24" s="9">
        <f>ведомство!K591</f>
        <v>546.94500000000005</v>
      </c>
      <c r="I24" s="9">
        <f t="shared" si="1"/>
        <v>94.300862068965529</v>
      </c>
      <c r="J24" s="9">
        <f t="shared" si="2"/>
        <v>94.300862068965529</v>
      </c>
    </row>
    <row r="25" spans="1:10">
      <c r="A25" s="4" t="s">
        <v>0</v>
      </c>
      <c r="B25" s="17" t="s">
        <v>0</v>
      </c>
      <c r="C25" s="5" t="s">
        <v>0</v>
      </c>
      <c r="D25" s="7" t="s">
        <v>0</v>
      </c>
      <c r="E25" s="7" t="s">
        <v>0</v>
      </c>
      <c r="F25" s="7"/>
      <c r="G25" s="7"/>
      <c r="H25" s="7"/>
      <c r="I25" s="7"/>
      <c r="J25" s="7"/>
    </row>
    <row r="26" spans="1:10" ht="63.75">
      <c r="A26" s="4" t="s">
        <v>289</v>
      </c>
      <c r="B26" s="5" t="s">
        <v>290</v>
      </c>
      <c r="C26" s="5" t="s">
        <v>0</v>
      </c>
      <c r="D26" s="7">
        <v>2297068.7999999998</v>
      </c>
      <c r="E26" s="7">
        <f>E27+E30+E34+E39</f>
        <v>2297068.7999999998</v>
      </c>
      <c r="F26" s="7">
        <f t="shared" ref="F26:H26" si="8">F27+F30+F34+F39</f>
        <v>1019569.69086</v>
      </c>
      <c r="G26" s="7">
        <f t="shared" si="8"/>
        <v>1019569.69086</v>
      </c>
      <c r="H26" s="7">
        <f t="shared" si="8"/>
        <v>1019569.69086</v>
      </c>
      <c r="I26" s="7">
        <f t="shared" si="1"/>
        <v>44.385683653010311</v>
      </c>
      <c r="J26" s="7">
        <f t="shared" si="2"/>
        <v>100</v>
      </c>
    </row>
    <row r="27" spans="1:10" ht="25.5">
      <c r="A27" s="8" t="s">
        <v>291</v>
      </c>
      <c r="B27" s="1" t="s">
        <v>292</v>
      </c>
      <c r="C27" s="1" t="s">
        <v>0</v>
      </c>
      <c r="D27" s="9">
        <v>7224.7</v>
      </c>
      <c r="E27" s="9">
        <f>E28</f>
        <v>7224.7</v>
      </c>
      <c r="F27" s="9">
        <f t="shared" ref="F27:H28" si="9">F28</f>
        <v>0</v>
      </c>
      <c r="G27" s="9">
        <f t="shared" si="9"/>
        <v>0</v>
      </c>
      <c r="H27" s="9">
        <f t="shared" si="9"/>
        <v>0</v>
      </c>
      <c r="I27" s="9">
        <f t="shared" si="1"/>
        <v>0</v>
      </c>
      <c r="J27" s="9">
        <v>0</v>
      </c>
    </row>
    <row r="28" spans="1:10" ht="25.5">
      <c r="A28" s="8" t="s">
        <v>80</v>
      </c>
      <c r="B28" s="1" t="s">
        <v>292</v>
      </c>
      <c r="C28" s="1" t="s">
        <v>81</v>
      </c>
      <c r="D28" s="9">
        <v>7224.7</v>
      </c>
      <c r="E28" s="9">
        <f>E29</f>
        <v>7224.7</v>
      </c>
      <c r="F28" s="9">
        <f t="shared" si="9"/>
        <v>0</v>
      </c>
      <c r="G28" s="9">
        <f t="shared" si="9"/>
        <v>0</v>
      </c>
      <c r="H28" s="9">
        <f t="shared" si="9"/>
        <v>0</v>
      </c>
      <c r="I28" s="9">
        <f t="shared" si="1"/>
        <v>0</v>
      </c>
      <c r="J28" s="9">
        <v>0</v>
      </c>
    </row>
    <row r="29" spans="1:10">
      <c r="A29" s="8" t="s">
        <v>271</v>
      </c>
      <c r="B29" s="1" t="s">
        <v>292</v>
      </c>
      <c r="C29" s="1" t="s">
        <v>272</v>
      </c>
      <c r="D29" s="9">
        <v>7224.7</v>
      </c>
      <c r="E29" s="9">
        <f>ведомство!H495</f>
        <v>7224.7</v>
      </c>
      <c r="F29" s="9">
        <f>ведомство!I495</f>
        <v>0</v>
      </c>
      <c r="G29" s="9">
        <f>ведомство!J495</f>
        <v>0</v>
      </c>
      <c r="H29" s="9">
        <f>ведомство!K495</f>
        <v>0</v>
      </c>
      <c r="I29" s="9">
        <f t="shared" si="1"/>
        <v>0</v>
      </c>
      <c r="J29" s="9">
        <v>0</v>
      </c>
    </row>
    <row r="30" spans="1:10" ht="25.5">
      <c r="A30" s="8" t="s">
        <v>76</v>
      </c>
      <c r="B30" s="1" t="s">
        <v>293</v>
      </c>
      <c r="C30" s="1" t="s">
        <v>0</v>
      </c>
      <c r="D30" s="9">
        <v>2115578.5</v>
      </c>
      <c r="E30" s="9">
        <f>E31</f>
        <v>2115578.51614</v>
      </c>
      <c r="F30" s="9">
        <f t="shared" ref="F30:H30" si="10">F31</f>
        <v>936889.10699999996</v>
      </c>
      <c r="G30" s="9">
        <f t="shared" si="10"/>
        <v>936889.10699999996</v>
      </c>
      <c r="H30" s="9">
        <f t="shared" si="10"/>
        <v>936889.10699999996</v>
      </c>
      <c r="I30" s="9">
        <f t="shared" si="1"/>
        <v>44.285243958206308</v>
      </c>
      <c r="J30" s="9">
        <f t="shared" si="2"/>
        <v>100</v>
      </c>
    </row>
    <row r="31" spans="1:10" ht="25.5">
      <c r="A31" s="8" t="s">
        <v>80</v>
      </c>
      <c r="B31" s="1" t="s">
        <v>293</v>
      </c>
      <c r="C31" s="1" t="s">
        <v>81</v>
      </c>
      <c r="D31" s="9">
        <v>2115578.5</v>
      </c>
      <c r="E31" s="9">
        <f>E32+E33</f>
        <v>2115578.51614</v>
      </c>
      <c r="F31" s="9">
        <f t="shared" ref="F31:H31" si="11">F32+F33</f>
        <v>936889.10699999996</v>
      </c>
      <c r="G31" s="9">
        <f t="shared" si="11"/>
        <v>936889.10699999996</v>
      </c>
      <c r="H31" s="9">
        <f t="shared" si="11"/>
        <v>936889.10699999996</v>
      </c>
      <c r="I31" s="9">
        <f t="shared" si="1"/>
        <v>44.285243958206308</v>
      </c>
      <c r="J31" s="9">
        <f t="shared" si="2"/>
        <v>100</v>
      </c>
    </row>
    <row r="32" spans="1:10">
      <c r="A32" s="8" t="s">
        <v>271</v>
      </c>
      <c r="B32" s="1" t="s">
        <v>293</v>
      </c>
      <c r="C32" s="1" t="s">
        <v>272</v>
      </c>
      <c r="D32" s="9">
        <v>2083376.4</v>
      </c>
      <c r="E32" s="9">
        <f>ведомство!H498+ведомство!H533+ведомство!H563+ведомство!H595+ведомство!H579</f>
        <v>2083376.4161400001</v>
      </c>
      <c r="F32" s="9">
        <f>ведомство!I498+ведомство!I533+ведомство!I563+ведомство!I595+ведомство!I579</f>
        <v>920788.10699999996</v>
      </c>
      <c r="G32" s="9">
        <f>ведомство!J498+ведомство!J533+ведомство!J563+ведомство!J595+ведомство!J579</f>
        <v>920788.10699999996</v>
      </c>
      <c r="H32" s="9">
        <f>ведомство!K498+ведомство!K533+ведомство!K563+ведомство!K595+ведомство!K579</f>
        <v>920788.10699999996</v>
      </c>
      <c r="I32" s="9">
        <f t="shared" si="1"/>
        <v>44.19691515496757</v>
      </c>
      <c r="J32" s="9">
        <f t="shared" si="2"/>
        <v>100</v>
      </c>
    </row>
    <row r="33" spans="1:10">
      <c r="A33" s="8" t="s">
        <v>82</v>
      </c>
      <c r="B33" s="1" t="s">
        <v>293</v>
      </c>
      <c r="C33" s="1" t="s">
        <v>83</v>
      </c>
      <c r="D33" s="9">
        <v>32202.1</v>
      </c>
      <c r="E33" s="9">
        <f>ведомство!H499</f>
        <v>32202.1</v>
      </c>
      <c r="F33" s="9">
        <f>ведомство!I499</f>
        <v>16101</v>
      </c>
      <c r="G33" s="9">
        <f>ведомство!J499</f>
        <v>16101</v>
      </c>
      <c r="H33" s="9">
        <f>ведомство!K499</f>
        <v>16101</v>
      </c>
      <c r="I33" s="9">
        <f t="shared" si="1"/>
        <v>49.99984473062316</v>
      </c>
      <c r="J33" s="9">
        <f t="shared" si="2"/>
        <v>100</v>
      </c>
    </row>
    <row r="34" spans="1:10">
      <c r="A34" s="8" t="s">
        <v>303</v>
      </c>
      <c r="B34" s="1" t="s">
        <v>316</v>
      </c>
      <c r="C34" s="1" t="s">
        <v>0</v>
      </c>
      <c r="D34" s="9">
        <v>1357.3</v>
      </c>
      <c r="E34" s="9">
        <f>E35+E37</f>
        <v>1357.28386</v>
      </c>
      <c r="F34" s="9">
        <f t="shared" ref="F34:H34" si="12">F35+F37</f>
        <v>478.48385999999999</v>
      </c>
      <c r="G34" s="9">
        <f t="shared" si="12"/>
        <v>478.48385999999999</v>
      </c>
      <c r="H34" s="9">
        <f t="shared" si="12"/>
        <v>478.48385999999999</v>
      </c>
      <c r="I34" s="9">
        <f t="shared" si="1"/>
        <v>35.25304279386333</v>
      </c>
      <c r="J34" s="9">
        <f t="shared" si="2"/>
        <v>100</v>
      </c>
    </row>
    <row r="35" spans="1:10" ht="25.5">
      <c r="A35" s="8" t="s">
        <v>64</v>
      </c>
      <c r="B35" s="1" t="s">
        <v>316</v>
      </c>
      <c r="C35" s="1" t="s">
        <v>65</v>
      </c>
      <c r="D35" s="9">
        <v>478.5</v>
      </c>
      <c r="E35" s="9">
        <f>E36</f>
        <v>478.48385999999999</v>
      </c>
      <c r="F35" s="9">
        <f t="shared" ref="F35:H35" si="13">F36</f>
        <v>478.48385999999999</v>
      </c>
      <c r="G35" s="9">
        <f t="shared" si="13"/>
        <v>478.48385999999999</v>
      </c>
      <c r="H35" s="9">
        <f t="shared" si="13"/>
        <v>478.48385999999999</v>
      </c>
      <c r="I35" s="9">
        <f t="shared" si="1"/>
        <v>100</v>
      </c>
      <c r="J35" s="9">
        <f t="shared" si="2"/>
        <v>100</v>
      </c>
    </row>
    <row r="36" spans="1:10" ht="25.5">
      <c r="A36" s="8" t="s">
        <v>66</v>
      </c>
      <c r="B36" s="1" t="s">
        <v>316</v>
      </c>
      <c r="C36" s="1" t="s">
        <v>67</v>
      </c>
      <c r="D36" s="9">
        <v>478.5</v>
      </c>
      <c r="E36" s="9">
        <f>ведомство!H598</f>
        <v>478.48385999999999</v>
      </c>
      <c r="F36" s="9">
        <f>ведомство!I598</f>
        <v>478.48385999999999</v>
      </c>
      <c r="G36" s="9">
        <f>ведомство!J598</f>
        <v>478.48385999999999</v>
      </c>
      <c r="H36" s="9">
        <f>ведомство!K598</f>
        <v>478.48385999999999</v>
      </c>
      <c r="I36" s="9">
        <f t="shared" si="1"/>
        <v>100</v>
      </c>
      <c r="J36" s="9">
        <f t="shared" si="2"/>
        <v>100</v>
      </c>
    </row>
    <row r="37" spans="1:10">
      <c r="A37" s="8" t="s">
        <v>72</v>
      </c>
      <c r="B37" s="1" t="s">
        <v>316</v>
      </c>
      <c r="C37" s="1" t="s">
        <v>73</v>
      </c>
      <c r="D37" s="9">
        <v>878.8</v>
      </c>
      <c r="E37" s="9">
        <f>E38</f>
        <v>878.8</v>
      </c>
      <c r="F37" s="9">
        <f t="shared" ref="F37:H37" si="14">F38</f>
        <v>0</v>
      </c>
      <c r="G37" s="9">
        <f t="shared" si="14"/>
        <v>0</v>
      </c>
      <c r="H37" s="9">
        <f t="shared" si="14"/>
        <v>0</v>
      </c>
      <c r="I37" s="9">
        <f t="shared" si="1"/>
        <v>0</v>
      </c>
      <c r="J37" s="9">
        <v>0</v>
      </c>
    </row>
    <row r="38" spans="1:10" ht="38.25">
      <c r="A38" s="8" t="s">
        <v>218</v>
      </c>
      <c r="B38" s="1" t="s">
        <v>316</v>
      </c>
      <c r="C38" s="1" t="s">
        <v>219</v>
      </c>
      <c r="D38" s="9">
        <v>878.8</v>
      </c>
      <c r="E38" s="9">
        <f>ведомство!H566</f>
        <v>878.8</v>
      </c>
      <c r="F38" s="9">
        <f>ведомство!I566</f>
        <v>0</v>
      </c>
      <c r="G38" s="9">
        <f>ведомство!J566</f>
        <v>0</v>
      </c>
      <c r="H38" s="9">
        <f>ведомство!K566</f>
        <v>0</v>
      </c>
      <c r="I38" s="9">
        <f t="shared" si="1"/>
        <v>0</v>
      </c>
      <c r="J38" s="9">
        <v>0</v>
      </c>
    </row>
    <row r="39" spans="1:10" ht="51">
      <c r="A39" s="8" t="s">
        <v>294</v>
      </c>
      <c r="B39" s="1" t="s">
        <v>295</v>
      </c>
      <c r="C39" s="1" t="s">
        <v>0</v>
      </c>
      <c r="D39" s="9">
        <v>172908.3</v>
      </c>
      <c r="E39" s="9">
        <f>E40</f>
        <v>172908.3</v>
      </c>
      <c r="F39" s="9">
        <f t="shared" ref="F39:H40" si="15">F40</f>
        <v>82202.100000000006</v>
      </c>
      <c r="G39" s="9">
        <f t="shared" si="15"/>
        <v>82202.100000000006</v>
      </c>
      <c r="H39" s="9">
        <f t="shared" si="15"/>
        <v>82202.100000000006</v>
      </c>
      <c r="I39" s="9">
        <f t="shared" si="1"/>
        <v>47.540864145908564</v>
      </c>
      <c r="J39" s="9">
        <f t="shared" si="2"/>
        <v>100</v>
      </c>
    </row>
    <row r="40" spans="1:10" ht="25.5">
      <c r="A40" s="8" t="s">
        <v>80</v>
      </c>
      <c r="B40" s="1" t="s">
        <v>295</v>
      </c>
      <c r="C40" s="1" t="s">
        <v>81</v>
      </c>
      <c r="D40" s="9">
        <v>172908.3</v>
      </c>
      <c r="E40" s="9">
        <f>E41</f>
        <v>172908.3</v>
      </c>
      <c r="F40" s="9">
        <f t="shared" si="15"/>
        <v>82202.100000000006</v>
      </c>
      <c r="G40" s="9">
        <f t="shared" si="15"/>
        <v>82202.100000000006</v>
      </c>
      <c r="H40" s="9">
        <f t="shared" si="15"/>
        <v>82202.100000000006</v>
      </c>
      <c r="I40" s="9">
        <f t="shared" si="1"/>
        <v>47.540864145908564</v>
      </c>
      <c r="J40" s="9">
        <f t="shared" si="2"/>
        <v>100</v>
      </c>
    </row>
    <row r="41" spans="1:10">
      <c r="A41" s="8" t="s">
        <v>271</v>
      </c>
      <c r="B41" s="1" t="s">
        <v>295</v>
      </c>
      <c r="C41" s="1" t="s">
        <v>272</v>
      </c>
      <c r="D41" s="9">
        <v>172908.3</v>
      </c>
      <c r="E41" s="9">
        <f>ведомство!H502</f>
        <v>172908.3</v>
      </c>
      <c r="F41" s="9">
        <f>ведомство!I502</f>
        <v>82202.100000000006</v>
      </c>
      <c r="G41" s="9">
        <f>ведомство!J502</f>
        <v>82202.100000000006</v>
      </c>
      <c r="H41" s="9">
        <f>ведомство!K502</f>
        <v>82202.100000000006</v>
      </c>
      <c r="I41" s="9">
        <f t="shared" si="1"/>
        <v>47.540864145908564</v>
      </c>
      <c r="J41" s="9">
        <f t="shared" si="2"/>
        <v>100</v>
      </c>
    </row>
    <row r="42" spans="1:10">
      <c r="A42" s="4" t="s">
        <v>0</v>
      </c>
      <c r="B42" s="17" t="s">
        <v>0</v>
      </c>
      <c r="C42" s="5" t="s">
        <v>0</v>
      </c>
      <c r="D42" s="7" t="s">
        <v>0</v>
      </c>
      <c r="E42" s="7" t="s">
        <v>0</v>
      </c>
      <c r="F42" s="7"/>
      <c r="G42" s="7"/>
      <c r="H42" s="7"/>
      <c r="I42" s="7"/>
      <c r="J42" s="7"/>
    </row>
    <row r="43" spans="1:10">
      <c r="A43" s="4" t="s">
        <v>328</v>
      </c>
      <c r="B43" s="5" t="s">
        <v>329</v>
      </c>
      <c r="C43" s="5" t="s">
        <v>0</v>
      </c>
      <c r="D43" s="7">
        <v>307214.5</v>
      </c>
      <c r="E43" s="7">
        <f>E44+E47</f>
        <v>307214.5</v>
      </c>
      <c r="F43" s="7">
        <f t="shared" ref="F43:H43" si="16">F44+F47</f>
        <v>160383.79999999999</v>
      </c>
      <c r="G43" s="7">
        <f t="shared" si="16"/>
        <v>155243.79999999999</v>
      </c>
      <c r="H43" s="7">
        <f t="shared" si="16"/>
        <v>155242.86249999999</v>
      </c>
      <c r="I43" s="7">
        <f t="shared" si="1"/>
        <v>50.532400814414679</v>
      </c>
      <c r="J43" s="7">
        <f t="shared" si="2"/>
        <v>96.794603008533272</v>
      </c>
    </row>
    <row r="44" spans="1:10" ht="25.5">
      <c r="A44" s="8" t="s">
        <v>76</v>
      </c>
      <c r="B44" s="1" t="s">
        <v>330</v>
      </c>
      <c r="C44" s="1" t="s">
        <v>0</v>
      </c>
      <c r="D44" s="9">
        <v>234214.5</v>
      </c>
      <c r="E44" s="9">
        <f>E45</f>
        <v>234214.5</v>
      </c>
      <c r="F44" s="9">
        <f t="shared" ref="F44:H45" si="17">F45</f>
        <v>113883.8</v>
      </c>
      <c r="G44" s="9">
        <f t="shared" si="17"/>
        <v>113883.8</v>
      </c>
      <c r="H44" s="9">
        <f t="shared" si="17"/>
        <v>113883.8</v>
      </c>
      <c r="I44" s="9">
        <f t="shared" si="1"/>
        <v>48.623718856005929</v>
      </c>
      <c r="J44" s="9">
        <f t="shared" si="2"/>
        <v>100</v>
      </c>
    </row>
    <row r="45" spans="1:10" ht="25.5">
      <c r="A45" s="8" t="s">
        <v>80</v>
      </c>
      <c r="B45" s="1" t="s">
        <v>330</v>
      </c>
      <c r="C45" s="1" t="s">
        <v>81</v>
      </c>
      <c r="D45" s="9">
        <v>234214.5</v>
      </c>
      <c r="E45" s="9">
        <f>E46</f>
        <v>234214.5</v>
      </c>
      <c r="F45" s="9">
        <f t="shared" si="17"/>
        <v>113883.8</v>
      </c>
      <c r="G45" s="9">
        <f t="shared" si="17"/>
        <v>113883.8</v>
      </c>
      <c r="H45" s="9">
        <f t="shared" si="17"/>
        <v>113883.8</v>
      </c>
      <c r="I45" s="9">
        <f t="shared" si="1"/>
        <v>48.623718856005929</v>
      </c>
      <c r="J45" s="9">
        <f t="shared" si="2"/>
        <v>100</v>
      </c>
    </row>
    <row r="46" spans="1:10">
      <c r="A46" s="8" t="s">
        <v>271</v>
      </c>
      <c r="B46" s="1" t="s">
        <v>330</v>
      </c>
      <c r="C46" s="1" t="s">
        <v>272</v>
      </c>
      <c r="D46" s="9">
        <v>234214.5</v>
      </c>
      <c r="E46" s="9">
        <f>ведомство!H602</f>
        <v>234214.5</v>
      </c>
      <c r="F46" s="9">
        <f>ведомство!I602</f>
        <v>113883.8</v>
      </c>
      <c r="G46" s="9">
        <f>ведомство!J602</f>
        <v>113883.8</v>
      </c>
      <c r="H46" s="9">
        <f>ведомство!K602</f>
        <v>113883.8</v>
      </c>
      <c r="I46" s="9">
        <f t="shared" si="1"/>
        <v>48.623718856005929</v>
      </c>
      <c r="J46" s="9">
        <f t="shared" si="2"/>
        <v>100</v>
      </c>
    </row>
    <row r="47" spans="1:10" ht="25.5">
      <c r="A47" s="8" t="s">
        <v>331</v>
      </c>
      <c r="B47" s="1" t="s">
        <v>332</v>
      </c>
      <c r="C47" s="1" t="s">
        <v>0</v>
      </c>
      <c r="D47" s="9">
        <v>73000</v>
      </c>
      <c r="E47" s="23">
        <f>E48</f>
        <v>73000</v>
      </c>
      <c r="F47" s="23">
        <f t="shared" ref="F47:H48" si="18">F48</f>
        <v>46500</v>
      </c>
      <c r="G47" s="23">
        <f t="shared" si="18"/>
        <v>41360</v>
      </c>
      <c r="H47" s="23">
        <f t="shared" si="18"/>
        <v>41359.0625</v>
      </c>
      <c r="I47" s="9">
        <f t="shared" si="1"/>
        <v>56.65625</v>
      </c>
      <c r="J47" s="9">
        <f t="shared" si="2"/>
        <v>88.944220430107521</v>
      </c>
    </row>
    <row r="48" spans="1:10">
      <c r="A48" s="8" t="s">
        <v>68</v>
      </c>
      <c r="B48" s="1" t="s">
        <v>332</v>
      </c>
      <c r="C48" s="1" t="s">
        <v>69</v>
      </c>
      <c r="D48" s="9">
        <v>73000</v>
      </c>
      <c r="E48" s="9">
        <f>E49</f>
        <v>73000</v>
      </c>
      <c r="F48" s="9">
        <f t="shared" si="18"/>
        <v>46500</v>
      </c>
      <c r="G48" s="9">
        <f t="shared" si="18"/>
        <v>41360</v>
      </c>
      <c r="H48" s="9">
        <f t="shared" si="18"/>
        <v>41359.0625</v>
      </c>
      <c r="I48" s="9">
        <f t="shared" si="1"/>
        <v>56.65625</v>
      </c>
      <c r="J48" s="9">
        <f t="shared" si="2"/>
        <v>88.944220430107521</v>
      </c>
    </row>
    <row r="49" spans="1:10" ht="25.5">
      <c r="A49" s="8" t="s">
        <v>151</v>
      </c>
      <c r="B49" s="1" t="s">
        <v>332</v>
      </c>
      <c r="C49" s="1" t="s">
        <v>152</v>
      </c>
      <c r="D49" s="9">
        <v>73000</v>
      </c>
      <c r="E49" s="9">
        <f>ведомство!H605</f>
        <v>73000</v>
      </c>
      <c r="F49" s="9">
        <f>ведомство!I605</f>
        <v>46500</v>
      </c>
      <c r="G49" s="9">
        <f>ведомство!J605</f>
        <v>41360</v>
      </c>
      <c r="H49" s="9">
        <f>ведомство!K605</f>
        <v>41359.0625</v>
      </c>
      <c r="I49" s="9">
        <f t="shared" si="1"/>
        <v>56.65625</v>
      </c>
      <c r="J49" s="9">
        <f t="shared" si="2"/>
        <v>88.944220430107521</v>
      </c>
    </row>
    <row r="50" spans="1:10">
      <c r="A50" s="4" t="s">
        <v>0</v>
      </c>
      <c r="B50" s="17" t="s">
        <v>0</v>
      </c>
      <c r="C50" s="5" t="s">
        <v>0</v>
      </c>
      <c r="D50" s="7" t="s">
        <v>0</v>
      </c>
      <c r="E50" s="7" t="s">
        <v>0</v>
      </c>
      <c r="F50" s="7"/>
      <c r="G50" s="7"/>
      <c r="H50" s="7"/>
      <c r="I50" s="7"/>
      <c r="J50" s="7"/>
    </row>
    <row r="51" spans="1:10" ht="25.5">
      <c r="A51" s="4" t="s">
        <v>318</v>
      </c>
      <c r="B51" s="5" t="s">
        <v>319</v>
      </c>
      <c r="C51" s="5" t="s">
        <v>0</v>
      </c>
      <c r="D51" s="7">
        <v>148228.9</v>
      </c>
      <c r="E51" s="7">
        <f>E52</f>
        <v>148228.90000000002</v>
      </c>
      <c r="F51" s="7">
        <f t="shared" ref="F51:H52" si="19">F52</f>
        <v>74860.200000000012</v>
      </c>
      <c r="G51" s="7">
        <f t="shared" si="19"/>
        <v>74860.200000000012</v>
      </c>
      <c r="H51" s="7">
        <f t="shared" si="19"/>
        <v>74860.200000000012</v>
      </c>
      <c r="I51" s="7">
        <f t="shared" si="1"/>
        <v>50.503107018941648</v>
      </c>
      <c r="J51" s="7">
        <f t="shared" si="2"/>
        <v>100</v>
      </c>
    </row>
    <row r="52" spans="1:10" ht="25.5">
      <c r="A52" s="8" t="s">
        <v>76</v>
      </c>
      <c r="B52" s="1" t="s">
        <v>320</v>
      </c>
      <c r="C52" s="1" t="s">
        <v>0</v>
      </c>
      <c r="D52" s="9">
        <v>148228.9</v>
      </c>
      <c r="E52" s="9">
        <f>E53</f>
        <v>148228.90000000002</v>
      </c>
      <c r="F52" s="9">
        <f t="shared" si="19"/>
        <v>74860.200000000012</v>
      </c>
      <c r="G52" s="9">
        <f t="shared" si="19"/>
        <v>74860.200000000012</v>
      </c>
      <c r="H52" s="9">
        <f t="shared" si="19"/>
        <v>74860.200000000012</v>
      </c>
      <c r="I52" s="9">
        <f t="shared" si="1"/>
        <v>50.503107018941648</v>
      </c>
      <c r="J52" s="9">
        <f t="shared" si="2"/>
        <v>100</v>
      </c>
    </row>
    <row r="53" spans="1:10" ht="25.5">
      <c r="A53" s="8" t="s">
        <v>80</v>
      </c>
      <c r="B53" s="1" t="s">
        <v>320</v>
      </c>
      <c r="C53" s="1" t="s">
        <v>81</v>
      </c>
      <c r="D53" s="9">
        <v>148228.9</v>
      </c>
      <c r="E53" s="9">
        <f>E54+E55</f>
        <v>148228.90000000002</v>
      </c>
      <c r="F53" s="9">
        <f t="shared" ref="F53:H53" si="20">F54+F55</f>
        <v>74860.200000000012</v>
      </c>
      <c r="G53" s="9">
        <f t="shared" si="20"/>
        <v>74860.200000000012</v>
      </c>
      <c r="H53" s="9">
        <f t="shared" si="20"/>
        <v>74860.200000000012</v>
      </c>
      <c r="I53" s="9">
        <f t="shared" si="1"/>
        <v>50.503107018941648</v>
      </c>
      <c r="J53" s="9">
        <f t="shared" si="2"/>
        <v>100</v>
      </c>
    </row>
    <row r="54" spans="1:10">
      <c r="A54" s="8" t="s">
        <v>271</v>
      </c>
      <c r="B54" s="1" t="s">
        <v>320</v>
      </c>
      <c r="C54" s="1" t="s">
        <v>272</v>
      </c>
      <c r="D54" s="9">
        <v>71306.3</v>
      </c>
      <c r="E54" s="9">
        <f>ведомство!H572</f>
        <v>71306.3</v>
      </c>
      <c r="F54" s="9">
        <f>ведомство!I572</f>
        <v>36398.9</v>
      </c>
      <c r="G54" s="9">
        <f>ведомство!J572</f>
        <v>36398.9</v>
      </c>
      <c r="H54" s="9">
        <f>ведомство!K572</f>
        <v>36398.9</v>
      </c>
      <c r="I54" s="9">
        <f t="shared" si="1"/>
        <v>51.045840269373109</v>
      </c>
      <c r="J54" s="9">
        <f t="shared" si="2"/>
        <v>100</v>
      </c>
    </row>
    <row r="55" spans="1:10">
      <c r="A55" s="8" t="s">
        <v>82</v>
      </c>
      <c r="B55" s="1" t="s">
        <v>320</v>
      </c>
      <c r="C55" s="1" t="s">
        <v>83</v>
      </c>
      <c r="D55" s="9">
        <v>76922.600000000006</v>
      </c>
      <c r="E55" s="9">
        <f>ведомство!H573</f>
        <v>76922.600000000006</v>
      </c>
      <c r="F55" s="9">
        <f>ведомство!I573</f>
        <v>38461.300000000003</v>
      </c>
      <c r="G55" s="9">
        <f>ведомство!J573</f>
        <v>38461.300000000003</v>
      </c>
      <c r="H55" s="9">
        <f>ведомство!K573</f>
        <v>38461.300000000003</v>
      </c>
      <c r="I55" s="9">
        <f t="shared" si="1"/>
        <v>50</v>
      </c>
      <c r="J55" s="9">
        <f t="shared" si="2"/>
        <v>100</v>
      </c>
    </row>
    <row r="56" spans="1:10">
      <c r="A56" s="4" t="s">
        <v>0</v>
      </c>
      <c r="B56" s="17" t="s">
        <v>0</v>
      </c>
      <c r="C56" s="5" t="s">
        <v>0</v>
      </c>
      <c r="D56" s="7" t="s">
        <v>0</v>
      </c>
      <c r="E56" s="7" t="s">
        <v>0</v>
      </c>
      <c r="F56" s="7"/>
      <c r="G56" s="7"/>
      <c r="H56" s="7"/>
      <c r="I56" s="7"/>
      <c r="J56" s="7"/>
    </row>
    <row r="57" spans="1:10" ht="25.5">
      <c r="A57" s="4" t="s">
        <v>296</v>
      </c>
      <c r="B57" s="5" t="s">
        <v>297</v>
      </c>
      <c r="C57" s="5" t="s">
        <v>0</v>
      </c>
      <c r="D57" s="7">
        <v>290034.59999999998</v>
      </c>
      <c r="E57" s="7">
        <f>E58</f>
        <v>290034.59999999998</v>
      </c>
      <c r="F57" s="7">
        <f t="shared" ref="F57:H59" si="21">F58</f>
        <v>122441.05</v>
      </c>
      <c r="G57" s="7">
        <f t="shared" si="21"/>
        <v>122441.05</v>
      </c>
      <c r="H57" s="7">
        <f t="shared" si="21"/>
        <v>122441.05</v>
      </c>
      <c r="I57" s="7">
        <f t="shared" si="1"/>
        <v>42.216014916840962</v>
      </c>
      <c r="J57" s="7">
        <f t="shared" si="2"/>
        <v>100</v>
      </c>
    </row>
    <row r="58" spans="1:10" ht="25.5">
      <c r="A58" s="8" t="s">
        <v>76</v>
      </c>
      <c r="B58" s="1" t="s">
        <v>298</v>
      </c>
      <c r="C58" s="1" t="s">
        <v>0</v>
      </c>
      <c r="D58" s="9">
        <v>290034.59999999998</v>
      </c>
      <c r="E58" s="9">
        <f>E59</f>
        <v>290034.59999999998</v>
      </c>
      <c r="F58" s="9">
        <f t="shared" si="21"/>
        <v>122441.05</v>
      </c>
      <c r="G58" s="9">
        <f t="shared" si="21"/>
        <v>122441.05</v>
      </c>
      <c r="H58" s="9">
        <f t="shared" si="21"/>
        <v>122441.05</v>
      </c>
      <c r="I58" s="9">
        <f t="shared" si="1"/>
        <v>42.216014916840962</v>
      </c>
      <c r="J58" s="9">
        <f t="shared" si="2"/>
        <v>100</v>
      </c>
    </row>
    <row r="59" spans="1:10" ht="25.5">
      <c r="A59" s="8" t="s">
        <v>80</v>
      </c>
      <c r="B59" s="1" t="s">
        <v>298</v>
      </c>
      <c r="C59" s="1" t="s">
        <v>81</v>
      </c>
      <c r="D59" s="9">
        <v>290034.59999999998</v>
      </c>
      <c r="E59" s="9">
        <f>E60</f>
        <v>290034.59999999998</v>
      </c>
      <c r="F59" s="9">
        <f t="shared" si="21"/>
        <v>122441.05</v>
      </c>
      <c r="G59" s="9">
        <f t="shared" si="21"/>
        <v>122441.05</v>
      </c>
      <c r="H59" s="9">
        <f t="shared" si="21"/>
        <v>122441.05</v>
      </c>
      <c r="I59" s="9">
        <f t="shared" si="1"/>
        <v>42.216014916840962</v>
      </c>
      <c r="J59" s="9">
        <f t="shared" si="2"/>
        <v>100</v>
      </c>
    </row>
    <row r="60" spans="1:10">
      <c r="A60" s="8" t="s">
        <v>271</v>
      </c>
      <c r="B60" s="1" t="s">
        <v>298</v>
      </c>
      <c r="C60" s="1" t="s">
        <v>272</v>
      </c>
      <c r="D60" s="9">
        <v>290034.59999999998</v>
      </c>
      <c r="E60" s="9">
        <f>ведомство!H506</f>
        <v>290034.59999999998</v>
      </c>
      <c r="F60" s="9">
        <f>ведомство!I506</f>
        <v>122441.05</v>
      </c>
      <c r="G60" s="9">
        <f>ведомство!J506</f>
        <v>122441.05</v>
      </c>
      <c r="H60" s="9">
        <f>ведомство!K506</f>
        <v>122441.05</v>
      </c>
      <c r="I60" s="9">
        <f t="shared" si="1"/>
        <v>42.216014916840962</v>
      </c>
      <c r="J60" s="9">
        <f t="shared" si="2"/>
        <v>100</v>
      </c>
    </row>
    <row r="61" spans="1:10">
      <c r="A61" s="4" t="s">
        <v>0</v>
      </c>
      <c r="B61" s="17" t="s">
        <v>0</v>
      </c>
      <c r="C61" s="5" t="s">
        <v>0</v>
      </c>
      <c r="D61" s="7" t="s">
        <v>0</v>
      </c>
      <c r="E61" s="7" t="s">
        <v>0</v>
      </c>
      <c r="F61" s="7"/>
      <c r="G61" s="7"/>
      <c r="H61" s="7"/>
      <c r="I61" s="7"/>
      <c r="J61" s="7"/>
    </row>
    <row r="62" spans="1:10">
      <c r="A62" s="4" t="s">
        <v>284</v>
      </c>
      <c r="B62" s="5" t="s">
        <v>285</v>
      </c>
      <c r="C62" s="5" t="s">
        <v>0</v>
      </c>
      <c r="D62" s="7">
        <v>157427.5</v>
      </c>
      <c r="E62" s="7">
        <f>E63+E66+E75</f>
        <v>161027.5</v>
      </c>
      <c r="F62" s="7">
        <f t="shared" ref="F62:H62" si="22">F63+F66+F75</f>
        <v>79484.039279999997</v>
      </c>
      <c r="G62" s="7">
        <f t="shared" si="22"/>
        <v>79484.039279999997</v>
      </c>
      <c r="H62" s="7">
        <f t="shared" si="22"/>
        <v>77300.315949999989</v>
      </c>
      <c r="I62" s="7">
        <f t="shared" si="1"/>
        <v>48.004419089906996</v>
      </c>
      <c r="J62" s="7">
        <f t="shared" si="2"/>
        <v>97.252626628212283</v>
      </c>
    </row>
    <row r="63" spans="1:10">
      <c r="A63" s="8" t="s">
        <v>1135</v>
      </c>
      <c r="B63" s="1" t="s">
        <v>1136</v>
      </c>
      <c r="C63" s="6"/>
      <c r="D63" s="7"/>
      <c r="E63" s="23">
        <f>E64</f>
        <v>3600</v>
      </c>
      <c r="F63" s="23">
        <f t="shared" ref="F63:H64" si="23">F64</f>
        <v>3600</v>
      </c>
      <c r="G63" s="23">
        <f t="shared" si="23"/>
        <v>3600</v>
      </c>
      <c r="H63" s="23">
        <f t="shared" si="23"/>
        <v>3600</v>
      </c>
      <c r="I63" s="23">
        <f t="shared" si="1"/>
        <v>100</v>
      </c>
      <c r="J63" s="23">
        <f t="shared" si="2"/>
        <v>100</v>
      </c>
    </row>
    <row r="64" spans="1:10">
      <c r="A64" s="8" t="s">
        <v>68</v>
      </c>
      <c r="B64" s="27" t="s">
        <v>1136</v>
      </c>
      <c r="C64" s="6">
        <v>300</v>
      </c>
      <c r="D64" s="7"/>
      <c r="E64" s="23">
        <f>E65</f>
        <v>3600</v>
      </c>
      <c r="F64" s="23">
        <f t="shared" si="23"/>
        <v>3600</v>
      </c>
      <c r="G64" s="23">
        <f t="shared" si="23"/>
        <v>3600</v>
      </c>
      <c r="H64" s="23">
        <f t="shared" si="23"/>
        <v>3600</v>
      </c>
      <c r="I64" s="23">
        <f t="shared" si="1"/>
        <v>100</v>
      </c>
      <c r="J64" s="23">
        <f t="shared" si="2"/>
        <v>100</v>
      </c>
    </row>
    <row r="65" spans="1:10">
      <c r="A65" s="8" t="s">
        <v>70</v>
      </c>
      <c r="B65" s="27" t="s">
        <v>1136</v>
      </c>
      <c r="C65" s="6">
        <v>360</v>
      </c>
      <c r="D65" s="7"/>
      <c r="E65" s="23">
        <f>ведомство!H609</f>
        <v>3600</v>
      </c>
      <c r="F65" s="23">
        <f>ведомство!I609</f>
        <v>3600</v>
      </c>
      <c r="G65" s="23">
        <f>ведомство!J609</f>
        <v>3600</v>
      </c>
      <c r="H65" s="23">
        <f>ведомство!K609</f>
        <v>3600</v>
      </c>
      <c r="I65" s="23">
        <f t="shared" si="1"/>
        <v>100</v>
      </c>
      <c r="J65" s="23">
        <f t="shared" si="2"/>
        <v>100</v>
      </c>
    </row>
    <row r="66" spans="1:10" ht="16.5" customHeight="1">
      <c r="A66" s="8" t="s">
        <v>76</v>
      </c>
      <c r="B66" s="1" t="s">
        <v>286</v>
      </c>
      <c r="C66" s="1" t="s">
        <v>0</v>
      </c>
      <c r="D66" s="9">
        <v>127627.5</v>
      </c>
      <c r="E66" s="9">
        <f>E67+E69+E72</f>
        <v>127627.49999999999</v>
      </c>
      <c r="F66" s="9">
        <f t="shared" ref="F66:H66" si="24">F67+F69+F72</f>
        <v>66876.939279999991</v>
      </c>
      <c r="G66" s="9">
        <f t="shared" si="24"/>
        <v>66876.939279999991</v>
      </c>
      <c r="H66" s="9">
        <f t="shared" si="24"/>
        <v>66849.315949999989</v>
      </c>
      <c r="I66" s="9">
        <f t="shared" si="1"/>
        <v>52.378457581634052</v>
      </c>
      <c r="J66" s="9">
        <f t="shared" si="2"/>
        <v>99.958695283759397</v>
      </c>
    </row>
    <row r="67" spans="1:10" ht="51">
      <c r="A67" s="8" t="s">
        <v>60</v>
      </c>
      <c r="B67" s="1" t="s">
        <v>286</v>
      </c>
      <c r="C67" s="1" t="s">
        <v>61</v>
      </c>
      <c r="D67" s="9">
        <v>586.1</v>
      </c>
      <c r="E67" s="9">
        <f>E68</f>
        <v>586.1</v>
      </c>
      <c r="F67" s="9">
        <f t="shared" ref="F67:H67" si="25">F68</f>
        <v>104.35</v>
      </c>
      <c r="G67" s="9">
        <f t="shared" si="25"/>
        <v>104.35</v>
      </c>
      <c r="H67" s="9">
        <f t="shared" si="25"/>
        <v>76.776669999999996</v>
      </c>
      <c r="I67" s="9">
        <f t="shared" si="1"/>
        <v>13.099585394983789</v>
      </c>
      <c r="J67" s="9">
        <f t="shared" si="2"/>
        <v>73.576109247724006</v>
      </c>
    </row>
    <row r="68" spans="1:10">
      <c r="A68" s="8" t="s">
        <v>78</v>
      </c>
      <c r="B68" s="1" t="s">
        <v>286</v>
      </c>
      <c r="C68" s="1" t="s">
        <v>79</v>
      </c>
      <c r="D68" s="9">
        <v>586.1</v>
      </c>
      <c r="E68" s="9">
        <f>ведомство!H612</f>
        <v>586.1</v>
      </c>
      <c r="F68" s="9">
        <f>ведомство!I612</f>
        <v>104.35</v>
      </c>
      <c r="G68" s="9">
        <f>ведомство!J612</f>
        <v>104.35</v>
      </c>
      <c r="H68" s="9">
        <f>ведомство!K612</f>
        <v>76.776669999999996</v>
      </c>
      <c r="I68" s="9">
        <f t="shared" si="1"/>
        <v>13.099585394983789</v>
      </c>
      <c r="J68" s="9">
        <f t="shared" si="2"/>
        <v>73.576109247724006</v>
      </c>
    </row>
    <row r="69" spans="1:10">
      <c r="A69" s="8" t="s">
        <v>68</v>
      </c>
      <c r="B69" s="1" t="s">
        <v>286</v>
      </c>
      <c r="C69" s="1" t="s">
        <v>69</v>
      </c>
      <c r="D69" s="9">
        <v>159.1</v>
      </c>
      <c r="E69" s="9">
        <f>E70+E71</f>
        <v>159.1</v>
      </c>
      <c r="F69" s="9">
        <f t="shared" ref="F69:H69" si="26">F70+F71</f>
        <v>99.550000000000011</v>
      </c>
      <c r="G69" s="9">
        <f t="shared" si="26"/>
        <v>99.550000000000011</v>
      </c>
      <c r="H69" s="9">
        <f t="shared" si="26"/>
        <v>99.550000000000011</v>
      </c>
      <c r="I69" s="9">
        <f t="shared" si="1"/>
        <v>62.570710245128858</v>
      </c>
      <c r="J69" s="9">
        <f t="shared" si="2"/>
        <v>100</v>
      </c>
    </row>
    <row r="70" spans="1:10" ht="25.5">
      <c r="A70" s="8" t="s">
        <v>151</v>
      </c>
      <c r="B70" s="1" t="s">
        <v>286</v>
      </c>
      <c r="C70" s="1" t="s">
        <v>152</v>
      </c>
      <c r="D70" s="9">
        <v>106.3</v>
      </c>
      <c r="E70" s="9">
        <f>ведомство!H614</f>
        <v>106.3</v>
      </c>
      <c r="F70" s="9">
        <f>ведомство!I614</f>
        <v>73.150000000000006</v>
      </c>
      <c r="G70" s="9">
        <f>ведомство!J614</f>
        <v>73.150000000000006</v>
      </c>
      <c r="H70" s="9">
        <f>ведомство!K614</f>
        <v>73.150000000000006</v>
      </c>
      <c r="I70" s="9">
        <f t="shared" si="1"/>
        <v>68.814675446848554</v>
      </c>
      <c r="J70" s="9">
        <f t="shared" si="2"/>
        <v>100</v>
      </c>
    </row>
    <row r="71" spans="1:10">
      <c r="A71" s="8" t="s">
        <v>70</v>
      </c>
      <c r="B71" s="1" t="s">
        <v>286</v>
      </c>
      <c r="C71" s="1" t="s">
        <v>71</v>
      </c>
      <c r="D71" s="9">
        <v>52.8</v>
      </c>
      <c r="E71" s="9">
        <f>ведомство!H615</f>
        <v>52.8</v>
      </c>
      <c r="F71" s="9">
        <f>ведомство!I615</f>
        <v>26.4</v>
      </c>
      <c r="G71" s="9">
        <f>ведомство!J615</f>
        <v>26.4</v>
      </c>
      <c r="H71" s="9">
        <f>ведомство!K615</f>
        <v>26.4</v>
      </c>
      <c r="I71" s="9">
        <f t="shared" si="1"/>
        <v>50</v>
      </c>
      <c r="J71" s="9">
        <f t="shared" si="2"/>
        <v>100</v>
      </c>
    </row>
    <row r="72" spans="1:10" ht="25.5">
      <c r="A72" s="8" t="s">
        <v>80</v>
      </c>
      <c r="B72" s="1" t="s">
        <v>286</v>
      </c>
      <c r="C72" s="1" t="s">
        <v>81</v>
      </c>
      <c r="D72" s="9">
        <v>126882.3</v>
      </c>
      <c r="E72" s="9">
        <f>E73+E74</f>
        <v>126882.29999999999</v>
      </c>
      <c r="F72" s="9">
        <f t="shared" ref="F72:H72" si="27">F73+F74</f>
        <v>66673.039279999997</v>
      </c>
      <c r="G72" s="9">
        <f t="shared" si="27"/>
        <v>66673.039279999997</v>
      </c>
      <c r="H72" s="9">
        <f t="shared" si="27"/>
        <v>66672.989279999994</v>
      </c>
      <c r="I72" s="9">
        <f t="shared" si="1"/>
        <v>52.547115933428067</v>
      </c>
      <c r="J72" s="9">
        <f t="shared" si="2"/>
        <v>99.9999250071685</v>
      </c>
    </row>
    <row r="73" spans="1:10">
      <c r="A73" s="8" t="s">
        <v>271</v>
      </c>
      <c r="B73" s="1" t="s">
        <v>286</v>
      </c>
      <c r="C73" s="1" t="s">
        <v>272</v>
      </c>
      <c r="D73" s="9">
        <v>44000.7</v>
      </c>
      <c r="E73" s="9">
        <f>ведомство!H617</f>
        <v>43986.7</v>
      </c>
      <c r="F73" s="9">
        <f>ведомство!I617</f>
        <v>25463.489280000002</v>
      </c>
      <c r="G73" s="9">
        <f>ведомство!J617</f>
        <v>25463.489280000002</v>
      </c>
      <c r="H73" s="9">
        <f>ведомство!K617</f>
        <v>25463.439279999999</v>
      </c>
      <c r="I73" s="9">
        <f t="shared" si="1"/>
        <v>57.88895116023707</v>
      </c>
      <c r="J73" s="9">
        <f t="shared" si="2"/>
        <v>99.999803640422357</v>
      </c>
    </row>
    <row r="74" spans="1:10">
      <c r="A74" s="8" t="s">
        <v>82</v>
      </c>
      <c r="B74" s="1" t="s">
        <v>286</v>
      </c>
      <c r="C74" s="1" t="s">
        <v>83</v>
      </c>
      <c r="D74" s="9">
        <v>82881.600000000006</v>
      </c>
      <c r="E74" s="9">
        <f>ведомство!H473+ведомство!H483+ведомство!H618</f>
        <v>82895.599999999991</v>
      </c>
      <c r="F74" s="9">
        <f>ведомство!I473+ведомство!I483+ведомство!I618</f>
        <v>41209.549999999996</v>
      </c>
      <c r="G74" s="9">
        <f>ведомство!J473+ведомство!J483+ведомство!J618</f>
        <v>41209.549999999996</v>
      </c>
      <c r="H74" s="9">
        <f>ведомство!K473+ведомство!K483+ведомство!K618</f>
        <v>41209.549999999996</v>
      </c>
      <c r="I74" s="9">
        <f t="shared" si="1"/>
        <v>49.71259029429789</v>
      </c>
      <c r="J74" s="9">
        <f t="shared" si="2"/>
        <v>100</v>
      </c>
    </row>
    <row r="75" spans="1:10">
      <c r="A75" s="8" t="s">
        <v>303</v>
      </c>
      <c r="B75" s="1" t="s">
        <v>333</v>
      </c>
      <c r="C75" s="1" t="s">
        <v>0</v>
      </c>
      <c r="D75" s="9">
        <v>29800</v>
      </c>
      <c r="E75" s="9">
        <f>E76+E78</f>
        <v>29800</v>
      </c>
      <c r="F75" s="9">
        <f t="shared" ref="F75:H75" si="28">F76+F78</f>
        <v>9007.1</v>
      </c>
      <c r="G75" s="9">
        <f t="shared" si="28"/>
        <v>9007.1</v>
      </c>
      <c r="H75" s="9">
        <f t="shared" si="28"/>
        <v>6851</v>
      </c>
      <c r="I75" s="9">
        <f t="shared" ref="I75:I138" si="29">H75/E75*100</f>
        <v>22.98993288590604</v>
      </c>
      <c r="J75" s="9">
        <f t="shared" ref="J75:J138" si="30">H75/F75*100</f>
        <v>76.062217583906019</v>
      </c>
    </row>
    <row r="76" spans="1:10" ht="25.5">
      <c r="A76" s="8" t="s">
        <v>64</v>
      </c>
      <c r="B76" s="1" t="s">
        <v>333</v>
      </c>
      <c r="C76" s="1" t="s">
        <v>65</v>
      </c>
      <c r="D76" s="9">
        <v>3400</v>
      </c>
      <c r="E76" s="9">
        <f>E77</f>
        <v>3400</v>
      </c>
      <c r="F76" s="9">
        <f t="shared" ref="F76:H76" si="31">F77</f>
        <v>2156.1</v>
      </c>
      <c r="G76" s="9">
        <f t="shared" si="31"/>
        <v>2156.1</v>
      </c>
      <c r="H76" s="9">
        <f t="shared" si="31"/>
        <v>51</v>
      </c>
      <c r="I76" s="9">
        <f t="shared" si="29"/>
        <v>1.5</v>
      </c>
      <c r="J76" s="9">
        <f t="shared" si="30"/>
        <v>2.3653819396131905</v>
      </c>
    </row>
    <row r="77" spans="1:10" ht="25.5">
      <c r="A77" s="8" t="s">
        <v>66</v>
      </c>
      <c r="B77" s="1" t="s">
        <v>333</v>
      </c>
      <c r="C77" s="1" t="s">
        <v>67</v>
      </c>
      <c r="D77" s="9">
        <v>3400</v>
      </c>
      <c r="E77" s="9">
        <f>ведомство!H621</f>
        <v>3400</v>
      </c>
      <c r="F77" s="9">
        <f>ведомство!I621</f>
        <v>2156.1</v>
      </c>
      <c r="G77" s="9">
        <f>ведомство!J621</f>
        <v>2156.1</v>
      </c>
      <c r="H77" s="9">
        <f>ведомство!K621</f>
        <v>51</v>
      </c>
      <c r="I77" s="9">
        <f t="shared" si="29"/>
        <v>1.5</v>
      </c>
      <c r="J77" s="9">
        <f t="shared" si="30"/>
        <v>2.3653819396131905</v>
      </c>
    </row>
    <row r="78" spans="1:10">
      <c r="A78" s="8" t="s">
        <v>68</v>
      </c>
      <c r="B78" s="1" t="s">
        <v>333</v>
      </c>
      <c r="C78" s="1" t="s">
        <v>69</v>
      </c>
      <c r="D78" s="9">
        <v>26400</v>
      </c>
      <c r="E78" s="9">
        <f>E79+E80</f>
        <v>26400</v>
      </c>
      <c r="F78" s="9">
        <f t="shared" ref="F78:H78" si="32">F79+F80</f>
        <v>6851</v>
      </c>
      <c r="G78" s="9">
        <f t="shared" si="32"/>
        <v>6851</v>
      </c>
      <c r="H78" s="9">
        <f t="shared" si="32"/>
        <v>6800</v>
      </c>
      <c r="I78" s="9">
        <f t="shared" si="29"/>
        <v>25.757575757575758</v>
      </c>
      <c r="J78" s="9">
        <f t="shared" si="30"/>
        <v>99.255583126550874</v>
      </c>
    </row>
    <row r="79" spans="1:10" ht="25.5">
      <c r="A79" s="8" t="s">
        <v>151</v>
      </c>
      <c r="B79" s="1" t="s">
        <v>333</v>
      </c>
      <c r="C79" s="1" t="s">
        <v>152</v>
      </c>
      <c r="D79" s="9">
        <v>5000</v>
      </c>
      <c r="E79" s="9">
        <f>ведомство!H623</f>
        <v>5000</v>
      </c>
      <c r="F79" s="9">
        <f>ведомство!I623</f>
        <v>2450</v>
      </c>
      <c r="G79" s="9">
        <f>ведомство!J623</f>
        <v>2450</v>
      </c>
      <c r="H79" s="9">
        <f>ведомство!K623</f>
        <v>2450</v>
      </c>
      <c r="I79" s="9">
        <f t="shared" si="29"/>
        <v>49</v>
      </c>
      <c r="J79" s="9">
        <f t="shared" si="30"/>
        <v>100</v>
      </c>
    </row>
    <row r="80" spans="1:10">
      <c r="A80" s="8" t="s">
        <v>70</v>
      </c>
      <c r="B80" s="1" t="s">
        <v>333</v>
      </c>
      <c r="C80" s="1" t="s">
        <v>71</v>
      </c>
      <c r="D80" s="9">
        <v>21400</v>
      </c>
      <c r="E80" s="9">
        <f>ведомство!H624</f>
        <v>21400</v>
      </c>
      <c r="F80" s="9">
        <f>ведомство!I624</f>
        <v>4401</v>
      </c>
      <c r="G80" s="9">
        <f>ведомство!J624</f>
        <v>4401</v>
      </c>
      <c r="H80" s="9">
        <f>ведомство!K624</f>
        <v>4350</v>
      </c>
      <c r="I80" s="9">
        <f t="shared" si="29"/>
        <v>20.327102803738317</v>
      </c>
      <c r="J80" s="9">
        <f t="shared" si="30"/>
        <v>98.841172460804358</v>
      </c>
    </row>
    <row r="81" spans="1:10">
      <c r="A81" s="4" t="s">
        <v>0</v>
      </c>
      <c r="B81" s="17" t="s">
        <v>0</v>
      </c>
      <c r="C81" s="5" t="s">
        <v>0</v>
      </c>
      <c r="D81" s="7" t="s">
        <v>0</v>
      </c>
      <c r="E81" s="7" t="s">
        <v>0</v>
      </c>
      <c r="F81" s="7"/>
      <c r="G81" s="7"/>
      <c r="H81" s="7"/>
      <c r="I81" s="7"/>
      <c r="J81" s="7"/>
    </row>
    <row r="82" spans="1:10" ht="25.5">
      <c r="A82" s="4" t="s">
        <v>309</v>
      </c>
      <c r="B82" s="5" t="s">
        <v>310</v>
      </c>
      <c r="C82" s="5" t="s">
        <v>0</v>
      </c>
      <c r="D82" s="7">
        <v>715763.9</v>
      </c>
      <c r="E82" s="7">
        <f>E83+E86+E91+E94+E97++E100</f>
        <v>1048049.8999999999</v>
      </c>
      <c r="F82" s="7">
        <f t="shared" ref="F82:H82" si="33">F83+F86+F91+F94+F97++F100</f>
        <v>558725.15033000009</v>
      </c>
      <c r="G82" s="7">
        <f t="shared" si="33"/>
        <v>558725.15033000009</v>
      </c>
      <c r="H82" s="7">
        <f t="shared" si="33"/>
        <v>535842.34501000005</v>
      </c>
      <c r="I82" s="7">
        <f t="shared" si="29"/>
        <v>51.127560339445679</v>
      </c>
      <c r="J82" s="7">
        <f t="shared" si="30"/>
        <v>95.904461199485155</v>
      </c>
    </row>
    <row r="83" spans="1:10" ht="89.25">
      <c r="A83" s="8" t="s">
        <v>334</v>
      </c>
      <c r="B83" s="1" t="s">
        <v>335</v>
      </c>
      <c r="C83" s="1" t="s">
        <v>0</v>
      </c>
      <c r="D83" s="9">
        <v>5697.4</v>
      </c>
      <c r="E83" s="9">
        <f>E84</f>
        <v>5697.4</v>
      </c>
      <c r="F83" s="9">
        <f t="shared" ref="F83:H84" si="34">F84</f>
        <v>3297.97651</v>
      </c>
      <c r="G83" s="9">
        <f t="shared" si="34"/>
        <v>3297.97651</v>
      </c>
      <c r="H83" s="9">
        <f t="shared" si="34"/>
        <v>3297.97651</v>
      </c>
      <c r="I83" s="9">
        <f t="shared" si="29"/>
        <v>57.885640994137674</v>
      </c>
      <c r="J83" s="9">
        <f t="shared" si="30"/>
        <v>100</v>
      </c>
    </row>
    <row r="84" spans="1:10" ht="25.5">
      <c r="A84" s="8" t="s">
        <v>64</v>
      </c>
      <c r="B84" s="1" t="s">
        <v>335</v>
      </c>
      <c r="C84" s="1" t="s">
        <v>65</v>
      </c>
      <c r="D84" s="9">
        <v>5697.4</v>
      </c>
      <c r="E84" s="9">
        <f>E85</f>
        <v>5697.4</v>
      </c>
      <c r="F84" s="9">
        <f t="shared" si="34"/>
        <v>3297.97651</v>
      </c>
      <c r="G84" s="9">
        <f t="shared" si="34"/>
        <v>3297.97651</v>
      </c>
      <c r="H84" s="9">
        <f t="shared" si="34"/>
        <v>3297.97651</v>
      </c>
      <c r="I84" s="9">
        <f t="shared" si="29"/>
        <v>57.885640994137674</v>
      </c>
      <c r="J84" s="9">
        <f t="shared" si="30"/>
        <v>100</v>
      </c>
    </row>
    <row r="85" spans="1:10" ht="25.5">
      <c r="A85" s="8" t="s">
        <v>66</v>
      </c>
      <c r="B85" s="1" t="s">
        <v>335</v>
      </c>
      <c r="C85" s="1" t="s">
        <v>67</v>
      </c>
      <c r="D85" s="9">
        <v>5697.4</v>
      </c>
      <c r="E85" s="9">
        <f>ведомство!H628</f>
        <v>5697.4</v>
      </c>
      <c r="F85" s="9">
        <f>ведомство!I628</f>
        <v>3297.97651</v>
      </c>
      <c r="G85" s="9">
        <f>ведомство!J628</f>
        <v>3297.97651</v>
      </c>
      <c r="H85" s="9">
        <f>ведомство!K628</f>
        <v>3297.97651</v>
      </c>
      <c r="I85" s="9">
        <f t="shared" si="29"/>
        <v>57.885640994137674</v>
      </c>
      <c r="J85" s="9">
        <f t="shared" si="30"/>
        <v>100</v>
      </c>
    </row>
    <row r="86" spans="1:10" ht="25.5">
      <c r="A86" s="8" t="s">
        <v>311</v>
      </c>
      <c r="B86" s="1" t="s">
        <v>312</v>
      </c>
      <c r="C86" s="1" t="s">
        <v>0</v>
      </c>
      <c r="D86" s="9">
        <v>145183.1</v>
      </c>
      <c r="E86" s="9">
        <f>E87+E89</f>
        <v>145183.1</v>
      </c>
      <c r="F86" s="9">
        <f t="shared" ref="F86:H86" si="35">F87+F89</f>
        <v>111832.07791000001</v>
      </c>
      <c r="G86" s="9">
        <f t="shared" si="35"/>
        <v>111832.07791000001</v>
      </c>
      <c r="H86" s="9">
        <f t="shared" si="35"/>
        <v>111831.67111000001</v>
      </c>
      <c r="I86" s="9">
        <f t="shared" si="29"/>
        <v>77.028022621090201</v>
      </c>
      <c r="J86" s="9">
        <f t="shared" si="30"/>
        <v>99.999636240327817</v>
      </c>
    </row>
    <row r="87" spans="1:10" ht="25.5">
      <c r="A87" s="8" t="s">
        <v>64</v>
      </c>
      <c r="B87" s="1" t="s">
        <v>312</v>
      </c>
      <c r="C87" s="1" t="s">
        <v>65</v>
      </c>
      <c r="D87" s="9">
        <v>5635.4</v>
      </c>
      <c r="E87" s="9">
        <f>E88</f>
        <v>5635.3727500000005</v>
      </c>
      <c r="F87" s="9">
        <f t="shared" ref="F87:H87" si="36">F88</f>
        <v>955</v>
      </c>
      <c r="G87" s="9">
        <f t="shared" si="36"/>
        <v>955</v>
      </c>
      <c r="H87" s="9">
        <f t="shared" si="36"/>
        <v>954.59320000000002</v>
      </c>
      <c r="I87" s="9">
        <f t="shared" si="29"/>
        <v>16.939308939235652</v>
      </c>
      <c r="J87" s="9">
        <f t="shared" si="30"/>
        <v>99.957403141361254</v>
      </c>
    </row>
    <row r="88" spans="1:10" ht="25.5">
      <c r="A88" s="8" t="s">
        <v>66</v>
      </c>
      <c r="B88" s="1" t="s">
        <v>312</v>
      </c>
      <c r="C88" s="1" t="s">
        <v>67</v>
      </c>
      <c r="D88" s="9">
        <v>5635.4</v>
      </c>
      <c r="E88" s="9">
        <f>ведомство!H537</f>
        <v>5635.3727500000005</v>
      </c>
      <c r="F88" s="9">
        <f>ведомство!I537</f>
        <v>955</v>
      </c>
      <c r="G88" s="9">
        <f>ведомство!J537</f>
        <v>955</v>
      </c>
      <c r="H88" s="9">
        <f>ведомство!K537</f>
        <v>954.59320000000002</v>
      </c>
      <c r="I88" s="9">
        <f t="shared" si="29"/>
        <v>16.939308939235652</v>
      </c>
      <c r="J88" s="9">
        <f t="shared" si="30"/>
        <v>99.957403141361254</v>
      </c>
    </row>
    <row r="89" spans="1:10">
      <c r="A89" s="8" t="s">
        <v>68</v>
      </c>
      <c r="B89" s="1" t="s">
        <v>312</v>
      </c>
      <c r="C89" s="1" t="s">
        <v>69</v>
      </c>
      <c r="D89" s="9">
        <v>139547.70000000001</v>
      </c>
      <c r="E89" s="9">
        <f>E90</f>
        <v>139547.72725</v>
      </c>
      <c r="F89" s="9">
        <f t="shared" ref="F89:H89" si="37">F90</f>
        <v>110877.07791000001</v>
      </c>
      <c r="G89" s="9">
        <f t="shared" si="37"/>
        <v>110877.07791000001</v>
      </c>
      <c r="H89" s="9">
        <f t="shared" si="37"/>
        <v>110877.07791000001</v>
      </c>
      <c r="I89" s="9">
        <f t="shared" si="29"/>
        <v>79.454592414366971</v>
      </c>
      <c r="J89" s="9">
        <f t="shared" si="30"/>
        <v>100</v>
      </c>
    </row>
    <row r="90" spans="1:10" ht="25.5">
      <c r="A90" s="8" t="s">
        <v>151</v>
      </c>
      <c r="B90" s="1" t="s">
        <v>312</v>
      </c>
      <c r="C90" s="1" t="s">
        <v>152</v>
      </c>
      <c r="D90" s="9">
        <v>139547.70000000001</v>
      </c>
      <c r="E90" s="9">
        <f>ведомство!H539</f>
        <v>139547.72725</v>
      </c>
      <c r="F90" s="9">
        <f>ведомство!I539</f>
        <v>110877.07791000001</v>
      </c>
      <c r="G90" s="9">
        <f>ведомство!J539</f>
        <v>110877.07791000001</v>
      </c>
      <c r="H90" s="9">
        <f>ведомство!K539</f>
        <v>110877.07791000001</v>
      </c>
      <c r="I90" s="9">
        <f t="shared" si="29"/>
        <v>79.454592414366971</v>
      </c>
      <c r="J90" s="9">
        <f t="shared" si="30"/>
        <v>100</v>
      </c>
    </row>
    <row r="91" spans="1:10" ht="102">
      <c r="A91" s="8" t="s">
        <v>336</v>
      </c>
      <c r="B91" s="1" t="s">
        <v>337</v>
      </c>
      <c r="C91" s="1" t="s">
        <v>0</v>
      </c>
      <c r="D91" s="9">
        <v>7982.8</v>
      </c>
      <c r="E91" s="9">
        <f>E92</f>
        <v>7982.8</v>
      </c>
      <c r="F91" s="9">
        <f t="shared" ref="F91:H92" si="38">F92</f>
        <v>0</v>
      </c>
      <c r="G91" s="9">
        <f t="shared" si="38"/>
        <v>0</v>
      </c>
      <c r="H91" s="9">
        <f t="shared" si="38"/>
        <v>0</v>
      </c>
      <c r="I91" s="9">
        <f t="shared" si="29"/>
        <v>0</v>
      </c>
      <c r="J91" s="9">
        <v>0</v>
      </c>
    </row>
    <row r="92" spans="1:10" ht="25.5">
      <c r="A92" s="8" t="s">
        <v>80</v>
      </c>
      <c r="B92" s="1" t="s">
        <v>337</v>
      </c>
      <c r="C92" s="1" t="s">
        <v>81</v>
      </c>
      <c r="D92" s="9">
        <v>7982.8</v>
      </c>
      <c r="E92" s="9">
        <f>E93</f>
        <v>7982.8</v>
      </c>
      <c r="F92" s="9">
        <f t="shared" si="38"/>
        <v>0</v>
      </c>
      <c r="G92" s="9">
        <f t="shared" si="38"/>
        <v>0</v>
      </c>
      <c r="H92" s="9">
        <f t="shared" si="38"/>
        <v>0</v>
      </c>
      <c r="I92" s="9">
        <f t="shared" si="29"/>
        <v>0</v>
      </c>
      <c r="J92" s="9">
        <v>0</v>
      </c>
    </row>
    <row r="93" spans="1:10">
      <c r="A93" s="8" t="s">
        <v>271</v>
      </c>
      <c r="B93" s="1" t="s">
        <v>337</v>
      </c>
      <c r="C93" s="1" t="s">
        <v>272</v>
      </c>
      <c r="D93" s="9">
        <v>7982.8</v>
      </c>
      <c r="E93" s="9">
        <f>ведомство!H631</f>
        <v>7982.8</v>
      </c>
      <c r="F93" s="9">
        <f>ведомство!I631</f>
        <v>0</v>
      </c>
      <c r="G93" s="9">
        <f>ведомство!J631</f>
        <v>0</v>
      </c>
      <c r="H93" s="9">
        <f>ведомство!K631</f>
        <v>0</v>
      </c>
      <c r="I93" s="9">
        <f t="shared" si="29"/>
        <v>0</v>
      </c>
      <c r="J93" s="9">
        <v>0</v>
      </c>
    </row>
    <row r="94" spans="1:10" ht="76.5">
      <c r="A94" s="8" t="s">
        <v>1134</v>
      </c>
      <c r="B94" s="25" t="s">
        <v>1133</v>
      </c>
      <c r="C94" s="1"/>
      <c r="D94" s="9"/>
      <c r="E94" s="9">
        <f>E95</f>
        <v>332286</v>
      </c>
      <c r="F94" s="9">
        <f t="shared" ref="F94:H95" si="39">F95</f>
        <v>180000</v>
      </c>
      <c r="G94" s="9">
        <f t="shared" si="39"/>
        <v>180000</v>
      </c>
      <c r="H94" s="9">
        <f t="shared" si="39"/>
        <v>158763.61898999999</v>
      </c>
      <c r="I94" s="9">
        <f t="shared" si="29"/>
        <v>47.779207968436829</v>
      </c>
      <c r="J94" s="9">
        <f t="shared" si="30"/>
        <v>88.202010549999997</v>
      </c>
    </row>
    <row r="95" spans="1:10">
      <c r="A95" s="8" t="s">
        <v>68</v>
      </c>
      <c r="B95" s="25" t="s">
        <v>1133</v>
      </c>
      <c r="C95" s="1">
        <v>300</v>
      </c>
      <c r="D95" s="9"/>
      <c r="E95" s="9">
        <f>E96</f>
        <v>332286</v>
      </c>
      <c r="F95" s="9">
        <f t="shared" si="39"/>
        <v>180000</v>
      </c>
      <c r="G95" s="9">
        <f t="shared" si="39"/>
        <v>180000</v>
      </c>
      <c r="H95" s="9">
        <f t="shared" si="39"/>
        <v>158763.61898999999</v>
      </c>
      <c r="I95" s="9">
        <f t="shared" si="29"/>
        <v>47.779207968436829</v>
      </c>
      <c r="J95" s="9">
        <f t="shared" si="30"/>
        <v>88.202010549999997</v>
      </c>
    </row>
    <row r="96" spans="1:10" ht="25.5">
      <c r="A96" s="8" t="s">
        <v>151</v>
      </c>
      <c r="B96" s="25" t="s">
        <v>1133</v>
      </c>
      <c r="C96" s="1">
        <v>320</v>
      </c>
      <c r="D96" s="9"/>
      <c r="E96" s="9">
        <f>ведомство!H542</f>
        <v>332286</v>
      </c>
      <c r="F96" s="9">
        <f>ведомство!I542</f>
        <v>180000</v>
      </c>
      <c r="G96" s="9">
        <f>ведомство!J542</f>
        <v>180000</v>
      </c>
      <c r="H96" s="9">
        <f>ведомство!K542</f>
        <v>158763.61898999999</v>
      </c>
      <c r="I96" s="9">
        <f t="shared" si="29"/>
        <v>47.779207968436829</v>
      </c>
      <c r="J96" s="9">
        <f t="shared" si="30"/>
        <v>88.202010549999997</v>
      </c>
    </row>
    <row r="97" spans="1:10">
      <c r="A97" s="8" t="s">
        <v>303</v>
      </c>
      <c r="B97" s="1" t="s">
        <v>338</v>
      </c>
      <c r="C97" s="1" t="s">
        <v>0</v>
      </c>
      <c r="D97" s="9">
        <v>29000</v>
      </c>
      <c r="E97" s="9">
        <f>E98</f>
        <v>29000</v>
      </c>
      <c r="F97" s="9">
        <f t="shared" ref="F97:H98" si="40">F98</f>
        <v>27857.200000000001</v>
      </c>
      <c r="G97" s="9">
        <f t="shared" si="40"/>
        <v>27857.200000000001</v>
      </c>
      <c r="H97" s="9">
        <f t="shared" si="40"/>
        <v>26211.182489999999</v>
      </c>
      <c r="I97" s="9">
        <f t="shared" si="29"/>
        <v>90.383387896551724</v>
      </c>
      <c r="J97" s="9">
        <f t="shared" si="30"/>
        <v>94.091231315422945</v>
      </c>
    </row>
    <row r="98" spans="1:10" ht="25.5">
      <c r="A98" s="8" t="s">
        <v>64</v>
      </c>
      <c r="B98" s="1" t="s">
        <v>338</v>
      </c>
      <c r="C98" s="1" t="s">
        <v>65</v>
      </c>
      <c r="D98" s="9">
        <v>29000</v>
      </c>
      <c r="E98" s="9">
        <f>E99</f>
        <v>29000</v>
      </c>
      <c r="F98" s="9">
        <f t="shared" si="40"/>
        <v>27857.200000000001</v>
      </c>
      <c r="G98" s="9">
        <f t="shared" si="40"/>
        <v>27857.200000000001</v>
      </c>
      <c r="H98" s="9">
        <f t="shared" si="40"/>
        <v>26211.182489999999</v>
      </c>
      <c r="I98" s="9">
        <f t="shared" si="29"/>
        <v>90.383387896551724</v>
      </c>
      <c r="J98" s="9">
        <f t="shared" si="30"/>
        <v>94.091231315422945</v>
      </c>
    </row>
    <row r="99" spans="1:10" ht="25.5">
      <c r="A99" s="8" t="s">
        <v>66</v>
      </c>
      <c r="B99" s="1" t="s">
        <v>338</v>
      </c>
      <c r="C99" s="1" t="s">
        <v>67</v>
      </c>
      <c r="D99" s="9">
        <v>29000</v>
      </c>
      <c r="E99" s="9">
        <f>ведомство!H634</f>
        <v>29000</v>
      </c>
      <c r="F99" s="9">
        <f>ведомство!I634</f>
        <v>27857.200000000001</v>
      </c>
      <c r="G99" s="9">
        <f>ведомство!J634</f>
        <v>27857.200000000001</v>
      </c>
      <c r="H99" s="9">
        <f>ведомство!K634</f>
        <v>26211.182489999999</v>
      </c>
      <c r="I99" s="9">
        <f t="shared" si="29"/>
        <v>90.383387896551724</v>
      </c>
      <c r="J99" s="9">
        <f t="shared" si="30"/>
        <v>94.091231315422945</v>
      </c>
    </row>
    <row r="100" spans="1:10" ht="25.5">
      <c r="A100" s="8" t="s">
        <v>313</v>
      </c>
      <c r="B100" s="1" t="s">
        <v>314</v>
      </c>
      <c r="C100" s="1" t="s">
        <v>0</v>
      </c>
      <c r="D100" s="9">
        <v>527900.6</v>
      </c>
      <c r="E100" s="9">
        <f>E101+E103</f>
        <v>527900.6</v>
      </c>
      <c r="F100" s="9">
        <f t="shared" ref="F100:H100" si="41">F101+F103</f>
        <v>235737.89591000002</v>
      </c>
      <c r="G100" s="9">
        <f t="shared" si="41"/>
        <v>235737.89591000002</v>
      </c>
      <c r="H100" s="9">
        <f t="shared" si="41"/>
        <v>235737.89591000002</v>
      </c>
      <c r="I100" s="9">
        <f t="shared" si="29"/>
        <v>44.65573555135191</v>
      </c>
      <c r="J100" s="9">
        <f t="shared" si="30"/>
        <v>100</v>
      </c>
    </row>
    <row r="101" spans="1:10" ht="25.5">
      <c r="A101" s="8" t="s">
        <v>64</v>
      </c>
      <c r="B101" s="1" t="s">
        <v>314</v>
      </c>
      <c r="C101" s="1" t="s">
        <v>65</v>
      </c>
      <c r="D101" s="9">
        <v>10236</v>
      </c>
      <c r="E101" s="9">
        <f>E102</f>
        <v>10236</v>
      </c>
      <c r="F101" s="9">
        <f t="shared" ref="F101:H101" si="42">F102</f>
        <v>3978.48459</v>
      </c>
      <c r="G101" s="9">
        <f t="shared" si="42"/>
        <v>3978.48459</v>
      </c>
      <c r="H101" s="9">
        <f t="shared" si="42"/>
        <v>3978.48459</v>
      </c>
      <c r="I101" s="9">
        <f t="shared" si="29"/>
        <v>38.867571219226264</v>
      </c>
      <c r="J101" s="9">
        <f t="shared" si="30"/>
        <v>100</v>
      </c>
    </row>
    <row r="102" spans="1:10" ht="25.5">
      <c r="A102" s="8" t="s">
        <v>66</v>
      </c>
      <c r="B102" s="1" t="s">
        <v>314</v>
      </c>
      <c r="C102" s="1" t="s">
        <v>67</v>
      </c>
      <c r="D102" s="9">
        <v>10236</v>
      </c>
      <c r="E102" s="9">
        <f>ведомство!H545</f>
        <v>10236</v>
      </c>
      <c r="F102" s="9">
        <f>ведомство!I545</f>
        <v>3978.48459</v>
      </c>
      <c r="G102" s="9">
        <f>ведомство!J545</f>
        <v>3978.48459</v>
      </c>
      <c r="H102" s="9">
        <f>ведомство!K545</f>
        <v>3978.48459</v>
      </c>
      <c r="I102" s="9">
        <f t="shared" si="29"/>
        <v>38.867571219226264</v>
      </c>
      <c r="J102" s="9">
        <f t="shared" si="30"/>
        <v>100</v>
      </c>
    </row>
    <row r="103" spans="1:10">
      <c r="A103" s="8" t="s">
        <v>68</v>
      </c>
      <c r="B103" s="1" t="s">
        <v>314</v>
      </c>
      <c r="C103" s="1" t="s">
        <v>69</v>
      </c>
      <c r="D103" s="9">
        <v>517664.6</v>
      </c>
      <c r="E103" s="9">
        <f>E104</f>
        <v>517664.6</v>
      </c>
      <c r="F103" s="9">
        <f t="shared" ref="F103:H103" si="43">F104</f>
        <v>231759.41132000001</v>
      </c>
      <c r="G103" s="9">
        <f t="shared" si="43"/>
        <v>231759.41132000001</v>
      </c>
      <c r="H103" s="9">
        <f t="shared" si="43"/>
        <v>231759.41132000001</v>
      </c>
      <c r="I103" s="9">
        <f t="shared" si="29"/>
        <v>44.770187360696482</v>
      </c>
      <c r="J103" s="9">
        <f t="shared" si="30"/>
        <v>100</v>
      </c>
    </row>
    <row r="104" spans="1:10" ht="25.5">
      <c r="A104" s="8" t="s">
        <v>151</v>
      </c>
      <c r="B104" s="1" t="s">
        <v>314</v>
      </c>
      <c r="C104" s="1" t="s">
        <v>152</v>
      </c>
      <c r="D104" s="9">
        <v>517664.6</v>
      </c>
      <c r="E104" s="9">
        <f>ведомство!H547</f>
        <v>517664.6</v>
      </c>
      <c r="F104" s="9">
        <f>ведомство!I547</f>
        <v>231759.41132000001</v>
      </c>
      <c r="G104" s="9">
        <f>ведомство!J547</f>
        <v>231759.41132000001</v>
      </c>
      <c r="H104" s="9">
        <f>ведомство!K547</f>
        <v>231759.41132000001</v>
      </c>
      <c r="I104" s="9">
        <f t="shared" si="29"/>
        <v>44.770187360696482</v>
      </c>
      <c r="J104" s="9">
        <f t="shared" si="30"/>
        <v>100</v>
      </c>
    </row>
    <row r="105" spans="1:10">
      <c r="A105" s="4" t="s">
        <v>0</v>
      </c>
      <c r="B105" s="17" t="s">
        <v>0</v>
      </c>
      <c r="C105" s="5" t="s">
        <v>0</v>
      </c>
      <c r="D105" s="7" t="s">
        <v>0</v>
      </c>
      <c r="E105" s="7" t="s">
        <v>0</v>
      </c>
      <c r="F105" s="7"/>
      <c r="G105" s="7"/>
      <c r="H105" s="7"/>
      <c r="I105" s="7"/>
      <c r="J105" s="7"/>
    </row>
    <row r="106" spans="1:10" ht="25.5">
      <c r="A106" s="4" t="s">
        <v>138</v>
      </c>
      <c r="B106" s="5" t="s">
        <v>139</v>
      </c>
      <c r="C106" s="5" t="s">
        <v>0</v>
      </c>
      <c r="D106" s="7">
        <v>8083729.9000000004</v>
      </c>
      <c r="E106" s="7">
        <f>E107+E112+E122+E131+E134+E137</f>
        <v>8087875.03792</v>
      </c>
      <c r="F106" s="7">
        <f t="shared" ref="F106:H106" si="44">F107+F112+F122+F131+F134+F137</f>
        <v>4035948.13956</v>
      </c>
      <c r="G106" s="7">
        <f t="shared" si="44"/>
        <v>4035934.1835599998</v>
      </c>
      <c r="H106" s="7">
        <f t="shared" si="44"/>
        <v>4025938.1893800003</v>
      </c>
      <c r="I106" s="7">
        <f t="shared" si="29"/>
        <v>49.777452921866256</v>
      </c>
      <c r="J106" s="7">
        <f t="shared" si="30"/>
        <v>99.751980208023909</v>
      </c>
    </row>
    <row r="107" spans="1:10" ht="63.75">
      <c r="A107" s="8" t="s">
        <v>339</v>
      </c>
      <c r="B107" s="1" t="s">
        <v>340</v>
      </c>
      <c r="C107" s="1" t="s">
        <v>0</v>
      </c>
      <c r="D107" s="9">
        <v>4389.1000000000004</v>
      </c>
      <c r="E107" s="9">
        <f>E108+E110</f>
        <v>4389.1000000000004</v>
      </c>
      <c r="F107" s="9">
        <f t="shared" ref="F107:H107" si="45">F108+F110</f>
        <v>2320.3000000000002</v>
      </c>
      <c r="G107" s="9">
        <f t="shared" si="45"/>
        <v>2320.3000000000002</v>
      </c>
      <c r="H107" s="9">
        <f t="shared" si="45"/>
        <v>1971.3084100000001</v>
      </c>
      <c r="I107" s="9">
        <f t="shared" si="29"/>
        <v>44.913727415643294</v>
      </c>
      <c r="J107" s="9">
        <f t="shared" si="30"/>
        <v>84.959203982243665</v>
      </c>
    </row>
    <row r="108" spans="1:10" ht="51">
      <c r="A108" s="8" t="s">
        <v>60</v>
      </c>
      <c r="B108" s="1" t="s">
        <v>340</v>
      </c>
      <c r="C108" s="1" t="s">
        <v>61</v>
      </c>
      <c r="D108" s="9">
        <v>3942.5</v>
      </c>
      <c r="E108" s="9">
        <f>E109</f>
        <v>3942.5</v>
      </c>
      <c r="F108" s="9">
        <f t="shared" ref="F108:H108" si="46">F109</f>
        <v>2249.3000000000002</v>
      </c>
      <c r="G108" s="9">
        <f t="shared" si="46"/>
        <v>2249.3000000000002</v>
      </c>
      <c r="H108" s="9">
        <f t="shared" si="46"/>
        <v>1971.3084100000001</v>
      </c>
      <c r="I108" s="9">
        <f t="shared" si="29"/>
        <v>50.001481547241596</v>
      </c>
      <c r="J108" s="9">
        <f t="shared" si="30"/>
        <v>87.640973191659626</v>
      </c>
    </row>
    <row r="109" spans="1:10" ht="25.5">
      <c r="A109" s="8" t="s">
        <v>62</v>
      </c>
      <c r="B109" s="1" t="s">
        <v>340</v>
      </c>
      <c r="C109" s="1" t="s">
        <v>63</v>
      </c>
      <c r="D109" s="9">
        <v>3942.5</v>
      </c>
      <c r="E109" s="9">
        <f>ведомство!H638</f>
        <v>3942.5</v>
      </c>
      <c r="F109" s="9">
        <f>ведомство!I638</f>
        <v>2249.3000000000002</v>
      </c>
      <c r="G109" s="9">
        <f>ведомство!J638</f>
        <v>2249.3000000000002</v>
      </c>
      <c r="H109" s="9">
        <f>ведомство!K638</f>
        <v>1971.3084100000001</v>
      </c>
      <c r="I109" s="9">
        <f t="shared" si="29"/>
        <v>50.001481547241596</v>
      </c>
      <c r="J109" s="9">
        <f t="shared" si="30"/>
        <v>87.640973191659626</v>
      </c>
    </row>
    <row r="110" spans="1:10" ht="25.5">
      <c r="A110" s="8" t="s">
        <v>64</v>
      </c>
      <c r="B110" s="1" t="s">
        <v>340</v>
      </c>
      <c r="C110" s="1" t="s">
        <v>65</v>
      </c>
      <c r="D110" s="9">
        <v>446.6</v>
      </c>
      <c r="E110" s="9">
        <f>E111</f>
        <v>446.6</v>
      </c>
      <c r="F110" s="9">
        <f t="shared" ref="F110:H110" si="47">F111</f>
        <v>71</v>
      </c>
      <c r="G110" s="9">
        <f t="shared" si="47"/>
        <v>71</v>
      </c>
      <c r="H110" s="9">
        <f t="shared" si="47"/>
        <v>0</v>
      </c>
      <c r="I110" s="9">
        <f t="shared" si="29"/>
        <v>0</v>
      </c>
      <c r="J110" s="9">
        <f t="shared" si="30"/>
        <v>0</v>
      </c>
    </row>
    <row r="111" spans="1:10" ht="25.5">
      <c r="A111" s="8" t="s">
        <v>66</v>
      </c>
      <c r="B111" s="1" t="s">
        <v>340</v>
      </c>
      <c r="C111" s="1" t="s">
        <v>67</v>
      </c>
      <c r="D111" s="9">
        <v>446.6</v>
      </c>
      <c r="E111" s="9">
        <f>ведомство!H640</f>
        <v>446.6</v>
      </c>
      <c r="F111" s="9">
        <f>ведомство!I640</f>
        <v>71</v>
      </c>
      <c r="G111" s="9">
        <f>ведомство!J640</f>
        <v>71</v>
      </c>
      <c r="H111" s="9">
        <f>ведомство!K640</f>
        <v>0</v>
      </c>
      <c r="I111" s="9">
        <f t="shared" si="29"/>
        <v>0</v>
      </c>
      <c r="J111" s="9">
        <f t="shared" si="30"/>
        <v>0</v>
      </c>
    </row>
    <row r="112" spans="1:10" ht="25.5">
      <c r="A112" s="8" t="s">
        <v>58</v>
      </c>
      <c r="B112" s="1" t="s">
        <v>341</v>
      </c>
      <c r="C112" s="1" t="s">
        <v>0</v>
      </c>
      <c r="D112" s="9">
        <v>89709.9</v>
      </c>
      <c r="E112" s="9">
        <f>E113+E115+E117+E119</f>
        <v>89709.900000000009</v>
      </c>
      <c r="F112" s="9">
        <f t="shared" ref="F112:H112" si="48">F113+F115+F117+F119</f>
        <v>44489.552000000003</v>
      </c>
      <c r="G112" s="9">
        <f t="shared" si="48"/>
        <v>44489.552000000003</v>
      </c>
      <c r="H112" s="9">
        <f t="shared" si="48"/>
        <v>37029.013449999999</v>
      </c>
      <c r="I112" s="9">
        <f t="shared" si="29"/>
        <v>41.276395860434576</v>
      </c>
      <c r="J112" s="9">
        <f t="shared" si="30"/>
        <v>83.230807651198631</v>
      </c>
    </row>
    <row r="113" spans="1:10" ht="51">
      <c r="A113" s="8" t="s">
        <v>60</v>
      </c>
      <c r="B113" s="1" t="s">
        <v>341</v>
      </c>
      <c r="C113" s="1" t="s">
        <v>61</v>
      </c>
      <c r="D113" s="9">
        <v>86009.8</v>
      </c>
      <c r="E113" s="9">
        <f>E114</f>
        <v>86009.8</v>
      </c>
      <c r="F113" s="9">
        <f t="shared" ref="F113:H113" si="49">F114</f>
        <v>42581.8</v>
      </c>
      <c r="G113" s="9">
        <f t="shared" si="49"/>
        <v>42581.8</v>
      </c>
      <c r="H113" s="9">
        <f t="shared" si="49"/>
        <v>35392.419349999996</v>
      </c>
      <c r="I113" s="9">
        <f t="shared" si="29"/>
        <v>41.149286883587678</v>
      </c>
      <c r="J113" s="9">
        <f t="shared" si="30"/>
        <v>83.116306379720896</v>
      </c>
    </row>
    <row r="114" spans="1:10" ht="25.5">
      <c r="A114" s="8" t="s">
        <v>62</v>
      </c>
      <c r="B114" s="1" t="s">
        <v>341</v>
      </c>
      <c r="C114" s="1" t="s">
        <v>63</v>
      </c>
      <c r="D114" s="9">
        <v>86009.8</v>
      </c>
      <c r="E114" s="9">
        <f>ведомство!H643</f>
        <v>86009.8</v>
      </c>
      <c r="F114" s="9">
        <f>ведомство!I643</f>
        <v>42581.8</v>
      </c>
      <c r="G114" s="9">
        <f>ведомство!J643</f>
        <v>42581.8</v>
      </c>
      <c r="H114" s="9">
        <f>ведомство!K643</f>
        <v>35392.419349999996</v>
      </c>
      <c r="I114" s="9">
        <f t="shared" si="29"/>
        <v>41.149286883587678</v>
      </c>
      <c r="J114" s="9">
        <f t="shared" si="30"/>
        <v>83.116306379720896</v>
      </c>
    </row>
    <row r="115" spans="1:10" ht="25.5">
      <c r="A115" s="8" t="s">
        <v>64</v>
      </c>
      <c r="B115" s="1" t="s">
        <v>341</v>
      </c>
      <c r="C115" s="1" t="s">
        <v>65</v>
      </c>
      <c r="D115" s="9">
        <v>3522.1</v>
      </c>
      <c r="E115" s="9">
        <f>E116</f>
        <v>3522.1</v>
      </c>
      <c r="F115" s="9">
        <f t="shared" ref="F115:H115" si="50">F116</f>
        <v>1826.252</v>
      </c>
      <c r="G115" s="9">
        <f t="shared" si="50"/>
        <v>1826.252</v>
      </c>
      <c r="H115" s="9">
        <f t="shared" si="50"/>
        <v>1573.2040999999999</v>
      </c>
      <c r="I115" s="9">
        <f t="shared" si="29"/>
        <v>44.666650577780295</v>
      </c>
      <c r="J115" s="9">
        <f t="shared" si="30"/>
        <v>86.143867330466989</v>
      </c>
    </row>
    <row r="116" spans="1:10" ht="25.5">
      <c r="A116" s="8" t="s">
        <v>66</v>
      </c>
      <c r="B116" s="1" t="s">
        <v>341</v>
      </c>
      <c r="C116" s="1" t="s">
        <v>67</v>
      </c>
      <c r="D116" s="9">
        <v>3522.1</v>
      </c>
      <c r="E116" s="9">
        <f>ведомство!H645</f>
        <v>3522.1</v>
      </c>
      <c r="F116" s="9">
        <f>ведомство!I645</f>
        <v>1826.252</v>
      </c>
      <c r="G116" s="9">
        <f>ведомство!J645</f>
        <v>1826.252</v>
      </c>
      <c r="H116" s="9">
        <f>ведомство!K645</f>
        <v>1573.2040999999999</v>
      </c>
      <c r="I116" s="9">
        <f t="shared" si="29"/>
        <v>44.666650577780295</v>
      </c>
      <c r="J116" s="9">
        <f t="shared" si="30"/>
        <v>86.143867330466989</v>
      </c>
    </row>
    <row r="117" spans="1:10">
      <c r="A117" s="8" t="s">
        <v>68</v>
      </c>
      <c r="B117" s="1" t="s">
        <v>341</v>
      </c>
      <c r="C117" s="1" t="s">
        <v>69</v>
      </c>
      <c r="D117" s="9">
        <v>60</v>
      </c>
      <c r="E117" s="9">
        <f>E118</f>
        <v>60</v>
      </c>
      <c r="F117" s="9">
        <f t="shared" ref="F117:H117" si="51">F118</f>
        <v>60</v>
      </c>
      <c r="G117" s="9">
        <f t="shared" si="51"/>
        <v>60</v>
      </c>
      <c r="H117" s="9">
        <f t="shared" si="51"/>
        <v>60</v>
      </c>
      <c r="I117" s="9">
        <f t="shared" si="29"/>
        <v>100</v>
      </c>
      <c r="J117" s="9">
        <f t="shared" si="30"/>
        <v>100</v>
      </c>
    </row>
    <row r="118" spans="1:10">
      <c r="A118" s="8" t="s">
        <v>70</v>
      </c>
      <c r="B118" s="1" t="s">
        <v>341</v>
      </c>
      <c r="C118" s="1" t="s">
        <v>71</v>
      </c>
      <c r="D118" s="9">
        <v>60</v>
      </c>
      <c r="E118" s="9">
        <f>ведомство!H647</f>
        <v>60</v>
      </c>
      <c r="F118" s="9">
        <f>ведомство!I647</f>
        <v>60</v>
      </c>
      <c r="G118" s="9">
        <f>ведомство!J647</f>
        <v>60</v>
      </c>
      <c r="H118" s="9">
        <f>ведомство!K647</f>
        <v>60</v>
      </c>
      <c r="I118" s="9">
        <f t="shared" si="29"/>
        <v>100</v>
      </c>
      <c r="J118" s="9">
        <f t="shared" si="30"/>
        <v>100</v>
      </c>
    </row>
    <row r="119" spans="1:10">
      <c r="A119" s="8" t="s">
        <v>72</v>
      </c>
      <c r="B119" s="1" t="s">
        <v>341</v>
      </c>
      <c r="C119" s="1" t="s">
        <v>73</v>
      </c>
      <c r="D119" s="9">
        <v>118</v>
      </c>
      <c r="E119" s="9">
        <f>E120+E121</f>
        <v>118</v>
      </c>
      <c r="F119" s="9">
        <f t="shared" ref="F119:H119" si="52">F120+F121</f>
        <v>21.5</v>
      </c>
      <c r="G119" s="9">
        <f t="shared" si="52"/>
        <v>21.5</v>
      </c>
      <c r="H119" s="9">
        <f t="shared" si="52"/>
        <v>3.39</v>
      </c>
      <c r="I119" s="9">
        <f t="shared" si="29"/>
        <v>2.8728813559322037</v>
      </c>
      <c r="J119" s="9">
        <f t="shared" si="30"/>
        <v>15.767441860465118</v>
      </c>
    </row>
    <row r="120" spans="1:10">
      <c r="A120" s="8" t="s">
        <v>84</v>
      </c>
      <c r="B120" s="1" t="s">
        <v>341</v>
      </c>
      <c r="C120" s="1" t="s">
        <v>85</v>
      </c>
      <c r="D120" s="9">
        <v>90</v>
      </c>
      <c r="E120" s="9">
        <f>ведомство!H649</f>
        <v>90</v>
      </c>
      <c r="F120" s="9">
        <f>ведомство!I649</f>
        <v>7.5</v>
      </c>
      <c r="G120" s="9">
        <f>ведомство!J649</f>
        <v>7.5</v>
      </c>
      <c r="H120" s="9">
        <f>ведомство!K649</f>
        <v>0</v>
      </c>
      <c r="I120" s="9">
        <f t="shared" si="29"/>
        <v>0</v>
      </c>
      <c r="J120" s="9">
        <f t="shared" si="30"/>
        <v>0</v>
      </c>
    </row>
    <row r="121" spans="1:10">
      <c r="A121" s="8" t="s">
        <v>74</v>
      </c>
      <c r="B121" s="1" t="s">
        <v>341</v>
      </c>
      <c r="C121" s="1" t="s">
        <v>75</v>
      </c>
      <c r="D121" s="9">
        <v>28</v>
      </c>
      <c r="E121" s="9">
        <f>ведомство!H650</f>
        <v>28</v>
      </c>
      <c r="F121" s="9">
        <f>ведомство!I650</f>
        <v>14</v>
      </c>
      <c r="G121" s="9">
        <f>ведомство!J650</f>
        <v>14</v>
      </c>
      <c r="H121" s="9">
        <f>ведомство!K650</f>
        <v>3.39</v>
      </c>
      <c r="I121" s="9">
        <f t="shared" si="29"/>
        <v>12.107142857142858</v>
      </c>
      <c r="J121" s="9">
        <f t="shared" si="30"/>
        <v>24.214285714285715</v>
      </c>
    </row>
    <row r="122" spans="1:10" ht="25.5">
      <c r="A122" s="8" t="s">
        <v>76</v>
      </c>
      <c r="B122" s="1" t="s">
        <v>140</v>
      </c>
      <c r="C122" s="1" t="s">
        <v>0</v>
      </c>
      <c r="D122" s="9">
        <v>202630.5</v>
      </c>
      <c r="E122" s="9">
        <f>E123+E125+E127+E129</f>
        <v>202630.5</v>
      </c>
      <c r="F122" s="9">
        <f t="shared" ref="F122:H122" si="53">F123+F125+F127+F129</f>
        <v>92795.6</v>
      </c>
      <c r="G122" s="9">
        <f t="shared" si="53"/>
        <v>92781.644</v>
      </c>
      <c r="H122" s="9">
        <f t="shared" si="53"/>
        <v>90872.51354</v>
      </c>
      <c r="I122" s="9">
        <f t="shared" si="29"/>
        <v>44.846414305842409</v>
      </c>
      <c r="J122" s="9">
        <f t="shared" si="30"/>
        <v>97.927610296177818</v>
      </c>
    </row>
    <row r="123" spans="1:10" ht="51">
      <c r="A123" s="8" t="s">
        <v>60</v>
      </c>
      <c r="B123" s="1" t="s">
        <v>140</v>
      </c>
      <c r="C123" s="1" t="s">
        <v>61</v>
      </c>
      <c r="D123" s="9">
        <v>19101.5</v>
      </c>
      <c r="E123" s="9">
        <f>E124</f>
        <v>19101.5</v>
      </c>
      <c r="F123" s="9">
        <f t="shared" ref="F123:H123" si="54">F124</f>
        <v>9495.6</v>
      </c>
      <c r="G123" s="9">
        <f t="shared" si="54"/>
        <v>9495.6</v>
      </c>
      <c r="H123" s="9">
        <f t="shared" si="54"/>
        <v>8573.5493099999985</v>
      </c>
      <c r="I123" s="9">
        <f t="shared" si="29"/>
        <v>44.884167787870055</v>
      </c>
      <c r="J123" s="9">
        <f t="shared" si="30"/>
        <v>90.289705863768461</v>
      </c>
    </row>
    <row r="124" spans="1:10">
      <c r="A124" s="8" t="s">
        <v>78</v>
      </c>
      <c r="B124" s="1" t="s">
        <v>140</v>
      </c>
      <c r="C124" s="1" t="s">
        <v>79</v>
      </c>
      <c r="D124" s="9">
        <v>19101.5</v>
      </c>
      <c r="E124" s="9">
        <f>ведомство!H653</f>
        <v>19101.5</v>
      </c>
      <c r="F124" s="9">
        <f>ведомство!I653</f>
        <v>9495.6</v>
      </c>
      <c r="G124" s="9">
        <f>ведомство!J653</f>
        <v>9495.6</v>
      </c>
      <c r="H124" s="9">
        <f>ведомство!K653</f>
        <v>8573.5493099999985</v>
      </c>
      <c r="I124" s="9">
        <f t="shared" si="29"/>
        <v>44.884167787870055</v>
      </c>
      <c r="J124" s="9">
        <f t="shared" si="30"/>
        <v>90.289705863768461</v>
      </c>
    </row>
    <row r="125" spans="1:10" ht="25.5">
      <c r="A125" s="8" t="s">
        <v>64</v>
      </c>
      <c r="B125" s="1" t="s">
        <v>140</v>
      </c>
      <c r="C125" s="1" t="s">
        <v>65</v>
      </c>
      <c r="D125" s="9">
        <v>36594.199999999997</v>
      </c>
      <c r="E125" s="9">
        <f>E126</f>
        <v>36594.199999999997</v>
      </c>
      <c r="F125" s="9">
        <f t="shared" ref="F125:H125" si="55">F126</f>
        <v>18398.599999999999</v>
      </c>
      <c r="G125" s="9">
        <f t="shared" si="55"/>
        <v>18384.644</v>
      </c>
      <c r="H125" s="9">
        <f t="shared" si="55"/>
        <v>17424.181280000001</v>
      </c>
      <c r="I125" s="9">
        <f t="shared" si="29"/>
        <v>47.614598160364217</v>
      </c>
      <c r="J125" s="9">
        <f t="shared" si="30"/>
        <v>94.703843118498156</v>
      </c>
    </row>
    <row r="126" spans="1:10" ht="25.5">
      <c r="A126" s="8" t="s">
        <v>66</v>
      </c>
      <c r="B126" s="1" t="s">
        <v>140</v>
      </c>
      <c r="C126" s="1" t="s">
        <v>67</v>
      </c>
      <c r="D126" s="9">
        <v>36594.199999999997</v>
      </c>
      <c r="E126" s="9">
        <f>ведомство!H177+ведомство!H655</f>
        <v>36594.199999999997</v>
      </c>
      <c r="F126" s="9">
        <f>ведомство!I177+ведомство!I655</f>
        <v>18398.599999999999</v>
      </c>
      <c r="G126" s="9">
        <f>ведомство!J177+ведомство!J655</f>
        <v>18384.644</v>
      </c>
      <c r="H126" s="9">
        <f>ведомство!K177+ведомство!K655</f>
        <v>17424.181280000001</v>
      </c>
      <c r="I126" s="9">
        <f t="shared" si="29"/>
        <v>47.614598160364217</v>
      </c>
      <c r="J126" s="9">
        <f t="shared" si="30"/>
        <v>94.703843118498156</v>
      </c>
    </row>
    <row r="127" spans="1:10" ht="25.5">
      <c r="A127" s="8" t="s">
        <v>80</v>
      </c>
      <c r="B127" s="1" t="s">
        <v>140</v>
      </c>
      <c r="C127" s="1" t="s">
        <v>81</v>
      </c>
      <c r="D127" s="9">
        <v>144982.1</v>
      </c>
      <c r="E127" s="9">
        <f>E128</f>
        <v>144982.1</v>
      </c>
      <c r="F127" s="9">
        <f t="shared" ref="F127:H127" si="56">F128</f>
        <v>64034.9</v>
      </c>
      <c r="G127" s="9">
        <f t="shared" si="56"/>
        <v>64034.9</v>
      </c>
      <c r="H127" s="9">
        <f t="shared" si="56"/>
        <v>64034.9</v>
      </c>
      <c r="I127" s="9">
        <f t="shared" si="29"/>
        <v>44.167452395847484</v>
      </c>
      <c r="J127" s="9">
        <f t="shared" si="30"/>
        <v>100</v>
      </c>
    </row>
    <row r="128" spans="1:10">
      <c r="A128" s="8" t="s">
        <v>271</v>
      </c>
      <c r="B128" s="1" t="s">
        <v>140</v>
      </c>
      <c r="C128" s="1" t="s">
        <v>272</v>
      </c>
      <c r="D128" s="9">
        <v>144982.1</v>
      </c>
      <c r="E128" s="9">
        <f>ведомство!H657</f>
        <v>144982.1</v>
      </c>
      <c r="F128" s="9">
        <f>ведомство!I657</f>
        <v>64034.9</v>
      </c>
      <c r="G128" s="9">
        <f>ведомство!J657</f>
        <v>64034.9</v>
      </c>
      <c r="H128" s="9">
        <f>ведомство!K657</f>
        <v>64034.9</v>
      </c>
      <c r="I128" s="9">
        <f t="shared" si="29"/>
        <v>44.167452395847484</v>
      </c>
      <c r="J128" s="9">
        <f t="shared" si="30"/>
        <v>100</v>
      </c>
    </row>
    <row r="129" spans="1:10">
      <c r="A129" s="8" t="s">
        <v>72</v>
      </c>
      <c r="B129" s="1" t="s">
        <v>140</v>
      </c>
      <c r="C129" s="1" t="s">
        <v>73</v>
      </c>
      <c r="D129" s="9">
        <v>1952.7</v>
      </c>
      <c r="E129" s="9">
        <f>E130</f>
        <v>1952.7</v>
      </c>
      <c r="F129" s="9">
        <f t="shared" ref="F129:H129" si="57">F130</f>
        <v>866.5</v>
      </c>
      <c r="G129" s="9">
        <f t="shared" si="57"/>
        <v>866.5</v>
      </c>
      <c r="H129" s="9">
        <f t="shared" si="57"/>
        <v>839.88294999999994</v>
      </c>
      <c r="I129" s="9">
        <f t="shared" si="29"/>
        <v>43.011366313309772</v>
      </c>
      <c r="J129" s="9">
        <f t="shared" si="30"/>
        <v>96.928211194460474</v>
      </c>
    </row>
    <row r="130" spans="1:10">
      <c r="A130" s="8" t="s">
        <v>74</v>
      </c>
      <c r="B130" s="1" t="s">
        <v>140</v>
      </c>
      <c r="C130" s="1" t="s">
        <v>75</v>
      </c>
      <c r="D130" s="9">
        <v>1952.7</v>
      </c>
      <c r="E130" s="9">
        <f>ведомство!H659</f>
        <v>1952.7</v>
      </c>
      <c r="F130" s="9">
        <f>ведомство!I659</f>
        <v>866.5</v>
      </c>
      <c r="G130" s="9">
        <f>ведомство!J659</f>
        <v>866.5</v>
      </c>
      <c r="H130" s="9">
        <f>ведомство!K659</f>
        <v>839.88294999999994</v>
      </c>
      <c r="I130" s="9">
        <f t="shared" si="29"/>
        <v>43.011366313309772</v>
      </c>
      <c r="J130" s="9">
        <f t="shared" si="30"/>
        <v>96.928211194460474</v>
      </c>
    </row>
    <row r="131" spans="1:10" ht="38.25">
      <c r="A131" s="8" t="s">
        <v>37</v>
      </c>
      <c r="B131" s="1" t="s">
        <v>141</v>
      </c>
      <c r="C131" s="1" t="s">
        <v>0</v>
      </c>
      <c r="D131" s="9">
        <v>1785</v>
      </c>
      <c r="E131" s="9">
        <f>E132</f>
        <v>1785</v>
      </c>
      <c r="F131" s="9">
        <f t="shared" ref="F131:H132" si="58">F132</f>
        <v>1785</v>
      </c>
      <c r="G131" s="9">
        <f t="shared" si="58"/>
        <v>1785</v>
      </c>
      <c r="H131" s="9">
        <f t="shared" si="58"/>
        <v>1785</v>
      </c>
      <c r="I131" s="9">
        <f t="shared" si="29"/>
        <v>100</v>
      </c>
      <c r="J131" s="9">
        <f t="shared" si="30"/>
        <v>100</v>
      </c>
    </row>
    <row r="132" spans="1:10" ht="25.5">
      <c r="A132" s="8" t="s">
        <v>39</v>
      </c>
      <c r="B132" s="1" t="s">
        <v>141</v>
      </c>
      <c r="C132" s="1" t="s">
        <v>40</v>
      </c>
      <c r="D132" s="9">
        <v>1785</v>
      </c>
      <c r="E132" s="9">
        <f>E133</f>
        <v>1785</v>
      </c>
      <c r="F132" s="9">
        <f t="shared" si="58"/>
        <v>1785</v>
      </c>
      <c r="G132" s="9">
        <f t="shared" si="58"/>
        <v>1785</v>
      </c>
      <c r="H132" s="9">
        <f t="shared" si="58"/>
        <v>1785</v>
      </c>
      <c r="I132" s="9">
        <f t="shared" si="29"/>
        <v>100</v>
      </c>
      <c r="J132" s="9">
        <f t="shared" si="30"/>
        <v>100</v>
      </c>
    </row>
    <row r="133" spans="1:10">
      <c r="A133" s="8" t="s">
        <v>41</v>
      </c>
      <c r="B133" s="1" t="s">
        <v>141</v>
      </c>
      <c r="C133" s="1" t="s">
        <v>42</v>
      </c>
      <c r="D133" s="9">
        <v>1785</v>
      </c>
      <c r="E133" s="9">
        <f>ведомство!H180</f>
        <v>1785</v>
      </c>
      <c r="F133" s="9">
        <f>ведомство!I180</f>
        <v>1785</v>
      </c>
      <c r="G133" s="9">
        <f>ведомство!J180</f>
        <v>1785</v>
      </c>
      <c r="H133" s="9">
        <f>ведомство!K180</f>
        <v>1785</v>
      </c>
      <c r="I133" s="9">
        <f t="shared" si="29"/>
        <v>100</v>
      </c>
      <c r="J133" s="9">
        <f t="shared" si="30"/>
        <v>100</v>
      </c>
    </row>
    <row r="134" spans="1:10" ht="25.5">
      <c r="A134" s="8" t="s">
        <v>342</v>
      </c>
      <c r="B134" s="1" t="s">
        <v>343</v>
      </c>
      <c r="C134" s="1" t="s">
        <v>0</v>
      </c>
      <c r="D134" s="9">
        <v>7785215.4000000004</v>
      </c>
      <c r="E134" s="9">
        <f>E135</f>
        <v>7785215.4000000004</v>
      </c>
      <c r="F134" s="9">
        <f t="shared" ref="F134:H135" si="59">F135</f>
        <v>3892607.7</v>
      </c>
      <c r="G134" s="9">
        <f t="shared" si="59"/>
        <v>3892607.7</v>
      </c>
      <c r="H134" s="9">
        <f t="shared" si="59"/>
        <v>3892607.7</v>
      </c>
      <c r="I134" s="9">
        <f t="shared" si="29"/>
        <v>50</v>
      </c>
      <c r="J134" s="9">
        <f t="shared" si="30"/>
        <v>100</v>
      </c>
    </row>
    <row r="135" spans="1:10">
      <c r="A135" s="8" t="s">
        <v>68</v>
      </c>
      <c r="B135" s="1" t="s">
        <v>343</v>
      </c>
      <c r="C135" s="1" t="s">
        <v>69</v>
      </c>
      <c r="D135" s="9">
        <v>7785215.4000000004</v>
      </c>
      <c r="E135" s="9">
        <f>E136</f>
        <v>7785215.4000000004</v>
      </c>
      <c r="F135" s="9">
        <f t="shared" si="59"/>
        <v>3892607.7</v>
      </c>
      <c r="G135" s="9">
        <f t="shared" si="59"/>
        <v>3892607.7</v>
      </c>
      <c r="H135" s="9">
        <f t="shared" si="59"/>
        <v>3892607.7</v>
      </c>
      <c r="I135" s="9">
        <f t="shared" si="29"/>
        <v>50</v>
      </c>
      <c r="J135" s="9">
        <f t="shared" si="30"/>
        <v>100</v>
      </c>
    </row>
    <row r="136" spans="1:10" ht="25.5">
      <c r="A136" s="8" t="s">
        <v>151</v>
      </c>
      <c r="B136" s="1" t="s">
        <v>343</v>
      </c>
      <c r="C136" s="1" t="s">
        <v>152</v>
      </c>
      <c r="D136" s="9">
        <v>7785215.4000000004</v>
      </c>
      <c r="E136" s="9">
        <f>ведомство!H662</f>
        <v>7785215.4000000004</v>
      </c>
      <c r="F136" s="9">
        <f>ведомство!I662</f>
        <v>3892607.7</v>
      </c>
      <c r="G136" s="9">
        <f>ведомство!J662</f>
        <v>3892607.7</v>
      </c>
      <c r="H136" s="9">
        <f>ведомство!K662</f>
        <v>3892607.7</v>
      </c>
      <c r="I136" s="9">
        <f t="shared" si="29"/>
        <v>50</v>
      </c>
      <c r="J136" s="9">
        <f t="shared" si="30"/>
        <v>100</v>
      </c>
    </row>
    <row r="137" spans="1:10" ht="25.5">
      <c r="A137" s="8" t="s">
        <v>1138</v>
      </c>
      <c r="B137" s="25" t="s">
        <v>1137</v>
      </c>
      <c r="C137" s="1"/>
      <c r="D137" s="9"/>
      <c r="E137" s="9">
        <f>E138+E140</f>
        <v>4145.1379200000001</v>
      </c>
      <c r="F137" s="9">
        <f t="shared" ref="F137:H137" si="60">F138+F140</f>
        <v>1949.98756</v>
      </c>
      <c r="G137" s="9">
        <f t="shared" si="60"/>
        <v>1949.98756</v>
      </c>
      <c r="H137" s="9">
        <f t="shared" si="60"/>
        <v>1672.65398</v>
      </c>
      <c r="I137" s="9">
        <f t="shared" si="29"/>
        <v>40.352191224556407</v>
      </c>
      <c r="J137" s="9">
        <f t="shared" si="30"/>
        <v>85.77767439706129</v>
      </c>
    </row>
    <row r="138" spans="1:10" ht="51">
      <c r="A138" s="8" t="s">
        <v>60</v>
      </c>
      <c r="B138" s="25" t="s">
        <v>1137</v>
      </c>
      <c r="C138" s="1">
        <v>100</v>
      </c>
      <c r="D138" s="9"/>
      <c r="E138" s="9">
        <f>E139</f>
        <v>1610.61708</v>
      </c>
      <c r="F138" s="9">
        <f t="shared" ref="F138:H138" si="61">F139</f>
        <v>1073.7447199999999</v>
      </c>
      <c r="G138" s="9">
        <f t="shared" si="61"/>
        <v>1073.7447199999999</v>
      </c>
      <c r="H138" s="9">
        <f t="shared" si="61"/>
        <v>995.18697999999995</v>
      </c>
      <c r="I138" s="9">
        <f t="shared" si="29"/>
        <v>61.789173376951886</v>
      </c>
      <c r="J138" s="9">
        <f t="shared" si="30"/>
        <v>92.683760065427848</v>
      </c>
    </row>
    <row r="139" spans="1:10">
      <c r="A139" s="8" t="s">
        <v>78</v>
      </c>
      <c r="B139" s="25" t="s">
        <v>1137</v>
      </c>
      <c r="C139" s="1">
        <v>110</v>
      </c>
      <c r="D139" s="9"/>
      <c r="E139" s="9">
        <f>ведомство!H665</f>
        <v>1610.61708</v>
      </c>
      <c r="F139" s="9">
        <f>ведомство!I665</f>
        <v>1073.7447199999999</v>
      </c>
      <c r="G139" s="9">
        <f>ведомство!J665</f>
        <v>1073.7447199999999</v>
      </c>
      <c r="H139" s="9">
        <f>ведомство!K665</f>
        <v>995.18697999999995</v>
      </c>
      <c r="I139" s="9">
        <f t="shared" ref="I139:I202" si="62">H139/E139*100</f>
        <v>61.789173376951886</v>
      </c>
      <c r="J139" s="9">
        <f t="shared" ref="J139:J202" si="63">H139/F139*100</f>
        <v>92.683760065427848</v>
      </c>
    </row>
    <row r="140" spans="1:10" ht="25.5">
      <c r="A140" s="8" t="s">
        <v>64</v>
      </c>
      <c r="B140" s="25" t="s">
        <v>1137</v>
      </c>
      <c r="C140" s="1">
        <v>200</v>
      </c>
      <c r="D140" s="9"/>
      <c r="E140" s="9">
        <f>E141</f>
        <v>2534.5208400000001</v>
      </c>
      <c r="F140" s="9">
        <f t="shared" ref="F140:H140" si="64">F141</f>
        <v>876.24284</v>
      </c>
      <c r="G140" s="9">
        <f t="shared" si="64"/>
        <v>876.24284</v>
      </c>
      <c r="H140" s="9">
        <f t="shared" si="64"/>
        <v>677.46699999999998</v>
      </c>
      <c r="I140" s="9">
        <f t="shared" si="62"/>
        <v>26.729588855935386</v>
      </c>
      <c r="J140" s="9">
        <f t="shared" si="63"/>
        <v>77.314982682198007</v>
      </c>
    </row>
    <row r="141" spans="1:10" ht="25.5">
      <c r="A141" s="8" t="s">
        <v>66</v>
      </c>
      <c r="B141" s="25" t="s">
        <v>1137</v>
      </c>
      <c r="C141" s="1">
        <v>240</v>
      </c>
      <c r="D141" s="9"/>
      <c r="E141" s="9">
        <f>ведомство!H667</f>
        <v>2534.5208400000001</v>
      </c>
      <c r="F141" s="9">
        <f>ведомство!I667</f>
        <v>876.24284</v>
      </c>
      <c r="G141" s="9">
        <f>ведомство!J667</f>
        <v>876.24284</v>
      </c>
      <c r="H141" s="9">
        <f>ведомство!K667</f>
        <v>677.46699999999998</v>
      </c>
      <c r="I141" s="9">
        <f t="shared" si="62"/>
        <v>26.729588855935386</v>
      </c>
      <c r="J141" s="9">
        <f t="shared" si="63"/>
        <v>77.314982682198007</v>
      </c>
    </row>
    <row r="142" spans="1:10">
      <c r="A142" s="4" t="s">
        <v>0</v>
      </c>
      <c r="B142" s="17" t="s">
        <v>0</v>
      </c>
      <c r="C142" s="5" t="s">
        <v>0</v>
      </c>
      <c r="D142" s="7" t="s">
        <v>0</v>
      </c>
      <c r="E142" s="7" t="s">
        <v>0</v>
      </c>
      <c r="F142" s="7"/>
      <c r="G142" s="7"/>
      <c r="H142" s="7"/>
      <c r="I142" s="7"/>
      <c r="J142" s="7"/>
    </row>
    <row r="143" spans="1:10" ht="25.5">
      <c r="A143" s="4" t="s">
        <v>112</v>
      </c>
      <c r="B143" s="5" t="s">
        <v>113</v>
      </c>
      <c r="C143" s="5" t="s">
        <v>0</v>
      </c>
      <c r="D143" s="7">
        <v>17678255.399999999</v>
      </c>
      <c r="E143" s="7">
        <f>E144+E169+E227+E246+E283+E290+E298</f>
        <v>17742835.461475004</v>
      </c>
      <c r="F143" s="7">
        <f t="shared" ref="F143:H143" si="65">F144+F169+F227+F246+F283+F290+F298</f>
        <v>10357734.10736</v>
      </c>
      <c r="G143" s="7">
        <f t="shared" si="65"/>
        <v>10357205.85527</v>
      </c>
      <c r="H143" s="7">
        <f t="shared" si="65"/>
        <v>10097360.24134</v>
      </c>
      <c r="I143" s="7">
        <f t="shared" si="62"/>
        <v>56.909507295293281</v>
      </c>
      <c r="J143" s="7">
        <f t="shared" si="63"/>
        <v>97.486188935522264</v>
      </c>
    </row>
    <row r="144" spans="1:10" ht="25.5">
      <c r="A144" s="4" t="s">
        <v>395</v>
      </c>
      <c r="B144" s="5" t="s">
        <v>396</v>
      </c>
      <c r="C144" s="5" t="s">
        <v>0</v>
      </c>
      <c r="D144" s="7">
        <v>12429976.5</v>
      </c>
      <c r="E144" s="7">
        <f>E145+E148+E152+E155+E159+E162+E165</f>
        <v>12439911.499999998</v>
      </c>
      <c r="F144" s="7">
        <f t="shared" ref="F144:H144" si="66">F145+F148+F152+F155+F159+F162+F165</f>
        <v>7512925.3049999997</v>
      </c>
      <c r="G144" s="7">
        <f t="shared" si="66"/>
        <v>7512925.3049999997</v>
      </c>
      <c r="H144" s="7">
        <f t="shared" si="66"/>
        <v>7289647.1180299995</v>
      </c>
      <c r="I144" s="7">
        <f t="shared" si="62"/>
        <v>58.598866382851689</v>
      </c>
      <c r="J144" s="7">
        <f t="shared" si="63"/>
        <v>97.02807923803789</v>
      </c>
    </row>
    <row r="145" spans="1:10" ht="25.5">
      <c r="A145" s="39" t="s">
        <v>1154</v>
      </c>
      <c r="B145" s="38" t="s">
        <v>1153</v>
      </c>
      <c r="C145" s="6"/>
      <c r="D145" s="7"/>
      <c r="E145" s="23">
        <f>E146</f>
        <v>9935</v>
      </c>
      <c r="F145" s="23">
        <f t="shared" ref="F145:H146" si="67">F146</f>
        <v>9935</v>
      </c>
      <c r="G145" s="23">
        <f t="shared" si="67"/>
        <v>9935</v>
      </c>
      <c r="H145" s="23">
        <f t="shared" si="67"/>
        <v>0</v>
      </c>
      <c r="I145" s="23">
        <f t="shared" si="62"/>
        <v>0</v>
      </c>
      <c r="J145" s="23">
        <f t="shared" si="63"/>
        <v>0</v>
      </c>
    </row>
    <row r="146" spans="1:10" ht="25.5">
      <c r="A146" s="8" t="s">
        <v>80</v>
      </c>
      <c r="B146" s="38" t="s">
        <v>1153</v>
      </c>
      <c r="C146" s="1">
        <v>600</v>
      </c>
      <c r="D146" s="7"/>
      <c r="E146" s="23">
        <f>E147</f>
        <v>9935</v>
      </c>
      <c r="F146" s="23">
        <f t="shared" si="67"/>
        <v>9935</v>
      </c>
      <c r="G146" s="23">
        <f t="shared" si="67"/>
        <v>9935</v>
      </c>
      <c r="H146" s="23">
        <f t="shared" si="67"/>
        <v>0</v>
      </c>
      <c r="I146" s="23">
        <f t="shared" si="62"/>
        <v>0</v>
      </c>
      <c r="J146" s="23">
        <f t="shared" si="63"/>
        <v>0</v>
      </c>
    </row>
    <row r="147" spans="1:10">
      <c r="A147" s="8" t="s">
        <v>82</v>
      </c>
      <c r="B147" s="38" t="s">
        <v>1153</v>
      </c>
      <c r="C147" s="6">
        <v>620</v>
      </c>
      <c r="D147" s="7"/>
      <c r="E147" s="23">
        <f>ведомство!H956</f>
        <v>9935</v>
      </c>
      <c r="F147" s="23">
        <f>ведомство!I956</f>
        <v>9935</v>
      </c>
      <c r="G147" s="23">
        <f>ведомство!J956</f>
        <v>9935</v>
      </c>
      <c r="H147" s="23">
        <f>ведомство!K956</f>
        <v>0</v>
      </c>
      <c r="I147" s="23">
        <f t="shared" si="62"/>
        <v>0</v>
      </c>
      <c r="J147" s="23">
        <f t="shared" si="63"/>
        <v>0</v>
      </c>
    </row>
    <row r="148" spans="1:10" ht="25.5">
      <c r="A148" s="8" t="s">
        <v>76</v>
      </c>
      <c r="B148" s="1" t="s">
        <v>397</v>
      </c>
      <c r="C148" s="1" t="s">
        <v>0</v>
      </c>
      <c r="D148" s="9">
        <v>266575.09999999998</v>
      </c>
      <c r="E148" s="9">
        <f>E149</f>
        <v>266575.09999999998</v>
      </c>
      <c r="F148" s="9">
        <f t="shared" ref="F148:H148" si="68">F149</f>
        <v>147731.15400000001</v>
      </c>
      <c r="G148" s="9">
        <f t="shared" si="68"/>
        <v>147731.15400000001</v>
      </c>
      <c r="H148" s="9">
        <f t="shared" si="68"/>
        <v>147731.15400000001</v>
      </c>
      <c r="I148" s="9">
        <f t="shared" si="62"/>
        <v>55.418211978538132</v>
      </c>
      <c r="J148" s="9">
        <f t="shared" si="63"/>
        <v>100</v>
      </c>
    </row>
    <row r="149" spans="1:10" ht="25.5">
      <c r="A149" s="8" t="s">
        <v>80</v>
      </c>
      <c r="B149" s="1" t="s">
        <v>397</v>
      </c>
      <c r="C149" s="1" t="s">
        <v>81</v>
      </c>
      <c r="D149" s="9">
        <v>266575.09999999998</v>
      </c>
      <c r="E149" s="9">
        <f>E150+E151</f>
        <v>266575.09999999998</v>
      </c>
      <c r="F149" s="9">
        <f t="shared" ref="F149:H149" si="69">F150+F151</f>
        <v>147731.15400000001</v>
      </c>
      <c r="G149" s="9">
        <f t="shared" si="69"/>
        <v>147731.15400000001</v>
      </c>
      <c r="H149" s="9">
        <f t="shared" si="69"/>
        <v>147731.15400000001</v>
      </c>
      <c r="I149" s="9">
        <f t="shared" si="62"/>
        <v>55.418211978538132</v>
      </c>
      <c r="J149" s="9">
        <f t="shared" si="63"/>
        <v>100</v>
      </c>
    </row>
    <row r="150" spans="1:10">
      <c r="A150" s="8" t="s">
        <v>271</v>
      </c>
      <c r="B150" s="1" t="s">
        <v>397</v>
      </c>
      <c r="C150" s="1" t="s">
        <v>272</v>
      </c>
      <c r="D150" s="9">
        <v>238877.9</v>
      </c>
      <c r="E150" s="9">
        <f>ведомство!H882+ведомство!H959</f>
        <v>238877.9</v>
      </c>
      <c r="F150" s="9">
        <f>ведомство!I882+ведомство!I959</f>
        <v>133274.65400000001</v>
      </c>
      <c r="G150" s="9">
        <f>ведомство!J882+ведомство!J959</f>
        <v>133274.65400000001</v>
      </c>
      <c r="H150" s="9">
        <f>ведомство!K882+ведомство!K959</f>
        <v>133274.65400000001</v>
      </c>
      <c r="I150" s="9">
        <f t="shared" si="62"/>
        <v>55.791956476509554</v>
      </c>
      <c r="J150" s="9">
        <f t="shared" si="63"/>
        <v>100</v>
      </c>
    </row>
    <row r="151" spans="1:10">
      <c r="A151" s="8" t="s">
        <v>82</v>
      </c>
      <c r="B151" s="1" t="s">
        <v>397</v>
      </c>
      <c r="C151" s="1" t="s">
        <v>83</v>
      </c>
      <c r="D151" s="9">
        <v>27697.200000000001</v>
      </c>
      <c r="E151" s="9">
        <f>ведомство!H960</f>
        <v>27697.200000000001</v>
      </c>
      <c r="F151" s="9">
        <f>ведомство!I960</f>
        <v>14456.5</v>
      </c>
      <c r="G151" s="9">
        <f>ведомство!J960</f>
        <v>14456.5</v>
      </c>
      <c r="H151" s="9">
        <f>ведомство!K960</f>
        <v>14456.5</v>
      </c>
      <c r="I151" s="9">
        <f t="shared" si="62"/>
        <v>52.194806695261612</v>
      </c>
      <c r="J151" s="9">
        <f t="shared" si="63"/>
        <v>100</v>
      </c>
    </row>
    <row r="152" spans="1:10" ht="63.75">
      <c r="A152" s="8" t="s">
        <v>367</v>
      </c>
      <c r="B152" s="1" t="s">
        <v>423</v>
      </c>
      <c r="C152" s="1" t="s">
        <v>0</v>
      </c>
      <c r="D152" s="9">
        <v>3910.4</v>
      </c>
      <c r="E152" s="9">
        <f>E153</f>
        <v>3910.4</v>
      </c>
      <c r="F152" s="9">
        <f t="shared" ref="F152:H153" si="70">F153</f>
        <v>0</v>
      </c>
      <c r="G152" s="9">
        <f t="shared" si="70"/>
        <v>0</v>
      </c>
      <c r="H152" s="9">
        <f t="shared" si="70"/>
        <v>0</v>
      </c>
      <c r="I152" s="9">
        <f t="shared" si="62"/>
        <v>0</v>
      </c>
      <c r="J152" s="9">
        <v>0</v>
      </c>
    </row>
    <row r="153" spans="1:10">
      <c r="A153" s="8" t="s">
        <v>72</v>
      </c>
      <c r="B153" s="1" t="s">
        <v>423</v>
      </c>
      <c r="C153" s="1" t="s">
        <v>73</v>
      </c>
      <c r="D153" s="9">
        <v>3910.4</v>
      </c>
      <c r="E153" s="9">
        <f>E154</f>
        <v>3910.4</v>
      </c>
      <c r="F153" s="9">
        <f t="shared" si="70"/>
        <v>0</v>
      </c>
      <c r="G153" s="9">
        <f t="shared" si="70"/>
        <v>0</v>
      </c>
      <c r="H153" s="9">
        <f t="shared" si="70"/>
        <v>0</v>
      </c>
      <c r="I153" s="9">
        <f t="shared" si="62"/>
        <v>0</v>
      </c>
      <c r="J153" s="9">
        <v>0</v>
      </c>
    </row>
    <row r="154" spans="1:10">
      <c r="A154" s="8" t="s">
        <v>369</v>
      </c>
      <c r="B154" s="1" t="s">
        <v>423</v>
      </c>
      <c r="C154" s="1" t="s">
        <v>370</v>
      </c>
      <c r="D154" s="9">
        <v>3910.4</v>
      </c>
      <c r="E154" s="9">
        <f>ведомство!H963</f>
        <v>3910.4</v>
      </c>
      <c r="F154" s="9">
        <f>ведомство!I963</f>
        <v>0</v>
      </c>
      <c r="G154" s="9">
        <f>ведомство!J963</f>
        <v>0</v>
      </c>
      <c r="H154" s="9">
        <f>ведомство!K963</f>
        <v>0</v>
      </c>
      <c r="I154" s="9">
        <f t="shared" si="62"/>
        <v>0</v>
      </c>
      <c r="J154" s="9">
        <v>0</v>
      </c>
    </row>
    <row r="155" spans="1:10">
      <c r="A155" s="8" t="s">
        <v>424</v>
      </c>
      <c r="B155" s="1" t="s">
        <v>425</v>
      </c>
      <c r="C155" s="1" t="s">
        <v>0</v>
      </c>
      <c r="D155" s="9">
        <v>46946.6</v>
      </c>
      <c r="E155" s="9">
        <f>E156</f>
        <v>46946.600000000006</v>
      </c>
      <c r="F155" s="9">
        <f t="shared" ref="F155:H155" si="71">F156</f>
        <v>34533.859000000004</v>
      </c>
      <c r="G155" s="9">
        <f t="shared" si="71"/>
        <v>34533.859000000004</v>
      </c>
      <c r="H155" s="9">
        <f t="shared" si="71"/>
        <v>34533.859000000004</v>
      </c>
      <c r="I155" s="9">
        <f t="shared" si="62"/>
        <v>73.559872280420734</v>
      </c>
      <c r="J155" s="9">
        <f t="shared" si="63"/>
        <v>100</v>
      </c>
    </row>
    <row r="156" spans="1:10" ht="25.5">
      <c r="A156" s="8" t="s">
        <v>80</v>
      </c>
      <c r="B156" s="1" t="s">
        <v>425</v>
      </c>
      <c r="C156" s="1" t="s">
        <v>81</v>
      </c>
      <c r="D156" s="9">
        <v>46946.6</v>
      </c>
      <c r="E156" s="9">
        <f>E157+E158</f>
        <v>46946.600000000006</v>
      </c>
      <c r="F156" s="9">
        <f t="shared" ref="F156:H156" si="72">F157+F158</f>
        <v>34533.859000000004</v>
      </c>
      <c r="G156" s="9">
        <f t="shared" si="72"/>
        <v>34533.859000000004</v>
      </c>
      <c r="H156" s="9">
        <f t="shared" si="72"/>
        <v>34533.859000000004</v>
      </c>
      <c r="I156" s="9">
        <f t="shared" si="62"/>
        <v>73.559872280420734</v>
      </c>
      <c r="J156" s="9">
        <f t="shared" si="63"/>
        <v>100</v>
      </c>
    </row>
    <row r="157" spans="1:10">
      <c r="A157" s="8" t="s">
        <v>271</v>
      </c>
      <c r="B157" s="1" t="s">
        <v>425</v>
      </c>
      <c r="C157" s="1" t="s">
        <v>272</v>
      </c>
      <c r="D157" s="9">
        <v>7318.3</v>
      </c>
      <c r="E157" s="9">
        <f>ведомство!H966</f>
        <v>7318.3</v>
      </c>
      <c r="F157" s="9">
        <f>ведомство!I966</f>
        <v>5636.3540000000003</v>
      </c>
      <c r="G157" s="9">
        <f>ведомство!J966</f>
        <v>5636.3540000000003</v>
      </c>
      <c r="H157" s="9">
        <f>ведомство!K966</f>
        <v>5636.3540000000003</v>
      </c>
      <c r="I157" s="9">
        <f t="shared" si="62"/>
        <v>77.017258106390827</v>
      </c>
      <c r="J157" s="9">
        <f t="shared" si="63"/>
        <v>100</v>
      </c>
    </row>
    <row r="158" spans="1:10">
      <c r="A158" s="8" t="s">
        <v>82</v>
      </c>
      <c r="B158" s="1" t="s">
        <v>425</v>
      </c>
      <c r="C158" s="1" t="s">
        <v>83</v>
      </c>
      <c r="D158" s="9">
        <v>39628.300000000003</v>
      </c>
      <c r="E158" s="9">
        <f>ведомство!H967</f>
        <v>39628.300000000003</v>
      </c>
      <c r="F158" s="9">
        <f>ведомство!I967</f>
        <v>28897.505000000001</v>
      </c>
      <c r="G158" s="9">
        <f>ведомство!J967</f>
        <v>28897.505000000001</v>
      </c>
      <c r="H158" s="9">
        <f>ведомство!K967</f>
        <v>28897.505000000001</v>
      </c>
      <c r="I158" s="9">
        <f t="shared" si="62"/>
        <v>72.921384465142339</v>
      </c>
      <c r="J158" s="9">
        <f t="shared" si="63"/>
        <v>100</v>
      </c>
    </row>
    <row r="159" spans="1:10" ht="51">
      <c r="A159" s="8" t="s">
        <v>455</v>
      </c>
      <c r="B159" s="1" t="s">
        <v>456</v>
      </c>
      <c r="C159" s="1" t="s">
        <v>0</v>
      </c>
      <c r="D159" s="9">
        <v>2691.1</v>
      </c>
      <c r="E159" s="9">
        <f>E160</f>
        <v>2691.1</v>
      </c>
      <c r="F159" s="9">
        <f t="shared" ref="F159:H160" si="73">F160</f>
        <v>1278.5899999999999</v>
      </c>
      <c r="G159" s="9">
        <f t="shared" si="73"/>
        <v>1278.5899999999999</v>
      </c>
      <c r="H159" s="9">
        <f t="shared" si="73"/>
        <v>1278.5899999999999</v>
      </c>
      <c r="I159" s="9">
        <f t="shared" si="62"/>
        <v>47.511798149455615</v>
      </c>
      <c r="J159" s="9">
        <f t="shared" si="63"/>
        <v>100</v>
      </c>
    </row>
    <row r="160" spans="1:10">
      <c r="A160" s="8" t="s">
        <v>26</v>
      </c>
      <c r="B160" s="1" t="s">
        <v>456</v>
      </c>
      <c r="C160" s="1" t="s">
        <v>27</v>
      </c>
      <c r="D160" s="9">
        <v>2691.1</v>
      </c>
      <c r="E160" s="9">
        <f>E161</f>
        <v>2691.1</v>
      </c>
      <c r="F160" s="9">
        <f t="shared" si="73"/>
        <v>1278.5899999999999</v>
      </c>
      <c r="G160" s="9">
        <f t="shared" si="73"/>
        <v>1278.5899999999999</v>
      </c>
      <c r="H160" s="9">
        <f t="shared" si="73"/>
        <v>1278.5899999999999</v>
      </c>
      <c r="I160" s="9">
        <f t="shared" si="62"/>
        <v>47.511798149455615</v>
      </c>
      <c r="J160" s="9">
        <f t="shared" si="63"/>
        <v>100</v>
      </c>
    </row>
    <row r="161" spans="1:10">
      <c r="A161" s="8" t="s">
        <v>56</v>
      </c>
      <c r="B161" s="1" t="s">
        <v>456</v>
      </c>
      <c r="C161" s="1" t="s">
        <v>57</v>
      </c>
      <c r="D161" s="9">
        <v>2691.1</v>
      </c>
      <c r="E161" s="9">
        <f>ведомство!H1066</f>
        <v>2691.1</v>
      </c>
      <c r="F161" s="9">
        <f>ведомство!I1066</f>
        <v>1278.5899999999999</v>
      </c>
      <c r="G161" s="9">
        <f>ведомство!J1066</f>
        <v>1278.5899999999999</v>
      </c>
      <c r="H161" s="9">
        <f>ведомство!K1066</f>
        <v>1278.5899999999999</v>
      </c>
      <c r="I161" s="9">
        <f t="shared" si="62"/>
        <v>47.511798149455615</v>
      </c>
      <c r="J161" s="9">
        <f t="shared" si="63"/>
        <v>100</v>
      </c>
    </row>
    <row r="162" spans="1:10">
      <c r="A162" s="8" t="s">
        <v>398</v>
      </c>
      <c r="B162" s="1" t="s">
        <v>399</v>
      </c>
      <c r="C162" s="1" t="s">
        <v>0</v>
      </c>
      <c r="D162" s="9">
        <v>11721353.1</v>
      </c>
      <c r="E162" s="9">
        <f>E163</f>
        <v>11721353.1</v>
      </c>
      <c r="F162" s="9">
        <f t="shared" ref="F162:H163" si="74">F163</f>
        <v>7102840.9869999997</v>
      </c>
      <c r="G162" s="9">
        <f t="shared" si="74"/>
        <v>7102840.9869999997</v>
      </c>
      <c r="H162" s="9">
        <f t="shared" si="74"/>
        <v>6903388.8921999997</v>
      </c>
      <c r="I162" s="9">
        <f t="shared" si="62"/>
        <v>58.895835944060067</v>
      </c>
      <c r="J162" s="9">
        <f t="shared" si="63"/>
        <v>97.19193918088483</v>
      </c>
    </row>
    <row r="163" spans="1:10">
      <c r="A163" s="8" t="s">
        <v>26</v>
      </c>
      <c r="B163" s="1" t="s">
        <v>399</v>
      </c>
      <c r="C163" s="1" t="s">
        <v>27</v>
      </c>
      <c r="D163" s="9">
        <v>11721353.1</v>
      </c>
      <c r="E163" s="9">
        <f>E164</f>
        <v>11721353.1</v>
      </c>
      <c r="F163" s="9">
        <f t="shared" si="74"/>
        <v>7102840.9869999997</v>
      </c>
      <c r="G163" s="9">
        <f t="shared" si="74"/>
        <v>7102840.9869999997</v>
      </c>
      <c r="H163" s="9">
        <f t="shared" si="74"/>
        <v>6903388.8921999997</v>
      </c>
      <c r="I163" s="9">
        <f t="shared" si="62"/>
        <v>58.895835944060067</v>
      </c>
      <c r="J163" s="9">
        <f t="shared" si="63"/>
        <v>97.19193918088483</v>
      </c>
    </row>
    <row r="164" spans="1:10">
      <c r="A164" s="8" t="s">
        <v>28</v>
      </c>
      <c r="B164" s="1" t="s">
        <v>399</v>
      </c>
      <c r="C164" s="1" t="s">
        <v>29</v>
      </c>
      <c r="D164" s="9">
        <v>11721353.1</v>
      </c>
      <c r="E164" s="9">
        <f>ведомство!H885</f>
        <v>11721353.1</v>
      </c>
      <c r="F164" s="9">
        <f>ведомство!I885</f>
        <v>7102840.9869999997</v>
      </c>
      <c r="G164" s="9">
        <f>ведомство!J885</f>
        <v>7102840.9869999997</v>
      </c>
      <c r="H164" s="9">
        <f>ведомство!K885</f>
        <v>6903388.8921999997</v>
      </c>
      <c r="I164" s="9">
        <f t="shared" si="62"/>
        <v>58.895835944060067</v>
      </c>
      <c r="J164" s="9">
        <f t="shared" si="63"/>
        <v>97.19193918088483</v>
      </c>
    </row>
    <row r="165" spans="1:10" ht="38.25">
      <c r="A165" s="8" t="s">
        <v>457</v>
      </c>
      <c r="B165" s="1" t="s">
        <v>458</v>
      </c>
      <c r="C165" s="1" t="s">
        <v>0</v>
      </c>
      <c r="D165" s="9">
        <v>388500.2</v>
      </c>
      <c r="E165" s="9">
        <f>E166</f>
        <v>388500.2</v>
      </c>
      <c r="F165" s="9">
        <f t="shared" ref="F165:H166" si="75">F166</f>
        <v>216605.715</v>
      </c>
      <c r="G165" s="9">
        <f t="shared" si="75"/>
        <v>216605.715</v>
      </c>
      <c r="H165" s="9">
        <f t="shared" si="75"/>
        <v>202714.62283000001</v>
      </c>
      <c r="I165" s="9">
        <f t="shared" si="62"/>
        <v>52.178769233580837</v>
      </c>
      <c r="J165" s="9">
        <f t="shared" si="63"/>
        <v>93.586922593432035</v>
      </c>
    </row>
    <row r="166" spans="1:10">
      <c r="A166" s="8" t="s">
        <v>26</v>
      </c>
      <c r="B166" s="1" t="s">
        <v>458</v>
      </c>
      <c r="C166" s="1" t="s">
        <v>27</v>
      </c>
      <c r="D166" s="9">
        <v>388500.2</v>
      </c>
      <c r="E166" s="9">
        <f>E167</f>
        <v>388500.2</v>
      </c>
      <c r="F166" s="9">
        <f t="shared" si="75"/>
        <v>216605.715</v>
      </c>
      <c r="G166" s="9">
        <f t="shared" si="75"/>
        <v>216605.715</v>
      </c>
      <c r="H166" s="9">
        <f t="shared" si="75"/>
        <v>202714.62283000001</v>
      </c>
      <c r="I166" s="9">
        <f t="shared" si="62"/>
        <v>52.178769233580837</v>
      </c>
      <c r="J166" s="9">
        <f t="shared" si="63"/>
        <v>93.586922593432035</v>
      </c>
    </row>
    <row r="167" spans="1:10">
      <c r="A167" s="8" t="s">
        <v>28</v>
      </c>
      <c r="B167" s="1" t="s">
        <v>458</v>
      </c>
      <c r="C167" s="1" t="s">
        <v>29</v>
      </c>
      <c r="D167" s="9">
        <v>388500.2</v>
      </c>
      <c r="E167" s="9">
        <f>ведомство!H1069</f>
        <v>388500.2</v>
      </c>
      <c r="F167" s="9">
        <f>ведомство!I1069</f>
        <v>216605.715</v>
      </c>
      <c r="G167" s="9">
        <f>ведомство!J1069</f>
        <v>216605.715</v>
      </c>
      <c r="H167" s="9">
        <f>ведомство!K1069</f>
        <v>202714.62283000001</v>
      </c>
      <c r="I167" s="9">
        <f t="shared" si="62"/>
        <v>52.178769233580837</v>
      </c>
      <c r="J167" s="9">
        <f t="shared" si="63"/>
        <v>93.586922593432035</v>
      </c>
    </row>
    <row r="168" spans="1:10">
      <c r="A168" s="4" t="s">
        <v>0</v>
      </c>
      <c r="B168" s="17" t="s">
        <v>0</v>
      </c>
      <c r="C168" s="5" t="s">
        <v>0</v>
      </c>
      <c r="D168" s="7" t="s">
        <v>0</v>
      </c>
      <c r="E168" s="7" t="s">
        <v>0</v>
      </c>
      <c r="F168" s="7" t="s">
        <v>0</v>
      </c>
      <c r="G168" s="7" t="s">
        <v>0</v>
      </c>
      <c r="H168" s="7" t="s">
        <v>0</v>
      </c>
      <c r="I168" s="7"/>
      <c r="J168" s="7"/>
    </row>
    <row r="169" spans="1:10" ht="63.75">
      <c r="A169" s="4" t="s">
        <v>400</v>
      </c>
      <c r="B169" s="5" t="s">
        <v>401</v>
      </c>
      <c r="C169" s="5" t="s">
        <v>0</v>
      </c>
      <c r="D169" s="7">
        <v>2351165.9</v>
      </c>
      <c r="E169" s="7">
        <f>E170+E173+E178+E181+E184+E187+E193+E198+E203+E206+E211+E214+E217+E220+E223</f>
        <v>2378506.7340150001</v>
      </c>
      <c r="F169" s="7">
        <f t="shared" ref="F169:H169" si="76">F170+F173+F178+F181+F184+F187+F193+F198+F203+F206+F211+F214+F217+F220+F223</f>
        <v>1196725.86305</v>
      </c>
      <c r="G169" s="7">
        <f t="shared" si="76"/>
        <v>1196725.86305</v>
      </c>
      <c r="H169" s="7">
        <f t="shared" si="76"/>
        <v>1165921.7307700003</v>
      </c>
      <c r="I169" s="7">
        <f t="shared" si="62"/>
        <v>49.019063687992379</v>
      </c>
      <c r="J169" s="7">
        <f t="shared" si="63"/>
        <v>97.425965859759074</v>
      </c>
    </row>
    <row r="170" spans="1:10" ht="38.25">
      <c r="A170" s="8" t="s">
        <v>459</v>
      </c>
      <c r="B170" s="1" t="s">
        <v>460</v>
      </c>
      <c r="C170" s="1" t="s">
        <v>0</v>
      </c>
      <c r="D170" s="9">
        <v>88281.2</v>
      </c>
      <c r="E170" s="9">
        <f>E171</f>
        <v>88281.2</v>
      </c>
      <c r="F170" s="9">
        <f t="shared" ref="F170:H171" si="77">F171</f>
        <v>5001.0079999999998</v>
      </c>
      <c r="G170" s="9">
        <f t="shared" si="77"/>
        <v>5001.0079999999998</v>
      </c>
      <c r="H170" s="9">
        <f t="shared" si="77"/>
        <v>4999.3580000000002</v>
      </c>
      <c r="I170" s="9">
        <f t="shared" si="62"/>
        <v>5.6629928002791079</v>
      </c>
      <c r="J170" s="9">
        <f t="shared" si="63"/>
        <v>99.967006651459073</v>
      </c>
    </row>
    <row r="171" spans="1:10">
      <c r="A171" s="8" t="s">
        <v>26</v>
      </c>
      <c r="B171" s="1" t="s">
        <v>460</v>
      </c>
      <c r="C171" s="1" t="s">
        <v>27</v>
      </c>
      <c r="D171" s="9">
        <v>88281.2</v>
      </c>
      <c r="E171" s="9">
        <f>E172</f>
        <v>88281.2</v>
      </c>
      <c r="F171" s="9">
        <f t="shared" si="77"/>
        <v>5001.0079999999998</v>
      </c>
      <c r="G171" s="9">
        <f t="shared" si="77"/>
        <v>5001.0079999999998</v>
      </c>
      <c r="H171" s="9">
        <f t="shared" si="77"/>
        <v>4999.3580000000002</v>
      </c>
      <c r="I171" s="9">
        <f t="shared" si="62"/>
        <v>5.6629928002791079</v>
      </c>
      <c r="J171" s="9">
        <f t="shared" si="63"/>
        <v>99.967006651459073</v>
      </c>
    </row>
    <row r="172" spans="1:10">
      <c r="A172" s="8" t="s">
        <v>28</v>
      </c>
      <c r="B172" s="1" t="s">
        <v>460</v>
      </c>
      <c r="C172" s="1" t="s">
        <v>29</v>
      </c>
      <c r="D172" s="9">
        <v>88281.2</v>
      </c>
      <c r="E172" s="9">
        <f>ведомство!H1073</f>
        <v>88281.2</v>
      </c>
      <c r="F172" s="9">
        <f>ведомство!I1073</f>
        <v>5001.0079999999998</v>
      </c>
      <c r="G172" s="9">
        <f>ведомство!J1073</f>
        <v>5001.0079999999998</v>
      </c>
      <c r="H172" s="9">
        <f>ведомство!K1073</f>
        <v>4999.3580000000002</v>
      </c>
      <c r="I172" s="9">
        <f t="shared" si="62"/>
        <v>5.6629928002791079</v>
      </c>
      <c r="J172" s="9">
        <f t="shared" si="63"/>
        <v>99.967006651459073</v>
      </c>
    </row>
    <row r="173" spans="1:10" ht="25.5">
      <c r="A173" s="8" t="s">
        <v>461</v>
      </c>
      <c r="B173" s="1" t="s">
        <v>462</v>
      </c>
      <c r="C173" s="1" t="s">
        <v>0</v>
      </c>
      <c r="D173" s="9">
        <v>8494.4</v>
      </c>
      <c r="E173" s="9">
        <f>E174+E176</f>
        <v>8494.4</v>
      </c>
      <c r="F173" s="9">
        <f t="shared" ref="F173:H173" si="78">F174+F176</f>
        <v>4953.3822200000004</v>
      </c>
      <c r="G173" s="9">
        <f t="shared" si="78"/>
        <v>4953.3822200000004</v>
      </c>
      <c r="H173" s="9">
        <f t="shared" si="78"/>
        <v>4950.9833000000008</v>
      </c>
      <c r="I173" s="9">
        <f t="shared" si="62"/>
        <v>58.285262055000956</v>
      </c>
      <c r="J173" s="9">
        <f t="shared" si="63"/>
        <v>99.951570060749333</v>
      </c>
    </row>
    <row r="174" spans="1:10" ht="25.5">
      <c r="A174" s="8" t="s">
        <v>64</v>
      </c>
      <c r="B174" s="1" t="s">
        <v>462</v>
      </c>
      <c r="C174" s="1" t="s">
        <v>65</v>
      </c>
      <c r="D174" s="9">
        <v>122.6</v>
      </c>
      <c r="E174" s="9">
        <f>E175</f>
        <v>122.6</v>
      </c>
      <c r="F174" s="9">
        <f t="shared" ref="F174:H174" si="79">F175</f>
        <v>7</v>
      </c>
      <c r="G174" s="9">
        <f t="shared" si="79"/>
        <v>7</v>
      </c>
      <c r="H174" s="9">
        <f t="shared" si="79"/>
        <v>4.6010799999999996</v>
      </c>
      <c r="I174" s="9">
        <f t="shared" si="62"/>
        <v>3.7529200652528543</v>
      </c>
      <c r="J174" s="9">
        <f t="shared" si="63"/>
        <v>65.72971428571428</v>
      </c>
    </row>
    <row r="175" spans="1:10" ht="25.5">
      <c r="A175" s="8" t="s">
        <v>66</v>
      </c>
      <c r="B175" s="1" t="s">
        <v>462</v>
      </c>
      <c r="C175" s="1" t="s">
        <v>67</v>
      </c>
      <c r="D175" s="9">
        <v>122.6</v>
      </c>
      <c r="E175" s="9">
        <f>ведомство!H1076</f>
        <v>122.6</v>
      </c>
      <c r="F175" s="9">
        <f>ведомство!I1076</f>
        <v>7</v>
      </c>
      <c r="G175" s="9">
        <f>ведомство!J1076</f>
        <v>7</v>
      </c>
      <c r="H175" s="9">
        <f>ведомство!K1076</f>
        <v>4.6010799999999996</v>
      </c>
      <c r="I175" s="9">
        <f t="shared" si="62"/>
        <v>3.7529200652528543</v>
      </c>
      <c r="J175" s="9">
        <f t="shared" si="63"/>
        <v>65.72971428571428</v>
      </c>
    </row>
    <row r="176" spans="1:10">
      <c r="A176" s="8" t="s">
        <v>68</v>
      </c>
      <c r="B176" s="1" t="s">
        <v>462</v>
      </c>
      <c r="C176" s="1" t="s">
        <v>69</v>
      </c>
      <c r="D176" s="9">
        <v>8371.7999999999993</v>
      </c>
      <c r="E176" s="9">
        <f>E177</f>
        <v>8371.7999999999993</v>
      </c>
      <c r="F176" s="9">
        <f t="shared" ref="F176:H176" si="80">F177</f>
        <v>4946.3822200000004</v>
      </c>
      <c r="G176" s="9">
        <f t="shared" si="80"/>
        <v>4946.3822200000004</v>
      </c>
      <c r="H176" s="9">
        <f t="shared" si="80"/>
        <v>4946.3822200000004</v>
      </c>
      <c r="I176" s="9">
        <f t="shared" si="62"/>
        <v>59.083855562722491</v>
      </c>
      <c r="J176" s="9">
        <f t="shared" si="63"/>
        <v>100</v>
      </c>
    </row>
    <row r="177" spans="1:10">
      <c r="A177" s="8" t="s">
        <v>463</v>
      </c>
      <c r="B177" s="1" t="s">
        <v>462</v>
      </c>
      <c r="C177" s="1" t="s">
        <v>464</v>
      </c>
      <c r="D177" s="9">
        <v>8371.7999999999993</v>
      </c>
      <c r="E177" s="9">
        <f>ведомство!H1078</f>
        <v>8371.7999999999993</v>
      </c>
      <c r="F177" s="9">
        <f>ведомство!I1078</f>
        <v>4946.3822200000004</v>
      </c>
      <c r="G177" s="9">
        <f>ведомство!J1078</f>
        <v>4946.3822200000004</v>
      </c>
      <c r="H177" s="9">
        <f>ведомство!K1078</f>
        <v>4946.3822200000004</v>
      </c>
      <c r="I177" s="9">
        <f t="shared" si="62"/>
        <v>59.083855562722491</v>
      </c>
      <c r="J177" s="9">
        <f t="shared" si="63"/>
        <v>100</v>
      </c>
    </row>
    <row r="178" spans="1:10" ht="25.5">
      <c r="A178" s="8" t="s">
        <v>1157</v>
      </c>
      <c r="B178" s="25" t="s">
        <v>1152</v>
      </c>
      <c r="C178" s="6"/>
      <c r="D178" s="9"/>
      <c r="E178" s="9">
        <f>E179</f>
        <v>27340.909</v>
      </c>
      <c r="F178" s="9">
        <f t="shared" ref="F178:H179" si="81">F179</f>
        <v>27340.909</v>
      </c>
      <c r="G178" s="9">
        <f t="shared" si="81"/>
        <v>27340.909</v>
      </c>
      <c r="H178" s="9">
        <f t="shared" si="81"/>
        <v>27229.93491</v>
      </c>
      <c r="I178" s="9">
        <f t="shared" si="62"/>
        <v>99.59410972766122</v>
      </c>
      <c r="J178" s="9">
        <f t="shared" si="63"/>
        <v>99.59410972766122</v>
      </c>
    </row>
    <row r="179" spans="1:10" ht="25.5">
      <c r="A179" s="8" t="s">
        <v>64</v>
      </c>
      <c r="B179" s="25" t="s">
        <v>1152</v>
      </c>
      <c r="C179" s="1">
        <v>200</v>
      </c>
      <c r="D179" s="9"/>
      <c r="E179" s="9">
        <f>E180</f>
        <v>27340.909</v>
      </c>
      <c r="F179" s="9">
        <f t="shared" si="81"/>
        <v>27340.909</v>
      </c>
      <c r="G179" s="9">
        <f t="shared" si="81"/>
        <v>27340.909</v>
      </c>
      <c r="H179" s="9">
        <f t="shared" si="81"/>
        <v>27229.93491</v>
      </c>
      <c r="I179" s="9">
        <f t="shared" si="62"/>
        <v>99.59410972766122</v>
      </c>
      <c r="J179" s="9">
        <f t="shared" si="63"/>
        <v>99.59410972766122</v>
      </c>
    </row>
    <row r="180" spans="1:10" ht="25.5">
      <c r="A180" s="8" t="s">
        <v>66</v>
      </c>
      <c r="B180" s="25" t="s">
        <v>1152</v>
      </c>
      <c r="C180" s="1">
        <v>240</v>
      </c>
      <c r="D180" s="9"/>
      <c r="E180" s="9">
        <f>ведомство!H971</f>
        <v>27340.909</v>
      </c>
      <c r="F180" s="9">
        <f>ведомство!I971</f>
        <v>27340.909</v>
      </c>
      <c r="G180" s="9">
        <f>ведомство!J971</f>
        <v>27340.909</v>
      </c>
      <c r="H180" s="9">
        <f>ведомство!K971</f>
        <v>27229.93491</v>
      </c>
      <c r="I180" s="9">
        <f t="shared" si="62"/>
        <v>99.59410972766122</v>
      </c>
      <c r="J180" s="9">
        <f t="shared" si="63"/>
        <v>99.59410972766122</v>
      </c>
    </row>
    <row r="181" spans="1:10" ht="25.5">
      <c r="A181" s="8" t="s">
        <v>76</v>
      </c>
      <c r="B181" s="1" t="s">
        <v>402</v>
      </c>
      <c r="C181" s="1" t="s">
        <v>0</v>
      </c>
      <c r="D181" s="9">
        <v>1496937</v>
      </c>
      <c r="E181" s="9">
        <f>E182</f>
        <v>1496937</v>
      </c>
      <c r="F181" s="9">
        <f t="shared" ref="F181:H182" si="82">F182</f>
        <v>826463.67500000005</v>
      </c>
      <c r="G181" s="9">
        <f t="shared" si="82"/>
        <v>826463.67500000005</v>
      </c>
      <c r="H181" s="9">
        <f t="shared" si="82"/>
        <v>826463.67500000005</v>
      </c>
      <c r="I181" s="9">
        <f t="shared" si="62"/>
        <v>55.210317802285601</v>
      </c>
      <c r="J181" s="9">
        <f t="shared" si="63"/>
        <v>100</v>
      </c>
    </row>
    <row r="182" spans="1:10" ht="25.5">
      <c r="A182" s="8" t="s">
        <v>80</v>
      </c>
      <c r="B182" s="1" t="s">
        <v>402</v>
      </c>
      <c r="C182" s="1" t="s">
        <v>81</v>
      </c>
      <c r="D182" s="9">
        <v>1496937</v>
      </c>
      <c r="E182" s="9">
        <f>E183</f>
        <v>1496937</v>
      </c>
      <c r="F182" s="9">
        <f t="shared" si="82"/>
        <v>826463.67500000005</v>
      </c>
      <c r="G182" s="9">
        <f t="shared" si="82"/>
        <v>826463.67500000005</v>
      </c>
      <c r="H182" s="9">
        <f t="shared" si="82"/>
        <v>826463.67500000005</v>
      </c>
      <c r="I182" s="9">
        <f t="shared" si="62"/>
        <v>55.210317802285601</v>
      </c>
      <c r="J182" s="9">
        <f t="shared" si="63"/>
        <v>100</v>
      </c>
    </row>
    <row r="183" spans="1:10">
      <c r="A183" s="8" t="s">
        <v>271</v>
      </c>
      <c r="B183" s="1" t="s">
        <v>402</v>
      </c>
      <c r="C183" s="1" t="s">
        <v>272</v>
      </c>
      <c r="D183" s="9">
        <v>1496937</v>
      </c>
      <c r="E183" s="9">
        <f>ведомство!H889</f>
        <v>1496937</v>
      </c>
      <c r="F183" s="9">
        <f>ведомство!I889</f>
        <v>826463.67500000005</v>
      </c>
      <c r="G183" s="9">
        <f>ведомство!J889</f>
        <v>826463.67500000005</v>
      </c>
      <c r="H183" s="9">
        <f>ведомство!K889</f>
        <v>826463.67500000005</v>
      </c>
      <c r="I183" s="9">
        <f t="shared" si="62"/>
        <v>55.210317802285601</v>
      </c>
      <c r="J183" s="9">
        <f t="shared" si="63"/>
        <v>100</v>
      </c>
    </row>
    <row r="184" spans="1:10" ht="63.75">
      <c r="A184" s="8" t="s">
        <v>367</v>
      </c>
      <c r="B184" s="1" t="s">
        <v>426</v>
      </c>
      <c r="C184" s="1" t="s">
        <v>0</v>
      </c>
      <c r="D184" s="9">
        <v>20000</v>
      </c>
      <c r="E184" s="9">
        <f>E185</f>
        <v>20000</v>
      </c>
      <c r="F184" s="9">
        <f t="shared" ref="F184:H185" si="83">F185</f>
        <v>0</v>
      </c>
      <c r="G184" s="9">
        <f t="shared" si="83"/>
        <v>0</v>
      </c>
      <c r="H184" s="9">
        <f t="shared" si="83"/>
        <v>0</v>
      </c>
      <c r="I184" s="9">
        <f t="shared" si="62"/>
        <v>0</v>
      </c>
      <c r="J184" s="9">
        <v>0</v>
      </c>
    </row>
    <row r="185" spans="1:10">
      <c r="A185" s="8" t="s">
        <v>72</v>
      </c>
      <c r="B185" s="1" t="s">
        <v>426</v>
      </c>
      <c r="C185" s="1" t="s">
        <v>73</v>
      </c>
      <c r="D185" s="9">
        <v>20000</v>
      </c>
      <c r="E185" s="9">
        <f>E186</f>
        <v>20000</v>
      </c>
      <c r="F185" s="9">
        <f t="shared" si="83"/>
        <v>0</v>
      </c>
      <c r="G185" s="9">
        <f t="shared" si="83"/>
        <v>0</v>
      </c>
      <c r="H185" s="9">
        <f t="shared" si="83"/>
        <v>0</v>
      </c>
      <c r="I185" s="9">
        <f t="shared" si="62"/>
        <v>0</v>
      </c>
      <c r="J185" s="9">
        <v>0</v>
      </c>
    </row>
    <row r="186" spans="1:10">
      <c r="A186" s="8" t="s">
        <v>369</v>
      </c>
      <c r="B186" s="1" t="s">
        <v>426</v>
      </c>
      <c r="C186" s="1" t="s">
        <v>370</v>
      </c>
      <c r="D186" s="9">
        <v>20000</v>
      </c>
      <c r="E186" s="9">
        <f>ведомство!H974</f>
        <v>20000</v>
      </c>
      <c r="F186" s="9">
        <f>ведомство!I974</f>
        <v>0</v>
      </c>
      <c r="G186" s="9">
        <f>ведомство!J974</f>
        <v>0</v>
      </c>
      <c r="H186" s="9">
        <f>ведомство!K974</f>
        <v>0</v>
      </c>
      <c r="I186" s="9">
        <f t="shared" si="62"/>
        <v>0</v>
      </c>
      <c r="J186" s="9">
        <v>0</v>
      </c>
    </row>
    <row r="187" spans="1:10">
      <c r="A187" s="8" t="s">
        <v>424</v>
      </c>
      <c r="B187" s="1" t="s">
        <v>427</v>
      </c>
      <c r="C187" s="1" t="s">
        <v>0</v>
      </c>
      <c r="D187" s="9">
        <v>17592</v>
      </c>
      <c r="E187" s="9">
        <f>E188+E190</f>
        <v>17592</v>
      </c>
      <c r="F187" s="9">
        <f t="shared" ref="F187:H187" si="84">F188+F190</f>
        <v>5493</v>
      </c>
      <c r="G187" s="9">
        <f t="shared" si="84"/>
        <v>5493</v>
      </c>
      <c r="H187" s="9">
        <f t="shared" si="84"/>
        <v>4211.4229999999998</v>
      </c>
      <c r="I187" s="9">
        <f t="shared" si="62"/>
        <v>23.939421327876307</v>
      </c>
      <c r="J187" s="9">
        <f t="shared" si="63"/>
        <v>76.66890588021117</v>
      </c>
    </row>
    <row r="188" spans="1:10" ht="25.5">
      <c r="A188" s="8" t="s">
        <v>64</v>
      </c>
      <c r="B188" s="1" t="s">
        <v>427</v>
      </c>
      <c r="C188" s="1" t="s">
        <v>65</v>
      </c>
      <c r="D188" s="9">
        <v>6302</v>
      </c>
      <c r="E188" s="9">
        <f>E189</f>
        <v>6302</v>
      </c>
      <c r="F188" s="9">
        <f t="shared" ref="F188:H188" si="85">F189</f>
        <v>2278</v>
      </c>
      <c r="G188" s="9">
        <f t="shared" si="85"/>
        <v>2278</v>
      </c>
      <c r="H188" s="9">
        <f t="shared" si="85"/>
        <v>996.423</v>
      </c>
      <c r="I188" s="9">
        <f t="shared" si="62"/>
        <v>15.811218660742622</v>
      </c>
      <c r="J188" s="9">
        <f t="shared" si="63"/>
        <v>43.741132572431958</v>
      </c>
    </row>
    <row r="189" spans="1:10" ht="25.5">
      <c r="A189" s="8" t="s">
        <v>66</v>
      </c>
      <c r="B189" s="1" t="s">
        <v>427</v>
      </c>
      <c r="C189" s="1" t="s">
        <v>67</v>
      </c>
      <c r="D189" s="9">
        <v>6302</v>
      </c>
      <c r="E189" s="9">
        <f>ведомство!H977</f>
        <v>6302</v>
      </c>
      <c r="F189" s="9">
        <f>ведомство!I977</f>
        <v>2278</v>
      </c>
      <c r="G189" s="9">
        <f>ведомство!J977</f>
        <v>2278</v>
      </c>
      <c r="H189" s="9">
        <f>ведомство!K977</f>
        <v>996.423</v>
      </c>
      <c r="I189" s="9">
        <f t="shared" si="62"/>
        <v>15.811218660742622</v>
      </c>
      <c r="J189" s="9">
        <f t="shared" si="63"/>
        <v>43.741132572431958</v>
      </c>
    </row>
    <row r="190" spans="1:10" ht="25.5">
      <c r="A190" s="8" t="s">
        <v>80</v>
      </c>
      <c r="B190" s="1" t="s">
        <v>427</v>
      </c>
      <c r="C190" s="1" t="s">
        <v>81</v>
      </c>
      <c r="D190" s="9">
        <v>11290</v>
      </c>
      <c r="E190" s="9">
        <f>E191+E192</f>
        <v>11290</v>
      </c>
      <c r="F190" s="9">
        <f t="shared" ref="F190:H190" si="86">F191+F192</f>
        <v>3215</v>
      </c>
      <c r="G190" s="9">
        <f t="shared" si="86"/>
        <v>3215</v>
      </c>
      <c r="H190" s="9">
        <f t="shared" si="86"/>
        <v>3215</v>
      </c>
      <c r="I190" s="9">
        <f t="shared" si="62"/>
        <v>28.476527900797166</v>
      </c>
      <c r="J190" s="9">
        <f t="shared" si="63"/>
        <v>100</v>
      </c>
    </row>
    <row r="191" spans="1:10">
      <c r="A191" s="8" t="s">
        <v>271</v>
      </c>
      <c r="B191" s="1" t="s">
        <v>427</v>
      </c>
      <c r="C191" s="1" t="s">
        <v>272</v>
      </c>
      <c r="D191" s="9">
        <v>1570</v>
      </c>
      <c r="E191" s="9">
        <f>ведомство!H979</f>
        <v>1690</v>
      </c>
      <c r="F191" s="9">
        <f>ведомство!I979</f>
        <v>765</v>
      </c>
      <c r="G191" s="9">
        <f>ведомство!J979</f>
        <v>765</v>
      </c>
      <c r="H191" s="9">
        <f>ведомство!K979</f>
        <v>765</v>
      </c>
      <c r="I191" s="9">
        <f t="shared" si="62"/>
        <v>45.26627218934911</v>
      </c>
      <c r="J191" s="9">
        <f t="shared" si="63"/>
        <v>100</v>
      </c>
    </row>
    <row r="192" spans="1:10">
      <c r="A192" s="8" t="s">
        <v>82</v>
      </c>
      <c r="B192" s="1" t="s">
        <v>427</v>
      </c>
      <c r="C192" s="1" t="s">
        <v>83</v>
      </c>
      <c r="D192" s="9">
        <v>9720</v>
      </c>
      <c r="E192" s="9">
        <f>ведомство!H980</f>
        <v>9600</v>
      </c>
      <c r="F192" s="9">
        <f>ведомство!I980</f>
        <v>2450</v>
      </c>
      <c r="G192" s="9">
        <f>ведомство!J980</f>
        <v>2450</v>
      </c>
      <c r="H192" s="9">
        <f>ведомство!K980</f>
        <v>2450</v>
      </c>
      <c r="I192" s="9">
        <f t="shared" si="62"/>
        <v>25.520833333333332</v>
      </c>
      <c r="J192" s="9">
        <f t="shared" si="63"/>
        <v>100</v>
      </c>
    </row>
    <row r="193" spans="1:10" ht="63.75">
      <c r="A193" s="8" t="s">
        <v>428</v>
      </c>
      <c r="B193" s="1" t="s">
        <v>429</v>
      </c>
      <c r="C193" s="1" t="s">
        <v>0</v>
      </c>
      <c r="D193" s="9">
        <v>3222</v>
      </c>
      <c r="E193" s="9">
        <f>E194+E196</f>
        <v>3221.9880000000003</v>
      </c>
      <c r="F193" s="9">
        <f t="shared" ref="F193:H193" si="87">F194+F196</f>
        <v>2021.9880000000001</v>
      </c>
      <c r="G193" s="9">
        <f t="shared" si="87"/>
        <v>2021.9880000000001</v>
      </c>
      <c r="H193" s="9">
        <f t="shared" si="87"/>
        <v>2021.9880000000001</v>
      </c>
      <c r="I193" s="9">
        <f t="shared" si="62"/>
        <v>62.755913429845165</v>
      </c>
      <c r="J193" s="9">
        <f t="shared" si="63"/>
        <v>100</v>
      </c>
    </row>
    <row r="194" spans="1:10" ht="25.5">
      <c r="A194" s="8" t="s">
        <v>64</v>
      </c>
      <c r="B194" s="1" t="s">
        <v>429</v>
      </c>
      <c r="C194" s="1" t="s">
        <v>65</v>
      </c>
      <c r="D194" s="9">
        <v>2022</v>
      </c>
      <c r="E194" s="9">
        <f>E195</f>
        <v>2021.9880000000001</v>
      </c>
      <c r="F194" s="9">
        <f t="shared" ref="F194:H194" si="88">F195</f>
        <v>2021.9880000000001</v>
      </c>
      <c r="G194" s="9">
        <f t="shared" si="88"/>
        <v>2021.9880000000001</v>
      </c>
      <c r="H194" s="9">
        <f t="shared" si="88"/>
        <v>2021.9880000000001</v>
      </c>
      <c r="I194" s="9">
        <f t="shared" si="62"/>
        <v>100</v>
      </c>
      <c r="J194" s="9">
        <f t="shared" si="63"/>
        <v>100</v>
      </c>
    </row>
    <row r="195" spans="1:10" ht="25.5">
      <c r="A195" s="8" t="s">
        <v>66</v>
      </c>
      <c r="B195" s="1" t="s">
        <v>429</v>
      </c>
      <c r="C195" s="1" t="s">
        <v>67</v>
      </c>
      <c r="D195" s="9">
        <v>2022</v>
      </c>
      <c r="E195" s="9">
        <f>ведомство!H983</f>
        <v>2021.9880000000001</v>
      </c>
      <c r="F195" s="9">
        <f>ведомство!I983</f>
        <v>2021.9880000000001</v>
      </c>
      <c r="G195" s="9">
        <f>ведомство!J983</f>
        <v>2021.9880000000001</v>
      </c>
      <c r="H195" s="9">
        <f>ведомство!K983</f>
        <v>2021.9880000000001</v>
      </c>
      <c r="I195" s="9">
        <f t="shared" si="62"/>
        <v>100</v>
      </c>
      <c r="J195" s="9">
        <f t="shared" si="63"/>
        <v>100</v>
      </c>
    </row>
    <row r="196" spans="1:10" ht="25.5">
      <c r="A196" s="8" t="s">
        <v>80</v>
      </c>
      <c r="B196" s="1" t="s">
        <v>429</v>
      </c>
      <c r="C196" s="1" t="s">
        <v>81</v>
      </c>
      <c r="D196" s="9">
        <v>1200</v>
      </c>
      <c r="E196" s="9">
        <f>E197</f>
        <v>1200</v>
      </c>
      <c r="F196" s="9">
        <f t="shared" ref="F196:H196" si="89">F197</f>
        <v>0</v>
      </c>
      <c r="G196" s="9">
        <f t="shared" si="89"/>
        <v>0</v>
      </c>
      <c r="H196" s="9">
        <f t="shared" si="89"/>
        <v>0</v>
      </c>
      <c r="I196" s="9">
        <f t="shared" si="62"/>
        <v>0</v>
      </c>
      <c r="J196" s="9">
        <v>0</v>
      </c>
    </row>
    <row r="197" spans="1:10">
      <c r="A197" s="8" t="s">
        <v>271</v>
      </c>
      <c r="B197" s="1" t="s">
        <v>429</v>
      </c>
      <c r="C197" s="1" t="s">
        <v>272</v>
      </c>
      <c r="D197" s="9">
        <v>1200</v>
      </c>
      <c r="E197" s="9">
        <f>ведомство!H985</f>
        <v>1200</v>
      </c>
      <c r="F197" s="9">
        <f>ведомство!I985</f>
        <v>0</v>
      </c>
      <c r="G197" s="9">
        <f>ведомство!J985</f>
        <v>0</v>
      </c>
      <c r="H197" s="9">
        <f>ведомство!K985</f>
        <v>0</v>
      </c>
      <c r="I197" s="9">
        <f t="shared" si="62"/>
        <v>0</v>
      </c>
      <c r="J197" s="9">
        <v>0</v>
      </c>
    </row>
    <row r="198" spans="1:10">
      <c r="A198" s="8" t="s">
        <v>465</v>
      </c>
      <c r="B198" s="1" t="s">
        <v>466</v>
      </c>
      <c r="C198" s="1" t="s">
        <v>0</v>
      </c>
      <c r="D198" s="9">
        <v>138474.70000000001</v>
      </c>
      <c r="E198" s="9">
        <f>E199+E201</f>
        <v>138474.69999999998</v>
      </c>
      <c r="F198" s="9">
        <f t="shared" ref="F198:H198" si="90">F199+F201</f>
        <v>55566.7</v>
      </c>
      <c r="G198" s="9">
        <f t="shared" si="90"/>
        <v>55566.7</v>
      </c>
      <c r="H198" s="9">
        <f t="shared" si="90"/>
        <v>55433.659099999997</v>
      </c>
      <c r="I198" s="9">
        <f t="shared" si="62"/>
        <v>40.031615233685294</v>
      </c>
      <c r="J198" s="9">
        <f t="shared" si="63"/>
        <v>99.760574408773593</v>
      </c>
    </row>
    <row r="199" spans="1:10" ht="25.5">
      <c r="A199" s="8" t="s">
        <v>64</v>
      </c>
      <c r="B199" s="1" t="s">
        <v>466</v>
      </c>
      <c r="C199" s="1" t="s">
        <v>65</v>
      </c>
      <c r="D199" s="9">
        <v>810.4</v>
      </c>
      <c r="E199" s="9">
        <f>E200</f>
        <v>810.4</v>
      </c>
      <c r="F199" s="9">
        <f t="shared" ref="F199:H199" si="91">F200</f>
        <v>291.10000000000002</v>
      </c>
      <c r="G199" s="9">
        <f t="shared" si="91"/>
        <v>291.10000000000002</v>
      </c>
      <c r="H199" s="9">
        <f t="shared" si="91"/>
        <v>264.78622999999999</v>
      </c>
      <c r="I199" s="9">
        <f t="shared" si="62"/>
        <v>32.673522951628826</v>
      </c>
      <c r="J199" s="9">
        <f t="shared" si="63"/>
        <v>90.960573686018549</v>
      </c>
    </row>
    <row r="200" spans="1:10" ht="25.5">
      <c r="A200" s="8" t="s">
        <v>66</v>
      </c>
      <c r="B200" s="1" t="s">
        <v>466</v>
      </c>
      <c r="C200" s="1" t="s">
        <v>67</v>
      </c>
      <c r="D200" s="9">
        <v>810.4</v>
      </c>
      <c r="E200" s="9">
        <f>ведомство!H1081</f>
        <v>810.4</v>
      </c>
      <c r="F200" s="9">
        <f>ведомство!I1081</f>
        <v>291.10000000000002</v>
      </c>
      <c r="G200" s="9">
        <f>ведомство!J1081</f>
        <v>291.10000000000002</v>
      </c>
      <c r="H200" s="9">
        <f>ведомство!K1081</f>
        <v>264.78622999999999</v>
      </c>
      <c r="I200" s="9">
        <f t="shared" si="62"/>
        <v>32.673522951628826</v>
      </c>
      <c r="J200" s="9">
        <f t="shared" si="63"/>
        <v>90.960573686018549</v>
      </c>
    </row>
    <row r="201" spans="1:10">
      <c r="A201" s="8" t="s">
        <v>68</v>
      </c>
      <c r="B201" s="1" t="s">
        <v>466</v>
      </c>
      <c r="C201" s="1" t="s">
        <v>69</v>
      </c>
      <c r="D201" s="9">
        <v>137664.29999999999</v>
      </c>
      <c r="E201" s="9">
        <f>E202</f>
        <v>137664.29999999999</v>
      </c>
      <c r="F201" s="9">
        <f t="shared" ref="F201:H201" si="92">F202</f>
        <v>55275.6</v>
      </c>
      <c r="G201" s="9">
        <f t="shared" si="92"/>
        <v>55275.6</v>
      </c>
      <c r="H201" s="9">
        <f t="shared" si="92"/>
        <v>55168.872869999999</v>
      </c>
      <c r="I201" s="9">
        <f t="shared" si="62"/>
        <v>40.074930733676055</v>
      </c>
      <c r="J201" s="9">
        <f t="shared" si="63"/>
        <v>99.806918188133636</v>
      </c>
    </row>
    <row r="202" spans="1:10">
      <c r="A202" s="8" t="s">
        <v>463</v>
      </c>
      <c r="B202" s="1" t="s">
        <v>466</v>
      </c>
      <c r="C202" s="1" t="s">
        <v>464</v>
      </c>
      <c r="D202" s="9">
        <v>137664.29999999999</v>
      </c>
      <c r="E202" s="9">
        <f>ведомство!H1083</f>
        <v>137664.29999999999</v>
      </c>
      <c r="F202" s="9">
        <f>ведомство!I1083</f>
        <v>55275.6</v>
      </c>
      <c r="G202" s="9">
        <f>ведомство!J1083</f>
        <v>55275.6</v>
      </c>
      <c r="H202" s="9">
        <f>ведомство!K1083</f>
        <v>55168.872869999999</v>
      </c>
      <c r="I202" s="9">
        <f t="shared" si="62"/>
        <v>40.074930733676055</v>
      </c>
      <c r="J202" s="9">
        <f t="shared" si="63"/>
        <v>99.806918188133636</v>
      </c>
    </row>
    <row r="203" spans="1:10">
      <c r="A203" s="8" t="s">
        <v>467</v>
      </c>
      <c r="B203" s="1" t="s">
        <v>468</v>
      </c>
      <c r="C203" s="1" t="s">
        <v>0</v>
      </c>
      <c r="D203" s="9">
        <v>184654.3</v>
      </c>
      <c r="E203" s="9">
        <f>E204</f>
        <v>184654.3</v>
      </c>
      <c r="F203" s="9">
        <f t="shared" ref="F203:H204" si="93">F204</f>
        <v>79610</v>
      </c>
      <c r="G203" s="9">
        <f t="shared" si="93"/>
        <v>79610</v>
      </c>
      <c r="H203" s="9">
        <f t="shared" si="93"/>
        <v>76430.117580000006</v>
      </c>
      <c r="I203" s="9">
        <f t="shared" ref="I203:I266" si="94">H203/E203*100</f>
        <v>41.390922161032812</v>
      </c>
      <c r="J203" s="9">
        <f t="shared" ref="J203:J266" si="95">H203/F203*100</f>
        <v>96.005674638864463</v>
      </c>
    </row>
    <row r="204" spans="1:10" ht="25.5">
      <c r="A204" s="8" t="s">
        <v>64</v>
      </c>
      <c r="B204" s="1" t="s">
        <v>468</v>
      </c>
      <c r="C204" s="1" t="s">
        <v>65</v>
      </c>
      <c r="D204" s="9">
        <v>184654.3</v>
      </c>
      <c r="E204" s="9">
        <f>E205</f>
        <v>184654.3</v>
      </c>
      <c r="F204" s="9">
        <f t="shared" si="93"/>
        <v>79610</v>
      </c>
      <c r="G204" s="9">
        <f t="shared" si="93"/>
        <v>79610</v>
      </c>
      <c r="H204" s="9">
        <f t="shared" si="93"/>
        <v>76430.117580000006</v>
      </c>
      <c r="I204" s="9">
        <f t="shared" si="94"/>
        <v>41.390922161032812</v>
      </c>
      <c r="J204" s="9">
        <f t="shared" si="95"/>
        <v>96.005674638864463</v>
      </c>
    </row>
    <row r="205" spans="1:10" ht="25.5">
      <c r="A205" s="8" t="s">
        <v>66</v>
      </c>
      <c r="B205" s="1" t="s">
        <v>468</v>
      </c>
      <c r="C205" s="1" t="s">
        <v>67</v>
      </c>
      <c r="D205" s="9">
        <v>184654.3</v>
      </c>
      <c r="E205" s="9">
        <f>ведомство!H1086</f>
        <v>184654.3</v>
      </c>
      <c r="F205" s="9">
        <f>ведомство!I1086</f>
        <v>79610</v>
      </c>
      <c r="G205" s="9">
        <f>ведомство!J1086</f>
        <v>79610</v>
      </c>
      <c r="H205" s="9">
        <f>ведомство!K1086</f>
        <v>76430.117580000006</v>
      </c>
      <c r="I205" s="9">
        <f t="shared" si="94"/>
        <v>41.390922161032812</v>
      </c>
      <c r="J205" s="9">
        <f t="shared" si="95"/>
        <v>96.005674638864463</v>
      </c>
    </row>
    <row r="206" spans="1:10">
      <c r="A206" s="8" t="s">
        <v>469</v>
      </c>
      <c r="B206" s="1" t="s">
        <v>470</v>
      </c>
      <c r="C206" s="1" t="s">
        <v>0</v>
      </c>
      <c r="D206" s="9">
        <v>158290.20000000001</v>
      </c>
      <c r="E206" s="9">
        <f>E207+E209</f>
        <v>158290.20000000001</v>
      </c>
      <c r="F206" s="9">
        <f t="shared" ref="F206:H206" si="96">F207+F209</f>
        <v>66392.2</v>
      </c>
      <c r="G206" s="9">
        <f t="shared" si="96"/>
        <v>66392.2</v>
      </c>
      <c r="H206" s="9">
        <f t="shared" si="96"/>
        <v>66189.243960000007</v>
      </c>
      <c r="I206" s="9">
        <f t="shared" si="94"/>
        <v>41.815124347559106</v>
      </c>
      <c r="J206" s="9">
        <f t="shared" si="95"/>
        <v>99.694307403580552</v>
      </c>
    </row>
    <row r="207" spans="1:10" ht="25.5">
      <c r="A207" s="8" t="s">
        <v>64</v>
      </c>
      <c r="B207" s="1" t="s">
        <v>470</v>
      </c>
      <c r="C207" s="1" t="s">
        <v>65</v>
      </c>
      <c r="D207" s="9">
        <v>1055.5999999999999</v>
      </c>
      <c r="E207" s="9">
        <f>E208</f>
        <v>1055.5999999999999</v>
      </c>
      <c r="F207" s="9">
        <f t="shared" ref="F207:H207" si="97">F208</f>
        <v>409.2</v>
      </c>
      <c r="G207" s="9">
        <f t="shared" si="97"/>
        <v>409.2</v>
      </c>
      <c r="H207" s="9">
        <f t="shared" si="97"/>
        <v>401.19812000000002</v>
      </c>
      <c r="I207" s="9">
        <f t="shared" si="94"/>
        <v>38.006642667677156</v>
      </c>
      <c r="J207" s="9">
        <f t="shared" si="95"/>
        <v>98.044506353861209</v>
      </c>
    </row>
    <row r="208" spans="1:10" ht="25.5">
      <c r="A208" s="8" t="s">
        <v>66</v>
      </c>
      <c r="B208" s="1" t="s">
        <v>470</v>
      </c>
      <c r="C208" s="1" t="s">
        <v>67</v>
      </c>
      <c r="D208" s="9">
        <v>1055.5999999999999</v>
      </c>
      <c r="E208" s="9">
        <f>ведомство!H1089</f>
        <v>1055.5999999999999</v>
      </c>
      <c r="F208" s="9">
        <f>ведомство!I1089</f>
        <v>409.2</v>
      </c>
      <c r="G208" s="9">
        <f>ведомство!J1089</f>
        <v>409.2</v>
      </c>
      <c r="H208" s="9">
        <f>ведомство!K1089</f>
        <v>401.19812000000002</v>
      </c>
      <c r="I208" s="9">
        <f t="shared" si="94"/>
        <v>38.006642667677156</v>
      </c>
      <c r="J208" s="9">
        <f t="shared" si="95"/>
        <v>98.044506353861209</v>
      </c>
    </row>
    <row r="209" spans="1:10">
      <c r="A209" s="8" t="s">
        <v>68</v>
      </c>
      <c r="B209" s="1" t="s">
        <v>470</v>
      </c>
      <c r="C209" s="1" t="s">
        <v>69</v>
      </c>
      <c r="D209" s="9">
        <v>157234.6</v>
      </c>
      <c r="E209" s="9">
        <f>E210</f>
        <v>157234.6</v>
      </c>
      <c r="F209" s="9">
        <f t="shared" ref="F209:H209" si="98">F210</f>
        <v>65983</v>
      </c>
      <c r="G209" s="9">
        <f t="shared" si="98"/>
        <v>65983</v>
      </c>
      <c r="H209" s="9">
        <f t="shared" si="98"/>
        <v>65788.045840000006</v>
      </c>
      <c r="I209" s="9">
        <f t="shared" si="94"/>
        <v>41.840692722848537</v>
      </c>
      <c r="J209" s="9">
        <f t="shared" si="95"/>
        <v>99.7045388054499</v>
      </c>
    </row>
    <row r="210" spans="1:10">
      <c r="A210" s="8" t="s">
        <v>463</v>
      </c>
      <c r="B210" s="1" t="s">
        <v>470</v>
      </c>
      <c r="C210" s="1" t="s">
        <v>464</v>
      </c>
      <c r="D210" s="9">
        <v>157234.6</v>
      </c>
      <c r="E210" s="9">
        <f>ведомство!H1091</f>
        <v>157234.6</v>
      </c>
      <c r="F210" s="9">
        <f>ведомство!I1091</f>
        <v>65983</v>
      </c>
      <c r="G210" s="9">
        <f>ведомство!J1091</f>
        <v>65983</v>
      </c>
      <c r="H210" s="9">
        <f>ведомство!K1091</f>
        <v>65788.045840000006</v>
      </c>
      <c r="I210" s="9">
        <f t="shared" si="94"/>
        <v>41.840692722848537</v>
      </c>
      <c r="J210" s="9">
        <f t="shared" si="95"/>
        <v>99.7045388054499</v>
      </c>
    </row>
    <row r="211" spans="1:10" ht="76.5">
      <c r="A211" s="8" t="s">
        <v>471</v>
      </c>
      <c r="B211" s="1" t="s">
        <v>472</v>
      </c>
      <c r="C211" s="1" t="s">
        <v>0</v>
      </c>
      <c r="D211" s="9">
        <v>7861.8</v>
      </c>
      <c r="E211" s="9">
        <f>E212</f>
        <v>7861.8</v>
      </c>
      <c r="F211" s="9">
        <f t="shared" ref="F211:H212" si="99">F212</f>
        <v>2408.6825699999999</v>
      </c>
      <c r="G211" s="9">
        <f t="shared" si="99"/>
        <v>2408.6825699999999</v>
      </c>
      <c r="H211" s="9">
        <f t="shared" si="99"/>
        <v>2408.5654800000002</v>
      </c>
      <c r="I211" s="9">
        <f t="shared" si="94"/>
        <v>30.636310768526293</v>
      </c>
      <c r="J211" s="9">
        <f t="shared" si="95"/>
        <v>99.995138836413815</v>
      </c>
    </row>
    <row r="212" spans="1:10">
      <c r="A212" s="8" t="s">
        <v>68</v>
      </c>
      <c r="B212" s="1" t="s">
        <v>472</v>
      </c>
      <c r="C212" s="1" t="s">
        <v>69</v>
      </c>
      <c r="D212" s="9">
        <v>7861.8</v>
      </c>
      <c r="E212" s="9">
        <f>E213</f>
        <v>7861.8</v>
      </c>
      <c r="F212" s="9">
        <f t="shared" si="99"/>
        <v>2408.6825699999999</v>
      </c>
      <c r="G212" s="9">
        <f t="shared" si="99"/>
        <v>2408.6825699999999</v>
      </c>
      <c r="H212" s="9">
        <f t="shared" si="99"/>
        <v>2408.5654800000002</v>
      </c>
      <c r="I212" s="9">
        <f t="shared" si="94"/>
        <v>30.636310768526293</v>
      </c>
      <c r="J212" s="9">
        <f t="shared" si="95"/>
        <v>99.995138836413815</v>
      </c>
    </row>
    <row r="213" spans="1:10" ht="25.5">
      <c r="A213" s="8" t="s">
        <v>151</v>
      </c>
      <c r="B213" s="1" t="s">
        <v>472</v>
      </c>
      <c r="C213" s="1" t="s">
        <v>152</v>
      </c>
      <c r="D213" s="9">
        <v>7861.8</v>
      </c>
      <c r="E213" s="9">
        <f>ведомство!H1094</f>
        <v>7861.8</v>
      </c>
      <c r="F213" s="9">
        <f>ведомство!I1094</f>
        <v>2408.6825699999999</v>
      </c>
      <c r="G213" s="9">
        <f>ведомство!J1094</f>
        <v>2408.6825699999999</v>
      </c>
      <c r="H213" s="9">
        <f>ведомство!K1094</f>
        <v>2408.5654800000002</v>
      </c>
      <c r="I213" s="9">
        <f t="shared" si="94"/>
        <v>30.636310768526293</v>
      </c>
      <c r="J213" s="9">
        <f t="shared" si="95"/>
        <v>99.995138836413815</v>
      </c>
    </row>
    <row r="214" spans="1:10" ht="51">
      <c r="A214" s="8" t="s">
        <v>430</v>
      </c>
      <c r="B214" s="1" t="s">
        <v>431</v>
      </c>
      <c r="C214" s="1" t="s">
        <v>0</v>
      </c>
      <c r="D214" s="9">
        <v>22236.6</v>
      </c>
      <c r="E214" s="9">
        <f>E215</f>
        <v>22236.58237</v>
      </c>
      <c r="F214" s="9">
        <f t="shared" ref="F214:H215" si="100">F215</f>
        <v>261.58237000000003</v>
      </c>
      <c r="G214" s="9">
        <f t="shared" si="100"/>
        <v>261.58237000000003</v>
      </c>
      <c r="H214" s="9">
        <f t="shared" si="100"/>
        <v>261.58237000000003</v>
      </c>
      <c r="I214" s="9">
        <f t="shared" si="94"/>
        <v>1.1763604930266089</v>
      </c>
      <c r="J214" s="9">
        <f t="shared" si="95"/>
        <v>100</v>
      </c>
    </row>
    <row r="215" spans="1:10">
      <c r="A215" s="8" t="s">
        <v>26</v>
      </c>
      <c r="B215" s="1" t="s">
        <v>431</v>
      </c>
      <c r="C215" s="1" t="s">
        <v>27</v>
      </c>
      <c r="D215" s="9">
        <v>22236.6</v>
      </c>
      <c r="E215" s="9">
        <f>E216</f>
        <v>22236.58237</v>
      </c>
      <c r="F215" s="9">
        <f t="shared" si="100"/>
        <v>261.58237000000003</v>
      </c>
      <c r="G215" s="9">
        <f t="shared" si="100"/>
        <v>261.58237000000003</v>
      </c>
      <c r="H215" s="9">
        <f t="shared" si="100"/>
        <v>261.58237000000003</v>
      </c>
      <c r="I215" s="9">
        <f t="shared" si="94"/>
        <v>1.1763604930266089</v>
      </c>
      <c r="J215" s="9">
        <f t="shared" si="95"/>
        <v>100</v>
      </c>
    </row>
    <row r="216" spans="1:10">
      <c r="A216" s="8" t="s">
        <v>56</v>
      </c>
      <c r="B216" s="1" t="s">
        <v>431</v>
      </c>
      <c r="C216" s="1" t="s">
        <v>57</v>
      </c>
      <c r="D216" s="9">
        <v>22236.6</v>
      </c>
      <c r="E216" s="9">
        <f>ведомство!H988</f>
        <v>22236.58237</v>
      </c>
      <c r="F216" s="9">
        <f>ведомство!I988</f>
        <v>261.58237000000003</v>
      </c>
      <c r="G216" s="9">
        <f>ведомство!J988</f>
        <v>261.58237000000003</v>
      </c>
      <c r="H216" s="9">
        <f>ведомство!K988</f>
        <v>261.58237000000003</v>
      </c>
      <c r="I216" s="9">
        <f t="shared" si="94"/>
        <v>1.1763604930266089</v>
      </c>
      <c r="J216" s="9">
        <f t="shared" si="95"/>
        <v>100</v>
      </c>
    </row>
    <row r="217" spans="1:10" ht="63.75">
      <c r="A217" s="8" t="s">
        <v>473</v>
      </c>
      <c r="B217" s="1" t="s">
        <v>474</v>
      </c>
      <c r="C217" s="1" t="s">
        <v>0</v>
      </c>
      <c r="D217" s="9">
        <v>20604.2</v>
      </c>
      <c r="E217" s="9">
        <f>E218</f>
        <v>20604.2</v>
      </c>
      <c r="F217" s="9">
        <f t="shared" ref="F217:H218" si="101">F218</f>
        <v>17910.475999999999</v>
      </c>
      <c r="G217" s="9">
        <f t="shared" si="101"/>
        <v>17910.475999999999</v>
      </c>
      <c r="H217" s="9">
        <f t="shared" si="101"/>
        <v>17902.376</v>
      </c>
      <c r="I217" s="9">
        <f t="shared" si="94"/>
        <v>86.887023034138664</v>
      </c>
      <c r="J217" s="9">
        <f t="shared" si="95"/>
        <v>99.954775071304653</v>
      </c>
    </row>
    <row r="218" spans="1:10">
      <c r="A218" s="8" t="s">
        <v>26</v>
      </c>
      <c r="B218" s="1" t="s">
        <v>474</v>
      </c>
      <c r="C218" s="1" t="s">
        <v>27</v>
      </c>
      <c r="D218" s="9">
        <v>20604.2</v>
      </c>
      <c r="E218" s="9">
        <f>E219</f>
        <v>20604.2</v>
      </c>
      <c r="F218" s="9">
        <f t="shared" si="101"/>
        <v>17910.475999999999</v>
      </c>
      <c r="G218" s="9">
        <f t="shared" si="101"/>
        <v>17910.475999999999</v>
      </c>
      <c r="H218" s="9">
        <f t="shared" si="101"/>
        <v>17902.376</v>
      </c>
      <c r="I218" s="9">
        <f t="shared" si="94"/>
        <v>86.887023034138664</v>
      </c>
      <c r="J218" s="9">
        <f t="shared" si="95"/>
        <v>99.954775071304653</v>
      </c>
    </row>
    <row r="219" spans="1:10">
      <c r="A219" s="8" t="s">
        <v>28</v>
      </c>
      <c r="B219" s="1" t="s">
        <v>474</v>
      </c>
      <c r="C219" s="1" t="s">
        <v>29</v>
      </c>
      <c r="D219" s="9">
        <v>20604.2</v>
      </c>
      <c r="E219" s="9">
        <f>ведомство!H1097</f>
        <v>20604.2</v>
      </c>
      <c r="F219" s="9">
        <f>ведомство!I1097</f>
        <v>17910.475999999999</v>
      </c>
      <c r="G219" s="9">
        <f>ведомство!J1097</f>
        <v>17910.475999999999</v>
      </c>
      <c r="H219" s="9">
        <f>ведомство!K1097</f>
        <v>17902.376</v>
      </c>
      <c r="I219" s="9">
        <f t="shared" si="94"/>
        <v>86.887023034138664</v>
      </c>
      <c r="J219" s="9">
        <f t="shared" si="95"/>
        <v>99.954775071304653</v>
      </c>
    </row>
    <row r="220" spans="1:10" ht="25.5">
      <c r="A220" s="8" t="s">
        <v>478</v>
      </c>
      <c r="B220" s="1" t="s">
        <v>479</v>
      </c>
      <c r="C220" s="1" t="s">
        <v>0</v>
      </c>
      <c r="D220" s="9">
        <v>109823.8</v>
      </c>
      <c r="E220" s="9">
        <f>E221</f>
        <v>109823.8</v>
      </c>
      <c r="F220" s="9">
        <f t="shared" ref="F220:H221" si="102">F221</f>
        <v>54950.27</v>
      </c>
      <c r="G220" s="9">
        <f t="shared" si="102"/>
        <v>54950.27</v>
      </c>
      <c r="H220" s="9">
        <f t="shared" si="102"/>
        <v>49464.969490000003</v>
      </c>
      <c r="I220" s="9">
        <f t="shared" si="94"/>
        <v>45.040300453999954</v>
      </c>
      <c r="J220" s="9">
        <f t="shared" si="95"/>
        <v>90.017700531771737</v>
      </c>
    </row>
    <row r="221" spans="1:10">
      <c r="A221" s="8" t="s">
        <v>26</v>
      </c>
      <c r="B221" s="1" t="s">
        <v>479</v>
      </c>
      <c r="C221" s="1" t="s">
        <v>27</v>
      </c>
      <c r="D221" s="9">
        <v>109823.8</v>
      </c>
      <c r="E221" s="9">
        <f>E222</f>
        <v>109823.8</v>
      </c>
      <c r="F221" s="9">
        <f t="shared" si="102"/>
        <v>54950.27</v>
      </c>
      <c r="G221" s="9">
        <f t="shared" si="102"/>
        <v>54950.27</v>
      </c>
      <c r="H221" s="9">
        <f t="shared" si="102"/>
        <v>49464.969490000003</v>
      </c>
      <c r="I221" s="9">
        <f t="shared" si="94"/>
        <v>45.040300453999954</v>
      </c>
      <c r="J221" s="9">
        <f t="shared" si="95"/>
        <v>90.017700531771737</v>
      </c>
    </row>
    <row r="222" spans="1:10">
      <c r="A222" s="8" t="s">
        <v>28</v>
      </c>
      <c r="B222" s="1" t="s">
        <v>479</v>
      </c>
      <c r="C222" s="1" t="s">
        <v>29</v>
      </c>
      <c r="D222" s="9">
        <v>109823.8</v>
      </c>
      <c r="E222" s="9">
        <f>ведомство!H1106</f>
        <v>109823.8</v>
      </c>
      <c r="F222" s="9">
        <f>ведомство!I1106</f>
        <v>54950.27</v>
      </c>
      <c r="G222" s="9">
        <f>ведомство!J1106</f>
        <v>54950.27</v>
      </c>
      <c r="H222" s="9">
        <f>ведомство!K1106</f>
        <v>49464.969490000003</v>
      </c>
      <c r="I222" s="9">
        <f t="shared" si="94"/>
        <v>45.040300453999954</v>
      </c>
      <c r="J222" s="9">
        <f t="shared" si="95"/>
        <v>90.017700531771737</v>
      </c>
    </row>
    <row r="223" spans="1:10" ht="51">
      <c r="A223" s="8" t="s">
        <v>475</v>
      </c>
      <c r="B223" s="1" t="s">
        <v>476</v>
      </c>
      <c r="C223" s="1" t="s">
        <v>0</v>
      </c>
      <c r="D223" s="9">
        <v>74693.7</v>
      </c>
      <c r="E223" s="9">
        <f>E224</f>
        <v>74693.654645000002</v>
      </c>
      <c r="F223" s="9">
        <f t="shared" ref="F223:H224" si="103">F224</f>
        <v>48351.989889999997</v>
      </c>
      <c r="G223" s="9">
        <f t="shared" si="103"/>
        <v>48351.989889999997</v>
      </c>
      <c r="H223" s="9">
        <f t="shared" si="103"/>
        <v>27953.854579999999</v>
      </c>
      <c r="I223" s="9">
        <f t="shared" si="94"/>
        <v>37.424671095366243</v>
      </c>
      <c r="J223" s="9">
        <f t="shared" si="95"/>
        <v>57.813245418843294</v>
      </c>
    </row>
    <row r="224" spans="1:10">
      <c r="A224" s="8" t="s">
        <v>26</v>
      </c>
      <c r="B224" s="1" t="s">
        <v>476</v>
      </c>
      <c r="C224" s="1" t="s">
        <v>27</v>
      </c>
      <c r="D224" s="9">
        <v>74693.7</v>
      </c>
      <c r="E224" s="9">
        <f>E225</f>
        <v>74693.654645000002</v>
      </c>
      <c r="F224" s="9">
        <f t="shared" si="103"/>
        <v>48351.989889999997</v>
      </c>
      <c r="G224" s="9">
        <f t="shared" si="103"/>
        <v>48351.989889999997</v>
      </c>
      <c r="H224" s="9">
        <f t="shared" si="103"/>
        <v>27953.854579999999</v>
      </c>
      <c r="I224" s="9">
        <f t="shared" si="94"/>
        <v>37.424671095366243</v>
      </c>
      <c r="J224" s="9">
        <f t="shared" si="95"/>
        <v>57.813245418843294</v>
      </c>
    </row>
    <row r="225" spans="1:10">
      <c r="A225" s="8" t="s">
        <v>28</v>
      </c>
      <c r="B225" s="1" t="s">
        <v>476</v>
      </c>
      <c r="C225" s="1" t="s">
        <v>29</v>
      </c>
      <c r="D225" s="9">
        <v>74693.7</v>
      </c>
      <c r="E225" s="9">
        <f>ведомство!H1100</f>
        <v>74693.654645000002</v>
      </c>
      <c r="F225" s="9">
        <f>ведомство!I1100</f>
        <v>48351.989889999997</v>
      </c>
      <c r="G225" s="9">
        <f>ведомство!J1100</f>
        <v>48351.989889999997</v>
      </c>
      <c r="H225" s="9">
        <f>ведомство!K1100</f>
        <v>27953.854579999999</v>
      </c>
      <c r="I225" s="9">
        <f t="shared" si="94"/>
        <v>37.424671095366243</v>
      </c>
      <c r="J225" s="9">
        <f t="shared" si="95"/>
        <v>57.813245418843294</v>
      </c>
    </row>
    <row r="226" spans="1:10">
      <c r="A226" s="4" t="s">
        <v>0</v>
      </c>
      <c r="B226" s="17" t="s">
        <v>0</v>
      </c>
      <c r="C226" s="5" t="s">
        <v>0</v>
      </c>
      <c r="D226" s="7" t="s">
        <v>0</v>
      </c>
      <c r="E226" s="7" t="s">
        <v>0</v>
      </c>
      <c r="F226" s="7" t="s">
        <v>0</v>
      </c>
      <c r="G226" s="7" t="s">
        <v>0</v>
      </c>
      <c r="H226" s="7" t="s">
        <v>0</v>
      </c>
      <c r="I226" s="7"/>
      <c r="J226" s="7"/>
    </row>
    <row r="227" spans="1:10" ht="25.5">
      <c r="A227" s="4" t="s">
        <v>403</v>
      </c>
      <c r="B227" s="5" t="s">
        <v>404</v>
      </c>
      <c r="C227" s="5" t="s">
        <v>0</v>
      </c>
      <c r="D227" s="7">
        <v>2052375.1</v>
      </c>
      <c r="E227" s="7">
        <f>E228+E231+E235+E238+E241</f>
        <v>2052970.3</v>
      </c>
      <c r="F227" s="7">
        <f t="shared" ref="F227:H227" si="104">F228+F231+F235+F238+F241</f>
        <v>1154630.8030000001</v>
      </c>
      <c r="G227" s="7">
        <f t="shared" si="104"/>
        <v>1154630.8030000001</v>
      </c>
      <c r="H227" s="7">
        <f t="shared" si="104"/>
        <v>1154630.8030000001</v>
      </c>
      <c r="I227" s="7">
        <f t="shared" si="94"/>
        <v>56.241963315299792</v>
      </c>
      <c r="J227" s="7">
        <f t="shared" si="95"/>
        <v>100</v>
      </c>
    </row>
    <row r="228" spans="1:10" ht="63.75">
      <c r="A228" s="8" t="s">
        <v>1151</v>
      </c>
      <c r="B228" s="25" t="s">
        <v>1150</v>
      </c>
      <c r="C228" s="6"/>
      <c r="D228" s="7"/>
      <c r="E228" s="23">
        <f>E229</f>
        <v>595.20000000000005</v>
      </c>
      <c r="F228" s="23">
        <f t="shared" ref="F228:H229" si="105">F229</f>
        <v>595.20000000000005</v>
      </c>
      <c r="G228" s="23">
        <f t="shared" si="105"/>
        <v>595.20000000000005</v>
      </c>
      <c r="H228" s="23">
        <f t="shared" si="105"/>
        <v>595.20000000000005</v>
      </c>
      <c r="I228" s="23">
        <f t="shared" si="94"/>
        <v>100</v>
      </c>
      <c r="J228" s="23">
        <f t="shared" si="95"/>
        <v>100</v>
      </c>
    </row>
    <row r="229" spans="1:10">
      <c r="A229" s="8" t="s">
        <v>68</v>
      </c>
      <c r="B229" s="25" t="s">
        <v>1150</v>
      </c>
      <c r="C229" s="6">
        <v>300</v>
      </c>
      <c r="D229" s="7"/>
      <c r="E229" s="23">
        <f>E230</f>
        <v>595.20000000000005</v>
      </c>
      <c r="F229" s="23">
        <f t="shared" si="105"/>
        <v>595.20000000000005</v>
      </c>
      <c r="G229" s="23">
        <f t="shared" si="105"/>
        <v>595.20000000000005</v>
      </c>
      <c r="H229" s="23">
        <f t="shared" si="105"/>
        <v>595.20000000000005</v>
      </c>
      <c r="I229" s="23">
        <f t="shared" si="94"/>
        <v>100</v>
      </c>
      <c r="J229" s="23">
        <f t="shared" si="95"/>
        <v>100</v>
      </c>
    </row>
    <row r="230" spans="1:10">
      <c r="A230" s="8" t="s">
        <v>70</v>
      </c>
      <c r="B230" s="25" t="s">
        <v>1150</v>
      </c>
      <c r="C230" s="6">
        <v>360</v>
      </c>
      <c r="D230" s="7"/>
      <c r="E230" s="23">
        <f>ведомство!H916</f>
        <v>595.20000000000005</v>
      </c>
      <c r="F230" s="23">
        <f>ведомство!I916</f>
        <v>595.20000000000005</v>
      </c>
      <c r="G230" s="23">
        <f>ведомство!J916</f>
        <v>595.20000000000005</v>
      </c>
      <c r="H230" s="23">
        <f>ведомство!K916</f>
        <v>595.20000000000005</v>
      </c>
      <c r="I230" s="23">
        <f t="shared" si="94"/>
        <v>100</v>
      </c>
      <c r="J230" s="23">
        <f t="shared" si="95"/>
        <v>100</v>
      </c>
    </row>
    <row r="231" spans="1:10" ht="25.5">
      <c r="A231" s="8" t="s">
        <v>76</v>
      </c>
      <c r="B231" s="1" t="s">
        <v>405</v>
      </c>
      <c r="C231" s="1" t="s">
        <v>0</v>
      </c>
      <c r="D231" s="9">
        <v>2018524</v>
      </c>
      <c r="E231" s="9">
        <f>E232</f>
        <v>2018524</v>
      </c>
      <c r="F231" s="9">
        <f t="shared" ref="F231:H231" si="106">F232</f>
        <v>1142039.983</v>
      </c>
      <c r="G231" s="9">
        <f t="shared" si="106"/>
        <v>1142039.983</v>
      </c>
      <c r="H231" s="9">
        <f t="shared" si="106"/>
        <v>1142039.983</v>
      </c>
      <c r="I231" s="9">
        <f t="shared" si="94"/>
        <v>56.577973955226689</v>
      </c>
      <c r="J231" s="9">
        <f t="shared" si="95"/>
        <v>100</v>
      </c>
    </row>
    <row r="232" spans="1:10" ht="25.5">
      <c r="A232" s="8" t="s">
        <v>80</v>
      </c>
      <c r="B232" s="1" t="s">
        <v>405</v>
      </c>
      <c r="C232" s="1" t="s">
        <v>81</v>
      </c>
      <c r="D232" s="9">
        <v>2018524</v>
      </c>
      <c r="E232" s="9">
        <f>E233+E234</f>
        <v>2018524</v>
      </c>
      <c r="F232" s="9">
        <f t="shared" ref="F232:H232" si="107">F233+F234</f>
        <v>1142039.983</v>
      </c>
      <c r="G232" s="9">
        <f t="shared" si="107"/>
        <v>1142039.983</v>
      </c>
      <c r="H232" s="9">
        <f t="shared" si="107"/>
        <v>1142039.983</v>
      </c>
      <c r="I232" s="9">
        <f t="shared" si="94"/>
        <v>56.577973955226689</v>
      </c>
      <c r="J232" s="9">
        <f t="shared" si="95"/>
        <v>100</v>
      </c>
    </row>
    <row r="233" spans="1:10">
      <c r="A233" s="8" t="s">
        <v>271</v>
      </c>
      <c r="B233" s="1" t="s">
        <v>405</v>
      </c>
      <c r="C233" s="1" t="s">
        <v>272</v>
      </c>
      <c r="D233" s="9">
        <v>1084694.1000000001</v>
      </c>
      <c r="E233" s="9">
        <f>ведомство!H893+ведомство!H919</f>
        <v>1091441.169</v>
      </c>
      <c r="F233" s="9">
        <f>ведомство!I893+ведомство!I919</f>
        <v>613510.38800000004</v>
      </c>
      <c r="G233" s="9">
        <f>ведомство!J893+ведомство!J919</f>
        <v>613510.38800000004</v>
      </c>
      <c r="H233" s="9">
        <f>ведомство!K893+ведомство!K919</f>
        <v>613510.38800000004</v>
      </c>
      <c r="I233" s="9">
        <f t="shared" si="94"/>
        <v>56.211035961023029</v>
      </c>
      <c r="J233" s="9">
        <f t="shared" si="95"/>
        <v>100</v>
      </c>
    </row>
    <row r="234" spans="1:10">
      <c r="A234" s="8" t="s">
        <v>82</v>
      </c>
      <c r="B234" s="1" t="s">
        <v>405</v>
      </c>
      <c r="C234" s="1" t="s">
        <v>83</v>
      </c>
      <c r="D234" s="9">
        <v>933829.9</v>
      </c>
      <c r="E234" s="9">
        <f>ведомство!H920</f>
        <v>927082.83100000001</v>
      </c>
      <c r="F234" s="9">
        <f>ведомство!I920</f>
        <v>528529.59499999997</v>
      </c>
      <c r="G234" s="9">
        <f>ведомство!J920</f>
        <v>528529.59499999997</v>
      </c>
      <c r="H234" s="9">
        <f>ведомство!K920</f>
        <v>528529.59499999997</v>
      </c>
      <c r="I234" s="9">
        <f t="shared" si="94"/>
        <v>57.00996473312965</v>
      </c>
      <c r="J234" s="9">
        <f t="shared" si="95"/>
        <v>100</v>
      </c>
    </row>
    <row r="235" spans="1:10" ht="63.75">
      <c r="A235" s="8" t="s">
        <v>367</v>
      </c>
      <c r="B235" s="1" t="s">
        <v>432</v>
      </c>
      <c r="C235" s="1" t="s">
        <v>0</v>
      </c>
      <c r="D235" s="9">
        <v>19357.099999999999</v>
      </c>
      <c r="E235" s="9">
        <f>E236</f>
        <v>19357.099999999999</v>
      </c>
      <c r="F235" s="9">
        <f t="shared" ref="F235:H236" si="108">F236</f>
        <v>0</v>
      </c>
      <c r="G235" s="9">
        <f t="shared" si="108"/>
        <v>0</v>
      </c>
      <c r="H235" s="9">
        <f t="shared" si="108"/>
        <v>0</v>
      </c>
      <c r="I235" s="9">
        <f t="shared" si="94"/>
        <v>0</v>
      </c>
      <c r="J235" s="9">
        <v>0</v>
      </c>
    </row>
    <row r="236" spans="1:10">
      <c r="A236" s="8" t="s">
        <v>72</v>
      </c>
      <c r="B236" s="1" t="s">
        <v>432</v>
      </c>
      <c r="C236" s="1" t="s">
        <v>73</v>
      </c>
      <c r="D236" s="9">
        <v>19357.099999999999</v>
      </c>
      <c r="E236" s="9">
        <f>E237</f>
        <v>19357.099999999999</v>
      </c>
      <c r="F236" s="9">
        <f t="shared" si="108"/>
        <v>0</v>
      </c>
      <c r="G236" s="9">
        <f t="shared" si="108"/>
        <v>0</v>
      </c>
      <c r="H236" s="9">
        <f t="shared" si="108"/>
        <v>0</v>
      </c>
      <c r="I236" s="9">
        <f t="shared" si="94"/>
        <v>0</v>
      </c>
      <c r="J236" s="9">
        <v>0</v>
      </c>
    </row>
    <row r="237" spans="1:10">
      <c r="A237" s="8" t="s">
        <v>369</v>
      </c>
      <c r="B237" s="1" t="s">
        <v>432</v>
      </c>
      <c r="C237" s="1" t="s">
        <v>370</v>
      </c>
      <c r="D237" s="9">
        <v>19357.099999999999</v>
      </c>
      <c r="E237" s="9">
        <f>ведомство!H992</f>
        <v>19357.099999999999</v>
      </c>
      <c r="F237" s="9">
        <f>ведомство!I992</f>
        <v>0</v>
      </c>
      <c r="G237" s="9">
        <f>ведомство!J992</f>
        <v>0</v>
      </c>
      <c r="H237" s="9">
        <f>ведомство!K992</f>
        <v>0</v>
      </c>
      <c r="I237" s="9">
        <f t="shared" si="94"/>
        <v>0</v>
      </c>
      <c r="J237" s="9">
        <v>0</v>
      </c>
    </row>
    <row r="238" spans="1:10" ht="25.5">
      <c r="A238" s="8" t="s">
        <v>408</v>
      </c>
      <c r="B238" s="1" t="s">
        <v>409</v>
      </c>
      <c r="C238" s="1" t="s">
        <v>0</v>
      </c>
      <c r="D238" s="9">
        <v>8500</v>
      </c>
      <c r="E238" s="9">
        <f>E239</f>
        <v>8500</v>
      </c>
      <c r="F238" s="9">
        <f t="shared" ref="F238:H239" si="109">F239</f>
        <v>8500</v>
      </c>
      <c r="G238" s="9">
        <f t="shared" si="109"/>
        <v>8500</v>
      </c>
      <c r="H238" s="9">
        <f t="shared" si="109"/>
        <v>8500</v>
      </c>
      <c r="I238" s="9">
        <f t="shared" si="94"/>
        <v>100</v>
      </c>
      <c r="J238" s="9">
        <f t="shared" si="95"/>
        <v>100</v>
      </c>
    </row>
    <row r="239" spans="1:10" ht="25.5">
      <c r="A239" s="8" t="s">
        <v>39</v>
      </c>
      <c r="B239" s="1" t="s">
        <v>409</v>
      </c>
      <c r="C239" s="1" t="s">
        <v>40</v>
      </c>
      <c r="D239" s="9">
        <v>8500</v>
      </c>
      <c r="E239" s="9">
        <f>E240</f>
        <v>8500</v>
      </c>
      <c r="F239" s="9">
        <f t="shared" si="109"/>
        <v>8500</v>
      </c>
      <c r="G239" s="9">
        <f t="shared" si="109"/>
        <v>8500</v>
      </c>
      <c r="H239" s="9">
        <f t="shared" si="109"/>
        <v>8500</v>
      </c>
      <c r="I239" s="9">
        <f t="shared" si="94"/>
        <v>100</v>
      </c>
      <c r="J239" s="9">
        <f t="shared" si="95"/>
        <v>100</v>
      </c>
    </row>
    <row r="240" spans="1:10" ht="76.5">
      <c r="A240" s="8" t="s">
        <v>410</v>
      </c>
      <c r="B240" s="1" t="s">
        <v>409</v>
      </c>
      <c r="C240" s="1" t="s">
        <v>411</v>
      </c>
      <c r="D240" s="9">
        <v>8500</v>
      </c>
      <c r="E240" s="9">
        <f>ведомство!H923</f>
        <v>8500</v>
      </c>
      <c r="F240" s="9">
        <f>ведомство!I923</f>
        <v>8500</v>
      </c>
      <c r="G240" s="9">
        <f>ведомство!J923</f>
        <v>8500</v>
      </c>
      <c r="H240" s="9">
        <f>ведомство!K923</f>
        <v>8500</v>
      </c>
      <c r="I240" s="9">
        <f t="shared" si="94"/>
        <v>100</v>
      </c>
      <c r="J240" s="9">
        <f t="shared" si="95"/>
        <v>100</v>
      </c>
    </row>
    <row r="241" spans="1:10">
      <c r="A241" s="8" t="s">
        <v>424</v>
      </c>
      <c r="B241" s="1" t="s">
        <v>433</v>
      </c>
      <c r="C241" s="1" t="s">
        <v>0</v>
      </c>
      <c r="D241" s="9">
        <v>5994</v>
      </c>
      <c r="E241" s="9">
        <f>E242</f>
        <v>5994</v>
      </c>
      <c r="F241" s="9">
        <f t="shared" ref="F241:H241" si="110">F242</f>
        <v>3495.62</v>
      </c>
      <c r="G241" s="9">
        <f t="shared" si="110"/>
        <v>3495.62</v>
      </c>
      <c r="H241" s="9">
        <f t="shared" si="110"/>
        <v>3495.62</v>
      </c>
      <c r="I241" s="9">
        <f t="shared" si="94"/>
        <v>58.318651985318645</v>
      </c>
      <c r="J241" s="9">
        <f t="shared" si="95"/>
        <v>100</v>
      </c>
    </row>
    <row r="242" spans="1:10" ht="25.5">
      <c r="A242" s="8" t="s">
        <v>80</v>
      </c>
      <c r="B242" s="1" t="s">
        <v>433</v>
      </c>
      <c r="C242" s="1" t="s">
        <v>81</v>
      </c>
      <c r="D242" s="9">
        <v>5994</v>
      </c>
      <c r="E242" s="9">
        <f>E243+E244</f>
        <v>5994</v>
      </c>
      <c r="F242" s="9">
        <f t="shared" ref="F242:H242" si="111">F243+F244</f>
        <v>3495.62</v>
      </c>
      <c r="G242" s="9">
        <f t="shared" si="111"/>
        <v>3495.62</v>
      </c>
      <c r="H242" s="9">
        <f t="shared" si="111"/>
        <v>3495.62</v>
      </c>
      <c r="I242" s="9">
        <f t="shared" si="94"/>
        <v>58.318651985318645</v>
      </c>
      <c r="J242" s="9">
        <f t="shared" si="95"/>
        <v>100</v>
      </c>
    </row>
    <row r="243" spans="1:10">
      <c r="A243" s="8" t="s">
        <v>271</v>
      </c>
      <c r="B243" s="1" t="s">
        <v>433</v>
      </c>
      <c r="C243" s="1" t="s">
        <v>272</v>
      </c>
      <c r="D243" s="9">
        <v>2494</v>
      </c>
      <c r="E243" s="9">
        <f>ведомство!H995</f>
        <v>3094</v>
      </c>
      <c r="F243" s="9">
        <f>ведомство!I995</f>
        <v>2072.5100000000002</v>
      </c>
      <c r="G243" s="9">
        <f>ведомство!J995</f>
        <v>2072.5100000000002</v>
      </c>
      <c r="H243" s="9">
        <f>ведомство!K995</f>
        <v>2072.5100000000002</v>
      </c>
      <c r="I243" s="9">
        <f t="shared" si="94"/>
        <v>66.984809308338725</v>
      </c>
      <c r="J243" s="9">
        <f t="shared" si="95"/>
        <v>100</v>
      </c>
    </row>
    <row r="244" spans="1:10">
      <c r="A244" s="8" t="s">
        <v>82</v>
      </c>
      <c r="B244" s="1" t="s">
        <v>433</v>
      </c>
      <c r="C244" s="1" t="s">
        <v>83</v>
      </c>
      <c r="D244" s="9">
        <v>3500</v>
      </c>
      <c r="E244" s="9">
        <f>ведомство!H996</f>
        <v>2900</v>
      </c>
      <c r="F244" s="9">
        <f>ведомство!I996</f>
        <v>1423.11</v>
      </c>
      <c r="G244" s="9">
        <f>ведомство!J996</f>
        <v>1423.11</v>
      </c>
      <c r="H244" s="9">
        <f>ведомство!K996</f>
        <v>1423.11</v>
      </c>
      <c r="I244" s="9">
        <f t="shared" si="94"/>
        <v>49.072758620689648</v>
      </c>
      <c r="J244" s="9">
        <f t="shared" si="95"/>
        <v>100</v>
      </c>
    </row>
    <row r="245" spans="1:10">
      <c r="A245" s="4" t="s">
        <v>0</v>
      </c>
      <c r="B245" s="17" t="s">
        <v>0</v>
      </c>
      <c r="C245" s="5" t="s">
        <v>0</v>
      </c>
      <c r="D245" s="7" t="s">
        <v>0</v>
      </c>
      <c r="E245" s="7" t="s">
        <v>0</v>
      </c>
      <c r="F245" s="7"/>
      <c r="G245" s="7"/>
      <c r="H245" s="7"/>
      <c r="I245" s="7"/>
      <c r="J245" s="7"/>
    </row>
    <row r="246" spans="1:10" ht="25.5">
      <c r="A246" s="35" t="s">
        <v>412</v>
      </c>
      <c r="B246" s="5" t="s">
        <v>413</v>
      </c>
      <c r="C246" s="5" t="s">
        <v>0</v>
      </c>
      <c r="D246" s="7">
        <v>585300.4</v>
      </c>
      <c r="E246" s="7">
        <f>E247+E250+E255+E265+E268+E276+E279</f>
        <v>586900.44536000001</v>
      </c>
      <c r="F246" s="7">
        <f t="shared" ref="F246:H246" si="112">F247+F250+F255+F265+F268+F276+F279</f>
        <v>329460.06299999997</v>
      </c>
      <c r="G246" s="7">
        <f t="shared" si="112"/>
        <v>329460.06299999997</v>
      </c>
      <c r="H246" s="7">
        <f t="shared" si="112"/>
        <v>323696.76831999997</v>
      </c>
      <c r="I246" s="7">
        <f t="shared" si="94"/>
        <v>55.153607546071456</v>
      </c>
      <c r="J246" s="7">
        <f t="shared" si="95"/>
        <v>98.250684884984068</v>
      </c>
    </row>
    <row r="247" spans="1:10">
      <c r="A247" s="8" t="s">
        <v>1147</v>
      </c>
      <c r="B247" s="25" t="s">
        <v>1146</v>
      </c>
      <c r="C247" s="1"/>
      <c r="D247" s="7"/>
      <c r="E247" s="23">
        <f>E248</f>
        <v>1600</v>
      </c>
      <c r="F247" s="23">
        <f t="shared" ref="F247:H248" si="113">F248</f>
        <v>0</v>
      </c>
      <c r="G247" s="23">
        <f t="shared" si="113"/>
        <v>0</v>
      </c>
      <c r="H247" s="23">
        <f t="shared" si="113"/>
        <v>0</v>
      </c>
      <c r="I247" s="23">
        <f t="shared" si="94"/>
        <v>0</v>
      </c>
      <c r="J247" s="23">
        <v>0</v>
      </c>
    </row>
    <row r="248" spans="1:10">
      <c r="A248" s="26" t="s">
        <v>68</v>
      </c>
      <c r="B248" s="25" t="s">
        <v>1146</v>
      </c>
      <c r="C248" s="1">
        <v>300</v>
      </c>
      <c r="D248" s="7"/>
      <c r="E248" s="23">
        <f>E249</f>
        <v>1600</v>
      </c>
      <c r="F248" s="23">
        <f t="shared" si="113"/>
        <v>0</v>
      </c>
      <c r="G248" s="23">
        <f t="shared" si="113"/>
        <v>0</v>
      </c>
      <c r="H248" s="23">
        <f t="shared" si="113"/>
        <v>0</v>
      </c>
      <c r="I248" s="23">
        <f t="shared" si="94"/>
        <v>0</v>
      </c>
      <c r="J248" s="23">
        <v>0</v>
      </c>
    </row>
    <row r="249" spans="1:10">
      <c r="A249" s="26" t="s">
        <v>373</v>
      </c>
      <c r="B249" s="25" t="s">
        <v>1146</v>
      </c>
      <c r="C249" s="1">
        <v>350</v>
      </c>
      <c r="D249" s="7"/>
      <c r="E249" s="23">
        <f>ведомство!H897</f>
        <v>1600</v>
      </c>
      <c r="F249" s="23">
        <f>ведомство!I897</f>
        <v>0</v>
      </c>
      <c r="G249" s="23">
        <f>ведомство!J897</f>
        <v>0</v>
      </c>
      <c r="H249" s="23">
        <f>ведомство!K897</f>
        <v>0</v>
      </c>
      <c r="I249" s="23">
        <f t="shared" si="94"/>
        <v>0</v>
      </c>
      <c r="J249" s="23">
        <v>0</v>
      </c>
    </row>
    <row r="250" spans="1:10" ht="63.75">
      <c r="A250" s="8" t="s">
        <v>434</v>
      </c>
      <c r="B250" s="1" t="s">
        <v>435</v>
      </c>
      <c r="C250" s="1" t="s">
        <v>0</v>
      </c>
      <c r="D250" s="9">
        <v>8213.1</v>
      </c>
      <c r="E250" s="9">
        <f>E251+E253</f>
        <v>8213.1</v>
      </c>
      <c r="F250" s="9">
        <f t="shared" ref="F250:H250" si="114">F251+F253</f>
        <v>3477.163</v>
      </c>
      <c r="G250" s="9">
        <f t="shared" si="114"/>
        <v>3477.163</v>
      </c>
      <c r="H250" s="9">
        <f t="shared" si="114"/>
        <v>2703.30681</v>
      </c>
      <c r="I250" s="9">
        <f t="shared" si="94"/>
        <v>32.914573181867993</v>
      </c>
      <c r="J250" s="9">
        <f t="shared" si="95"/>
        <v>77.744609901807877</v>
      </c>
    </row>
    <row r="251" spans="1:10" ht="51">
      <c r="A251" s="8" t="s">
        <v>60</v>
      </c>
      <c r="B251" s="1" t="s">
        <v>435</v>
      </c>
      <c r="C251" s="1" t="s">
        <v>61</v>
      </c>
      <c r="D251" s="9">
        <v>7150.4</v>
      </c>
      <c r="E251" s="9">
        <f>E252</f>
        <v>7150.4</v>
      </c>
      <c r="F251" s="9">
        <f t="shared" ref="F251:H251" si="115">F252</f>
        <v>2715.0630000000001</v>
      </c>
      <c r="G251" s="9">
        <f t="shared" si="115"/>
        <v>2715.0630000000001</v>
      </c>
      <c r="H251" s="9">
        <f t="shared" si="115"/>
        <v>2429.48101</v>
      </c>
      <c r="I251" s="9">
        <f t="shared" si="94"/>
        <v>33.976854581561874</v>
      </c>
      <c r="J251" s="9">
        <f t="shared" si="95"/>
        <v>89.48157040923175</v>
      </c>
    </row>
    <row r="252" spans="1:10" ht="25.5">
      <c r="A252" s="8" t="s">
        <v>62</v>
      </c>
      <c r="B252" s="1" t="s">
        <v>435</v>
      </c>
      <c r="C252" s="1" t="s">
        <v>63</v>
      </c>
      <c r="D252" s="9">
        <v>7150.4</v>
      </c>
      <c r="E252" s="9">
        <f>ведомство!H1000</f>
        <v>7150.4</v>
      </c>
      <c r="F252" s="9">
        <f>ведомство!I1000</f>
        <v>2715.0630000000001</v>
      </c>
      <c r="G252" s="9">
        <f>ведомство!J1000</f>
        <v>2715.0630000000001</v>
      </c>
      <c r="H252" s="9">
        <f>ведомство!K1000</f>
        <v>2429.48101</v>
      </c>
      <c r="I252" s="9">
        <f t="shared" si="94"/>
        <v>33.976854581561874</v>
      </c>
      <c r="J252" s="9">
        <f t="shared" si="95"/>
        <v>89.48157040923175</v>
      </c>
    </row>
    <row r="253" spans="1:10" ht="25.5">
      <c r="A253" s="8" t="s">
        <v>64</v>
      </c>
      <c r="B253" s="1" t="s">
        <v>435</v>
      </c>
      <c r="C253" s="1" t="s">
        <v>65</v>
      </c>
      <c r="D253" s="9">
        <v>1062.7</v>
      </c>
      <c r="E253" s="9">
        <f>E254</f>
        <v>1062.7</v>
      </c>
      <c r="F253" s="9">
        <f t="shared" ref="F253:H253" si="116">F254</f>
        <v>762.1</v>
      </c>
      <c r="G253" s="9">
        <f t="shared" si="116"/>
        <v>762.1</v>
      </c>
      <c r="H253" s="9">
        <f t="shared" si="116"/>
        <v>273.82580000000002</v>
      </c>
      <c r="I253" s="9">
        <f t="shared" si="94"/>
        <v>25.766989743107182</v>
      </c>
      <c r="J253" s="9">
        <f t="shared" si="95"/>
        <v>35.930429077548879</v>
      </c>
    </row>
    <row r="254" spans="1:10" ht="25.5">
      <c r="A254" s="8" t="s">
        <v>66</v>
      </c>
      <c r="B254" s="1" t="s">
        <v>435</v>
      </c>
      <c r="C254" s="1" t="s">
        <v>67</v>
      </c>
      <c r="D254" s="9">
        <v>1062.7</v>
      </c>
      <c r="E254" s="9">
        <f>ведомство!H1002</f>
        <v>1062.7</v>
      </c>
      <c r="F254" s="9">
        <f>ведомство!I1002</f>
        <v>762.1</v>
      </c>
      <c r="G254" s="9">
        <f>ведомство!J1002</f>
        <v>762.1</v>
      </c>
      <c r="H254" s="9">
        <f>ведомство!K1002</f>
        <v>273.82580000000002</v>
      </c>
      <c r="I254" s="9">
        <f t="shared" si="94"/>
        <v>25.766989743107182</v>
      </c>
      <c r="J254" s="9">
        <f t="shared" si="95"/>
        <v>35.930429077548879</v>
      </c>
    </row>
    <row r="255" spans="1:10" ht="25.5">
      <c r="A255" s="8" t="s">
        <v>58</v>
      </c>
      <c r="B255" s="1" t="s">
        <v>436</v>
      </c>
      <c r="C255" s="1" t="s">
        <v>0</v>
      </c>
      <c r="D255" s="9">
        <v>56320.9</v>
      </c>
      <c r="E255" s="9">
        <f>E256+E258+E260+E262</f>
        <v>56320.9</v>
      </c>
      <c r="F255" s="9">
        <f t="shared" ref="F255:H255" si="117">F256+F258+F260+F262</f>
        <v>27754</v>
      </c>
      <c r="G255" s="9">
        <f t="shared" si="117"/>
        <v>27754</v>
      </c>
      <c r="H255" s="9">
        <f t="shared" si="117"/>
        <v>23134.325509999999</v>
      </c>
      <c r="I255" s="9">
        <f t="shared" si="94"/>
        <v>41.07591588557711</v>
      </c>
      <c r="J255" s="9">
        <f t="shared" si="95"/>
        <v>83.354923650644949</v>
      </c>
    </row>
    <row r="256" spans="1:10" ht="51">
      <c r="A256" s="8" t="s">
        <v>60</v>
      </c>
      <c r="B256" s="1" t="s">
        <v>436</v>
      </c>
      <c r="C256" s="1" t="s">
        <v>61</v>
      </c>
      <c r="D256" s="9">
        <v>54214.9</v>
      </c>
      <c r="E256" s="9">
        <f>E257</f>
        <v>54214.6</v>
      </c>
      <c r="F256" s="9">
        <f t="shared" ref="F256:H256" si="118">F257</f>
        <v>26637.7</v>
      </c>
      <c r="G256" s="9">
        <f t="shared" si="118"/>
        <v>26637.7</v>
      </c>
      <c r="H256" s="9">
        <f t="shared" si="118"/>
        <v>22245.18116</v>
      </c>
      <c r="I256" s="9">
        <f t="shared" si="94"/>
        <v>41.031716843802222</v>
      </c>
      <c r="J256" s="9">
        <f t="shared" si="95"/>
        <v>83.510142242010375</v>
      </c>
    </row>
    <row r="257" spans="1:10" ht="25.5">
      <c r="A257" s="8" t="s">
        <v>62</v>
      </c>
      <c r="B257" s="1" t="s">
        <v>436</v>
      </c>
      <c r="C257" s="1" t="s">
        <v>63</v>
      </c>
      <c r="D257" s="9">
        <v>54214.9</v>
      </c>
      <c r="E257" s="9">
        <f>ведомство!H1005</f>
        <v>54214.6</v>
      </c>
      <c r="F257" s="9">
        <f>ведомство!I1005</f>
        <v>26637.7</v>
      </c>
      <c r="G257" s="9">
        <f>ведомство!J1005</f>
        <v>26637.7</v>
      </c>
      <c r="H257" s="9">
        <f>ведомство!K1005</f>
        <v>22245.18116</v>
      </c>
      <c r="I257" s="9">
        <f t="shared" si="94"/>
        <v>41.031716843802222</v>
      </c>
      <c r="J257" s="9">
        <f t="shared" si="95"/>
        <v>83.510142242010375</v>
      </c>
    </row>
    <row r="258" spans="1:10" ht="25.5">
      <c r="A258" s="8" t="s">
        <v>64</v>
      </c>
      <c r="B258" s="1" t="s">
        <v>436</v>
      </c>
      <c r="C258" s="1" t="s">
        <v>65</v>
      </c>
      <c r="D258" s="9">
        <v>2045</v>
      </c>
      <c r="E258" s="9">
        <f>E259</f>
        <v>2045</v>
      </c>
      <c r="F258" s="9">
        <f t="shared" ref="F258:H258" si="119">F259</f>
        <v>1115.5</v>
      </c>
      <c r="G258" s="9">
        <f t="shared" si="119"/>
        <v>1115.5</v>
      </c>
      <c r="H258" s="9">
        <f t="shared" si="119"/>
        <v>888.46635000000003</v>
      </c>
      <c r="I258" s="9">
        <f t="shared" si="94"/>
        <v>43.44578728606357</v>
      </c>
      <c r="J258" s="9">
        <f t="shared" si="95"/>
        <v>79.64736441057822</v>
      </c>
    </row>
    <row r="259" spans="1:10" ht="25.5">
      <c r="A259" s="8" t="s">
        <v>66</v>
      </c>
      <c r="B259" s="1" t="s">
        <v>436</v>
      </c>
      <c r="C259" s="1" t="s">
        <v>67</v>
      </c>
      <c r="D259" s="9">
        <v>2045</v>
      </c>
      <c r="E259" s="9">
        <f>ведомство!H1007</f>
        <v>2045</v>
      </c>
      <c r="F259" s="9">
        <f>ведомство!I1007</f>
        <v>1115.5</v>
      </c>
      <c r="G259" s="9">
        <f>ведомство!J1007</f>
        <v>1115.5</v>
      </c>
      <c r="H259" s="9">
        <f>ведомство!K1007</f>
        <v>888.46635000000003</v>
      </c>
      <c r="I259" s="9">
        <f t="shared" si="94"/>
        <v>43.44578728606357</v>
      </c>
      <c r="J259" s="9">
        <f t="shared" si="95"/>
        <v>79.64736441057822</v>
      </c>
    </row>
    <row r="260" spans="1:10">
      <c r="A260" s="8" t="s">
        <v>68</v>
      </c>
      <c r="B260" s="1" t="s">
        <v>436</v>
      </c>
      <c r="C260" s="1" t="s">
        <v>69</v>
      </c>
      <c r="D260" s="9">
        <v>60</v>
      </c>
      <c r="E260" s="9">
        <f>E261</f>
        <v>60</v>
      </c>
      <c r="F260" s="9">
        <f t="shared" ref="F260:H260" si="120">F261</f>
        <v>0</v>
      </c>
      <c r="G260" s="9">
        <f t="shared" si="120"/>
        <v>0</v>
      </c>
      <c r="H260" s="9">
        <f t="shared" si="120"/>
        <v>0</v>
      </c>
      <c r="I260" s="9">
        <f t="shared" si="94"/>
        <v>0</v>
      </c>
      <c r="J260" s="9">
        <v>0</v>
      </c>
    </row>
    <row r="261" spans="1:10">
      <c r="A261" s="8" t="s">
        <v>70</v>
      </c>
      <c r="B261" s="1" t="s">
        <v>436</v>
      </c>
      <c r="C261" s="1" t="s">
        <v>71</v>
      </c>
      <c r="D261" s="9">
        <v>60</v>
      </c>
      <c r="E261" s="9">
        <f>ведомство!H1009</f>
        <v>60</v>
      </c>
      <c r="F261" s="9">
        <f>ведомство!I1009</f>
        <v>0</v>
      </c>
      <c r="G261" s="9">
        <f>ведомство!J1009</f>
        <v>0</v>
      </c>
      <c r="H261" s="9">
        <f>ведомство!K1009</f>
        <v>0</v>
      </c>
      <c r="I261" s="9">
        <f t="shared" si="94"/>
        <v>0</v>
      </c>
      <c r="J261" s="9">
        <v>0</v>
      </c>
    </row>
    <row r="262" spans="1:10">
      <c r="A262" s="8" t="s">
        <v>72</v>
      </c>
      <c r="B262" s="1" t="s">
        <v>436</v>
      </c>
      <c r="C262" s="1" t="s">
        <v>73</v>
      </c>
      <c r="D262" s="9">
        <v>1</v>
      </c>
      <c r="E262" s="9">
        <f>E263+E264</f>
        <v>1.3</v>
      </c>
      <c r="F262" s="9">
        <f t="shared" ref="F262:H262" si="121">F263+F264</f>
        <v>0.8</v>
      </c>
      <c r="G262" s="9">
        <f t="shared" si="121"/>
        <v>0.8</v>
      </c>
      <c r="H262" s="9">
        <f t="shared" si="121"/>
        <v>0.67799999999999994</v>
      </c>
      <c r="I262" s="9">
        <f t="shared" si="94"/>
        <v>52.153846153846153</v>
      </c>
      <c r="J262" s="9">
        <f t="shared" si="95"/>
        <v>84.749999999999986</v>
      </c>
    </row>
    <row r="263" spans="1:10">
      <c r="A263" s="8"/>
      <c r="B263" s="1" t="s">
        <v>436</v>
      </c>
      <c r="C263" s="1">
        <v>830</v>
      </c>
      <c r="D263" s="9"/>
      <c r="E263" s="9">
        <f>ведомство!H1011</f>
        <v>0.3</v>
      </c>
      <c r="F263" s="9">
        <f>ведомство!I1011</f>
        <v>0.3</v>
      </c>
      <c r="G263" s="9">
        <f>ведомство!J1011</f>
        <v>0.3</v>
      </c>
      <c r="H263" s="9">
        <f>ведомство!K1011</f>
        <v>0.3</v>
      </c>
      <c r="I263" s="9">
        <f t="shared" si="94"/>
        <v>100</v>
      </c>
      <c r="J263" s="9">
        <f t="shared" si="95"/>
        <v>100</v>
      </c>
    </row>
    <row r="264" spans="1:10">
      <c r="A264" s="8" t="s">
        <v>74</v>
      </c>
      <c r="B264" s="1" t="s">
        <v>436</v>
      </c>
      <c r="C264" s="1" t="s">
        <v>75</v>
      </c>
      <c r="D264" s="9">
        <v>1</v>
      </c>
      <c r="E264" s="9">
        <f>ведомство!H1012</f>
        <v>1</v>
      </c>
      <c r="F264" s="9">
        <f>ведомство!I1012</f>
        <v>0.5</v>
      </c>
      <c r="G264" s="9">
        <f>ведомство!J1012</f>
        <v>0.5</v>
      </c>
      <c r="H264" s="9">
        <f>ведомство!K1012</f>
        <v>0.378</v>
      </c>
      <c r="I264" s="9">
        <f t="shared" si="94"/>
        <v>37.799999999999997</v>
      </c>
      <c r="J264" s="9">
        <f t="shared" si="95"/>
        <v>75.599999999999994</v>
      </c>
    </row>
    <row r="265" spans="1:10" ht="25.5">
      <c r="A265" s="8" t="s">
        <v>76</v>
      </c>
      <c r="B265" s="1" t="s">
        <v>414</v>
      </c>
      <c r="C265" s="1" t="s">
        <v>0</v>
      </c>
      <c r="D265" s="9">
        <v>93378.6</v>
      </c>
      <c r="E265" s="9">
        <f>E266</f>
        <v>93378.6</v>
      </c>
      <c r="F265" s="9">
        <f t="shared" ref="F265:H266" si="122">F266</f>
        <v>51129.8</v>
      </c>
      <c r="G265" s="9">
        <f t="shared" si="122"/>
        <v>51129.8</v>
      </c>
      <c r="H265" s="9">
        <f t="shared" si="122"/>
        <v>51129.8</v>
      </c>
      <c r="I265" s="9">
        <f t="shared" si="94"/>
        <v>54.755372215903854</v>
      </c>
      <c r="J265" s="9">
        <f t="shared" si="95"/>
        <v>100</v>
      </c>
    </row>
    <row r="266" spans="1:10" ht="25.5">
      <c r="A266" s="8" t="s">
        <v>80</v>
      </c>
      <c r="B266" s="1" t="s">
        <v>414</v>
      </c>
      <c r="C266" s="1" t="s">
        <v>81</v>
      </c>
      <c r="D266" s="9">
        <v>93378.6</v>
      </c>
      <c r="E266" s="9">
        <f>E267</f>
        <v>93378.6</v>
      </c>
      <c r="F266" s="9">
        <f t="shared" si="122"/>
        <v>51129.8</v>
      </c>
      <c r="G266" s="9">
        <f t="shared" si="122"/>
        <v>51129.8</v>
      </c>
      <c r="H266" s="9">
        <f t="shared" si="122"/>
        <v>51129.8</v>
      </c>
      <c r="I266" s="9">
        <f t="shared" si="94"/>
        <v>54.755372215903854</v>
      </c>
      <c r="J266" s="9">
        <f t="shared" si="95"/>
        <v>100</v>
      </c>
    </row>
    <row r="267" spans="1:10">
      <c r="A267" s="8" t="s">
        <v>82</v>
      </c>
      <c r="B267" s="1" t="s">
        <v>414</v>
      </c>
      <c r="C267" s="1" t="s">
        <v>83</v>
      </c>
      <c r="D267" s="9">
        <v>93378.6</v>
      </c>
      <c r="E267" s="9">
        <f>ведомство!H933</f>
        <v>93378.6</v>
      </c>
      <c r="F267" s="9">
        <f>ведомство!I933</f>
        <v>51129.8</v>
      </c>
      <c r="G267" s="9">
        <f>ведомство!J933</f>
        <v>51129.8</v>
      </c>
      <c r="H267" s="9">
        <f>ведомство!K933</f>
        <v>51129.8</v>
      </c>
      <c r="I267" s="9">
        <f t="shared" ref="I267:I332" si="123">H267/E267*100</f>
        <v>54.755372215903854</v>
      </c>
      <c r="J267" s="9">
        <f t="shared" ref="J267:J332" si="124">H267/F267*100</f>
        <v>100</v>
      </c>
    </row>
    <row r="268" spans="1:10">
      <c r="A268" s="8" t="s">
        <v>424</v>
      </c>
      <c r="B268" s="1" t="s">
        <v>437</v>
      </c>
      <c r="C268" s="1" t="s">
        <v>0</v>
      </c>
      <c r="D268" s="9">
        <v>15314</v>
      </c>
      <c r="E268" s="9">
        <f>E269+E271+E274</f>
        <v>13514</v>
      </c>
      <c r="F268" s="9">
        <f t="shared" ref="F268:H268" si="125">F269+F271+F274</f>
        <v>3454.3</v>
      </c>
      <c r="G268" s="9">
        <f t="shared" si="125"/>
        <v>3454.3</v>
      </c>
      <c r="H268" s="9">
        <f t="shared" si="125"/>
        <v>3084.5360000000001</v>
      </c>
      <c r="I268" s="9">
        <f t="shared" si="123"/>
        <v>22.824744709190469</v>
      </c>
      <c r="J268" s="9">
        <f t="shared" si="124"/>
        <v>89.295544683438038</v>
      </c>
    </row>
    <row r="269" spans="1:10" ht="25.5">
      <c r="A269" s="8" t="s">
        <v>64</v>
      </c>
      <c r="B269" s="1" t="s">
        <v>437</v>
      </c>
      <c r="C269" s="1" t="s">
        <v>65</v>
      </c>
      <c r="D269" s="9">
        <v>2364</v>
      </c>
      <c r="E269" s="9">
        <f>E270</f>
        <v>2364</v>
      </c>
      <c r="F269" s="9">
        <f t="shared" ref="F269:H269" si="126">F270</f>
        <v>2274</v>
      </c>
      <c r="G269" s="9">
        <f t="shared" si="126"/>
        <v>2274</v>
      </c>
      <c r="H269" s="9">
        <f t="shared" si="126"/>
        <v>1904.2360000000001</v>
      </c>
      <c r="I269" s="9">
        <f t="shared" si="123"/>
        <v>80.551438240270727</v>
      </c>
      <c r="J269" s="9">
        <f t="shared" si="124"/>
        <v>83.739489885664028</v>
      </c>
    </row>
    <row r="270" spans="1:10" ht="25.5">
      <c r="A270" s="8" t="s">
        <v>66</v>
      </c>
      <c r="B270" s="1" t="s">
        <v>437</v>
      </c>
      <c r="C270" s="1" t="s">
        <v>67</v>
      </c>
      <c r="D270" s="9">
        <v>2364</v>
      </c>
      <c r="E270" s="9">
        <f>ведомство!H1015</f>
        <v>2364</v>
      </c>
      <c r="F270" s="9">
        <f>ведомство!I1015</f>
        <v>2274</v>
      </c>
      <c r="G270" s="9">
        <f>ведомство!J1015</f>
        <v>2274</v>
      </c>
      <c r="H270" s="9">
        <f>ведомство!K1015</f>
        <v>1904.2360000000001</v>
      </c>
      <c r="I270" s="9">
        <f t="shared" si="123"/>
        <v>80.551438240270727</v>
      </c>
      <c r="J270" s="9">
        <f t="shared" si="124"/>
        <v>83.739489885664028</v>
      </c>
    </row>
    <row r="271" spans="1:10">
      <c r="A271" s="8" t="s">
        <v>68</v>
      </c>
      <c r="B271" s="1" t="s">
        <v>437</v>
      </c>
      <c r="C271" s="1" t="s">
        <v>69</v>
      </c>
      <c r="D271" s="9">
        <v>11250</v>
      </c>
      <c r="E271" s="9">
        <f>E272+E273</f>
        <v>9450</v>
      </c>
      <c r="F271" s="9">
        <f t="shared" ref="F271:H271" si="127">F272+F273</f>
        <v>0</v>
      </c>
      <c r="G271" s="9">
        <f t="shared" si="127"/>
        <v>0</v>
      </c>
      <c r="H271" s="9">
        <f t="shared" si="127"/>
        <v>0</v>
      </c>
      <c r="I271" s="9">
        <f t="shared" si="123"/>
        <v>0</v>
      </c>
      <c r="J271" s="9">
        <v>0</v>
      </c>
    </row>
    <row r="272" spans="1:10">
      <c r="A272" s="8" t="s">
        <v>373</v>
      </c>
      <c r="B272" s="1" t="s">
        <v>437</v>
      </c>
      <c r="C272" s="1" t="s">
        <v>374</v>
      </c>
      <c r="D272" s="9">
        <v>2250</v>
      </c>
      <c r="E272" s="9">
        <f>ведомство!H1017</f>
        <v>450</v>
      </c>
      <c r="F272" s="9">
        <f>ведомство!I1017</f>
        <v>0</v>
      </c>
      <c r="G272" s="9">
        <f>ведомство!J1017</f>
        <v>0</v>
      </c>
      <c r="H272" s="9">
        <f>ведомство!K1017</f>
        <v>0</v>
      </c>
      <c r="I272" s="9">
        <f t="shared" si="123"/>
        <v>0</v>
      </c>
      <c r="J272" s="9">
        <v>0</v>
      </c>
    </row>
    <row r="273" spans="1:10">
      <c r="A273" s="8" t="s">
        <v>70</v>
      </c>
      <c r="B273" s="1" t="s">
        <v>437</v>
      </c>
      <c r="C273" s="1" t="s">
        <v>71</v>
      </c>
      <c r="D273" s="9">
        <v>9000</v>
      </c>
      <c r="E273" s="9">
        <f>ведомство!H1018</f>
        <v>9000</v>
      </c>
      <c r="F273" s="9">
        <f>ведомство!I1018</f>
        <v>0</v>
      </c>
      <c r="G273" s="9">
        <f>ведомство!J1018</f>
        <v>0</v>
      </c>
      <c r="H273" s="9">
        <f>ведомство!K1018</f>
        <v>0</v>
      </c>
      <c r="I273" s="9">
        <f t="shared" si="123"/>
        <v>0</v>
      </c>
      <c r="J273" s="9">
        <v>0</v>
      </c>
    </row>
    <row r="274" spans="1:10" ht="25.5">
      <c r="A274" s="8" t="s">
        <v>80</v>
      </c>
      <c r="B274" s="1" t="s">
        <v>437</v>
      </c>
      <c r="C274" s="1" t="s">
        <v>81</v>
      </c>
      <c r="D274" s="9">
        <v>1700</v>
      </c>
      <c r="E274" s="9">
        <f>E275</f>
        <v>1700</v>
      </c>
      <c r="F274" s="9">
        <f t="shared" ref="F274:H274" si="128">F275</f>
        <v>1180.3</v>
      </c>
      <c r="G274" s="9">
        <f t="shared" si="128"/>
        <v>1180.3</v>
      </c>
      <c r="H274" s="9">
        <f t="shared" si="128"/>
        <v>1180.3</v>
      </c>
      <c r="I274" s="9">
        <f t="shared" si="123"/>
        <v>69.42941176470589</v>
      </c>
      <c r="J274" s="9">
        <f t="shared" si="124"/>
        <v>100</v>
      </c>
    </row>
    <row r="275" spans="1:10">
      <c r="A275" s="8" t="s">
        <v>82</v>
      </c>
      <c r="B275" s="1" t="s">
        <v>437</v>
      </c>
      <c r="C275" s="1" t="s">
        <v>83</v>
      </c>
      <c r="D275" s="9">
        <v>1700</v>
      </c>
      <c r="E275" s="9">
        <f>ведомство!H1020</f>
        <v>1700</v>
      </c>
      <c r="F275" s="9">
        <f>ведомство!I1020</f>
        <v>1180.3</v>
      </c>
      <c r="G275" s="9">
        <f>ведомство!J1020</f>
        <v>1180.3</v>
      </c>
      <c r="H275" s="9">
        <f>ведомство!K1020</f>
        <v>1180.3</v>
      </c>
      <c r="I275" s="9">
        <f t="shared" si="123"/>
        <v>69.42941176470589</v>
      </c>
      <c r="J275" s="9">
        <f t="shared" si="124"/>
        <v>100</v>
      </c>
    </row>
    <row r="276" spans="1:10" ht="63.75">
      <c r="A276" s="8" t="s">
        <v>438</v>
      </c>
      <c r="B276" s="1" t="s">
        <v>439</v>
      </c>
      <c r="C276" s="1" t="s">
        <v>0</v>
      </c>
      <c r="D276" s="9">
        <v>412073.8</v>
      </c>
      <c r="E276" s="9">
        <f>E277</f>
        <v>412073.84535999998</v>
      </c>
      <c r="F276" s="9">
        <f t="shared" ref="F276:H277" si="129">F277</f>
        <v>243644.79999999999</v>
      </c>
      <c r="G276" s="9">
        <f t="shared" si="129"/>
        <v>243644.79999999999</v>
      </c>
      <c r="H276" s="9">
        <f t="shared" si="129"/>
        <v>243644.79999999999</v>
      </c>
      <c r="I276" s="9">
        <f t="shared" si="123"/>
        <v>59.126489764751909</v>
      </c>
      <c r="J276" s="9">
        <f t="shared" si="124"/>
        <v>100</v>
      </c>
    </row>
    <row r="277" spans="1:10">
      <c r="A277" s="8" t="s">
        <v>26</v>
      </c>
      <c r="B277" s="1" t="s">
        <v>439</v>
      </c>
      <c r="C277" s="1" t="s">
        <v>27</v>
      </c>
      <c r="D277" s="9">
        <v>412073.8</v>
      </c>
      <c r="E277" s="9">
        <f>E278</f>
        <v>412073.84535999998</v>
      </c>
      <c r="F277" s="9">
        <f t="shared" si="129"/>
        <v>243644.79999999999</v>
      </c>
      <c r="G277" s="9">
        <f t="shared" si="129"/>
        <v>243644.79999999999</v>
      </c>
      <c r="H277" s="9">
        <f t="shared" si="129"/>
        <v>243644.79999999999</v>
      </c>
      <c r="I277" s="9">
        <f t="shared" si="123"/>
        <v>59.126489764751909</v>
      </c>
      <c r="J277" s="9">
        <f t="shared" si="124"/>
        <v>100</v>
      </c>
    </row>
    <row r="278" spans="1:10">
      <c r="A278" s="8" t="s">
        <v>56</v>
      </c>
      <c r="B278" s="1" t="s">
        <v>439</v>
      </c>
      <c r="C278" s="1" t="s">
        <v>57</v>
      </c>
      <c r="D278" s="9">
        <v>412073.8</v>
      </c>
      <c r="E278" s="9">
        <f>ведомство!H1023</f>
        <v>412073.84535999998</v>
      </c>
      <c r="F278" s="9">
        <f>ведомство!I1023</f>
        <v>243644.79999999999</v>
      </c>
      <c r="G278" s="9">
        <f>ведомство!J1023</f>
        <v>243644.79999999999</v>
      </c>
      <c r="H278" s="9">
        <f>ведомство!K1023</f>
        <v>243644.79999999999</v>
      </c>
      <c r="I278" s="9">
        <f t="shared" si="123"/>
        <v>59.126489764751909</v>
      </c>
      <c r="J278" s="9">
        <f t="shared" si="124"/>
        <v>100</v>
      </c>
    </row>
    <row r="279" spans="1:10">
      <c r="A279" s="8" t="s">
        <v>1156</v>
      </c>
      <c r="B279" s="25" t="s">
        <v>1155</v>
      </c>
      <c r="C279" s="1"/>
      <c r="D279" s="9"/>
      <c r="E279" s="9">
        <f>E280</f>
        <v>1800</v>
      </c>
      <c r="F279" s="9">
        <f t="shared" ref="F279:H280" si="130">F280</f>
        <v>0</v>
      </c>
      <c r="G279" s="9">
        <f t="shared" si="130"/>
        <v>0</v>
      </c>
      <c r="H279" s="9">
        <f t="shared" si="130"/>
        <v>0</v>
      </c>
      <c r="I279" s="9">
        <f t="shared" si="123"/>
        <v>0</v>
      </c>
      <c r="J279" s="9">
        <v>0</v>
      </c>
    </row>
    <row r="280" spans="1:10">
      <c r="A280" s="26" t="s">
        <v>68</v>
      </c>
      <c r="B280" s="25" t="s">
        <v>1155</v>
      </c>
      <c r="C280" s="1">
        <v>300</v>
      </c>
      <c r="D280" s="9"/>
      <c r="E280" s="9">
        <f>E281</f>
        <v>1800</v>
      </c>
      <c r="F280" s="9">
        <f t="shared" si="130"/>
        <v>0</v>
      </c>
      <c r="G280" s="9">
        <f t="shared" si="130"/>
        <v>0</v>
      </c>
      <c r="H280" s="9">
        <f t="shared" si="130"/>
        <v>0</v>
      </c>
      <c r="I280" s="9">
        <f t="shared" si="123"/>
        <v>0</v>
      </c>
      <c r="J280" s="9">
        <v>0</v>
      </c>
    </row>
    <row r="281" spans="1:10">
      <c r="A281" s="26" t="s">
        <v>373</v>
      </c>
      <c r="B281" s="25" t="s">
        <v>1155</v>
      </c>
      <c r="C281" s="1">
        <v>350</v>
      </c>
      <c r="D281" s="9"/>
      <c r="E281" s="9">
        <f>ведомство!H1026</f>
        <v>1800</v>
      </c>
      <c r="F281" s="9">
        <f>ведомство!I1026</f>
        <v>0</v>
      </c>
      <c r="G281" s="9">
        <f>ведомство!J1026</f>
        <v>0</v>
      </c>
      <c r="H281" s="9">
        <f>ведомство!K1026</f>
        <v>0</v>
      </c>
      <c r="I281" s="9">
        <f t="shared" si="123"/>
        <v>0</v>
      </c>
      <c r="J281" s="9">
        <v>0</v>
      </c>
    </row>
    <row r="282" spans="1:10">
      <c r="A282" s="4" t="s">
        <v>0</v>
      </c>
      <c r="B282" s="17" t="s">
        <v>0</v>
      </c>
      <c r="C282" s="5" t="s">
        <v>0</v>
      </c>
      <c r="D282" s="7" t="s">
        <v>0</v>
      </c>
      <c r="E282" s="7" t="s">
        <v>0</v>
      </c>
      <c r="F282" s="7"/>
      <c r="G282" s="7"/>
      <c r="H282" s="7"/>
      <c r="I282" s="7"/>
      <c r="J282" s="7"/>
    </row>
    <row r="283" spans="1:10" ht="25.5">
      <c r="A283" s="4" t="s">
        <v>388</v>
      </c>
      <c r="B283" s="5" t="s">
        <v>389</v>
      </c>
      <c r="C283" s="5" t="s">
        <v>0</v>
      </c>
      <c r="D283" s="7">
        <v>7500</v>
      </c>
      <c r="E283" s="7">
        <f>E284</f>
        <v>7500</v>
      </c>
      <c r="F283" s="7">
        <f t="shared" ref="F283:H284" si="131">F284</f>
        <v>7500</v>
      </c>
      <c r="G283" s="7">
        <f t="shared" si="131"/>
        <v>7500</v>
      </c>
      <c r="H283" s="7">
        <f t="shared" si="131"/>
        <v>7500</v>
      </c>
      <c r="I283" s="7">
        <f t="shared" si="123"/>
        <v>100</v>
      </c>
      <c r="J283" s="7">
        <f t="shared" si="124"/>
        <v>100</v>
      </c>
    </row>
    <row r="284" spans="1:10" ht="25.5">
      <c r="A284" s="8" t="s">
        <v>390</v>
      </c>
      <c r="B284" s="1" t="s">
        <v>391</v>
      </c>
      <c r="C284" s="1" t="s">
        <v>0</v>
      </c>
      <c r="D284" s="9">
        <v>7500</v>
      </c>
      <c r="E284" s="9">
        <f>E285</f>
        <v>7500</v>
      </c>
      <c r="F284" s="9">
        <f t="shared" si="131"/>
        <v>7500</v>
      </c>
      <c r="G284" s="9">
        <f t="shared" si="131"/>
        <v>7500</v>
      </c>
      <c r="H284" s="9">
        <f t="shared" si="131"/>
        <v>7500</v>
      </c>
      <c r="I284" s="9">
        <f t="shared" si="123"/>
        <v>100</v>
      </c>
      <c r="J284" s="9">
        <f t="shared" si="124"/>
        <v>100</v>
      </c>
    </row>
    <row r="285" spans="1:10" ht="25.5">
      <c r="A285" s="8" t="s">
        <v>80</v>
      </c>
      <c r="B285" s="1" t="s">
        <v>391</v>
      </c>
      <c r="C285" s="1" t="s">
        <v>81</v>
      </c>
      <c r="D285" s="9">
        <v>7500</v>
      </c>
      <c r="E285" s="9">
        <f>E286+E287+E288</f>
        <v>7500</v>
      </c>
      <c r="F285" s="9">
        <f t="shared" ref="F285:H285" si="132">F286+F287+F288</f>
        <v>7500</v>
      </c>
      <c r="G285" s="9">
        <f t="shared" si="132"/>
        <v>7500</v>
      </c>
      <c r="H285" s="9">
        <f t="shared" si="132"/>
        <v>7500</v>
      </c>
      <c r="I285" s="9">
        <f t="shared" si="123"/>
        <v>100</v>
      </c>
      <c r="J285" s="9">
        <f t="shared" si="124"/>
        <v>100</v>
      </c>
    </row>
    <row r="286" spans="1:10">
      <c r="A286" s="8" t="s">
        <v>271</v>
      </c>
      <c r="B286" s="1" t="s">
        <v>391</v>
      </c>
      <c r="C286" s="1">
        <v>610</v>
      </c>
      <c r="D286" s="9"/>
      <c r="E286" s="9">
        <f>ведомство!H845</f>
        <v>3352.85</v>
      </c>
      <c r="F286" s="9">
        <f>ведомство!I845</f>
        <v>3352.85</v>
      </c>
      <c r="G286" s="9">
        <f>ведомство!J845</f>
        <v>3352.85</v>
      </c>
      <c r="H286" s="9">
        <f>ведомство!K845</f>
        <v>3352.85</v>
      </c>
      <c r="I286" s="9">
        <f t="shared" si="123"/>
        <v>100</v>
      </c>
      <c r="J286" s="9">
        <f t="shared" si="124"/>
        <v>100</v>
      </c>
    </row>
    <row r="287" spans="1:10">
      <c r="A287" s="8" t="s">
        <v>82</v>
      </c>
      <c r="B287" s="1" t="s">
        <v>391</v>
      </c>
      <c r="C287" s="1">
        <v>620</v>
      </c>
      <c r="D287" s="9"/>
      <c r="E287" s="9">
        <f>ведомство!H846</f>
        <v>3954.3</v>
      </c>
      <c r="F287" s="9">
        <f>ведомство!I846</f>
        <v>3954.3</v>
      </c>
      <c r="G287" s="9">
        <f>ведомство!J846</f>
        <v>3954.3</v>
      </c>
      <c r="H287" s="9">
        <f>ведомство!K846</f>
        <v>3954.3</v>
      </c>
      <c r="I287" s="9">
        <f t="shared" si="123"/>
        <v>100</v>
      </c>
      <c r="J287" s="9">
        <f t="shared" si="124"/>
        <v>100</v>
      </c>
    </row>
    <row r="288" spans="1:10" ht="25.5">
      <c r="A288" s="8" t="s">
        <v>195</v>
      </c>
      <c r="B288" s="1" t="s">
        <v>391</v>
      </c>
      <c r="C288" s="1" t="s">
        <v>196</v>
      </c>
      <c r="D288" s="9">
        <v>7500</v>
      </c>
      <c r="E288" s="9">
        <f>ведомство!H847</f>
        <v>192.85</v>
      </c>
      <c r="F288" s="9">
        <f>ведомство!I847</f>
        <v>192.85</v>
      </c>
      <c r="G288" s="9">
        <f>ведомство!J847</f>
        <v>192.85</v>
      </c>
      <c r="H288" s="9">
        <f>ведомство!K847</f>
        <v>192.85</v>
      </c>
      <c r="I288" s="9">
        <f t="shared" si="123"/>
        <v>100</v>
      </c>
      <c r="J288" s="9">
        <f t="shared" si="124"/>
        <v>100</v>
      </c>
    </row>
    <row r="289" spans="1:10">
      <c r="A289" s="4" t="s">
        <v>0</v>
      </c>
      <c r="B289" s="17" t="s">
        <v>0</v>
      </c>
      <c r="C289" s="5" t="s">
        <v>0</v>
      </c>
      <c r="D289" s="7" t="s">
        <v>0</v>
      </c>
      <c r="E289" s="7" t="s">
        <v>0</v>
      </c>
      <c r="F289" s="7"/>
      <c r="G289" s="7"/>
      <c r="H289" s="7"/>
      <c r="I289" s="7"/>
      <c r="J289" s="7"/>
    </row>
    <row r="290" spans="1:10" ht="38.25">
      <c r="A290" s="4" t="s">
        <v>392</v>
      </c>
      <c r="B290" s="5" t="s">
        <v>393</v>
      </c>
      <c r="C290" s="5" t="s">
        <v>0</v>
      </c>
      <c r="D290" s="7">
        <v>5296.1</v>
      </c>
      <c r="E290" s="7">
        <f>E291+E294</f>
        <v>5296.1</v>
      </c>
      <c r="F290" s="7">
        <f t="shared" ref="F290:H290" si="133">F291+F294</f>
        <v>1915.9349999999999</v>
      </c>
      <c r="G290" s="7">
        <f t="shared" si="133"/>
        <v>1915.9349999999999</v>
      </c>
      <c r="H290" s="7">
        <f t="shared" si="133"/>
        <v>1915.9349999999999</v>
      </c>
      <c r="I290" s="7">
        <f t="shared" si="123"/>
        <v>36.176337304809195</v>
      </c>
      <c r="J290" s="7">
        <f t="shared" si="124"/>
        <v>100</v>
      </c>
    </row>
    <row r="291" spans="1:10" ht="25.5">
      <c r="A291" s="8" t="s">
        <v>76</v>
      </c>
      <c r="B291" s="1" t="s">
        <v>421</v>
      </c>
      <c r="C291" s="1" t="s">
        <v>0</v>
      </c>
      <c r="D291" s="9">
        <v>3905.3</v>
      </c>
      <c r="E291" s="9">
        <f>E292</f>
        <v>3905.3</v>
      </c>
      <c r="F291" s="9">
        <f t="shared" ref="F291:H292" si="134">F292</f>
        <v>1915.9349999999999</v>
      </c>
      <c r="G291" s="9">
        <f t="shared" si="134"/>
        <v>1915.9349999999999</v>
      </c>
      <c r="H291" s="9">
        <f t="shared" si="134"/>
        <v>1915.9349999999999</v>
      </c>
      <c r="I291" s="9">
        <f t="shared" si="123"/>
        <v>49.059867359741887</v>
      </c>
      <c r="J291" s="9">
        <f t="shared" si="124"/>
        <v>100</v>
      </c>
    </row>
    <row r="292" spans="1:10" ht="25.5">
      <c r="A292" s="8" t="s">
        <v>80</v>
      </c>
      <c r="B292" s="1" t="s">
        <v>421</v>
      </c>
      <c r="C292" s="1" t="s">
        <v>81</v>
      </c>
      <c r="D292" s="9">
        <v>3905.3</v>
      </c>
      <c r="E292" s="9">
        <f>E293</f>
        <v>3905.3</v>
      </c>
      <c r="F292" s="9">
        <f t="shared" si="134"/>
        <v>1915.9349999999999</v>
      </c>
      <c r="G292" s="9">
        <f t="shared" si="134"/>
        <v>1915.9349999999999</v>
      </c>
      <c r="H292" s="9">
        <f t="shared" si="134"/>
        <v>1915.9349999999999</v>
      </c>
      <c r="I292" s="9">
        <f t="shared" si="123"/>
        <v>49.059867359741887</v>
      </c>
      <c r="J292" s="9">
        <f t="shared" si="124"/>
        <v>100</v>
      </c>
    </row>
    <row r="293" spans="1:10">
      <c r="A293" s="8" t="s">
        <v>271</v>
      </c>
      <c r="B293" s="1" t="s">
        <v>421</v>
      </c>
      <c r="C293" s="1" t="s">
        <v>272</v>
      </c>
      <c r="D293" s="9">
        <v>3905.3</v>
      </c>
      <c r="E293" s="9">
        <f>ведомство!H946</f>
        <v>3905.3</v>
      </c>
      <c r="F293" s="9">
        <f>ведомство!I946</f>
        <v>1915.9349999999999</v>
      </c>
      <c r="G293" s="9">
        <f>ведомство!J946</f>
        <v>1915.9349999999999</v>
      </c>
      <c r="H293" s="9">
        <f>ведомство!K946</f>
        <v>1915.9349999999999</v>
      </c>
      <c r="I293" s="9">
        <f t="shared" si="123"/>
        <v>49.059867359741887</v>
      </c>
      <c r="J293" s="9">
        <f t="shared" si="124"/>
        <v>100</v>
      </c>
    </row>
    <row r="294" spans="1:10" ht="25.5">
      <c r="A294" s="8" t="s">
        <v>390</v>
      </c>
      <c r="B294" s="1" t="s">
        <v>394</v>
      </c>
      <c r="C294" s="1" t="s">
        <v>0</v>
      </c>
      <c r="D294" s="9">
        <v>1390.8</v>
      </c>
      <c r="E294" s="9">
        <f>E295</f>
        <v>1390.8</v>
      </c>
      <c r="F294" s="9">
        <f t="shared" ref="F294:H295" si="135">F295</f>
        <v>0</v>
      </c>
      <c r="G294" s="9">
        <f t="shared" si="135"/>
        <v>0</v>
      </c>
      <c r="H294" s="9">
        <f t="shared" si="135"/>
        <v>0</v>
      </c>
      <c r="I294" s="9">
        <f t="shared" si="123"/>
        <v>0</v>
      </c>
      <c r="J294" s="9">
        <v>0</v>
      </c>
    </row>
    <row r="295" spans="1:10" ht="25.5">
      <c r="A295" s="8" t="s">
        <v>80</v>
      </c>
      <c r="B295" s="1" t="s">
        <v>394</v>
      </c>
      <c r="C295" s="1" t="s">
        <v>81</v>
      </c>
      <c r="D295" s="9">
        <v>1390.8</v>
      </c>
      <c r="E295" s="9">
        <f>E296</f>
        <v>1390.8</v>
      </c>
      <c r="F295" s="9">
        <f t="shared" si="135"/>
        <v>0</v>
      </c>
      <c r="G295" s="9">
        <f t="shared" si="135"/>
        <v>0</v>
      </c>
      <c r="H295" s="9">
        <f t="shared" si="135"/>
        <v>0</v>
      </c>
      <c r="I295" s="9">
        <f t="shared" si="123"/>
        <v>0</v>
      </c>
      <c r="J295" s="9">
        <v>0</v>
      </c>
    </row>
    <row r="296" spans="1:10">
      <c r="A296" s="8" t="s">
        <v>271</v>
      </c>
      <c r="B296" s="1" t="s">
        <v>394</v>
      </c>
      <c r="C296" s="1" t="s">
        <v>272</v>
      </c>
      <c r="D296" s="9">
        <v>1390.8</v>
      </c>
      <c r="E296" s="9">
        <f>ведомство!H851</f>
        <v>1390.8</v>
      </c>
      <c r="F296" s="9">
        <f>ведомство!I851</f>
        <v>0</v>
      </c>
      <c r="G296" s="9">
        <f>ведомство!J851</f>
        <v>0</v>
      </c>
      <c r="H296" s="9">
        <f>ведомство!K851</f>
        <v>0</v>
      </c>
      <c r="I296" s="9">
        <f t="shared" si="123"/>
        <v>0</v>
      </c>
      <c r="J296" s="9">
        <v>0</v>
      </c>
    </row>
    <row r="297" spans="1:10">
      <c r="A297" s="4" t="s">
        <v>0</v>
      </c>
      <c r="B297" s="17" t="s">
        <v>0</v>
      </c>
      <c r="C297" s="5" t="s">
        <v>0</v>
      </c>
      <c r="D297" s="7" t="s">
        <v>0</v>
      </c>
      <c r="E297" s="7" t="s">
        <v>0</v>
      </c>
      <c r="F297" s="7" t="s">
        <v>0</v>
      </c>
      <c r="G297" s="7" t="s">
        <v>0</v>
      </c>
      <c r="H297" s="7" t="s">
        <v>0</v>
      </c>
      <c r="I297" s="7"/>
      <c r="J297" s="7"/>
    </row>
    <row r="298" spans="1:10" ht="25.5">
      <c r="A298" s="4" t="s">
        <v>114</v>
      </c>
      <c r="B298" s="5" t="s">
        <v>115</v>
      </c>
      <c r="C298" s="5" t="s">
        <v>0</v>
      </c>
      <c r="D298" s="7">
        <v>246641.4</v>
      </c>
      <c r="E298" s="7">
        <f>E302+E305+E308+E311+E314+E299</f>
        <v>271750.38209999999</v>
      </c>
      <c r="F298" s="7">
        <f t="shared" ref="F298:H298" si="136">F302+F305+F308+F311+F314+F299</f>
        <v>154576.13831000001</v>
      </c>
      <c r="G298" s="7">
        <f t="shared" si="136"/>
        <v>154047.88622000001</v>
      </c>
      <c r="H298" s="7">
        <f t="shared" si="136"/>
        <v>154047.88622000001</v>
      </c>
      <c r="I298" s="7">
        <f t="shared" si="123"/>
        <v>56.687274928398359</v>
      </c>
      <c r="J298" s="7">
        <f t="shared" si="124"/>
        <v>99.658257674324474</v>
      </c>
    </row>
    <row r="299" spans="1:10" ht="38.25">
      <c r="A299" s="8" t="s">
        <v>1149</v>
      </c>
      <c r="B299" s="25" t="s">
        <v>1148</v>
      </c>
      <c r="C299" s="6"/>
      <c r="D299" s="7"/>
      <c r="E299" s="23">
        <f>E300</f>
        <v>25109</v>
      </c>
      <c r="F299" s="23">
        <f t="shared" ref="F299:H300" si="137">F300</f>
        <v>0</v>
      </c>
      <c r="G299" s="23">
        <f t="shared" si="137"/>
        <v>0</v>
      </c>
      <c r="H299" s="23">
        <f t="shared" si="137"/>
        <v>0</v>
      </c>
      <c r="I299" s="23">
        <f t="shared" si="123"/>
        <v>0</v>
      </c>
      <c r="J299" s="23">
        <v>0</v>
      </c>
    </row>
    <row r="300" spans="1:10">
      <c r="A300" s="8" t="s">
        <v>26</v>
      </c>
      <c r="B300" s="25" t="s">
        <v>1148</v>
      </c>
      <c r="C300" s="6">
        <v>500</v>
      </c>
      <c r="D300" s="7"/>
      <c r="E300" s="23">
        <f>E301</f>
        <v>25109</v>
      </c>
      <c r="F300" s="23">
        <f t="shared" si="137"/>
        <v>0</v>
      </c>
      <c r="G300" s="23">
        <f t="shared" si="137"/>
        <v>0</v>
      </c>
      <c r="H300" s="23">
        <f t="shared" si="137"/>
        <v>0</v>
      </c>
      <c r="I300" s="23">
        <f t="shared" si="123"/>
        <v>0</v>
      </c>
      <c r="J300" s="23">
        <v>0</v>
      </c>
    </row>
    <row r="301" spans="1:10">
      <c r="A301" s="8" t="s">
        <v>56</v>
      </c>
      <c r="B301" s="25" t="s">
        <v>1148</v>
      </c>
      <c r="C301" s="6">
        <v>520</v>
      </c>
      <c r="D301" s="7"/>
      <c r="E301" s="23">
        <f>ведомство!H901</f>
        <v>25109</v>
      </c>
      <c r="F301" s="23">
        <f>ведомство!I901</f>
        <v>0</v>
      </c>
      <c r="G301" s="23">
        <f>ведомство!J901</f>
        <v>0</v>
      </c>
      <c r="H301" s="23">
        <f>ведомство!K901</f>
        <v>0</v>
      </c>
      <c r="I301" s="23">
        <f t="shared" si="123"/>
        <v>0</v>
      </c>
      <c r="J301" s="23">
        <v>0</v>
      </c>
    </row>
    <row r="302" spans="1:10" ht="25.5">
      <c r="A302" s="8" t="s">
        <v>76</v>
      </c>
      <c r="B302" s="1" t="s">
        <v>120</v>
      </c>
      <c r="C302" s="1" t="s">
        <v>0</v>
      </c>
      <c r="D302" s="9">
        <v>27559.8</v>
      </c>
      <c r="E302" s="9">
        <f>E303</f>
        <v>27559.84765</v>
      </c>
      <c r="F302" s="9">
        <f t="shared" ref="F302:H303" si="138">F303</f>
        <v>909.49175000000002</v>
      </c>
      <c r="G302" s="9">
        <f t="shared" si="138"/>
        <v>381.26065999999997</v>
      </c>
      <c r="H302" s="9">
        <f t="shared" si="138"/>
        <v>381.26065999999997</v>
      </c>
      <c r="I302" s="9">
        <f t="shared" si="123"/>
        <v>1.3833917547073231</v>
      </c>
      <c r="J302" s="9">
        <f t="shared" si="124"/>
        <v>41.920188940691325</v>
      </c>
    </row>
    <row r="303" spans="1:10" ht="25.5">
      <c r="A303" s="8" t="s">
        <v>64</v>
      </c>
      <c r="B303" s="1" t="s">
        <v>120</v>
      </c>
      <c r="C303" s="1" t="s">
        <v>65</v>
      </c>
      <c r="D303" s="9">
        <v>27559.8</v>
      </c>
      <c r="E303" s="9">
        <f>E304</f>
        <v>27559.84765</v>
      </c>
      <c r="F303" s="9">
        <f t="shared" si="138"/>
        <v>909.49175000000002</v>
      </c>
      <c r="G303" s="9">
        <f t="shared" si="138"/>
        <v>381.26065999999997</v>
      </c>
      <c r="H303" s="9">
        <f t="shared" si="138"/>
        <v>381.26065999999997</v>
      </c>
      <c r="I303" s="9">
        <f t="shared" si="123"/>
        <v>1.3833917547073231</v>
      </c>
      <c r="J303" s="9">
        <f t="shared" si="124"/>
        <v>41.920188940691325</v>
      </c>
    </row>
    <row r="304" spans="1:10" ht="25.5">
      <c r="A304" s="8" t="s">
        <v>66</v>
      </c>
      <c r="B304" s="1" t="s">
        <v>120</v>
      </c>
      <c r="C304" s="1" t="s">
        <v>67</v>
      </c>
      <c r="D304" s="9">
        <v>27559.8</v>
      </c>
      <c r="E304" s="9">
        <f>ведомство!H123</f>
        <v>27559.84765</v>
      </c>
      <c r="F304" s="9">
        <f>ведомство!I123</f>
        <v>909.49175000000002</v>
      </c>
      <c r="G304" s="9">
        <f>ведомство!J123</f>
        <v>381.26065999999997</v>
      </c>
      <c r="H304" s="9">
        <f>ведомство!K123</f>
        <v>381.26065999999997</v>
      </c>
      <c r="I304" s="9">
        <f t="shared" si="123"/>
        <v>1.3833917547073231</v>
      </c>
      <c r="J304" s="9">
        <f t="shared" si="124"/>
        <v>41.920188940691325</v>
      </c>
    </row>
    <row r="305" spans="1:10" ht="38.25">
      <c r="A305" s="8" t="s">
        <v>37</v>
      </c>
      <c r="B305" s="1" t="s">
        <v>128</v>
      </c>
      <c r="C305" s="1" t="s">
        <v>0</v>
      </c>
      <c r="D305" s="9">
        <v>191.1</v>
      </c>
      <c r="E305" s="9">
        <f>E306</f>
        <v>191.07893999999999</v>
      </c>
      <c r="F305" s="9">
        <f t="shared" ref="F305:H306" si="139">F306</f>
        <v>191.07893999999999</v>
      </c>
      <c r="G305" s="9">
        <f t="shared" si="139"/>
        <v>191.07893999999999</v>
      </c>
      <c r="H305" s="9">
        <f t="shared" si="139"/>
        <v>191.07893999999999</v>
      </c>
      <c r="I305" s="9">
        <f t="shared" si="123"/>
        <v>100</v>
      </c>
      <c r="J305" s="9">
        <f t="shared" si="124"/>
        <v>100</v>
      </c>
    </row>
    <row r="306" spans="1:10" ht="25.5">
      <c r="A306" s="8" t="s">
        <v>39</v>
      </c>
      <c r="B306" s="1" t="s">
        <v>128</v>
      </c>
      <c r="C306" s="1" t="s">
        <v>40</v>
      </c>
      <c r="D306" s="9">
        <v>191.1</v>
      </c>
      <c r="E306" s="9">
        <f>E307</f>
        <v>191.07893999999999</v>
      </c>
      <c r="F306" s="9">
        <f t="shared" si="139"/>
        <v>191.07893999999999</v>
      </c>
      <c r="G306" s="9">
        <f t="shared" si="139"/>
        <v>191.07893999999999</v>
      </c>
      <c r="H306" s="9">
        <f t="shared" si="139"/>
        <v>191.07893999999999</v>
      </c>
      <c r="I306" s="9">
        <f t="shared" si="123"/>
        <v>100</v>
      </c>
      <c r="J306" s="9">
        <f t="shared" si="124"/>
        <v>100</v>
      </c>
    </row>
    <row r="307" spans="1:10">
      <c r="A307" s="8" t="s">
        <v>41</v>
      </c>
      <c r="B307" s="1" t="s">
        <v>128</v>
      </c>
      <c r="C307" s="1" t="s">
        <v>42</v>
      </c>
      <c r="D307" s="9">
        <v>191.1</v>
      </c>
      <c r="E307" s="9">
        <f>ведомство!H146</f>
        <v>191.07893999999999</v>
      </c>
      <c r="F307" s="9">
        <f>ведомство!I146</f>
        <v>191.07893999999999</v>
      </c>
      <c r="G307" s="9">
        <f>ведомство!J146</f>
        <v>191.07893999999999</v>
      </c>
      <c r="H307" s="9">
        <f>ведомство!K146</f>
        <v>191.07893999999999</v>
      </c>
      <c r="I307" s="9">
        <f t="shared" si="123"/>
        <v>100</v>
      </c>
      <c r="J307" s="9">
        <f t="shared" si="124"/>
        <v>100</v>
      </c>
    </row>
    <row r="308" spans="1:10" ht="25.5">
      <c r="A308" s="8" t="s">
        <v>107</v>
      </c>
      <c r="B308" s="1" t="s">
        <v>116</v>
      </c>
      <c r="C308" s="1" t="s">
        <v>0</v>
      </c>
      <c r="D308" s="9">
        <v>169274.5</v>
      </c>
      <c r="E308" s="9">
        <f>E309</f>
        <v>169274.45551</v>
      </c>
      <c r="F308" s="9">
        <f t="shared" ref="F308:H309" si="140">F309</f>
        <v>107909.56762</v>
      </c>
      <c r="G308" s="9">
        <f t="shared" si="140"/>
        <v>107909.56762</v>
      </c>
      <c r="H308" s="9">
        <f t="shared" si="140"/>
        <v>107909.56762</v>
      </c>
      <c r="I308" s="9">
        <f t="shared" si="123"/>
        <v>63.748288124681153</v>
      </c>
      <c r="J308" s="9">
        <f t="shared" si="124"/>
        <v>100</v>
      </c>
    </row>
    <row r="309" spans="1:10">
      <c r="A309" s="8" t="s">
        <v>26</v>
      </c>
      <c r="B309" s="1" t="s">
        <v>116</v>
      </c>
      <c r="C309" s="1" t="s">
        <v>27</v>
      </c>
      <c r="D309" s="9">
        <v>169274.5</v>
      </c>
      <c r="E309" s="9">
        <f>E310</f>
        <v>169274.45551</v>
      </c>
      <c r="F309" s="9">
        <f t="shared" si="140"/>
        <v>107909.56762</v>
      </c>
      <c r="G309" s="9">
        <f t="shared" si="140"/>
        <v>107909.56762</v>
      </c>
      <c r="H309" s="9">
        <f t="shared" si="140"/>
        <v>107909.56762</v>
      </c>
      <c r="I309" s="9">
        <f t="shared" si="123"/>
        <v>63.748288124681153</v>
      </c>
      <c r="J309" s="9">
        <f t="shared" si="124"/>
        <v>100</v>
      </c>
    </row>
    <row r="310" spans="1:10">
      <c r="A310" s="8" t="s">
        <v>56</v>
      </c>
      <c r="B310" s="1" t="s">
        <v>116</v>
      </c>
      <c r="C310" s="1" t="s">
        <v>57</v>
      </c>
      <c r="D310" s="9">
        <v>169274.5</v>
      </c>
      <c r="E310" s="9">
        <f>ведомство!H114+ведомство!H126</f>
        <v>169274.45551</v>
      </c>
      <c r="F310" s="9">
        <f>ведомство!I114+ведомство!I126</f>
        <v>107909.56762</v>
      </c>
      <c r="G310" s="9">
        <f>ведомство!J114+ведомство!J126</f>
        <v>107909.56762</v>
      </c>
      <c r="H310" s="9">
        <f>ведомство!K114+ведомство!K126</f>
        <v>107909.56762</v>
      </c>
      <c r="I310" s="9">
        <f t="shared" si="123"/>
        <v>63.748288124681153</v>
      </c>
      <c r="J310" s="9">
        <f t="shared" si="124"/>
        <v>100</v>
      </c>
    </row>
    <row r="311" spans="1:10" ht="51">
      <c r="A311" s="8" t="s">
        <v>117</v>
      </c>
      <c r="B311" s="1" t="s">
        <v>118</v>
      </c>
      <c r="C311" s="1" t="s">
        <v>0</v>
      </c>
      <c r="D311" s="9">
        <v>45616</v>
      </c>
      <c r="E311" s="9">
        <f>E312</f>
        <v>45616</v>
      </c>
      <c r="F311" s="9">
        <f t="shared" ref="F311:H312" si="141">F312</f>
        <v>45566</v>
      </c>
      <c r="G311" s="9">
        <f t="shared" si="141"/>
        <v>45565.978999999999</v>
      </c>
      <c r="H311" s="9">
        <f t="shared" si="141"/>
        <v>45565.978999999999</v>
      </c>
      <c r="I311" s="9">
        <f t="shared" si="123"/>
        <v>99.890343300596285</v>
      </c>
      <c r="J311" s="9">
        <f t="shared" si="124"/>
        <v>99.999953913005314</v>
      </c>
    </row>
    <row r="312" spans="1:10">
      <c r="A312" s="8" t="s">
        <v>26</v>
      </c>
      <c r="B312" s="1" t="s">
        <v>118</v>
      </c>
      <c r="C312" s="1" t="s">
        <v>27</v>
      </c>
      <c r="D312" s="9">
        <v>45616</v>
      </c>
      <c r="E312" s="9">
        <f>E313</f>
        <v>45616</v>
      </c>
      <c r="F312" s="9">
        <f t="shared" si="141"/>
        <v>45566</v>
      </c>
      <c r="G312" s="9">
        <f t="shared" si="141"/>
        <v>45565.978999999999</v>
      </c>
      <c r="H312" s="9">
        <f t="shared" si="141"/>
        <v>45565.978999999999</v>
      </c>
      <c r="I312" s="9">
        <f t="shared" si="123"/>
        <v>99.890343300596285</v>
      </c>
      <c r="J312" s="9">
        <f t="shared" si="124"/>
        <v>99.999953913005314</v>
      </c>
    </row>
    <row r="313" spans="1:10">
      <c r="A313" s="8" t="s">
        <v>56</v>
      </c>
      <c r="B313" s="1" t="s">
        <v>118</v>
      </c>
      <c r="C313" s="1" t="s">
        <v>57</v>
      </c>
      <c r="D313" s="9">
        <v>45616</v>
      </c>
      <c r="E313" s="9">
        <f>ведомство!H117</f>
        <v>45616</v>
      </c>
      <c r="F313" s="9">
        <f>ведомство!I117</f>
        <v>45566</v>
      </c>
      <c r="G313" s="9">
        <f>ведомство!J117</f>
        <v>45565.978999999999</v>
      </c>
      <c r="H313" s="9">
        <f>ведомство!K117</f>
        <v>45565.978999999999</v>
      </c>
      <c r="I313" s="9">
        <f t="shared" si="123"/>
        <v>99.890343300596285</v>
      </c>
      <c r="J313" s="9">
        <f t="shared" si="124"/>
        <v>99.999953913005314</v>
      </c>
    </row>
    <row r="314" spans="1:10" ht="38.25">
      <c r="A314" s="8" t="s">
        <v>406</v>
      </c>
      <c r="B314" s="1" t="s">
        <v>407</v>
      </c>
      <c r="C314" s="1" t="s">
        <v>0</v>
      </c>
      <c r="D314" s="9">
        <v>4000</v>
      </c>
      <c r="E314" s="9">
        <f>E315</f>
        <v>4000</v>
      </c>
      <c r="F314" s="9">
        <f t="shared" ref="F314:H315" si="142">F315</f>
        <v>0</v>
      </c>
      <c r="G314" s="9">
        <f t="shared" si="142"/>
        <v>0</v>
      </c>
      <c r="H314" s="9">
        <f t="shared" si="142"/>
        <v>0</v>
      </c>
      <c r="I314" s="9">
        <f t="shared" si="123"/>
        <v>0</v>
      </c>
      <c r="J314" s="9">
        <v>0</v>
      </c>
    </row>
    <row r="315" spans="1:10">
      <c r="A315" s="8" t="s">
        <v>26</v>
      </c>
      <c r="B315" s="1" t="s">
        <v>407</v>
      </c>
      <c r="C315" s="1" t="s">
        <v>27</v>
      </c>
      <c r="D315" s="9">
        <v>4000</v>
      </c>
      <c r="E315" s="9">
        <f>E316</f>
        <v>4000</v>
      </c>
      <c r="F315" s="9">
        <f t="shared" si="142"/>
        <v>0</v>
      </c>
      <c r="G315" s="9">
        <f t="shared" si="142"/>
        <v>0</v>
      </c>
      <c r="H315" s="9">
        <f t="shared" si="142"/>
        <v>0</v>
      </c>
      <c r="I315" s="9">
        <f t="shared" si="123"/>
        <v>0</v>
      </c>
      <c r="J315" s="9">
        <v>0</v>
      </c>
    </row>
    <row r="316" spans="1:10">
      <c r="A316" s="8" t="s">
        <v>56</v>
      </c>
      <c r="B316" s="1" t="s">
        <v>407</v>
      </c>
      <c r="C316" s="1" t="s">
        <v>57</v>
      </c>
      <c r="D316" s="9">
        <v>4000</v>
      </c>
      <c r="E316" s="9">
        <f>ведомство!H904</f>
        <v>4000</v>
      </c>
      <c r="F316" s="9">
        <f>ведомство!I904</f>
        <v>0</v>
      </c>
      <c r="G316" s="9">
        <f>ведомство!J904</f>
        <v>0</v>
      </c>
      <c r="H316" s="9">
        <f>ведомство!K904</f>
        <v>0</v>
      </c>
      <c r="I316" s="9">
        <f t="shared" si="123"/>
        <v>0</v>
      </c>
      <c r="J316" s="9">
        <v>0</v>
      </c>
    </row>
    <row r="317" spans="1:10">
      <c r="A317" s="4" t="s">
        <v>0</v>
      </c>
      <c r="B317" s="17" t="s">
        <v>0</v>
      </c>
      <c r="C317" s="5" t="s">
        <v>0</v>
      </c>
      <c r="D317" s="7" t="s">
        <v>0</v>
      </c>
      <c r="E317" s="7" t="s">
        <v>0</v>
      </c>
      <c r="F317" s="7"/>
      <c r="G317" s="7"/>
      <c r="H317" s="7"/>
      <c r="I317" s="7"/>
      <c r="J317" s="7"/>
    </row>
    <row r="318" spans="1:10" ht="25.5">
      <c r="A318" s="4" t="s">
        <v>299</v>
      </c>
      <c r="B318" s="5" t="s">
        <v>300</v>
      </c>
      <c r="C318" s="5" t="s">
        <v>0</v>
      </c>
      <c r="D318" s="7">
        <v>10485472</v>
      </c>
      <c r="E318" s="7">
        <f>E319+E354+E547+E567+E572+E589+E600+E623</f>
        <v>10550723.035</v>
      </c>
      <c r="F318" s="7">
        <f t="shared" ref="F318:H318" si="143">F319+F354+F547+F567+F572+F589+F600+F623</f>
        <v>5741751.3721499983</v>
      </c>
      <c r="G318" s="7">
        <f t="shared" si="143"/>
        <v>5741007.269679998</v>
      </c>
      <c r="H318" s="7">
        <f t="shared" si="143"/>
        <v>5683899.3350200001</v>
      </c>
      <c r="I318" s="7">
        <f t="shared" si="123"/>
        <v>53.872131001493962</v>
      </c>
      <c r="J318" s="7">
        <f t="shared" si="124"/>
        <v>98.992432214835944</v>
      </c>
    </row>
    <row r="319" spans="1:10" ht="38.25">
      <c r="A319" s="4" t="s">
        <v>770</v>
      </c>
      <c r="B319" s="5" t="s">
        <v>771</v>
      </c>
      <c r="C319" s="5" t="s">
        <v>0</v>
      </c>
      <c r="D319" s="7">
        <v>2069684.3</v>
      </c>
      <c r="E319" s="7">
        <f>E320+E323+E336++E339+E344+E347+E350</f>
        <v>2069684.2940000002</v>
      </c>
      <c r="F319" s="7">
        <f t="shared" ref="F319:H319" si="144">F320+F323+F336++F339+F344+F347+F350</f>
        <v>1011115.5671</v>
      </c>
      <c r="G319" s="7">
        <f t="shared" si="144"/>
        <v>1011014.0671</v>
      </c>
      <c r="H319" s="7">
        <f t="shared" si="144"/>
        <v>998992.97194999992</v>
      </c>
      <c r="I319" s="7">
        <f t="shared" si="123"/>
        <v>48.267891622218585</v>
      </c>
      <c r="J319" s="7">
        <f t="shared" si="124"/>
        <v>98.801067301854616</v>
      </c>
    </row>
    <row r="320" spans="1:10" ht="140.25">
      <c r="A320" s="8" t="s">
        <v>860</v>
      </c>
      <c r="B320" s="1" t="s">
        <v>861</v>
      </c>
      <c r="C320" s="1" t="s">
        <v>0</v>
      </c>
      <c r="D320" s="9">
        <v>164.1</v>
      </c>
      <c r="E320" s="9">
        <f>E321</f>
        <v>164.1</v>
      </c>
      <c r="F320" s="9">
        <f t="shared" ref="F320:H321" si="145">F321</f>
        <v>0</v>
      </c>
      <c r="G320" s="9">
        <f t="shared" si="145"/>
        <v>0</v>
      </c>
      <c r="H320" s="9">
        <f t="shared" si="145"/>
        <v>0</v>
      </c>
      <c r="I320" s="9">
        <f t="shared" si="123"/>
        <v>0</v>
      </c>
      <c r="J320" s="9">
        <v>0</v>
      </c>
    </row>
    <row r="321" spans="1:10" ht="25.5">
      <c r="A321" s="8" t="s">
        <v>80</v>
      </c>
      <c r="B321" s="1" t="s">
        <v>861</v>
      </c>
      <c r="C321" s="1" t="s">
        <v>81</v>
      </c>
      <c r="D321" s="9">
        <v>164.1</v>
      </c>
      <c r="E321" s="9">
        <f>E322</f>
        <v>164.1</v>
      </c>
      <c r="F321" s="9">
        <f t="shared" si="145"/>
        <v>0</v>
      </c>
      <c r="G321" s="9">
        <f t="shared" si="145"/>
        <v>0</v>
      </c>
      <c r="H321" s="9">
        <f t="shared" si="145"/>
        <v>0</v>
      </c>
      <c r="I321" s="9">
        <f t="shared" si="123"/>
        <v>0</v>
      </c>
      <c r="J321" s="9">
        <v>0</v>
      </c>
    </row>
    <row r="322" spans="1:10">
      <c r="A322" s="8" t="s">
        <v>271</v>
      </c>
      <c r="B322" s="1" t="s">
        <v>861</v>
      </c>
      <c r="C322" s="1" t="s">
        <v>272</v>
      </c>
      <c r="D322" s="9">
        <v>164.1</v>
      </c>
      <c r="E322" s="9">
        <f>ведомство!H1960</f>
        <v>164.1</v>
      </c>
      <c r="F322" s="9">
        <f>ведомство!I1960</f>
        <v>0</v>
      </c>
      <c r="G322" s="9">
        <f>ведомство!J1960</f>
        <v>0</v>
      </c>
      <c r="H322" s="9">
        <f>ведомство!K1960</f>
        <v>0</v>
      </c>
      <c r="I322" s="9">
        <f t="shared" si="123"/>
        <v>0</v>
      </c>
      <c r="J322" s="9">
        <v>0</v>
      </c>
    </row>
    <row r="323" spans="1:10" ht="17.25" customHeight="1">
      <c r="A323" s="8" t="s">
        <v>76</v>
      </c>
      <c r="B323" s="1" t="s">
        <v>772</v>
      </c>
      <c r="C323" s="1" t="s">
        <v>0</v>
      </c>
      <c r="D323" s="9">
        <v>1950353.6</v>
      </c>
      <c r="E323" s="9">
        <f>E324+E326+E328+E330+E333</f>
        <v>1984353.594</v>
      </c>
      <c r="F323" s="9">
        <f t="shared" ref="F323:H323" si="146">F324+F326+F328+F330+F333</f>
        <v>991946.12399999995</v>
      </c>
      <c r="G323" s="9">
        <f t="shared" si="146"/>
        <v>991844.62399999995</v>
      </c>
      <c r="H323" s="9">
        <f t="shared" si="146"/>
        <v>981224.00584999996</v>
      </c>
      <c r="I323" s="9">
        <f t="shared" si="123"/>
        <v>49.448042365880887</v>
      </c>
      <c r="J323" s="9">
        <f t="shared" si="124"/>
        <v>98.919082610377743</v>
      </c>
    </row>
    <row r="324" spans="1:10" ht="51">
      <c r="A324" s="8" t="s">
        <v>60</v>
      </c>
      <c r="B324" s="1" t="s">
        <v>772</v>
      </c>
      <c r="C324" s="1" t="s">
        <v>61</v>
      </c>
      <c r="D324" s="9">
        <v>270444.09999999998</v>
      </c>
      <c r="E324" s="9">
        <f>E325</f>
        <v>270086.68699999998</v>
      </c>
      <c r="F324" s="9">
        <f t="shared" ref="F324:H324" si="147">F325</f>
        <v>134286.24899999998</v>
      </c>
      <c r="G324" s="9">
        <f t="shared" si="147"/>
        <v>134286.24899999998</v>
      </c>
      <c r="H324" s="9">
        <f t="shared" si="147"/>
        <v>125109.90979000001</v>
      </c>
      <c r="I324" s="9">
        <f t="shared" si="123"/>
        <v>46.322131305198326</v>
      </c>
      <c r="J324" s="9">
        <f t="shared" si="124"/>
        <v>93.166583117531289</v>
      </c>
    </row>
    <row r="325" spans="1:10">
      <c r="A325" s="8" t="s">
        <v>78</v>
      </c>
      <c r="B325" s="1" t="s">
        <v>772</v>
      </c>
      <c r="C325" s="1" t="s">
        <v>79</v>
      </c>
      <c r="D325" s="9">
        <v>270444.09999999998</v>
      </c>
      <c r="E325" s="9">
        <f>ведомство!H1732</f>
        <v>270086.68699999998</v>
      </c>
      <c r="F325" s="9">
        <f>ведомство!I1732</f>
        <v>134286.24899999998</v>
      </c>
      <c r="G325" s="9">
        <f>ведомство!J1732</f>
        <v>134286.24899999998</v>
      </c>
      <c r="H325" s="9">
        <f>ведомство!K1732</f>
        <v>125109.90979000001</v>
      </c>
      <c r="I325" s="9">
        <f t="shared" si="123"/>
        <v>46.322131305198326</v>
      </c>
      <c r="J325" s="9">
        <f t="shared" si="124"/>
        <v>93.166583117531289</v>
      </c>
    </row>
    <row r="326" spans="1:10" ht="25.5">
      <c r="A326" s="8" t="s">
        <v>64</v>
      </c>
      <c r="B326" s="1" t="s">
        <v>772</v>
      </c>
      <c r="C326" s="1" t="s">
        <v>65</v>
      </c>
      <c r="D326" s="9">
        <v>28763.200000000001</v>
      </c>
      <c r="E326" s="9">
        <f>E327</f>
        <v>28738.21</v>
      </c>
      <c r="F326" s="9">
        <f t="shared" ref="F326:H326" si="148">F327</f>
        <v>13724.16</v>
      </c>
      <c r="G326" s="9">
        <f t="shared" si="148"/>
        <v>13724.16</v>
      </c>
      <c r="H326" s="9">
        <f t="shared" si="148"/>
        <v>12438.17338</v>
      </c>
      <c r="I326" s="9">
        <f t="shared" si="123"/>
        <v>43.280960713976278</v>
      </c>
      <c r="J326" s="9">
        <f t="shared" si="124"/>
        <v>90.629760801389665</v>
      </c>
    </row>
    <row r="327" spans="1:10" ht="25.5">
      <c r="A327" s="8" t="s">
        <v>66</v>
      </c>
      <c r="B327" s="1" t="s">
        <v>772</v>
      </c>
      <c r="C327" s="1" t="s">
        <v>67</v>
      </c>
      <c r="D327" s="9">
        <v>28763.200000000001</v>
      </c>
      <c r="E327" s="9">
        <f>ведомство!H1734</f>
        <v>28738.21</v>
      </c>
      <c r="F327" s="9">
        <f>ведомство!I1734</f>
        <v>13724.16</v>
      </c>
      <c r="G327" s="9">
        <f>ведомство!J1734</f>
        <v>13724.16</v>
      </c>
      <c r="H327" s="9">
        <f>ведомство!K1734</f>
        <v>12438.17338</v>
      </c>
      <c r="I327" s="9">
        <f t="shared" si="123"/>
        <v>43.280960713976278</v>
      </c>
      <c r="J327" s="9">
        <f t="shared" si="124"/>
        <v>90.629760801389665</v>
      </c>
    </row>
    <row r="328" spans="1:10">
      <c r="A328" s="26" t="s">
        <v>68</v>
      </c>
      <c r="B328" s="1" t="s">
        <v>772</v>
      </c>
      <c r="C328" s="1">
        <v>300</v>
      </c>
      <c r="D328" s="9"/>
      <c r="E328" s="9">
        <f>E329</f>
        <v>337.13900000000001</v>
      </c>
      <c r="F328" s="9">
        <f t="shared" ref="F328:H328" si="149">F329</f>
        <v>107.48099999999999</v>
      </c>
      <c r="G328" s="9">
        <f t="shared" si="149"/>
        <v>107.48099999999999</v>
      </c>
      <c r="H328" s="9">
        <f t="shared" si="149"/>
        <v>107.40161000000001</v>
      </c>
      <c r="I328" s="9"/>
      <c r="J328" s="9"/>
    </row>
    <row r="329" spans="1:10" ht="25.5">
      <c r="A329" s="8" t="s">
        <v>151</v>
      </c>
      <c r="B329" s="1" t="s">
        <v>772</v>
      </c>
      <c r="C329" s="1">
        <v>320</v>
      </c>
      <c r="D329" s="9"/>
      <c r="E329" s="9">
        <f>ведомство!H1736</f>
        <v>337.13900000000001</v>
      </c>
      <c r="F329" s="9">
        <f>ведомство!I1736</f>
        <v>107.48099999999999</v>
      </c>
      <c r="G329" s="9">
        <f>ведомство!J1736</f>
        <v>107.48099999999999</v>
      </c>
      <c r="H329" s="9">
        <f>ведомство!K1736</f>
        <v>107.40161000000001</v>
      </c>
      <c r="I329" s="9"/>
      <c r="J329" s="9"/>
    </row>
    <row r="330" spans="1:10" ht="25.5">
      <c r="A330" s="8" t="s">
        <v>80</v>
      </c>
      <c r="B330" s="1" t="s">
        <v>772</v>
      </c>
      <c r="C330" s="1" t="s">
        <v>81</v>
      </c>
      <c r="D330" s="9">
        <v>1650752.8</v>
      </c>
      <c r="E330" s="9">
        <f>E331+E332</f>
        <v>1684752.794</v>
      </c>
      <c r="F330" s="9">
        <f t="shared" ref="F330:H330" si="150">F331+F332</f>
        <v>843479.37</v>
      </c>
      <c r="G330" s="9">
        <f t="shared" si="150"/>
        <v>843479.37</v>
      </c>
      <c r="H330" s="9">
        <f t="shared" si="150"/>
        <v>843389.37</v>
      </c>
      <c r="I330" s="9">
        <f t="shared" si="123"/>
        <v>50.060125913048346</v>
      </c>
      <c r="J330" s="9">
        <f t="shared" si="124"/>
        <v>99.989329910937826</v>
      </c>
    </row>
    <row r="331" spans="1:10">
      <c r="A331" s="8" t="s">
        <v>271</v>
      </c>
      <c r="B331" s="1" t="s">
        <v>772</v>
      </c>
      <c r="C331" s="1" t="s">
        <v>272</v>
      </c>
      <c r="D331" s="9">
        <v>1540672.8</v>
      </c>
      <c r="E331" s="9">
        <f>ведомство!H1738</f>
        <v>1556496.294</v>
      </c>
      <c r="F331" s="9">
        <f>ведомство!I1738</f>
        <v>780703.87</v>
      </c>
      <c r="G331" s="9">
        <f>ведомство!J1738</f>
        <v>780703.87</v>
      </c>
      <c r="H331" s="9">
        <f>ведомство!K1738</f>
        <v>780703.87</v>
      </c>
      <c r="I331" s="9">
        <f t="shared" si="123"/>
        <v>50.15777249258263</v>
      </c>
      <c r="J331" s="9">
        <f t="shared" si="124"/>
        <v>100</v>
      </c>
    </row>
    <row r="332" spans="1:10">
      <c r="A332" s="8" t="s">
        <v>82</v>
      </c>
      <c r="B332" s="1" t="s">
        <v>772</v>
      </c>
      <c r="C332" s="1" t="s">
        <v>83</v>
      </c>
      <c r="D332" s="9">
        <v>110080</v>
      </c>
      <c r="E332" s="9">
        <f>ведомство!H1739</f>
        <v>128256.5</v>
      </c>
      <c r="F332" s="9">
        <f>ведомство!I1739</f>
        <v>62775.5</v>
      </c>
      <c r="G332" s="9">
        <f>ведомство!J1739</f>
        <v>62775.5</v>
      </c>
      <c r="H332" s="9">
        <f>ведомство!K1739</f>
        <v>62685.5</v>
      </c>
      <c r="I332" s="9">
        <f t="shared" si="123"/>
        <v>48.875105745127925</v>
      </c>
      <c r="J332" s="9">
        <f t="shared" si="124"/>
        <v>99.856631966292582</v>
      </c>
    </row>
    <row r="333" spans="1:10">
      <c r="A333" s="8" t="s">
        <v>72</v>
      </c>
      <c r="B333" s="1" t="s">
        <v>772</v>
      </c>
      <c r="C333" s="1" t="s">
        <v>73</v>
      </c>
      <c r="D333" s="9">
        <v>393.5</v>
      </c>
      <c r="E333" s="9">
        <f>E334+E335</f>
        <v>438.76400000000007</v>
      </c>
      <c r="F333" s="9">
        <f t="shared" ref="F333:H333" si="151">F334+F335</f>
        <v>348.86400000000003</v>
      </c>
      <c r="G333" s="9">
        <f t="shared" si="151"/>
        <v>247.364</v>
      </c>
      <c r="H333" s="9">
        <f t="shared" si="151"/>
        <v>179.15107</v>
      </c>
      <c r="I333" s="9">
        <f t="shared" ref="I333:I396" si="152">H333/E333*100</f>
        <v>40.830849841828403</v>
      </c>
      <c r="J333" s="9">
        <f t="shared" ref="J333:J396" si="153">H333/F333*100</f>
        <v>51.352696179600066</v>
      </c>
    </row>
    <row r="334" spans="1:10">
      <c r="A334" s="8" t="s">
        <v>84</v>
      </c>
      <c r="B334" s="1" t="s">
        <v>772</v>
      </c>
      <c r="C334" s="1" t="s">
        <v>85</v>
      </c>
      <c r="D334" s="9">
        <v>18</v>
      </c>
      <c r="E334" s="9">
        <f>ведомство!H1741</f>
        <v>63.253999999999998</v>
      </c>
      <c r="F334" s="9">
        <f>ведомство!I1741</f>
        <v>60.753999999999998</v>
      </c>
      <c r="G334" s="9">
        <f>ведомство!J1741</f>
        <v>60.753999999999998</v>
      </c>
      <c r="H334" s="9">
        <f>ведомство!K1741</f>
        <v>60.753999999999998</v>
      </c>
      <c r="I334" s="9">
        <f t="shared" si="152"/>
        <v>96.047680779081162</v>
      </c>
      <c r="J334" s="9">
        <f t="shared" si="153"/>
        <v>100</v>
      </c>
    </row>
    <row r="335" spans="1:10">
      <c r="A335" s="8" t="s">
        <v>74</v>
      </c>
      <c r="B335" s="1" t="s">
        <v>772</v>
      </c>
      <c r="C335" s="1" t="s">
        <v>75</v>
      </c>
      <c r="D335" s="9">
        <v>375.5</v>
      </c>
      <c r="E335" s="9">
        <f>ведомство!H1742</f>
        <v>375.51000000000005</v>
      </c>
      <c r="F335" s="9">
        <f>ведомство!I1742</f>
        <v>288.11</v>
      </c>
      <c r="G335" s="9">
        <f>ведомство!J1742</f>
        <v>186.61</v>
      </c>
      <c r="H335" s="9">
        <f>ведомство!K1742</f>
        <v>118.39707000000001</v>
      </c>
      <c r="I335" s="9">
        <f t="shared" si="152"/>
        <v>31.529671646560676</v>
      </c>
      <c r="J335" s="9">
        <f t="shared" si="153"/>
        <v>41.094397972996425</v>
      </c>
    </row>
    <row r="336" spans="1:10" ht="63.75">
      <c r="A336" s="8" t="s">
        <v>367</v>
      </c>
      <c r="B336" s="1" t="s">
        <v>773</v>
      </c>
      <c r="C336" s="1" t="s">
        <v>0</v>
      </c>
      <c r="D336" s="9">
        <v>64000</v>
      </c>
      <c r="E336" s="9">
        <f>E337</f>
        <v>30000</v>
      </c>
      <c r="F336" s="9">
        <f t="shared" ref="F336:H337" si="154">F337</f>
        <v>0</v>
      </c>
      <c r="G336" s="9">
        <f t="shared" si="154"/>
        <v>0</v>
      </c>
      <c r="H336" s="9">
        <f t="shared" si="154"/>
        <v>0</v>
      </c>
      <c r="I336" s="9">
        <f t="shared" si="152"/>
        <v>0</v>
      </c>
      <c r="J336" s="9">
        <v>0</v>
      </c>
    </row>
    <row r="337" spans="1:10">
      <c r="A337" s="8" t="s">
        <v>72</v>
      </c>
      <c r="B337" s="1" t="s">
        <v>773</v>
      </c>
      <c r="C337" s="1" t="s">
        <v>73</v>
      </c>
      <c r="D337" s="9">
        <v>64000</v>
      </c>
      <c r="E337" s="9">
        <f>E338</f>
        <v>30000</v>
      </c>
      <c r="F337" s="9">
        <f t="shared" si="154"/>
        <v>0</v>
      </c>
      <c r="G337" s="9">
        <f t="shared" si="154"/>
        <v>0</v>
      </c>
      <c r="H337" s="9">
        <f t="shared" si="154"/>
        <v>0</v>
      </c>
      <c r="I337" s="9">
        <f t="shared" si="152"/>
        <v>0</v>
      </c>
      <c r="J337" s="9">
        <v>0</v>
      </c>
    </row>
    <row r="338" spans="1:10">
      <c r="A338" s="8" t="s">
        <v>369</v>
      </c>
      <c r="B338" s="1" t="s">
        <v>773</v>
      </c>
      <c r="C338" s="1" t="s">
        <v>370</v>
      </c>
      <c r="D338" s="9">
        <v>64000</v>
      </c>
      <c r="E338" s="9">
        <f>ведомство!H1745</f>
        <v>30000</v>
      </c>
      <c r="F338" s="9">
        <f>ведомство!I1745</f>
        <v>0</v>
      </c>
      <c r="G338" s="9">
        <f>ведомство!J1745</f>
        <v>0</v>
      </c>
      <c r="H338" s="9">
        <f>ведомство!K1745</f>
        <v>0</v>
      </c>
      <c r="I338" s="9">
        <f t="shared" si="152"/>
        <v>0</v>
      </c>
      <c r="J338" s="9">
        <v>0</v>
      </c>
    </row>
    <row r="339" spans="1:10" ht="25.5">
      <c r="A339" s="8" t="s">
        <v>774</v>
      </c>
      <c r="B339" s="1" t="s">
        <v>775</v>
      </c>
      <c r="C339" s="1" t="s">
        <v>0</v>
      </c>
      <c r="D339" s="9">
        <v>17805.900000000001</v>
      </c>
      <c r="E339" s="9">
        <f>E340+E342</f>
        <v>17805.900000000001</v>
      </c>
      <c r="F339" s="9">
        <f t="shared" ref="F339:H339" si="155">F340+F342</f>
        <v>523.1</v>
      </c>
      <c r="G339" s="9">
        <f t="shared" si="155"/>
        <v>523.1</v>
      </c>
      <c r="H339" s="9">
        <f t="shared" si="155"/>
        <v>232.4615</v>
      </c>
      <c r="I339" s="9">
        <f t="shared" si="152"/>
        <v>1.3055307510431935</v>
      </c>
      <c r="J339" s="9">
        <f t="shared" si="153"/>
        <v>44.439208564328041</v>
      </c>
    </row>
    <row r="340" spans="1:10" ht="25.5">
      <c r="A340" s="8" t="s">
        <v>80</v>
      </c>
      <c r="B340" s="1" t="s">
        <v>775</v>
      </c>
      <c r="C340" s="1" t="s">
        <v>81</v>
      </c>
      <c r="D340" s="9">
        <v>12451</v>
      </c>
      <c r="E340" s="9">
        <f>E341</f>
        <v>12450.99</v>
      </c>
      <c r="F340" s="9">
        <f t="shared" ref="F340:H340" si="156">F341</f>
        <v>450.99</v>
      </c>
      <c r="G340" s="9">
        <f t="shared" si="156"/>
        <v>450.99</v>
      </c>
      <c r="H340" s="9">
        <f t="shared" si="156"/>
        <v>197.3578</v>
      </c>
      <c r="I340" s="9">
        <f t="shared" si="152"/>
        <v>1.5850771705703723</v>
      </c>
      <c r="J340" s="9">
        <f t="shared" si="153"/>
        <v>43.761014656644271</v>
      </c>
    </row>
    <row r="341" spans="1:10" ht="25.5">
      <c r="A341" s="8" t="s">
        <v>195</v>
      </c>
      <c r="B341" s="1" t="s">
        <v>775</v>
      </c>
      <c r="C341" s="1" t="s">
        <v>196</v>
      </c>
      <c r="D341" s="9">
        <v>12451</v>
      </c>
      <c r="E341" s="9">
        <f>ведомство!H1748</f>
        <v>12450.99</v>
      </c>
      <c r="F341" s="9">
        <f>ведомство!I1748</f>
        <v>450.99</v>
      </c>
      <c r="G341" s="9">
        <f>ведомство!J1748</f>
        <v>450.99</v>
      </c>
      <c r="H341" s="9">
        <f>ведомство!K1748</f>
        <v>197.3578</v>
      </c>
      <c r="I341" s="9">
        <f t="shared" si="152"/>
        <v>1.5850771705703723</v>
      </c>
      <c r="J341" s="9">
        <f t="shared" si="153"/>
        <v>43.761014656644271</v>
      </c>
    </row>
    <row r="342" spans="1:10">
      <c r="A342" s="8" t="s">
        <v>72</v>
      </c>
      <c r="B342" s="1" t="s">
        <v>775</v>
      </c>
      <c r="C342" s="1" t="s">
        <v>73</v>
      </c>
      <c r="D342" s="9">
        <v>5354.9</v>
      </c>
      <c r="E342" s="9">
        <f>E343</f>
        <v>5354.91</v>
      </c>
      <c r="F342" s="9">
        <f t="shared" ref="F342:H342" si="157">F343</f>
        <v>72.11</v>
      </c>
      <c r="G342" s="9">
        <f t="shared" si="157"/>
        <v>72.11</v>
      </c>
      <c r="H342" s="9">
        <f t="shared" si="157"/>
        <v>35.103700000000003</v>
      </c>
      <c r="I342" s="9">
        <f t="shared" si="152"/>
        <v>0.65554229669592967</v>
      </c>
      <c r="J342" s="9">
        <f t="shared" si="153"/>
        <v>48.680765497157125</v>
      </c>
    </row>
    <row r="343" spans="1:10" ht="38.25">
      <c r="A343" s="8" t="s">
        <v>218</v>
      </c>
      <c r="B343" s="1" t="s">
        <v>775</v>
      </c>
      <c r="C343" s="1" t="s">
        <v>219</v>
      </c>
      <c r="D343" s="9">
        <v>5354.9</v>
      </c>
      <c r="E343" s="9">
        <f>ведомство!H1750</f>
        <v>5354.91</v>
      </c>
      <c r="F343" s="9">
        <f>ведомство!I1750</f>
        <v>72.11</v>
      </c>
      <c r="G343" s="9">
        <f>ведомство!J1750</f>
        <v>72.11</v>
      </c>
      <c r="H343" s="9">
        <f>ведомство!K1750</f>
        <v>35.103700000000003</v>
      </c>
      <c r="I343" s="9">
        <f t="shared" si="152"/>
        <v>0.65554229669592967</v>
      </c>
      <c r="J343" s="9">
        <f t="shared" si="153"/>
        <v>48.680765497157125</v>
      </c>
    </row>
    <row r="344" spans="1:10" ht="51">
      <c r="A344" s="8" t="s">
        <v>862</v>
      </c>
      <c r="B344" s="1" t="s">
        <v>863</v>
      </c>
      <c r="C344" s="1" t="s">
        <v>0</v>
      </c>
      <c r="D344" s="9">
        <v>25</v>
      </c>
      <c r="E344" s="9">
        <f>E345</f>
        <v>25</v>
      </c>
      <c r="F344" s="9">
        <f t="shared" ref="F344:H345" si="158">F345</f>
        <v>4.3000999999999996</v>
      </c>
      <c r="G344" s="9">
        <f t="shared" si="158"/>
        <v>4.3000999999999996</v>
      </c>
      <c r="H344" s="9">
        <f t="shared" si="158"/>
        <v>4.3000999999999996</v>
      </c>
      <c r="I344" s="9">
        <f t="shared" si="152"/>
        <v>17.200399999999998</v>
      </c>
      <c r="J344" s="9">
        <f t="shared" si="153"/>
        <v>100</v>
      </c>
    </row>
    <row r="345" spans="1:10" ht="25.5">
      <c r="A345" s="8" t="s">
        <v>80</v>
      </c>
      <c r="B345" s="1" t="s">
        <v>863</v>
      </c>
      <c r="C345" s="1" t="s">
        <v>81</v>
      </c>
      <c r="D345" s="9">
        <v>25</v>
      </c>
      <c r="E345" s="9">
        <f>E346</f>
        <v>25</v>
      </c>
      <c r="F345" s="9">
        <f t="shared" si="158"/>
        <v>4.3000999999999996</v>
      </c>
      <c r="G345" s="9">
        <f t="shared" si="158"/>
        <v>4.3000999999999996</v>
      </c>
      <c r="H345" s="9">
        <f t="shared" si="158"/>
        <v>4.3000999999999996</v>
      </c>
      <c r="I345" s="9">
        <f t="shared" si="152"/>
        <v>17.200399999999998</v>
      </c>
      <c r="J345" s="9">
        <f t="shared" si="153"/>
        <v>100</v>
      </c>
    </row>
    <row r="346" spans="1:10">
      <c r="A346" s="8" t="s">
        <v>271</v>
      </c>
      <c r="B346" s="1" t="s">
        <v>863</v>
      </c>
      <c r="C346" s="1" t="s">
        <v>272</v>
      </c>
      <c r="D346" s="9">
        <v>25</v>
      </c>
      <c r="E346" s="9">
        <f>ведомство!H1963</f>
        <v>25</v>
      </c>
      <c r="F346" s="9">
        <f>ведомство!I1963</f>
        <v>4.3000999999999996</v>
      </c>
      <c r="G346" s="9">
        <f>ведомство!J1963</f>
        <v>4.3000999999999996</v>
      </c>
      <c r="H346" s="9">
        <f>ведомство!K1963</f>
        <v>4.3000999999999996</v>
      </c>
      <c r="I346" s="9">
        <f t="shared" si="152"/>
        <v>17.200399999999998</v>
      </c>
      <c r="J346" s="9">
        <f t="shared" si="153"/>
        <v>100</v>
      </c>
    </row>
    <row r="347" spans="1:10" ht="25.5">
      <c r="A347" s="8" t="s">
        <v>776</v>
      </c>
      <c r="B347" s="1" t="s">
        <v>777</v>
      </c>
      <c r="C347" s="1" t="s">
        <v>0</v>
      </c>
      <c r="D347" s="9">
        <v>5190.6000000000004</v>
      </c>
      <c r="E347" s="9">
        <f>E348</f>
        <v>5190.6000000000004</v>
      </c>
      <c r="F347" s="9">
        <f t="shared" ref="F347:H348" si="159">F348</f>
        <v>2569.4830000000002</v>
      </c>
      <c r="G347" s="9">
        <f t="shared" si="159"/>
        <v>2569.4830000000002</v>
      </c>
      <c r="H347" s="9">
        <f t="shared" si="159"/>
        <v>2569.4830000000002</v>
      </c>
      <c r="I347" s="9">
        <f t="shared" si="152"/>
        <v>49.502620120987942</v>
      </c>
      <c r="J347" s="9">
        <f t="shared" si="153"/>
        <v>100</v>
      </c>
    </row>
    <row r="348" spans="1:10" ht="25.5">
      <c r="A348" s="8" t="s">
        <v>80</v>
      </c>
      <c r="B348" s="1" t="s">
        <v>777</v>
      </c>
      <c r="C348" s="1" t="s">
        <v>81</v>
      </c>
      <c r="D348" s="9">
        <v>5190.6000000000004</v>
      </c>
      <c r="E348" s="9">
        <f>E349</f>
        <v>5190.6000000000004</v>
      </c>
      <c r="F348" s="9">
        <f t="shared" si="159"/>
        <v>2569.4830000000002</v>
      </c>
      <c r="G348" s="9">
        <f t="shared" si="159"/>
        <v>2569.4830000000002</v>
      </c>
      <c r="H348" s="9">
        <f t="shared" si="159"/>
        <v>2569.4830000000002</v>
      </c>
      <c r="I348" s="9">
        <f t="shared" si="152"/>
        <v>49.502620120987942</v>
      </c>
      <c r="J348" s="9">
        <f t="shared" si="153"/>
        <v>100</v>
      </c>
    </row>
    <row r="349" spans="1:10">
      <c r="A349" s="8" t="s">
        <v>271</v>
      </c>
      <c r="B349" s="1" t="s">
        <v>777</v>
      </c>
      <c r="C349" s="1" t="s">
        <v>272</v>
      </c>
      <c r="D349" s="9">
        <v>5190.6000000000004</v>
      </c>
      <c r="E349" s="9">
        <f>ведомство!H1753</f>
        <v>5190.6000000000004</v>
      </c>
      <c r="F349" s="9">
        <f>ведомство!I1753</f>
        <v>2569.4830000000002</v>
      </c>
      <c r="G349" s="9">
        <f>ведомство!J1753</f>
        <v>2569.4830000000002</v>
      </c>
      <c r="H349" s="9">
        <f>ведомство!K1753</f>
        <v>2569.4830000000002</v>
      </c>
      <c r="I349" s="9">
        <f t="shared" si="152"/>
        <v>49.502620120987942</v>
      </c>
      <c r="J349" s="9">
        <f t="shared" si="153"/>
        <v>100</v>
      </c>
    </row>
    <row r="350" spans="1:10" ht="38.25">
      <c r="A350" s="8" t="s">
        <v>878</v>
      </c>
      <c r="B350" s="1" t="s">
        <v>879</v>
      </c>
      <c r="C350" s="1" t="s">
        <v>0</v>
      </c>
      <c r="D350" s="9">
        <v>32145.1</v>
      </c>
      <c r="E350" s="9">
        <f>E351</f>
        <v>32145.1</v>
      </c>
      <c r="F350" s="9">
        <f t="shared" ref="F350:H351" si="160">F351</f>
        <v>16072.56</v>
      </c>
      <c r="G350" s="9">
        <f t="shared" si="160"/>
        <v>16072.56</v>
      </c>
      <c r="H350" s="9">
        <f t="shared" si="160"/>
        <v>14962.7215</v>
      </c>
      <c r="I350" s="9">
        <f t="shared" si="152"/>
        <v>46.54744113410753</v>
      </c>
      <c r="J350" s="9">
        <f t="shared" si="153"/>
        <v>93.094824346588226</v>
      </c>
    </row>
    <row r="351" spans="1:10">
      <c r="A351" s="8" t="s">
        <v>26</v>
      </c>
      <c r="B351" s="1" t="s">
        <v>879</v>
      </c>
      <c r="C351" s="1" t="s">
        <v>27</v>
      </c>
      <c r="D351" s="9">
        <v>32145.1</v>
      </c>
      <c r="E351" s="9">
        <f>E352</f>
        <v>32145.1</v>
      </c>
      <c r="F351" s="9">
        <f t="shared" si="160"/>
        <v>16072.56</v>
      </c>
      <c r="G351" s="9">
        <f t="shared" si="160"/>
        <v>16072.56</v>
      </c>
      <c r="H351" s="9">
        <f t="shared" si="160"/>
        <v>14962.7215</v>
      </c>
      <c r="I351" s="9">
        <f t="shared" si="152"/>
        <v>46.54744113410753</v>
      </c>
      <c r="J351" s="9">
        <f t="shared" si="153"/>
        <v>93.094824346588226</v>
      </c>
    </row>
    <row r="352" spans="1:10">
      <c r="A352" s="8" t="s">
        <v>28</v>
      </c>
      <c r="B352" s="1" t="s">
        <v>879</v>
      </c>
      <c r="C352" s="1" t="s">
        <v>29</v>
      </c>
      <c r="D352" s="9">
        <v>32145.1</v>
      </c>
      <c r="E352" s="9">
        <f>ведомство!H2003</f>
        <v>32145.1</v>
      </c>
      <c r="F352" s="9">
        <f>ведомство!I2003</f>
        <v>16072.56</v>
      </c>
      <c r="G352" s="9">
        <f>ведомство!J2003</f>
        <v>16072.56</v>
      </c>
      <c r="H352" s="9">
        <f>ведомство!K2003</f>
        <v>14962.7215</v>
      </c>
      <c r="I352" s="9">
        <f t="shared" si="152"/>
        <v>46.54744113410753</v>
      </c>
      <c r="J352" s="9">
        <f t="shared" si="153"/>
        <v>93.094824346588226</v>
      </c>
    </row>
    <row r="353" spans="1:10">
      <c r="A353" s="4" t="s">
        <v>0</v>
      </c>
      <c r="B353" s="17" t="s">
        <v>0</v>
      </c>
      <c r="C353" s="5" t="s">
        <v>0</v>
      </c>
      <c r="D353" s="7" t="s">
        <v>0</v>
      </c>
      <c r="E353" s="7" t="s">
        <v>0</v>
      </c>
      <c r="F353" s="7"/>
      <c r="G353" s="7"/>
      <c r="H353" s="7"/>
      <c r="I353" s="7"/>
      <c r="J353" s="7"/>
    </row>
    <row r="354" spans="1:10" ht="38.25">
      <c r="A354" s="4" t="s">
        <v>765</v>
      </c>
      <c r="B354" s="5" t="s">
        <v>766</v>
      </c>
      <c r="C354" s="5" t="s">
        <v>0</v>
      </c>
      <c r="D354" s="7">
        <v>7933382.2000000002</v>
      </c>
      <c r="E354" s="7">
        <f>E355+E358+E361+E364+E369+E374+E379+E384+E389+E394+E399+E404+E407+E412+E417+E422+E427+E430+E435+E440+E445+E450+E455+E460+E465+E470+E475+E480+E485+E490+E495+E500+E505+E510+E515+E520+E525+E530+E535+E538+E541</f>
        <v>7933382.251000002</v>
      </c>
      <c r="F354" s="7">
        <f t="shared" ref="F354:H354" si="161">F355+F358+F361+F364+F369+F374+F379+F384+F389+F394+F399+F404+F407+F412+F417+F422+F427+F430+F435+F440+F445+F450+F455+F460+F465+F470+F475+F480+F485+F490+F495+F500+F505+F510+F515+F520+F525+F530+F535+F538+F541</f>
        <v>4435598.0856399992</v>
      </c>
      <c r="G354" s="7">
        <f t="shared" si="161"/>
        <v>4435155.483169999</v>
      </c>
      <c r="H354" s="7">
        <f t="shared" si="161"/>
        <v>4433991.2341200011</v>
      </c>
      <c r="I354" s="7">
        <f t="shared" si="152"/>
        <v>55.89030118347187</v>
      </c>
      <c r="J354" s="7">
        <f t="shared" si="153"/>
        <v>99.963773734928779</v>
      </c>
    </row>
    <row r="355" spans="1:10" ht="38.25">
      <c r="A355" s="8" t="s">
        <v>864</v>
      </c>
      <c r="B355" s="1" t="s">
        <v>865</v>
      </c>
      <c r="C355" s="1" t="s">
        <v>0</v>
      </c>
      <c r="D355" s="9">
        <v>384193</v>
      </c>
      <c r="E355" s="9">
        <f>E356</f>
        <v>384193</v>
      </c>
      <c r="F355" s="9">
        <f t="shared" ref="F355:H356" si="162">F356</f>
        <v>206908.29148000001</v>
      </c>
      <c r="G355" s="9">
        <f t="shared" si="162"/>
        <v>206908.29148000001</v>
      </c>
      <c r="H355" s="9">
        <f t="shared" si="162"/>
        <v>206908.29148000001</v>
      </c>
      <c r="I355" s="9">
        <f t="shared" si="152"/>
        <v>53.85529967490298</v>
      </c>
      <c r="J355" s="9">
        <f t="shared" si="153"/>
        <v>100</v>
      </c>
    </row>
    <row r="356" spans="1:10">
      <c r="A356" s="8" t="s">
        <v>68</v>
      </c>
      <c r="B356" s="1" t="s">
        <v>865</v>
      </c>
      <c r="C356" s="1" t="s">
        <v>69</v>
      </c>
      <c r="D356" s="9">
        <v>384193</v>
      </c>
      <c r="E356" s="9">
        <f>E357</f>
        <v>384193</v>
      </c>
      <c r="F356" s="9">
        <f t="shared" si="162"/>
        <v>206908.29148000001</v>
      </c>
      <c r="G356" s="9">
        <f t="shared" si="162"/>
        <v>206908.29148000001</v>
      </c>
      <c r="H356" s="9">
        <f t="shared" si="162"/>
        <v>206908.29148000001</v>
      </c>
      <c r="I356" s="9">
        <f t="shared" si="152"/>
        <v>53.85529967490298</v>
      </c>
      <c r="J356" s="9">
        <f t="shared" si="153"/>
        <v>100</v>
      </c>
    </row>
    <row r="357" spans="1:10">
      <c r="A357" s="8" t="s">
        <v>463</v>
      </c>
      <c r="B357" s="1" t="s">
        <v>865</v>
      </c>
      <c r="C357" s="1" t="s">
        <v>464</v>
      </c>
      <c r="D357" s="9">
        <v>384193</v>
      </c>
      <c r="E357" s="9">
        <f>ведомство!H1967</f>
        <v>384193</v>
      </c>
      <c r="F357" s="9">
        <f>ведомство!I1967</f>
        <v>206908.29148000001</v>
      </c>
      <c r="G357" s="9">
        <f>ведомство!J1967</f>
        <v>206908.29148000001</v>
      </c>
      <c r="H357" s="9">
        <f>ведомство!K1967</f>
        <v>206908.29148000001</v>
      </c>
      <c r="I357" s="9">
        <f t="shared" si="152"/>
        <v>53.85529967490298</v>
      </c>
      <c r="J357" s="9">
        <f t="shared" si="153"/>
        <v>100</v>
      </c>
    </row>
    <row r="358" spans="1:10" ht="76.5">
      <c r="A358" s="8" t="s">
        <v>785</v>
      </c>
      <c r="B358" s="1" t="s">
        <v>786</v>
      </c>
      <c r="C358" s="1" t="s">
        <v>0</v>
      </c>
      <c r="D358" s="9">
        <v>7391.3</v>
      </c>
      <c r="E358" s="9">
        <f>E359</f>
        <v>7391.3</v>
      </c>
      <c r="F358" s="9">
        <f t="shared" ref="F358:H359" si="163">F359</f>
        <v>7391.3</v>
      </c>
      <c r="G358" s="9">
        <f t="shared" si="163"/>
        <v>7391.3</v>
      </c>
      <c r="H358" s="9">
        <f t="shared" si="163"/>
        <v>7391.3</v>
      </c>
      <c r="I358" s="9">
        <f t="shared" si="152"/>
        <v>100</v>
      </c>
      <c r="J358" s="9">
        <f t="shared" si="153"/>
        <v>100</v>
      </c>
    </row>
    <row r="359" spans="1:10">
      <c r="A359" s="8" t="s">
        <v>68</v>
      </c>
      <c r="B359" s="1" t="s">
        <v>786</v>
      </c>
      <c r="C359" s="1" t="s">
        <v>69</v>
      </c>
      <c r="D359" s="9">
        <v>7391.3</v>
      </c>
      <c r="E359" s="9">
        <f>E360</f>
        <v>7391.3</v>
      </c>
      <c r="F359" s="9">
        <f t="shared" si="163"/>
        <v>7391.3</v>
      </c>
      <c r="G359" s="9">
        <f t="shared" si="163"/>
        <v>7391.3</v>
      </c>
      <c r="H359" s="9">
        <f t="shared" si="163"/>
        <v>7391.3</v>
      </c>
      <c r="I359" s="9">
        <f t="shared" si="152"/>
        <v>100</v>
      </c>
      <c r="J359" s="9">
        <f t="shared" si="153"/>
        <v>100</v>
      </c>
    </row>
    <row r="360" spans="1:10" ht="25.5">
      <c r="A360" s="8" t="s">
        <v>151</v>
      </c>
      <c r="B360" s="1" t="s">
        <v>786</v>
      </c>
      <c r="C360" s="1" t="s">
        <v>152</v>
      </c>
      <c r="D360" s="9">
        <v>7391.3</v>
      </c>
      <c r="E360" s="9">
        <f>ведомство!H1779</f>
        <v>7391.3</v>
      </c>
      <c r="F360" s="9">
        <f>ведомство!I1779</f>
        <v>7391.3</v>
      </c>
      <c r="G360" s="9">
        <f>ведомство!J1779</f>
        <v>7391.3</v>
      </c>
      <c r="H360" s="9">
        <f>ведомство!K1779</f>
        <v>7391.3</v>
      </c>
      <c r="I360" s="9">
        <f t="shared" si="152"/>
        <v>100</v>
      </c>
      <c r="J360" s="9">
        <f t="shared" si="153"/>
        <v>100</v>
      </c>
    </row>
    <row r="361" spans="1:10" ht="51">
      <c r="A361" s="8" t="s">
        <v>787</v>
      </c>
      <c r="B361" s="1" t="s">
        <v>788</v>
      </c>
      <c r="C361" s="1" t="s">
        <v>0</v>
      </c>
      <c r="D361" s="9">
        <v>33087.199999999997</v>
      </c>
      <c r="E361" s="9">
        <f>E362</f>
        <v>33087.199999999997</v>
      </c>
      <c r="F361" s="9">
        <f t="shared" ref="F361:H362" si="164">F362</f>
        <v>0</v>
      </c>
      <c r="G361" s="9">
        <f t="shared" si="164"/>
        <v>0</v>
      </c>
      <c r="H361" s="9">
        <f t="shared" si="164"/>
        <v>0</v>
      </c>
      <c r="I361" s="9">
        <f t="shared" si="152"/>
        <v>0</v>
      </c>
      <c r="J361" s="9">
        <v>0</v>
      </c>
    </row>
    <row r="362" spans="1:10">
      <c r="A362" s="8" t="s">
        <v>68</v>
      </c>
      <c r="B362" s="1" t="s">
        <v>788</v>
      </c>
      <c r="C362" s="1" t="s">
        <v>69</v>
      </c>
      <c r="D362" s="9">
        <v>33087.199999999997</v>
      </c>
      <c r="E362" s="9">
        <f>E363</f>
        <v>33087.199999999997</v>
      </c>
      <c r="F362" s="9">
        <f t="shared" si="164"/>
        <v>0</v>
      </c>
      <c r="G362" s="9">
        <f t="shared" si="164"/>
        <v>0</v>
      </c>
      <c r="H362" s="9">
        <f t="shared" si="164"/>
        <v>0</v>
      </c>
      <c r="I362" s="9">
        <f t="shared" si="152"/>
        <v>0</v>
      </c>
      <c r="J362" s="9">
        <v>0</v>
      </c>
    </row>
    <row r="363" spans="1:10" ht="25.5">
      <c r="A363" s="8" t="s">
        <v>151</v>
      </c>
      <c r="B363" s="1" t="s">
        <v>788</v>
      </c>
      <c r="C363" s="1" t="s">
        <v>152</v>
      </c>
      <c r="D363" s="9">
        <v>33087.199999999997</v>
      </c>
      <c r="E363" s="9">
        <f>ведомство!H1782</f>
        <v>33087.199999999997</v>
      </c>
      <c r="F363" s="9">
        <f>ведомство!I1782</f>
        <v>0</v>
      </c>
      <c r="G363" s="9">
        <f>ведомство!J1782</f>
        <v>0</v>
      </c>
      <c r="H363" s="9">
        <f>ведомство!K1782</f>
        <v>0</v>
      </c>
      <c r="I363" s="9">
        <f t="shared" si="152"/>
        <v>0</v>
      </c>
      <c r="J363" s="9">
        <v>0</v>
      </c>
    </row>
    <row r="364" spans="1:10" ht="38.25">
      <c r="A364" s="8" t="s">
        <v>789</v>
      </c>
      <c r="B364" s="1" t="s">
        <v>790</v>
      </c>
      <c r="C364" s="1" t="s">
        <v>0</v>
      </c>
      <c r="D364" s="9">
        <v>8799.2000000000007</v>
      </c>
      <c r="E364" s="9">
        <f>E365+E367</f>
        <v>8799.1999999999989</v>
      </c>
      <c r="F364" s="9">
        <f t="shared" ref="F364:H364" si="165">F365+F367</f>
        <v>3813.32168</v>
      </c>
      <c r="G364" s="9">
        <f t="shared" si="165"/>
        <v>3813.1027600000002</v>
      </c>
      <c r="H364" s="9">
        <f t="shared" si="165"/>
        <v>3813.1027600000002</v>
      </c>
      <c r="I364" s="9">
        <f t="shared" si="152"/>
        <v>43.334652695699617</v>
      </c>
      <c r="J364" s="9">
        <f t="shared" si="153"/>
        <v>99.994259073365143</v>
      </c>
    </row>
    <row r="365" spans="1:10" ht="25.5">
      <c r="A365" s="8" t="s">
        <v>64</v>
      </c>
      <c r="B365" s="1" t="s">
        <v>790</v>
      </c>
      <c r="C365" s="1" t="s">
        <v>65</v>
      </c>
      <c r="D365" s="9">
        <v>0.3</v>
      </c>
      <c r="E365" s="9">
        <f>E366</f>
        <v>0.3</v>
      </c>
      <c r="F365" s="9">
        <f t="shared" ref="F365:H365" si="166">F366</f>
        <v>0.25919999999999999</v>
      </c>
      <c r="G365" s="9">
        <f t="shared" si="166"/>
        <v>0.25720999999999999</v>
      </c>
      <c r="H365" s="9">
        <f t="shared" si="166"/>
        <v>0.25720999999999999</v>
      </c>
      <c r="I365" s="9">
        <f t="shared" si="152"/>
        <v>85.736666666666679</v>
      </c>
      <c r="J365" s="9">
        <f t="shared" si="153"/>
        <v>99.232253086419746</v>
      </c>
    </row>
    <row r="366" spans="1:10" ht="25.5">
      <c r="A366" s="8" t="s">
        <v>66</v>
      </c>
      <c r="B366" s="1" t="s">
        <v>790</v>
      </c>
      <c r="C366" s="1" t="s">
        <v>67</v>
      </c>
      <c r="D366" s="9">
        <v>0.3</v>
      </c>
      <c r="E366" s="9">
        <f>ведомство!H1785</f>
        <v>0.3</v>
      </c>
      <c r="F366" s="9">
        <f>ведомство!I1785</f>
        <v>0.25919999999999999</v>
      </c>
      <c r="G366" s="9">
        <f>ведомство!J1785</f>
        <v>0.25720999999999999</v>
      </c>
      <c r="H366" s="9">
        <f>ведомство!K1785</f>
        <v>0.25720999999999999</v>
      </c>
      <c r="I366" s="9">
        <f t="shared" si="152"/>
        <v>85.736666666666679</v>
      </c>
      <c r="J366" s="9">
        <f t="shared" si="153"/>
        <v>99.232253086419746</v>
      </c>
    </row>
    <row r="367" spans="1:10">
      <c r="A367" s="8" t="s">
        <v>68</v>
      </c>
      <c r="B367" s="1" t="s">
        <v>790</v>
      </c>
      <c r="C367" s="1" t="s">
        <v>69</v>
      </c>
      <c r="D367" s="9">
        <v>8798.9</v>
      </c>
      <c r="E367" s="9">
        <f>E368</f>
        <v>8798.9</v>
      </c>
      <c r="F367" s="9">
        <f t="shared" ref="F367:H367" si="167">F368</f>
        <v>3813.0624800000001</v>
      </c>
      <c r="G367" s="9">
        <f t="shared" si="167"/>
        <v>3812.84555</v>
      </c>
      <c r="H367" s="9">
        <f t="shared" si="167"/>
        <v>3812.84555</v>
      </c>
      <c r="I367" s="9">
        <f t="shared" si="152"/>
        <v>43.333206991783065</v>
      </c>
      <c r="J367" s="9">
        <f t="shared" si="153"/>
        <v>99.994310872136566</v>
      </c>
    </row>
    <row r="368" spans="1:10">
      <c r="A368" s="8" t="s">
        <v>463</v>
      </c>
      <c r="B368" s="1" t="s">
        <v>790</v>
      </c>
      <c r="C368" s="1" t="s">
        <v>464</v>
      </c>
      <c r="D368" s="9">
        <v>8798.9</v>
      </c>
      <c r="E368" s="9">
        <f>ведомство!H1787</f>
        <v>8798.9</v>
      </c>
      <c r="F368" s="9">
        <f>ведомство!I1787</f>
        <v>3813.0624800000001</v>
      </c>
      <c r="G368" s="9">
        <f>ведомство!J1787</f>
        <v>3812.84555</v>
      </c>
      <c r="H368" s="9">
        <f>ведомство!K1787</f>
        <v>3812.84555</v>
      </c>
      <c r="I368" s="9">
        <f t="shared" si="152"/>
        <v>43.333206991783065</v>
      </c>
      <c r="J368" s="9">
        <f t="shared" si="153"/>
        <v>99.994310872136566</v>
      </c>
    </row>
    <row r="369" spans="1:10">
      <c r="A369" s="8" t="s">
        <v>791</v>
      </c>
      <c r="B369" s="1" t="s">
        <v>792</v>
      </c>
      <c r="C369" s="1" t="s">
        <v>0</v>
      </c>
      <c r="D369" s="9">
        <v>732018.2</v>
      </c>
      <c r="E369" s="9">
        <f>E370+E372</f>
        <v>732018.22400000005</v>
      </c>
      <c r="F369" s="9">
        <f t="shared" ref="F369:H369" si="168">F370+F372</f>
        <v>326212.49732999998</v>
      </c>
      <c r="G369" s="9">
        <f t="shared" si="168"/>
        <v>326212.49725000001</v>
      </c>
      <c r="H369" s="9">
        <f t="shared" si="168"/>
        <v>326212.19724999997</v>
      </c>
      <c r="I369" s="9">
        <f t="shared" si="152"/>
        <v>44.563398362880093</v>
      </c>
      <c r="J369" s="9">
        <f t="shared" si="153"/>
        <v>99.999908010881725</v>
      </c>
    </row>
    <row r="370" spans="1:10" ht="25.5">
      <c r="A370" s="8" t="s">
        <v>64</v>
      </c>
      <c r="B370" s="1" t="s">
        <v>792</v>
      </c>
      <c r="C370" s="1" t="s">
        <v>65</v>
      </c>
      <c r="D370" s="9">
        <v>9769.5</v>
      </c>
      <c r="E370" s="9">
        <f>E371</f>
        <v>9769.4840000000004</v>
      </c>
      <c r="F370" s="9">
        <f t="shared" ref="F370:H370" si="169">F371</f>
        <v>4946.6689999999999</v>
      </c>
      <c r="G370" s="9">
        <f t="shared" si="169"/>
        <v>4946.6689999999999</v>
      </c>
      <c r="H370" s="9">
        <f t="shared" si="169"/>
        <v>4946.6689999999999</v>
      </c>
      <c r="I370" s="9">
        <f t="shared" si="152"/>
        <v>50.633881994176967</v>
      </c>
      <c r="J370" s="9">
        <f t="shared" si="153"/>
        <v>100</v>
      </c>
    </row>
    <row r="371" spans="1:10" ht="25.5">
      <c r="A371" s="8" t="s">
        <v>66</v>
      </c>
      <c r="B371" s="1" t="s">
        <v>792</v>
      </c>
      <c r="C371" s="1" t="s">
        <v>67</v>
      </c>
      <c r="D371" s="9">
        <v>9769.5</v>
      </c>
      <c r="E371" s="9">
        <f>ведомство!H1790</f>
        <v>9769.4840000000004</v>
      </c>
      <c r="F371" s="9">
        <f>ведомство!I1790</f>
        <v>4946.6689999999999</v>
      </c>
      <c r="G371" s="9">
        <f>ведомство!J1790</f>
        <v>4946.6689999999999</v>
      </c>
      <c r="H371" s="9">
        <f>ведомство!K1790</f>
        <v>4946.6689999999999</v>
      </c>
      <c r="I371" s="9">
        <f t="shared" si="152"/>
        <v>50.633881994176967</v>
      </c>
      <c r="J371" s="9">
        <f t="shared" si="153"/>
        <v>100</v>
      </c>
    </row>
    <row r="372" spans="1:10">
      <c r="A372" s="8" t="s">
        <v>68</v>
      </c>
      <c r="B372" s="1" t="s">
        <v>792</v>
      </c>
      <c r="C372" s="1" t="s">
        <v>69</v>
      </c>
      <c r="D372" s="9">
        <v>722248.7</v>
      </c>
      <c r="E372" s="9">
        <f>E373</f>
        <v>722248.74</v>
      </c>
      <c r="F372" s="9">
        <f t="shared" ref="F372:H372" si="170">F373</f>
        <v>321265.82832999999</v>
      </c>
      <c r="G372" s="9">
        <f t="shared" si="170"/>
        <v>321265.82825000002</v>
      </c>
      <c r="H372" s="9">
        <f t="shared" si="170"/>
        <v>321265.52824999997</v>
      </c>
      <c r="I372" s="9">
        <f t="shared" si="152"/>
        <v>44.481286080194479</v>
      </c>
      <c r="J372" s="9">
        <f t="shared" si="153"/>
        <v>99.999906594485452</v>
      </c>
    </row>
    <row r="373" spans="1:10" ht="25.5">
      <c r="A373" s="8" t="s">
        <v>151</v>
      </c>
      <c r="B373" s="1" t="s">
        <v>792</v>
      </c>
      <c r="C373" s="1" t="s">
        <v>152</v>
      </c>
      <c r="D373" s="9">
        <v>722248.7</v>
      </c>
      <c r="E373" s="9">
        <f>ведомство!H1792</f>
        <v>722248.74</v>
      </c>
      <c r="F373" s="9">
        <f>ведомство!I1792</f>
        <v>321265.82832999999</v>
      </c>
      <c r="G373" s="9">
        <f>ведомство!J1792</f>
        <v>321265.82825000002</v>
      </c>
      <c r="H373" s="9">
        <f>ведомство!K1792</f>
        <v>321265.52824999997</v>
      </c>
      <c r="I373" s="9">
        <f t="shared" si="152"/>
        <v>44.481286080194479</v>
      </c>
      <c r="J373" s="9">
        <f t="shared" si="153"/>
        <v>99.999906594485452</v>
      </c>
    </row>
    <row r="374" spans="1:10" ht="38.25">
      <c r="A374" s="8" t="s">
        <v>793</v>
      </c>
      <c r="B374" s="1" t="s">
        <v>794</v>
      </c>
      <c r="C374" s="1" t="s">
        <v>0</v>
      </c>
      <c r="D374" s="9">
        <v>105784.5</v>
      </c>
      <c r="E374" s="9">
        <f>E375+E377</f>
        <v>105784.5</v>
      </c>
      <c r="F374" s="9">
        <f t="shared" ref="F374:H374" si="171">F375+F377</f>
        <v>104999.04900999999</v>
      </c>
      <c r="G374" s="9">
        <f t="shared" si="171"/>
        <v>104997.70136000001</v>
      </c>
      <c r="H374" s="9">
        <f t="shared" si="171"/>
        <v>104997.70136000001</v>
      </c>
      <c r="I374" s="9">
        <f t="shared" si="152"/>
        <v>99.256225023514787</v>
      </c>
      <c r="J374" s="9">
        <f t="shared" si="153"/>
        <v>99.998716512184927</v>
      </c>
    </row>
    <row r="375" spans="1:10" ht="25.5">
      <c r="A375" s="8" t="s">
        <v>64</v>
      </c>
      <c r="B375" s="1" t="s">
        <v>794</v>
      </c>
      <c r="C375" s="1" t="s">
        <v>65</v>
      </c>
      <c r="D375" s="9">
        <v>1350.9</v>
      </c>
      <c r="E375" s="9">
        <f>E376</f>
        <v>1350.9</v>
      </c>
      <c r="F375" s="9">
        <f t="shared" ref="F375:H375" si="172">F376</f>
        <v>1340.4824000000001</v>
      </c>
      <c r="G375" s="9">
        <f t="shared" si="172"/>
        <v>1340.4276600000001</v>
      </c>
      <c r="H375" s="9">
        <f t="shared" si="172"/>
        <v>1340.4276600000001</v>
      </c>
      <c r="I375" s="9">
        <f t="shared" si="152"/>
        <v>99.22478791916501</v>
      </c>
      <c r="J375" s="9">
        <f t="shared" si="153"/>
        <v>99.995916395470758</v>
      </c>
    </row>
    <row r="376" spans="1:10" ht="25.5">
      <c r="A376" s="8" t="s">
        <v>66</v>
      </c>
      <c r="B376" s="1" t="s">
        <v>794</v>
      </c>
      <c r="C376" s="1" t="s">
        <v>67</v>
      </c>
      <c r="D376" s="9">
        <v>1350.9</v>
      </c>
      <c r="E376" s="9">
        <f>ведомство!H1795</f>
        <v>1350.9</v>
      </c>
      <c r="F376" s="9">
        <f>ведомство!I1795</f>
        <v>1340.4824000000001</v>
      </c>
      <c r="G376" s="9">
        <f>ведомство!J1795</f>
        <v>1340.4276600000001</v>
      </c>
      <c r="H376" s="9">
        <f>ведомство!K1795</f>
        <v>1340.4276600000001</v>
      </c>
      <c r="I376" s="9">
        <f t="shared" si="152"/>
        <v>99.22478791916501</v>
      </c>
      <c r="J376" s="9">
        <f t="shared" si="153"/>
        <v>99.995916395470758</v>
      </c>
    </row>
    <row r="377" spans="1:10">
      <c r="A377" s="8" t="s">
        <v>68</v>
      </c>
      <c r="B377" s="1" t="s">
        <v>794</v>
      </c>
      <c r="C377" s="1" t="s">
        <v>69</v>
      </c>
      <c r="D377" s="9">
        <v>104433.60000000001</v>
      </c>
      <c r="E377" s="9">
        <f>E378</f>
        <v>104433.60000000001</v>
      </c>
      <c r="F377" s="9">
        <f t="shared" ref="F377:H377" si="173">F378</f>
        <v>103658.56660999999</v>
      </c>
      <c r="G377" s="9">
        <f t="shared" si="173"/>
        <v>103657.27370000001</v>
      </c>
      <c r="H377" s="9">
        <f t="shared" si="173"/>
        <v>103657.27370000001</v>
      </c>
      <c r="I377" s="9">
        <f t="shared" si="152"/>
        <v>99.256631677927416</v>
      </c>
      <c r="J377" s="9">
        <f t="shared" si="153"/>
        <v>99.99875272247894</v>
      </c>
    </row>
    <row r="378" spans="1:10">
      <c r="A378" s="8" t="s">
        <v>463</v>
      </c>
      <c r="B378" s="1" t="s">
        <v>794</v>
      </c>
      <c r="C378" s="1" t="s">
        <v>464</v>
      </c>
      <c r="D378" s="9">
        <v>104433.60000000001</v>
      </c>
      <c r="E378" s="9">
        <f>ведомство!H1797</f>
        <v>104433.60000000001</v>
      </c>
      <c r="F378" s="9">
        <f>ведомство!I1797</f>
        <v>103658.56660999999</v>
      </c>
      <c r="G378" s="9">
        <f>ведомство!J1797</f>
        <v>103657.27370000001</v>
      </c>
      <c r="H378" s="9">
        <f>ведомство!K1797</f>
        <v>103657.27370000001</v>
      </c>
      <c r="I378" s="9">
        <f t="shared" si="152"/>
        <v>99.256631677927416</v>
      </c>
      <c r="J378" s="9">
        <f t="shared" si="153"/>
        <v>99.99875272247894</v>
      </c>
    </row>
    <row r="379" spans="1:10" ht="63.75">
      <c r="A379" s="8" t="s">
        <v>795</v>
      </c>
      <c r="B379" s="1" t="s">
        <v>796</v>
      </c>
      <c r="C379" s="1" t="s">
        <v>0</v>
      </c>
      <c r="D379" s="9">
        <v>77.400000000000006</v>
      </c>
      <c r="E379" s="9">
        <f>E380+E382</f>
        <v>77.400000000000006</v>
      </c>
      <c r="F379" s="9">
        <f t="shared" ref="F379:H379" si="174">F380+F382</f>
        <v>16.75347</v>
      </c>
      <c r="G379" s="9">
        <f t="shared" si="174"/>
        <v>16.75347</v>
      </c>
      <c r="H379" s="9">
        <f t="shared" si="174"/>
        <v>16.75347</v>
      </c>
      <c r="I379" s="9">
        <f t="shared" si="152"/>
        <v>21.64531007751938</v>
      </c>
      <c r="J379" s="9">
        <f t="shared" si="153"/>
        <v>100</v>
      </c>
    </row>
    <row r="380" spans="1:10" ht="25.5">
      <c r="A380" s="8" t="s">
        <v>64</v>
      </c>
      <c r="B380" s="1" t="s">
        <v>796</v>
      </c>
      <c r="C380" s="1" t="s">
        <v>65</v>
      </c>
      <c r="D380" s="9">
        <v>0.2</v>
      </c>
      <c r="E380" s="9">
        <f>E381</f>
        <v>0.2</v>
      </c>
      <c r="F380" s="9">
        <f t="shared" ref="F380:H380" si="175">F381</f>
        <v>0.16589999999999999</v>
      </c>
      <c r="G380" s="9">
        <f t="shared" si="175"/>
        <v>0.16589999999999999</v>
      </c>
      <c r="H380" s="9">
        <f t="shared" si="175"/>
        <v>0.16589999999999999</v>
      </c>
      <c r="I380" s="9">
        <f t="shared" si="152"/>
        <v>82.949999999999989</v>
      </c>
      <c r="J380" s="9">
        <f t="shared" si="153"/>
        <v>100</v>
      </c>
    </row>
    <row r="381" spans="1:10" ht="25.5">
      <c r="A381" s="8" t="s">
        <v>66</v>
      </c>
      <c r="B381" s="1" t="s">
        <v>796</v>
      </c>
      <c r="C381" s="1" t="s">
        <v>67</v>
      </c>
      <c r="D381" s="9">
        <v>0.2</v>
      </c>
      <c r="E381" s="9">
        <f>ведомство!H1800</f>
        <v>0.2</v>
      </c>
      <c r="F381" s="9">
        <f>ведомство!I1800</f>
        <v>0.16589999999999999</v>
      </c>
      <c r="G381" s="9">
        <f>ведомство!J1800</f>
        <v>0.16589999999999999</v>
      </c>
      <c r="H381" s="9">
        <f>ведомство!K1800</f>
        <v>0.16589999999999999</v>
      </c>
      <c r="I381" s="9">
        <f t="shared" si="152"/>
        <v>82.949999999999989</v>
      </c>
      <c r="J381" s="9">
        <f t="shared" si="153"/>
        <v>100</v>
      </c>
    </row>
    <row r="382" spans="1:10">
      <c r="A382" s="8" t="s">
        <v>68</v>
      </c>
      <c r="B382" s="1" t="s">
        <v>796</v>
      </c>
      <c r="C382" s="1" t="s">
        <v>69</v>
      </c>
      <c r="D382" s="9">
        <v>77.2</v>
      </c>
      <c r="E382" s="9">
        <f>E383</f>
        <v>77.2</v>
      </c>
      <c r="F382" s="9">
        <f t="shared" ref="F382:H382" si="176">F383</f>
        <v>16.587569999999999</v>
      </c>
      <c r="G382" s="9">
        <f t="shared" si="176"/>
        <v>16.587569999999999</v>
      </c>
      <c r="H382" s="9">
        <f t="shared" si="176"/>
        <v>16.587569999999999</v>
      </c>
      <c r="I382" s="9">
        <f t="shared" si="152"/>
        <v>21.486489637305699</v>
      </c>
      <c r="J382" s="9">
        <f t="shared" si="153"/>
        <v>100</v>
      </c>
    </row>
    <row r="383" spans="1:10">
      <c r="A383" s="8" t="s">
        <v>463</v>
      </c>
      <c r="B383" s="1" t="s">
        <v>796</v>
      </c>
      <c r="C383" s="1" t="s">
        <v>464</v>
      </c>
      <c r="D383" s="9">
        <v>77.2</v>
      </c>
      <c r="E383" s="9">
        <f>ведомство!H1802</f>
        <v>77.2</v>
      </c>
      <c r="F383" s="9">
        <f>ведомство!I1802</f>
        <v>16.587569999999999</v>
      </c>
      <c r="G383" s="9">
        <f>ведомство!J1802</f>
        <v>16.587569999999999</v>
      </c>
      <c r="H383" s="9">
        <f>ведомство!K1802</f>
        <v>16.587569999999999</v>
      </c>
      <c r="I383" s="9">
        <f t="shared" si="152"/>
        <v>21.486489637305699</v>
      </c>
      <c r="J383" s="9">
        <f t="shared" si="153"/>
        <v>100</v>
      </c>
    </row>
    <row r="384" spans="1:10" ht="25.5">
      <c r="A384" s="8" t="s">
        <v>797</v>
      </c>
      <c r="B384" s="1" t="s">
        <v>798</v>
      </c>
      <c r="C384" s="1" t="s">
        <v>0</v>
      </c>
      <c r="D384" s="9">
        <v>880598.6</v>
      </c>
      <c r="E384" s="9">
        <f>E385+E387</f>
        <v>880598.6</v>
      </c>
      <c r="F384" s="9">
        <f t="shared" ref="F384:H384" si="177">F385+F387</f>
        <v>604189.23410999996</v>
      </c>
      <c r="G384" s="9">
        <f t="shared" si="177"/>
        <v>604189.23410999996</v>
      </c>
      <c r="H384" s="9">
        <f t="shared" si="177"/>
        <v>604189.23405999993</v>
      </c>
      <c r="I384" s="9">
        <f t="shared" si="152"/>
        <v>68.611196299880547</v>
      </c>
      <c r="J384" s="9">
        <f t="shared" si="153"/>
        <v>99.999999991724437</v>
      </c>
    </row>
    <row r="385" spans="1:10" ht="25.5">
      <c r="A385" s="8" t="s">
        <v>64</v>
      </c>
      <c r="B385" s="1" t="s">
        <v>798</v>
      </c>
      <c r="C385" s="1" t="s">
        <v>65</v>
      </c>
      <c r="D385" s="9">
        <v>14500</v>
      </c>
      <c r="E385" s="9">
        <f>E386</f>
        <v>14500</v>
      </c>
      <c r="F385" s="9">
        <f t="shared" ref="F385:H385" si="178">F386</f>
        <v>8619.9339199999995</v>
      </c>
      <c r="G385" s="9">
        <f t="shared" si="178"/>
        <v>8619.9339199999995</v>
      </c>
      <c r="H385" s="9">
        <f t="shared" si="178"/>
        <v>8619.9339</v>
      </c>
      <c r="I385" s="9">
        <f t="shared" si="152"/>
        <v>59.447819999999993</v>
      </c>
      <c r="J385" s="9">
        <f t="shared" si="153"/>
        <v>99.999999767979659</v>
      </c>
    </row>
    <row r="386" spans="1:10" ht="25.5">
      <c r="A386" s="8" t="s">
        <v>66</v>
      </c>
      <c r="B386" s="1" t="s">
        <v>798</v>
      </c>
      <c r="C386" s="1" t="s">
        <v>67</v>
      </c>
      <c r="D386" s="9">
        <v>14500</v>
      </c>
      <c r="E386" s="9">
        <f>ведомство!H1805</f>
        <v>14500</v>
      </c>
      <c r="F386" s="9">
        <f>ведомство!I1805</f>
        <v>8619.9339199999995</v>
      </c>
      <c r="G386" s="9">
        <f>ведомство!J1805</f>
        <v>8619.9339199999995</v>
      </c>
      <c r="H386" s="9">
        <f>ведомство!K1805</f>
        <v>8619.9339</v>
      </c>
      <c r="I386" s="9">
        <f t="shared" si="152"/>
        <v>59.447819999999993</v>
      </c>
      <c r="J386" s="9">
        <f t="shared" si="153"/>
        <v>99.999999767979659</v>
      </c>
    </row>
    <row r="387" spans="1:10">
      <c r="A387" s="8" t="s">
        <v>68</v>
      </c>
      <c r="B387" s="1" t="s">
        <v>798</v>
      </c>
      <c r="C387" s="1" t="s">
        <v>69</v>
      </c>
      <c r="D387" s="9">
        <v>866098.6</v>
      </c>
      <c r="E387" s="9">
        <f>E388</f>
        <v>866098.6</v>
      </c>
      <c r="F387" s="9">
        <f t="shared" ref="F387:H387" si="179">F388</f>
        <v>595569.30018999998</v>
      </c>
      <c r="G387" s="9">
        <f t="shared" si="179"/>
        <v>595569.30018999998</v>
      </c>
      <c r="H387" s="9">
        <f t="shared" si="179"/>
        <v>595569.30015999998</v>
      </c>
      <c r="I387" s="9">
        <f t="shared" si="152"/>
        <v>68.764607189066012</v>
      </c>
      <c r="J387" s="9">
        <f t="shared" si="153"/>
        <v>99.999999994962806</v>
      </c>
    </row>
    <row r="388" spans="1:10" ht="25.5">
      <c r="A388" s="8" t="s">
        <v>151</v>
      </c>
      <c r="B388" s="1" t="s">
        <v>798</v>
      </c>
      <c r="C388" s="1" t="s">
        <v>152</v>
      </c>
      <c r="D388" s="9">
        <v>866098.6</v>
      </c>
      <c r="E388" s="9">
        <f>ведомство!H1807</f>
        <v>866098.6</v>
      </c>
      <c r="F388" s="9">
        <f>ведомство!I1807</f>
        <v>595569.30018999998</v>
      </c>
      <c r="G388" s="9">
        <f>ведомство!J1807</f>
        <v>595569.30018999998</v>
      </c>
      <c r="H388" s="9">
        <f>ведомство!K1807</f>
        <v>595569.30015999998</v>
      </c>
      <c r="I388" s="9">
        <f t="shared" si="152"/>
        <v>68.764607189066012</v>
      </c>
      <c r="J388" s="9">
        <f t="shared" si="153"/>
        <v>99.999999994962806</v>
      </c>
    </row>
    <row r="389" spans="1:10" ht="76.5">
      <c r="A389" s="8" t="s">
        <v>866</v>
      </c>
      <c r="B389" s="1" t="s">
        <v>867</v>
      </c>
      <c r="C389" s="1" t="s">
        <v>0</v>
      </c>
      <c r="D389" s="9">
        <v>14746.2</v>
      </c>
      <c r="E389" s="9">
        <f>E390+E392</f>
        <v>14746.199999999999</v>
      </c>
      <c r="F389" s="9">
        <f t="shared" ref="F389:H389" si="180">F390+F392</f>
        <v>4724.7391799999996</v>
      </c>
      <c r="G389" s="9">
        <f t="shared" si="180"/>
        <v>4724.6114399999997</v>
      </c>
      <c r="H389" s="9">
        <f t="shared" si="180"/>
        <v>4724.6114399999997</v>
      </c>
      <c r="I389" s="9">
        <f t="shared" si="152"/>
        <v>32.03951824876917</v>
      </c>
      <c r="J389" s="9">
        <f t="shared" si="153"/>
        <v>99.997296358695507</v>
      </c>
    </row>
    <row r="390" spans="1:10" ht="25.5">
      <c r="A390" s="8" t="s">
        <v>64</v>
      </c>
      <c r="B390" s="1" t="s">
        <v>867</v>
      </c>
      <c r="C390" s="1" t="s">
        <v>65</v>
      </c>
      <c r="D390" s="9">
        <v>10.9</v>
      </c>
      <c r="E390" s="9">
        <f>E391</f>
        <v>10.9</v>
      </c>
      <c r="F390" s="9">
        <f t="shared" ref="F390:H390" si="181">F391</f>
        <v>1.5349999999999999</v>
      </c>
      <c r="G390" s="9">
        <f t="shared" si="181"/>
        <v>1.40726</v>
      </c>
      <c r="H390" s="9">
        <f t="shared" si="181"/>
        <v>1.40726</v>
      </c>
      <c r="I390" s="9">
        <f t="shared" si="152"/>
        <v>12.910642201834863</v>
      </c>
      <c r="J390" s="9">
        <f t="shared" si="153"/>
        <v>91.678175895765477</v>
      </c>
    </row>
    <row r="391" spans="1:10" ht="25.5">
      <c r="A391" s="8" t="s">
        <v>66</v>
      </c>
      <c r="B391" s="1" t="s">
        <v>867</v>
      </c>
      <c r="C391" s="1" t="s">
        <v>67</v>
      </c>
      <c r="D391" s="9">
        <v>10.9</v>
      </c>
      <c r="E391" s="9">
        <f>ведомство!H1970</f>
        <v>10.9</v>
      </c>
      <c r="F391" s="9">
        <f>ведомство!I1970</f>
        <v>1.5349999999999999</v>
      </c>
      <c r="G391" s="9">
        <f>ведомство!J1970</f>
        <v>1.40726</v>
      </c>
      <c r="H391" s="9">
        <f>ведомство!K1970</f>
        <v>1.40726</v>
      </c>
      <c r="I391" s="9">
        <f t="shared" si="152"/>
        <v>12.910642201834863</v>
      </c>
      <c r="J391" s="9">
        <f t="shared" si="153"/>
        <v>91.678175895765477</v>
      </c>
    </row>
    <row r="392" spans="1:10">
      <c r="A392" s="8" t="s">
        <v>68</v>
      </c>
      <c r="B392" s="1" t="s">
        <v>867</v>
      </c>
      <c r="C392" s="1" t="s">
        <v>69</v>
      </c>
      <c r="D392" s="9">
        <v>14735.3</v>
      </c>
      <c r="E392" s="9">
        <f>E393</f>
        <v>14735.3</v>
      </c>
      <c r="F392" s="9">
        <f t="shared" ref="F392:H392" si="182">F393</f>
        <v>4723.2041799999997</v>
      </c>
      <c r="G392" s="9">
        <f t="shared" si="182"/>
        <v>4723.2041799999997</v>
      </c>
      <c r="H392" s="9">
        <f t="shared" si="182"/>
        <v>4723.2041799999997</v>
      </c>
      <c r="I392" s="9">
        <f t="shared" si="152"/>
        <v>32.053668266000692</v>
      </c>
      <c r="J392" s="9">
        <f t="shared" si="153"/>
        <v>100</v>
      </c>
    </row>
    <row r="393" spans="1:10">
      <c r="A393" s="8" t="s">
        <v>463</v>
      </c>
      <c r="B393" s="1" t="s">
        <v>867</v>
      </c>
      <c r="C393" s="1" t="s">
        <v>464</v>
      </c>
      <c r="D393" s="9">
        <v>14735.3</v>
      </c>
      <c r="E393" s="9">
        <f>ведомство!H1972</f>
        <v>14735.3</v>
      </c>
      <c r="F393" s="9">
        <f>ведомство!I1972</f>
        <v>4723.2041799999997</v>
      </c>
      <c r="G393" s="9">
        <f>ведомство!J1972</f>
        <v>4723.2041799999997</v>
      </c>
      <c r="H393" s="9">
        <f>ведомство!K1972</f>
        <v>4723.2041799999997</v>
      </c>
      <c r="I393" s="9">
        <f t="shared" si="152"/>
        <v>32.053668266000692</v>
      </c>
      <c r="J393" s="9">
        <f t="shared" si="153"/>
        <v>100</v>
      </c>
    </row>
    <row r="394" spans="1:10" ht="76.5">
      <c r="A394" s="8" t="s">
        <v>799</v>
      </c>
      <c r="B394" s="1" t="s">
        <v>800</v>
      </c>
      <c r="C394" s="1" t="s">
        <v>0</v>
      </c>
      <c r="D394" s="9">
        <v>180.9</v>
      </c>
      <c r="E394" s="9">
        <f>E395+E397</f>
        <v>180.89999999999998</v>
      </c>
      <c r="F394" s="9">
        <f t="shared" ref="F394:H394" si="183">F395+F397</f>
        <v>180.89991999999998</v>
      </c>
      <c r="G394" s="9">
        <f t="shared" si="183"/>
        <v>180.89813000000001</v>
      </c>
      <c r="H394" s="9">
        <f t="shared" si="183"/>
        <v>180.89765</v>
      </c>
      <c r="I394" s="9">
        <f t="shared" si="152"/>
        <v>99.998700939745731</v>
      </c>
      <c r="J394" s="9">
        <f t="shared" si="153"/>
        <v>99.998745162518603</v>
      </c>
    </row>
    <row r="395" spans="1:10" ht="25.5">
      <c r="A395" s="8" t="s">
        <v>64</v>
      </c>
      <c r="B395" s="1" t="s">
        <v>800</v>
      </c>
      <c r="C395" s="1" t="s">
        <v>65</v>
      </c>
      <c r="D395" s="9">
        <v>5.3</v>
      </c>
      <c r="E395" s="9">
        <f>E396</f>
        <v>1.325</v>
      </c>
      <c r="F395" s="9">
        <f t="shared" ref="F395:H395" si="184">F396</f>
        <v>1.3249200000000001</v>
      </c>
      <c r="G395" s="9">
        <f t="shared" si="184"/>
        <v>1.32362</v>
      </c>
      <c r="H395" s="9">
        <f t="shared" si="184"/>
        <v>1.32362</v>
      </c>
      <c r="I395" s="9">
        <f t="shared" si="152"/>
        <v>99.89584905660378</v>
      </c>
      <c r="J395" s="9">
        <f t="shared" si="153"/>
        <v>99.901880868278838</v>
      </c>
    </row>
    <row r="396" spans="1:10" ht="25.5">
      <c r="A396" s="8" t="s">
        <v>66</v>
      </c>
      <c r="B396" s="1" t="s">
        <v>800</v>
      </c>
      <c r="C396" s="1" t="s">
        <v>67</v>
      </c>
      <c r="D396" s="9">
        <v>5.3</v>
      </c>
      <c r="E396" s="9">
        <f>ведомство!H1810</f>
        <v>1.325</v>
      </c>
      <c r="F396" s="9">
        <f>ведомство!I1810</f>
        <v>1.3249200000000001</v>
      </c>
      <c r="G396" s="9">
        <f>ведомство!J1810</f>
        <v>1.32362</v>
      </c>
      <c r="H396" s="9">
        <f>ведомство!K1810</f>
        <v>1.32362</v>
      </c>
      <c r="I396" s="9">
        <f t="shared" si="152"/>
        <v>99.89584905660378</v>
      </c>
      <c r="J396" s="9">
        <f t="shared" si="153"/>
        <v>99.901880868278838</v>
      </c>
    </row>
    <row r="397" spans="1:10">
      <c r="A397" s="8" t="s">
        <v>68</v>
      </c>
      <c r="B397" s="1" t="s">
        <v>800</v>
      </c>
      <c r="C397" s="1" t="s">
        <v>69</v>
      </c>
      <c r="D397" s="9">
        <v>175.6</v>
      </c>
      <c r="E397" s="9">
        <f>E398</f>
        <v>179.57499999999999</v>
      </c>
      <c r="F397" s="9">
        <f t="shared" ref="F397:H397" si="185">F398</f>
        <v>179.57499999999999</v>
      </c>
      <c r="G397" s="9">
        <f t="shared" si="185"/>
        <v>179.57451</v>
      </c>
      <c r="H397" s="9">
        <f t="shared" si="185"/>
        <v>179.57402999999999</v>
      </c>
      <c r="I397" s="9">
        <f t="shared" ref="I397:I460" si="186">H397/E397*100</f>
        <v>99.999459835723243</v>
      </c>
      <c r="J397" s="9">
        <f t="shared" ref="J397:J460" si="187">H397/F397*100</f>
        <v>99.999459835723243</v>
      </c>
    </row>
    <row r="398" spans="1:10">
      <c r="A398" s="8" t="s">
        <v>463</v>
      </c>
      <c r="B398" s="1" t="s">
        <v>800</v>
      </c>
      <c r="C398" s="1" t="s">
        <v>464</v>
      </c>
      <c r="D398" s="9">
        <v>175.6</v>
      </c>
      <c r="E398" s="9">
        <f>ведомство!H1812</f>
        <v>179.57499999999999</v>
      </c>
      <c r="F398" s="9">
        <f>ведомство!I1812</f>
        <v>179.57499999999999</v>
      </c>
      <c r="G398" s="9">
        <f>ведомство!J1812</f>
        <v>179.57451</v>
      </c>
      <c r="H398" s="9">
        <f>ведомство!K1812</f>
        <v>179.57402999999999</v>
      </c>
      <c r="I398" s="9">
        <f t="shared" si="186"/>
        <v>99.999459835723243</v>
      </c>
      <c r="J398" s="9">
        <f t="shared" si="187"/>
        <v>99.999459835723243</v>
      </c>
    </row>
    <row r="399" spans="1:10" ht="89.25">
      <c r="A399" s="8" t="s">
        <v>868</v>
      </c>
      <c r="B399" s="1" t="s">
        <v>869</v>
      </c>
      <c r="C399" s="1" t="s">
        <v>0</v>
      </c>
      <c r="D399" s="9">
        <v>420734.6</v>
      </c>
      <c r="E399" s="9">
        <f>E400+E402</f>
        <v>420734.6</v>
      </c>
      <c r="F399" s="9">
        <f t="shared" ref="F399:H399" si="188">F400+F402</f>
        <v>197356.71166999999</v>
      </c>
      <c r="G399" s="9">
        <f t="shared" si="188"/>
        <v>197315.45024000001</v>
      </c>
      <c r="H399" s="9">
        <f t="shared" si="188"/>
        <v>197315.45023000002</v>
      </c>
      <c r="I399" s="9">
        <f t="shared" si="186"/>
        <v>46.897842542543458</v>
      </c>
      <c r="J399" s="9">
        <f t="shared" si="187"/>
        <v>99.97909296337032</v>
      </c>
    </row>
    <row r="400" spans="1:10" ht="25.5">
      <c r="A400" s="8" t="s">
        <v>64</v>
      </c>
      <c r="B400" s="1" t="s">
        <v>869</v>
      </c>
      <c r="C400" s="1" t="s">
        <v>65</v>
      </c>
      <c r="D400" s="9">
        <v>480</v>
      </c>
      <c r="E400" s="9">
        <f>E401</f>
        <v>480</v>
      </c>
      <c r="F400" s="9">
        <f t="shared" ref="F400:H400" si="189">F401</f>
        <v>213.821</v>
      </c>
      <c r="G400" s="9">
        <f t="shared" si="189"/>
        <v>211.97707</v>
      </c>
      <c r="H400" s="9">
        <f t="shared" si="189"/>
        <v>211.97705999999999</v>
      </c>
      <c r="I400" s="9">
        <f t="shared" si="186"/>
        <v>44.161887499999999</v>
      </c>
      <c r="J400" s="9">
        <f t="shared" si="187"/>
        <v>99.137624461582348</v>
      </c>
    </row>
    <row r="401" spans="1:10" ht="25.5">
      <c r="A401" s="8" t="s">
        <v>66</v>
      </c>
      <c r="B401" s="1" t="s">
        <v>869</v>
      </c>
      <c r="C401" s="1" t="s">
        <v>67</v>
      </c>
      <c r="D401" s="9">
        <v>480</v>
      </c>
      <c r="E401" s="9">
        <f>ведомство!H1975</f>
        <v>480</v>
      </c>
      <c r="F401" s="9">
        <f>ведомство!I1975</f>
        <v>213.821</v>
      </c>
      <c r="G401" s="9">
        <f>ведомство!J1975</f>
        <v>211.97707</v>
      </c>
      <c r="H401" s="9">
        <f>ведомство!K1975</f>
        <v>211.97705999999999</v>
      </c>
      <c r="I401" s="9">
        <f t="shared" si="186"/>
        <v>44.161887499999999</v>
      </c>
      <c r="J401" s="9">
        <f t="shared" si="187"/>
        <v>99.137624461582348</v>
      </c>
    </row>
    <row r="402" spans="1:10">
      <c r="A402" s="8" t="s">
        <v>68</v>
      </c>
      <c r="B402" s="1" t="s">
        <v>869</v>
      </c>
      <c r="C402" s="1" t="s">
        <v>69</v>
      </c>
      <c r="D402" s="9">
        <v>420254.6</v>
      </c>
      <c r="E402" s="9">
        <f>E403</f>
        <v>420254.6</v>
      </c>
      <c r="F402" s="9">
        <f t="shared" ref="F402:H402" si="190">F403</f>
        <v>197142.89066999999</v>
      </c>
      <c r="G402" s="9">
        <f t="shared" si="190"/>
        <v>197103.47317000001</v>
      </c>
      <c r="H402" s="9">
        <f t="shared" si="190"/>
        <v>197103.47317000001</v>
      </c>
      <c r="I402" s="9">
        <f t="shared" si="186"/>
        <v>46.900967454014783</v>
      </c>
      <c r="J402" s="9">
        <f t="shared" si="187"/>
        <v>99.980005619342379</v>
      </c>
    </row>
    <row r="403" spans="1:10">
      <c r="A403" s="8" t="s">
        <v>463</v>
      </c>
      <c r="B403" s="1" t="s">
        <v>869</v>
      </c>
      <c r="C403" s="1" t="s">
        <v>464</v>
      </c>
      <c r="D403" s="9">
        <v>420254.6</v>
      </c>
      <c r="E403" s="9">
        <f>ведомство!H1977</f>
        <v>420254.6</v>
      </c>
      <c r="F403" s="9">
        <f>ведомство!I1977</f>
        <v>197142.89066999999</v>
      </c>
      <c r="G403" s="9">
        <f>ведомство!J1977</f>
        <v>197103.47317000001</v>
      </c>
      <c r="H403" s="9">
        <f>ведомство!K1977</f>
        <v>197103.47317000001</v>
      </c>
      <c r="I403" s="9">
        <f t="shared" si="186"/>
        <v>46.900967454014783</v>
      </c>
      <c r="J403" s="9">
        <f t="shared" si="187"/>
        <v>99.980005619342379</v>
      </c>
    </row>
    <row r="404" spans="1:10" ht="25.5">
      <c r="A404" s="8" t="s">
        <v>774</v>
      </c>
      <c r="B404" s="1" t="s">
        <v>801</v>
      </c>
      <c r="C404" s="1" t="s">
        <v>0</v>
      </c>
      <c r="D404" s="9">
        <v>40</v>
      </c>
      <c r="E404" s="9">
        <f>E405</f>
        <v>40</v>
      </c>
      <c r="F404" s="9">
        <f t="shared" ref="F404:H405" si="191">F405</f>
        <v>4</v>
      </c>
      <c r="G404" s="9">
        <f t="shared" si="191"/>
        <v>3.2</v>
      </c>
      <c r="H404" s="9">
        <f t="shared" si="191"/>
        <v>3.2</v>
      </c>
      <c r="I404" s="9">
        <f t="shared" si="186"/>
        <v>8</v>
      </c>
      <c r="J404" s="9">
        <f t="shared" si="187"/>
        <v>80</v>
      </c>
    </row>
    <row r="405" spans="1:10" ht="25.5">
      <c r="A405" s="8" t="s">
        <v>64</v>
      </c>
      <c r="B405" s="1" t="s">
        <v>801</v>
      </c>
      <c r="C405" s="1" t="s">
        <v>65</v>
      </c>
      <c r="D405" s="9">
        <v>40</v>
      </c>
      <c r="E405" s="9">
        <f>E406</f>
        <v>40</v>
      </c>
      <c r="F405" s="9">
        <f t="shared" si="191"/>
        <v>4</v>
      </c>
      <c r="G405" s="9">
        <f t="shared" si="191"/>
        <v>3.2</v>
      </c>
      <c r="H405" s="9">
        <f t="shared" si="191"/>
        <v>3.2</v>
      </c>
      <c r="I405" s="9">
        <f t="shared" si="186"/>
        <v>8</v>
      </c>
      <c r="J405" s="9">
        <f t="shared" si="187"/>
        <v>80</v>
      </c>
    </row>
    <row r="406" spans="1:10" ht="25.5">
      <c r="A406" s="8" t="s">
        <v>66</v>
      </c>
      <c r="B406" s="1" t="s">
        <v>801</v>
      </c>
      <c r="C406" s="1" t="s">
        <v>67</v>
      </c>
      <c r="D406" s="9">
        <v>40</v>
      </c>
      <c r="E406" s="9">
        <f>ведомство!H1815</f>
        <v>40</v>
      </c>
      <c r="F406" s="9">
        <f>ведомство!I1815</f>
        <v>4</v>
      </c>
      <c r="G406" s="9">
        <f>ведомство!J1815</f>
        <v>3.2</v>
      </c>
      <c r="H406" s="9">
        <f>ведомство!K1815</f>
        <v>3.2</v>
      </c>
      <c r="I406" s="9">
        <f t="shared" si="186"/>
        <v>8</v>
      </c>
      <c r="J406" s="9">
        <f t="shared" si="187"/>
        <v>80</v>
      </c>
    </row>
    <row r="407" spans="1:10" ht="25.5">
      <c r="A407" s="8" t="s">
        <v>802</v>
      </c>
      <c r="B407" s="1" t="s">
        <v>803</v>
      </c>
      <c r="C407" s="1" t="s">
        <v>0</v>
      </c>
      <c r="D407" s="9">
        <v>225013.2</v>
      </c>
      <c r="E407" s="9">
        <f>E408+E410</f>
        <v>225013.21400000001</v>
      </c>
      <c r="F407" s="9">
        <f t="shared" ref="F407:H407" si="192">F408+F410</f>
        <v>225013.21400000001</v>
      </c>
      <c r="G407" s="9">
        <f t="shared" si="192"/>
        <v>224917.49799999999</v>
      </c>
      <c r="H407" s="9">
        <f t="shared" si="192"/>
        <v>224909.68569000001</v>
      </c>
      <c r="I407" s="9">
        <f t="shared" si="186"/>
        <v>99.95399011988691</v>
      </c>
      <c r="J407" s="9">
        <f t="shared" si="187"/>
        <v>99.95399011988691</v>
      </c>
    </row>
    <row r="408" spans="1:10" ht="25.5">
      <c r="A408" s="8" t="s">
        <v>64</v>
      </c>
      <c r="B408" s="1" t="s">
        <v>803</v>
      </c>
      <c r="C408" s="1" t="s">
        <v>65</v>
      </c>
      <c r="D408" s="9">
        <v>3016</v>
      </c>
      <c r="E408" s="9">
        <f>E409</f>
        <v>2325.25</v>
      </c>
      <c r="F408" s="9">
        <f t="shared" ref="F408:H408" si="193">F409</f>
        <v>2325.25</v>
      </c>
      <c r="G408" s="9">
        <f t="shared" si="193"/>
        <v>2325.25</v>
      </c>
      <c r="H408" s="9">
        <f t="shared" si="193"/>
        <v>2324.64066</v>
      </c>
      <c r="I408" s="9">
        <f t="shared" si="186"/>
        <v>99.97379464573703</v>
      </c>
      <c r="J408" s="9">
        <f t="shared" si="187"/>
        <v>99.97379464573703</v>
      </c>
    </row>
    <row r="409" spans="1:10" ht="25.5">
      <c r="A409" s="8" t="s">
        <v>66</v>
      </c>
      <c r="B409" s="1" t="s">
        <v>803</v>
      </c>
      <c r="C409" s="1" t="s">
        <v>67</v>
      </c>
      <c r="D409" s="9">
        <v>3016</v>
      </c>
      <c r="E409" s="9">
        <f>ведомство!H1818</f>
        <v>2325.25</v>
      </c>
      <c r="F409" s="9">
        <f>ведомство!I1818</f>
        <v>2325.25</v>
      </c>
      <c r="G409" s="9">
        <f>ведомство!J1818</f>
        <v>2325.25</v>
      </c>
      <c r="H409" s="9">
        <f>ведомство!K1818</f>
        <v>2324.64066</v>
      </c>
      <c r="I409" s="9">
        <f t="shared" si="186"/>
        <v>99.97379464573703</v>
      </c>
      <c r="J409" s="9">
        <f t="shared" si="187"/>
        <v>99.97379464573703</v>
      </c>
    </row>
    <row r="410" spans="1:10">
      <c r="A410" s="8" t="s">
        <v>68</v>
      </c>
      <c r="B410" s="1" t="s">
        <v>803</v>
      </c>
      <c r="C410" s="1" t="s">
        <v>69</v>
      </c>
      <c r="D410" s="9">
        <v>221997.2</v>
      </c>
      <c r="E410" s="9">
        <f>E411</f>
        <v>222687.96400000001</v>
      </c>
      <c r="F410" s="9">
        <f t="shared" ref="F410:H410" si="194">F411</f>
        <v>222687.96400000001</v>
      </c>
      <c r="G410" s="9">
        <f t="shared" si="194"/>
        <v>222592.24799999999</v>
      </c>
      <c r="H410" s="9">
        <f t="shared" si="194"/>
        <v>222585.04503000001</v>
      </c>
      <c r="I410" s="9">
        <f t="shared" si="186"/>
        <v>99.953783326161258</v>
      </c>
      <c r="J410" s="9">
        <f t="shared" si="187"/>
        <v>99.953783326161258</v>
      </c>
    </row>
    <row r="411" spans="1:10" ht="25.5">
      <c r="A411" s="8" t="s">
        <v>151</v>
      </c>
      <c r="B411" s="1" t="s">
        <v>803</v>
      </c>
      <c r="C411" s="1" t="s">
        <v>152</v>
      </c>
      <c r="D411" s="9">
        <v>221997.2</v>
      </c>
      <c r="E411" s="9">
        <f>ведомство!H1820</f>
        <v>222687.96400000001</v>
      </c>
      <c r="F411" s="9">
        <f>ведомство!I1820</f>
        <v>222687.96400000001</v>
      </c>
      <c r="G411" s="9">
        <f>ведомство!J1820</f>
        <v>222592.24799999999</v>
      </c>
      <c r="H411" s="9">
        <f>ведомство!K1820</f>
        <v>222585.04503000001</v>
      </c>
      <c r="I411" s="9">
        <f t="shared" si="186"/>
        <v>99.953783326161258</v>
      </c>
      <c r="J411" s="9">
        <f t="shared" si="187"/>
        <v>99.953783326161258</v>
      </c>
    </row>
    <row r="412" spans="1:10" ht="25.5">
      <c r="A412" s="8" t="s">
        <v>804</v>
      </c>
      <c r="B412" s="1" t="s">
        <v>805</v>
      </c>
      <c r="C412" s="1" t="s">
        <v>0</v>
      </c>
      <c r="D412" s="9">
        <v>11405.4</v>
      </c>
      <c r="E412" s="9">
        <f>E413+E415</f>
        <v>11405.388000000001</v>
      </c>
      <c r="F412" s="9">
        <f t="shared" ref="F412:H412" si="195">F413+F415</f>
        <v>5676.7203199999994</v>
      </c>
      <c r="G412" s="9">
        <f t="shared" si="195"/>
        <v>5664.5730599999997</v>
      </c>
      <c r="H412" s="9">
        <f t="shared" si="195"/>
        <v>5449.1154699999997</v>
      </c>
      <c r="I412" s="9">
        <f t="shared" si="186"/>
        <v>47.776677742133799</v>
      </c>
      <c r="J412" s="9">
        <f t="shared" si="187"/>
        <v>95.990557273041773</v>
      </c>
    </row>
    <row r="413" spans="1:10" ht="25.5">
      <c r="A413" s="8" t="s">
        <v>64</v>
      </c>
      <c r="B413" s="1" t="s">
        <v>805</v>
      </c>
      <c r="C413" s="1" t="s">
        <v>65</v>
      </c>
      <c r="D413" s="9">
        <v>139.1</v>
      </c>
      <c r="E413" s="9">
        <f>E414</f>
        <v>139.13800000000001</v>
      </c>
      <c r="F413" s="9">
        <f t="shared" ref="F413:H413" si="196">F414</f>
        <v>64.326359999999994</v>
      </c>
      <c r="G413" s="9">
        <f t="shared" si="196"/>
        <v>64.326359999999994</v>
      </c>
      <c r="H413" s="9">
        <f t="shared" si="196"/>
        <v>61.016640000000002</v>
      </c>
      <c r="I413" s="9">
        <f t="shared" si="186"/>
        <v>43.853325475427276</v>
      </c>
      <c r="J413" s="9">
        <f t="shared" si="187"/>
        <v>94.854799805243147</v>
      </c>
    </row>
    <row r="414" spans="1:10" ht="25.5">
      <c r="A414" s="8" t="s">
        <v>66</v>
      </c>
      <c r="B414" s="1" t="s">
        <v>805</v>
      </c>
      <c r="C414" s="1" t="s">
        <v>67</v>
      </c>
      <c r="D414" s="9">
        <v>139.1</v>
      </c>
      <c r="E414" s="9">
        <f>ведомство!H1823</f>
        <v>139.13800000000001</v>
      </c>
      <c r="F414" s="9">
        <f>ведомство!I1823</f>
        <v>64.326359999999994</v>
      </c>
      <c r="G414" s="9">
        <f>ведомство!J1823</f>
        <v>64.326359999999994</v>
      </c>
      <c r="H414" s="9">
        <f>ведомство!K1823</f>
        <v>61.016640000000002</v>
      </c>
      <c r="I414" s="9">
        <f t="shared" si="186"/>
        <v>43.853325475427276</v>
      </c>
      <c r="J414" s="9">
        <f t="shared" si="187"/>
        <v>94.854799805243147</v>
      </c>
    </row>
    <row r="415" spans="1:10">
      <c r="A415" s="8" t="s">
        <v>68</v>
      </c>
      <c r="B415" s="1" t="s">
        <v>805</v>
      </c>
      <c r="C415" s="1" t="s">
        <v>69</v>
      </c>
      <c r="D415" s="9">
        <v>11266.3</v>
      </c>
      <c r="E415" s="9">
        <f>E416</f>
        <v>11266.25</v>
      </c>
      <c r="F415" s="9">
        <f t="shared" ref="F415:H415" si="197">F416</f>
        <v>5612.3939599999994</v>
      </c>
      <c r="G415" s="9">
        <f t="shared" si="197"/>
        <v>5600.2466999999997</v>
      </c>
      <c r="H415" s="9">
        <f t="shared" si="197"/>
        <v>5388.0988299999999</v>
      </c>
      <c r="I415" s="9">
        <f t="shared" si="186"/>
        <v>47.825131077332742</v>
      </c>
      <c r="J415" s="9">
        <f t="shared" si="187"/>
        <v>96.003574738363525</v>
      </c>
    </row>
    <row r="416" spans="1:10" ht="25.5">
      <c r="A416" s="8" t="s">
        <v>151</v>
      </c>
      <c r="B416" s="1" t="s">
        <v>805</v>
      </c>
      <c r="C416" s="1" t="s">
        <v>152</v>
      </c>
      <c r="D416" s="9">
        <v>11266.3</v>
      </c>
      <c r="E416" s="9">
        <f>ведомство!H1825</f>
        <v>11266.25</v>
      </c>
      <c r="F416" s="9">
        <f>ведомство!I1825</f>
        <v>5612.3939599999994</v>
      </c>
      <c r="G416" s="9">
        <f>ведомство!J1825</f>
        <v>5600.2466999999997</v>
      </c>
      <c r="H416" s="9">
        <f>ведомство!K1825</f>
        <v>5388.0988299999999</v>
      </c>
      <c r="I416" s="9">
        <f t="shared" si="186"/>
        <v>47.825131077332742</v>
      </c>
      <c r="J416" s="9">
        <f t="shared" si="187"/>
        <v>96.003574738363525</v>
      </c>
    </row>
    <row r="417" spans="1:10" ht="38.25">
      <c r="A417" s="8" t="s">
        <v>806</v>
      </c>
      <c r="B417" s="1" t="s">
        <v>807</v>
      </c>
      <c r="C417" s="1" t="s">
        <v>0</v>
      </c>
      <c r="D417" s="9">
        <v>173621.9</v>
      </c>
      <c r="E417" s="9">
        <f>E418+E420</f>
        <v>173621.899</v>
      </c>
      <c r="F417" s="9">
        <f t="shared" ref="F417:H417" si="198">F418+F420</f>
        <v>92849.758000000002</v>
      </c>
      <c r="G417" s="9">
        <f t="shared" si="198"/>
        <v>92849.758000000002</v>
      </c>
      <c r="H417" s="9">
        <f t="shared" si="198"/>
        <v>92770.250239999994</v>
      </c>
      <c r="I417" s="9">
        <f t="shared" si="186"/>
        <v>53.432343946428084</v>
      </c>
      <c r="J417" s="9">
        <f t="shared" si="187"/>
        <v>99.914369448329623</v>
      </c>
    </row>
    <row r="418" spans="1:10" ht="25.5">
      <c r="A418" s="8" t="s">
        <v>64</v>
      </c>
      <c r="B418" s="1" t="s">
        <v>807</v>
      </c>
      <c r="C418" s="1" t="s">
        <v>65</v>
      </c>
      <c r="D418" s="9">
        <v>2353.1999999999998</v>
      </c>
      <c r="E418" s="9">
        <f>E419</f>
        <v>2353.2310000000002</v>
      </c>
      <c r="F418" s="9">
        <f t="shared" ref="F418:H418" si="199">F419</f>
        <v>1241.25</v>
      </c>
      <c r="G418" s="9">
        <f t="shared" si="199"/>
        <v>1241.25</v>
      </c>
      <c r="H418" s="9">
        <f t="shared" si="199"/>
        <v>1190.9166</v>
      </c>
      <c r="I418" s="9">
        <f t="shared" si="186"/>
        <v>50.607721893855718</v>
      </c>
      <c r="J418" s="9">
        <f t="shared" si="187"/>
        <v>95.944942598187311</v>
      </c>
    </row>
    <row r="419" spans="1:10" ht="25.5">
      <c r="A419" s="8" t="s">
        <v>66</v>
      </c>
      <c r="B419" s="1" t="s">
        <v>807</v>
      </c>
      <c r="C419" s="1" t="s">
        <v>67</v>
      </c>
      <c r="D419" s="9">
        <v>2353.1999999999998</v>
      </c>
      <c r="E419" s="9">
        <f>ведомство!H1828</f>
        <v>2353.2310000000002</v>
      </c>
      <c r="F419" s="9">
        <f>ведомство!I1828</f>
        <v>1241.25</v>
      </c>
      <c r="G419" s="9">
        <f>ведомство!J1828</f>
        <v>1241.25</v>
      </c>
      <c r="H419" s="9">
        <f>ведомство!K1828</f>
        <v>1190.9166</v>
      </c>
      <c r="I419" s="9">
        <f t="shared" si="186"/>
        <v>50.607721893855718</v>
      </c>
      <c r="J419" s="9">
        <f t="shared" si="187"/>
        <v>95.944942598187311</v>
      </c>
    </row>
    <row r="420" spans="1:10">
      <c r="A420" s="8" t="s">
        <v>68</v>
      </c>
      <c r="B420" s="1" t="s">
        <v>807</v>
      </c>
      <c r="C420" s="1" t="s">
        <v>69</v>
      </c>
      <c r="D420" s="9">
        <v>171268.7</v>
      </c>
      <c r="E420" s="9">
        <f>E421</f>
        <v>171268.66800000001</v>
      </c>
      <c r="F420" s="9">
        <f t="shared" ref="F420:H420" si="200">F421</f>
        <v>91608.508000000002</v>
      </c>
      <c r="G420" s="9">
        <f t="shared" si="200"/>
        <v>91608.508000000002</v>
      </c>
      <c r="H420" s="9">
        <f t="shared" si="200"/>
        <v>91579.333639999997</v>
      </c>
      <c r="I420" s="9">
        <f t="shared" si="186"/>
        <v>53.47115424521197</v>
      </c>
      <c r="J420" s="9">
        <f t="shared" si="187"/>
        <v>99.96815322000441</v>
      </c>
    </row>
    <row r="421" spans="1:10" ht="25.5">
      <c r="A421" s="8" t="s">
        <v>151</v>
      </c>
      <c r="B421" s="1" t="s">
        <v>807</v>
      </c>
      <c r="C421" s="1" t="s">
        <v>152</v>
      </c>
      <c r="D421" s="9">
        <v>171268.7</v>
      </c>
      <c r="E421" s="9">
        <f>ведомство!H1830</f>
        <v>171268.66800000001</v>
      </c>
      <c r="F421" s="9">
        <f>ведомство!I1830</f>
        <v>91608.508000000002</v>
      </c>
      <c r="G421" s="9">
        <f>ведомство!J1830</f>
        <v>91608.508000000002</v>
      </c>
      <c r="H421" s="9">
        <f>ведомство!K1830</f>
        <v>91579.333639999997</v>
      </c>
      <c r="I421" s="9">
        <f t="shared" si="186"/>
        <v>53.47115424521197</v>
      </c>
      <c r="J421" s="9">
        <f t="shared" si="187"/>
        <v>99.96815322000441</v>
      </c>
    </row>
    <row r="422" spans="1:10" ht="25.5">
      <c r="A422" s="8" t="s">
        <v>808</v>
      </c>
      <c r="B422" s="1" t="s">
        <v>809</v>
      </c>
      <c r="C422" s="1" t="s">
        <v>0</v>
      </c>
      <c r="D422" s="9">
        <v>1722055.6</v>
      </c>
      <c r="E422" s="9">
        <f>E423+E425</f>
        <v>1722055.6580000001</v>
      </c>
      <c r="F422" s="9">
        <f t="shared" ref="F422:H422" si="201">F423+F425</f>
        <v>1024839.8369999999</v>
      </c>
      <c r="G422" s="9">
        <f t="shared" si="201"/>
        <v>1024828.2424999999</v>
      </c>
      <c r="H422" s="9">
        <f t="shared" si="201"/>
        <v>1024822.0517899999</v>
      </c>
      <c r="I422" s="9">
        <f t="shared" si="186"/>
        <v>59.51155219804167</v>
      </c>
      <c r="J422" s="9">
        <f t="shared" si="187"/>
        <v>99.998264586391173</v>
      </c>
    </row>
    <row r="423" spans="1:10" ht="25.5">
      <c r="A423" s="8" t="s">
        <v>64</v>
      </c>
      <c r="B423" s="1" t="s">
        <v>809</v>
      </c>
      <c r="C423" s="1" t="s">
        <v>65</v>
      </c>
      <c r="D423" s="9">
        <v>27353.9</v>
      </c>
      <c r="E423" s="9">
        <f>E424</f>
        <v>27353.942999999999</v>
      </c>
      <c r="F423" s="9">
        <f t="shared" ref="F423:H423" si="202">F424</f>
        <v>13748.165999999999</v>
      </c>
      <c r="G423" s="9">
        <f t="shared" si="202"/>
        <v>13748.165999999999</v>
      </c>
      <c r="H423" s="9">
        <f t="shared" si="202"/>
        <v>13748.165580000001</v>
      </c>
      <c r="I423" s="9">
        <f t="shared" si="186"/>
        <v>50.260269899663101</v>
      </c>
      <c r="J423" s="9">
        <f t="shared" si="187"/>
        <v>99.999996945047073</v>
      </c>
    </row>
    <row r="424" spans="1:10" ht="25.5">
      <c r="A424" s="8" t="s">
        <v>66</v>
      </c>
      <c r="B424" s="1" t="s">
        <v>809</v>
      </c>
      <c r="C424" s="1" t="s">
        <v>67</v>
      </c>
      <c r="D424" s="9">
        <v>27353.9</v>
      </c>
      <c r="E424" s="9">
        <f>ведомство!H1833</f>
        <v>27353.942999999999</v>
      </c>
      <c r="F424" s="9">
        <f>ведомство!I1833</f>
        <v>13748.165999999999</v>
      </c>
      <c r="G424" s="9">
        <f>ведомство!J1833</f>
        <v>13748.165999999999</v>
      </c>
      <c r="H424" s="9">
        <f>ведомство!K1833</f>
        <v>13748.165580000001</v>
      </c>
      <c r="I424" s="9">
        <f t="shared" si="186"/>
        <v>50.260269899663101</v>
      </c>
      <c r="J424" s="9">
        <f t="shared" si="187"/>
        <v>99.999996945047073</v>
      </c>
    </row>
    <row r="425" spans="1:10">
      <c r="A425" s="8" t="s">
        <v>68</v>
      </c>
      <c r="B425" s="1" t="s">
        <v>809</v>
      </c>
      <c r="C425" s="1" t="s">
        <v>69</v>
      </c>
      <c r="D425" s="9">
        <v>1694701.7</v>
      </c>
      <c r="E425" s="9">
        <f>E426</f>
        <v>1694701.7150000001</v>
      </c>
      <c r="F425" s="9">
        <f t="shared" ref="F425:H425" si="203">F426</f>
        <v>1011091.671</v>
      </c>
      <c r="G425" s="9">
        <f t="shared" si="203"/>
        <v>1011080.0765</v>
      </c>
      <c r="H425" s="9">
        <f t="shared" si="203"/>
        <v>1011073.8862099999</v>
      </c>
      <c r="I425" s="9">
        <f t="shared" si="186"/>
        <v>59.660875849765681</v>
      </c>
      <c r="J425" s="9">
        <f t="shared" si="187"/>
        <v>99.99824103090647</v>
      </c>
    </row>
    <row r="426" spans="1:10" ht="25.5">
      <c r="A426" s="8" t="s">
        <v>151</v>
      </c>
      <c r="B426" s="1" t="s">
        <v>809</v>
      </c>
      <c r="C426" s="1" t="s">
        <v>152</v>
      </c>
      <c r="D426" s="9">
        <v>1694701.7</v>
      </c>
      <c r="E426" s="9">
        <f>ведомство!H1835</f>
        <v>1694701.7150000001</v>
      </c>
      <c r="F426" s="9">
        <f>ведомство!I1835</f>
        <v>1011091.671</v>
      </c>
      <c r="G426" s="9">
        <f>ведомство!J1835</f>
        <v>1011080.0765</v>
      </c>
      <c r="H426" s="9">
        <f>ведомство!K1835</f>
        <v>1011073.8862099999</v>
      </c>
      <c r="I426" s="9">
        <f t="shared" si="186"/>
        <v>59.660875849765681</v>
      </c>
      <c r="J426" s="9">
        <f t="shared" si="187"/>
        <v>99.99824103090647</v>
      </c>
    </row>
    <row r="427" spans="1:10" ht="25.5">
      <c r="A427" s="8" t="s">
        <v>810</v>
      </c>
      <c r="B427" s="1" t="s">
        <v>811</v>
      </c>
      <c r="C427" s="1" t="s">
        <v>0</v>
      </c>
      <c r="D427" s="9">
        <v>49.3</v>
      </c>
      <c r="E427" s="9">
        <f>E428</f>
        <v>49.283000000000001</v>
      </c>
      <c r="F427" s="9">
        <f t="shared" ref="F427:H428" si="204">F428</f>
        <v>27.4</v>
      </c>
      <c r="G427" s="9">
        <f t="shared" si="204"/>
        <v>17.448</v>
      </c>
      <c r="H427" s="9">
        <f t="shared" si="204"/>
        <v>17.447189999999999</v>
      </c>
      <c r="I427" s="9">
        <f t="shared" si="186"/>
        <v>35.402045330032664</v>
      </c>
      <c r="J427" s="9">
        <f t="shared" si="187"/>
        <v>63.675875912408763</v>
      </c>
    </row>
    <row r="428" spans="1:10">
      <c r="A428" s="8" t="s">
        <v>68</v>
      </c>
      <c r="B428" s="1" t="s">
        <v>811</v>
      </c>
      <c r="C428" s="1" t="s">
        <v>69</v>
      </c>
      <c r="D428" s="9">
        <v>49.3</v>
      </c>
      <c r="E428" s="9">
        <f>E429</f>
        <v>49.283000000000001</v>
      </c>
      <c r="F428" s="9">
        <f t="shared" si="204"/>
        <v>27.4</v>
      </c>
      <c r="G428" s="9">
        <f t="shared" si="204"/>
        <v>17.448</v>
      </c>
      <c r="H428" s="9">
        <f t="shared" si="204"/>
        <v>17.447189999999999</v>
      </c>
      <c r="I428" s="9">
        <f t="shared" si="186"/>
        <v>35.402045330032664</v>
      </c>
      <c r="J428" s="9">
        <f t="shared" si="187"/>
        <v>63.675875912408763</v>
      </c>
    </row>
    <row r="429" spans="1:10" ht="25.5">
      <c r="A429" s="8" t="s">
        <v>151</v>
      </c>
      <c r="B429" s="1" t="s">
        <v>811</v>
      </c>
      <c r="C429" s="1" t="s">
        <v>152</v>
      </c>
      <c r="D429" s="9">
        <v>49.3</v>
      </c>
      <c r="E429" s="9">
        <f>ведомство!H1838</f>
        <v>49.283000000000001</v>
      </c>
      <c r="F429" s="9">
        <f>ведомство!I1838</f>
        <v>27.4</v>
      </c>
      <c r="G429" s="9">
        <f>ведомство!J1838</f>
        <v>17.448</v>
      </c>
      <c r="H429" s="9">
        <f>ведомство!K1838</f>
        <v>17.447189999999999</v>
      </c>
      <c r="I429" s="9">
        <f t="shared" si="186"/>
        <v>35.402045330032664</v>
      </c>
      <c r="J429" s="9">
        <f t="shared" si="187"/>
        <v>63.675875912408763</v>
      </c>
    </row>
    <row r="430" spans="1:10" ht="38.25">
      <c r="A430" s="8" t="s">
        <v>812</v>
      </c>
      <c r="B430" s="1" t="s">
        <v>813</v>
      </c>
      <c r="C430" s="1" t="s">
        <v>0</v>
      </c>
      <c r="D430" s="9">
        <v>15481.8</v>
      </c>
      <c r="E430" s="9">
        <f>E431+E433</f>
        <v>15481.800000000001</v>
      </c>
      <c r="F430" s="9">
        <f t="shared" ref="F430:H430" si="205">F431+F433</f>
        <v>8355.4279999999999</v>
      </c>
      <c r="G430" s="9">
        <f t="shared" si="205"/>
        <v>8296.7489999999998</v>
      </c>
      <c r="H430" s="9">
        <f t="shared" si="205"/>
        <v>8245.4234300000007</v>
      </c>
      <c r="I430" s="9">
        <f t="shared" si="186"/>
        <v>53.258816352103764</v>
      </c>
      <c r="J430" s="9">
        <f t="shared" si="187"/>
        <v>98.683435845536593</v>
      </c>
    </row>
    <row r="431" spans="1:10" ht="25.5">
      <c r="A431" s="8" t="s">
        <v>64</v>
      </c>
      <c r="B431" s="1" t="s">
        <v>813</v>
      </c>
      <c r="C431" s="1" t="s">
        <v>65</v>
      </c>
      <c r="D431" s="9">
        <v>229.3</v>
      </c>
      <c r="E431" s="9">
        <f>E432</f>
        <v>229.279</v>
      </c>
      <c r="F431" s="9">
        <f t="shared" ref="F431:H431" si="206">F432</f>
        <v>116.73</v>
      </c>
      <c r="G431" s="9">
        <f t="shared" si="206"/>
        <v>116.73</v>
      </c>
      <c r="H431" s="9">
        <f t="shared" si="206"/>
        <v>115.32839</v>
      </c>
      <c r="I431" s="9">
        <f t="shared" si="186"/>
        <v>50.300459265785356</v>
      </c>
      <c r="J431" s="9">
        <f t="shared" si="187"/>
        <v>98.799271823867045</v>
      </c>
    </row>
    <row r="432" spans="1:10" ht="25.5">
      <c r="A432" s="8" t="s">
        <v>66</v>
      </c>
      <c r="B432" s="1" t="s">
        <v>813</v>
      </c>
      <c r="C432" s="1" t="s">
        <v>67</v>
      </c>
      <c r="D432" s="9">
        <v>229.3</v>
      </c>
      <c r="E432" s="9">
        <f>ведомство!H1841</f>
        <v>229.279</v>
      </c>
      <c r="F432" s="9">
        <f>ведомство!I1841</f>
        <v>116.73</v>
      </c>
      <c r="G432" s="9">
        <f>ведомство!J1841</f>
        <v>116.73</v>
      </c>
      <c r="H432" s="9">
        <f>ведомство!K1841</f>
        <v>115.32839</v>
      </c>
      <c r="I432" s="9">
        <f t="shared" si="186"/>
        <v>50.300459265785356</v>
      </c>
      <c r="J432" s="9">
        <f t="shared" si="187"/>
        <v>98.799271823867045</v>
      </c>
    </row>
    <row r="433" spans="1:10">
      <c r="A433" s="8" t="s">
        <v>68</v>
      </c>
      <c r="B433" s="1" t="s">
        <v>813</v>
      </c>
      <c r="C433" s="1" t="s">
        <v>69</v>
      </c>
      <c r="D433" s="9">
        <v>15252.5</v>
      </c>
      <c r="E433" s="9">
        <f>E434</f>
        <v>15252.521000000001</v>
      </c>
      <c r="F433" s="9">
        <f t="shared" ref="F433:H433" si="207">F434</f>
        <v>8238.6980000000003</v>
      </c>
      <c r="G433" s="9">
        <f t="shared" si="207"/>
        <v>8180.0189999999993</v>
      </c>
      <c r="H433" s="9">
        <f t="shared" si="207"/>
        <v>8130.0950400000002</v>
      </c>
      <c r="I433" s="9">
        <f t="shared" si="186"/>
        <v>53.303286977936303</v>
      </c>
      <c r="J433" s="9">
        <f t="shared" si="187"/>
        <v>98.681794623373747</v>
      </c>
    </row>
    <row r="434" spans="1:10" ht="25.5">
      <c r="A434" s="8" t="s">
        <v>151</v>
      </c>
      <c r="B434" s="1" t="s">
        <v>813</v>
      </c>
      <c r="C434" s="1" t="s">
        <v>152</v>
      </c>
      <c r="D434" s="9">
        <v>15252.5</v>
      </c>
      <c r="E434" s="9">
        <f>ведомство!H1843</f>
        <v>15252.521000000001</v>
      </c>
      <c r="F434" s="9">
        <f>ведомство!I1843</f>
        <v>8238.6980000000003</v>
      </c>
      <c r="G434" s="9">
        <f>ведомство!J1843</f>
        <v>8180.0189999999993</v>
      </c>
      <c r="H434" s="9">
        <f>ведомство!K1843</f>
        <v>8130.0950400000002</v>
      </c>
      <c r="I434" s="9">
        <f t="shared" si="186"/>
        <v>53.303286977936303</v>
      </c>
      <c r="J434" s="9">
        <f t="shared" si="187"/>
        <v>98.681794623373747</v>
      </c>
    </row>
    <row r="435" spans="1:10" ht="25.5">
      <c r="A435" s="8" t="s">
        <v>767</v>
      </c>
      <c r="B435" s="1" t="s">
        <v>768</v>
      </c>
      <c r="C435" s="1" t="s">
        <v>0</v>
      </c>
      <c r="D435" s="9">
        <v>53766.7</v>
      </c>
      <c r="E435" s="9">
        <f>E436+E438</f>
        <v>53766.720000000001</v>
      </c>
      <c r="F435" s="9">
        <f t="shared" ref="F435:H435" si="208">F436+F438</f>
        <v>26380.190000000002</v>
      </c>
      <c r="G435" s="9">
        <f t="shared" si="208"/>
        <v>26336.245000000003</v>
      </c>
      <c r="H435" s="9">
        <f t="shared" si="208"/>
        <v>26334.595160000001</v>
      </c>
      <c r="I435" s="9">
        <f t="shared" si="186"/>
        <v>48.97935964849632</v>
      </c>
      <c r="J435" s="9">
        <f t="shared" si="187"/>
        <v>99.827162579192944</v>
      </c>
    </row>
    <row r="436" spans="1:10" ht="25.5">
      <c r="A436" s="8" t="s">
        <v>64</v>
      </c>
      <c r="B436" s="1" t="s">
        <v>768</v>
      </c>
      <c r="C436" s="1" t="s">
        <v>65</v>
      </c>
      <c r="D436" s="9">
        <v>426.7</v>
      </c>
      <c r="E436" s="9">
        <f>E437</f>
        <v>426.72</v>
      </c>
      <c r="F436" s="9">
        <f t="shared" ref="F436:H436" si="209">F437</f>
        <v>175.65</v>
      </c>
      <c r="G436" s="9">
        <f t="shared" si="209"/>
        <v>159.70500000000001</v>
      </c>
      <c r="H436" s="9">
        <f t="shared" si="209"/>
        <v>159.61048</v>
      </c>
      <c r="I436" s="9">
        <f t="shared" si="186"/>
        <v>37.404030746156721</v>
      </c>
      <c r="J436" s="9">
        <f t="shared" si="187"/>
        <v>90.868477085112431</v>
      </c>
    </row>
    <row r="437" spans="1:10" ht="25.5">
      <c r="A437" s="8" t="s">
        <v>66</v>
      </c>
      <c r="B437" s="1" t="s">
        <v>768</v>
      </c>
      <c r="C437" s="1" t="s">
        <v>67</v>
      </c>
      <c r="D437" s="9">
        <v>426.7</v>
      </c>
      <c r="E437" s="9">
        <f>ведомство!H1724</f>
        <v>426.72</v>
      </c>
      <c r="F437" s="9">
        <f>ведомство!I1724</f>
        <v>175.65</v>
      </c>
      <c r="G437" s="9">
        <f>ведомство!J1724</f>
        <v>159.70500000000001</v>
      </c>
      <c r="H437" s="9">
        <f>ведомство!K1724</f>
        <v>159.61048</v>
      </c>
      <c r="I437" s="9">
        <f t="shared" si="186"/>
        <v>37.404030746156721</v>
      </c>
      <c r="J437" s="9">
        <f t="shared" si="187"/>
        <v>90.868477085112431</v>
      </c>
    </row>
    <row r="438" spans="1:10">
      <c r="A438" s="8" t="s">
        <v>68</v>
      </c>
      <c r="B438" s="1" t="s">
        <v>768</v>
      </c>
      <c r="C438" s="1" t="s">
        <v>69</v>
      </c>
      <c r="D438" s="9">
        <v>53340</v>
      </c>
      <c r="E438" s="9">
        <f>E439</f>
        <v>53340</v>
      </c>
      <c r="F438" s="9">
        <f t="shared" ref="F438:H438" si="210">F439</f>
        <v>26204.54</v>
      </c>
      <c r="G438" s="9">
        <f t="shared" si="210"/>
        <v>26176.54</v>
      </c>
      <c r="H438" s="9">
        <f t="shared" si="210"/>
        <v>26174.984680000001</v>
      </c>
      <c r="I438" s="9">
        <f t="shared" si="186"/>
        <v>49.071962279715038</v>
      </c>
      <c r="J438" s="9">
        <f t="shared" si="187"/>
        <v>99.887212979124996</v>
      </c>
    </row>
    <row r="439" spans="1:10" ht="25.5">
      <c r="A439" s="8" t="s">
        <v>151</v>
      </c>
      <c r="B439" s="1" t="s">
        <v>768</v>
      </c>
      <c r="C439" s="1" t="s">
        <v>152</v>
      </c>
      <c r="D439" s="9">
        <v>53340</v>
      </c>
      <c r="E439" s="9">
        <f>ведомство!H1726</f>
        <v>53340</v>
      </c>
      <c r="F439" s="9">
        <f>ведомство!I1726</f>
        <v>26204.54</v>
      </c>
      <c r="G439" s="9">
        <f>ведомство!J1726</f>
        <v>26176.54</v>
      </c>
      <c r="H439" s="9">
        <f>ведомство!K1726</f>
        <v>26174.984680000001</v>
      </c>
      <c r="I439" s="9">
        <f t="shared" si="186"/>
        <v>49.071962279715038</v>
      </c>
      <c r="J439" s="9">
        <f t="shared" si="187"/>
        <v>99.887212979124996</v>
      </c>
    </row>
    <row r="440" spans="1:10" ht="51">
      <c r="A440" s="8" t="s">
        <v>814</v>
      </c>
      <c r="B440" s="1" t="s">
        <v>815</v>
      </c>
      <c r="C440" s="1" t="s">
        <v>0</v>
      </c>
      <c r="D440" s="9">
        <v>412.2</v>
      </c>
      <c r="E440" s="9">
        <f>E441+E443</f>
        <v>412.178</v>
      </c>
      <c r="F440" s="9">
        <f t="shared" ref="F440:H440" si="211">F441+F443</f>
        <v>249.60499999999999</v>
      </c>
      <c r="G440" s="9">
        <f t="shared" si="211"/>
        <v>229.36799999999999</v>
      </c>
      <c r="H440" s="9">
        <f t="shared" si="211"/>
        <v>225.53249</v>
      </c>
      <c r="I440" s="9">
        <f t="shared" si="186"/>
        <v>54.717255651684468</v>
      </c>
      <c r="J440" s="9">
        <f t="shared" si="187"/>
        <v>90.355758097794521</v>
      </c>
    </row>
    <row r="441" spans="1:10" ht="25.5">
      <c r="A441" s="8" t="s">
        <v>64</v>
      </c>
      <c r="B441" s="1" t="s">
        <v>815</v>
      </c>
      <c r="C441" s="1" t="s">
        <v>65</v>
      </c>
      <c r="D441" s="9">
        <v>6.6</v>
      </c>
      <c r="E441" s="9">
        <f>E442</f>
        <v>6.6109999999999998</v>
      </c>
      <c r="F441" s="9">
        <f t="shared" ref="F441:H441" si="212">F442</f>
        <v>3.605</v>
      </c>
      <c r="G441" s="9">
        <f t="shared" si="212"/>
        <v>3.0550000000000002</v>
      </c>
      <c r="H441" s="9">
        <f t="shared" si="212"/>
        <v>2.8690000000000002</v>
      </c>
      <c r="I441" s="9">
        <f t="shared" si="186"/>
        <v>43.397368022991991</v>
      </c>
      <c r="J441" s="9">
        <f t="shared" si="187"/>
        <v>79.58391123439668</v>
      </c>
    </row>
    <row r="442" spans="1:10" ht="25.5">
      <c r="A442" s="8" t="s">
        <v>66</v>
      </c>
      <c r="B442" s="1" t="s">
        <v>815</v>
      </c>
      <c r="C442" s="1" t="s">
        <v>67</v>
      </c>
      <c r="D442" s="9">
        <v>6.6</v>
      </c>
      <c r="E442" s="9">
        <f>ведомство!H1846</f>
        <v>6.6109999999999998</v>
      </c>
      <c r="F442" s="9">
        <f>ведомство!I1846</f>
        <v>3.605</v>
      </c>
      <c r="G442" s="9">
        <f>ведомство!J1846</f>
        <v>3.0550000000000002</v>
      </c>
      <c r="H442" s="9">
        <f>ведомство!K1846</f>
        <v>2.8690000000000002</v>
      </c>
      <c r="I442" s="9">
        <f t="shared" si="186"/>
        <v>43.397368022991991</v>
      </c>
      <c r="J442" s="9">
        <f t="shared" si="187"/>
        <v>79.58391123439668</v>
      </c>
    </row>
    <row r="443" spans="1:10">
      <c r="A443" s="8" t="s">
        <v>68</v>
      </c>
      <c r="B443" s="1" t="s">
        <v>815</v>
      </c>
      <c r="C443" s="1" t="s">
        <v>69</v>
      </c>
      <c r="D443" s="9">
        <v>405.6</v>
      </c>
      <c r="E443" s="9">
        <f>E444</f>
        <v>405.56700000000001</v>
      </c>
      <c r="F443" s="9">
        <f t="shared" ref="F443:H443" si="213">F444</f>
        <v>246</v>
      </c>
      <c r="G443" s="9">
        <f t="shared" si="213"/>
        <v>226.31299999999999</v>
      </c>
      <c r="H443" s="9">
        <f t="shared" si="213"/>
        <v>222.66349</v>
      </c>
      <c r="I443" s="9">
        <f t="shared" si="186"/>
        <v>54.901777018347154</v>
      </c>
      <c r="J443" s="9">
        <f t="shared" si="187"/>
        <v>90.513613821138208</v>
      </c>
    </row>
    <row r="444" spans="1:10" ht="25.5">
      <c r="A444" s="8" t="s">
        <v>151</v>
      </c>
      <c r="B444" s="1" t="s">
        <v>815</v>
      </c>
      <c r="C444" s="1" t="s">
        <v>152</v>
      </c>
      <c r="D444" s="9">
        <v>405.6</v>
      </c>
      <c r="E444" s="9">
        <f>ведомство!H1848</f>
        <v>405.56700000000001</v>
      </c>
      <c r="F444" s="9">
        <f>ведомство!I1848</f>
        <v>246</v>
      </c>
      <c r="G444" s="9">
        <f>ведомство!J1848</f>
        <v>226.31299999999999</v>
      </c>
      <c r="H444" s="9">
        <f>ведомство!K1848</f>
        <v>222.66349</v>
      </c>
      <c r="I444" s="9">
        <f t="shared" si="186"/>
        <v>54.901777018347154</v>
      </c>
      <c r="J444" s="9">
        <f t="shared" si="187"/>
        <v>90.513613821138208</v>
      </c>
    </row>
    <row r="445" spans="1:10" ht="25.5">
      <c r="A445" s="8" t="s">
        <v>816</v>
      </c>
      <c r="B445" s="1" t="s">
        <v>817</v>
      </c>
      <c r="C445" s="1" t="s">
        <v>0</v>
      </c>
      <c r="D445" s="9">
        <v>44237.2</v>
      </c>
      <c r="E445" s="9">
        <f>E446+E448</f>
        <v>44237.218000000001</v>
      </c>
      <c r="F445" s="9">
        <f t="shared" ref="F445:H445" si="214">F446+F448</f>
        <v>30534.566999999999</v>
      </c>
      <c r="G445" s="9">
        <f t="shared" si="214"/>
        <v>30525.900999999998</v>
      </c>
      <c r="H445" s="9">
        <f t="shared" si="214"/>
        <v>30468.286939999998</v>
      </c>
      <c r="I445" s="9">
        <f t="shared" si="186"/>
        <v>68.87478082369465</v>
      </c>
      <c r="J445" s="9">
        <f t="shared" si="187"/>
        <v>99.782934337991421</v>
      </c>
    </row>
    <row r="446" spans="1:10" ht="25.5">
      <c r="A446" s="8" t="s">
        <v>64</v>
      </c>
      <c r="B446" s="1" t="s">
        <v>817</v>
      </c>
      <c r="C446" s="1" t="s">
        <v>65</v>
      </c>
      <c r="D446" s="9">
        <v>709.5</v>
      </c>
      <c r="E446" s="9">
        <f>E447</f>
        <v>709.50199999999995</v>
      </c>
      <c r="F446" s="9">
        <f t="shared" ref="F446:H446" si="215">F447</f>
        <v>370</v>
      </c>
      <c r="G446" s="9">
        <f t="shared" si="215"/>
        <v>361.334</v>
      </c>
      <c r="H446" s="9">
        <f t="shared" si="215"/>
        <v>352.4187</v>
      </c>
      <c r="I446" s="9">
        <f t="shared" si="186"/>
        <v>49.671276472793593</v>
      </c>
      <c r="J446" s="9">
        <f t="shared" si="187"/>
        <v>95.248297297297299</v>
      </c>
    </row>
    <row r="447" spans="1:10" ht="25.5">
      <c r="A447" s="8" t="s">
        <v>66</v>
      </c>
      <c r="B447" s="1" t="s">
        <v>817</v>
      </c>
      <c r="C447" s="1" t="s">
        <v>67</v>
      </c>
      <c r="D447" s="9">
        <v>709.5</v>
      </c>
      <c r="E447" s="9">
        <f>ведомство!H1851</f>
        <v>709.50199999999995</v>
      </c>
      <c r="F447" s="9">
        <f>ведомство!I1851</f>
        <v>370</v>
      </c>
      <c r="G447" s="9">
        <f>ведомство!J1851</f>
        <v>361.334</v>
      </c>
      <c r="H447" s="9">
        <f>ведомство!K1851</f>
        <v>352.4187</v>
      </c>
      <c r="I447" s="9">
        <f t="shared" si="186"/>
        <v>49.671276472793593</v>
      </c>
      <c r="J447" s="9">
        <f t="shared" si="187"/>
        <v>95.248297297297299</v>
      </c>
    </row>
    <row r="448" spans="1:10">
      <c r="A448" s="8" t="s">
        <v>68</v>
      </c>
      <c r="B448" s="1" t="s">
        <v>817</v>
      </c>
      <c r="C448" s="1" t="s">
        <v>69</v>
      </c>
      <c r="D448" s="9">
        <v>43527.7</v>
      </c>
      <c r="E448" s="9">
        <f>E449</f>
        <v>43527.716</v>
      </c>
      <c r="F448" s="9">
        <f t="shared" ref="F448:H448" si="216">F449</f>
        <v>30164.566999999999</v>
      </c>
      <c r="G448" s="9">
        <f t="shared" si="216"/>
        <v>30164.566999999999</v>
      </c>
      <c r="H448" s="9">
        <f t="shared" si="216"/>
        <v>30115.86824</v>
      </c>
      <c r="I448" s="9">
        <f t="shared" si="186"/>
        <v>69.187798045732521</v>
      </c>
      <c r="J448" s="9">
        <f t="shared" si="187"/>
        <v>99.838556409578175</v>
      </c>
    </row>
    <row r="449" spans="1:10" ht="25.5">
      <c r="A449" s="8" t="s">
        <v>151</v>
      </c>
      <c r="B449" s="1" t="s">
        <v>817</v>
      </c>
      <c r="C449" s="1" t="s">
        <v>152</v>
      </c>
      <c r="D449" s="9">
        <v>43527.7</v>
      </c>
      <c r="E449" s="9">
        <f>ведомство!H1853</f>
        <v>43527.716</v>
      </c>
      <c r="F449" s="9">
        <f>ведомство!I1853</f>
        <v>30164.566999999999</v>
      </c>
      <c r="G449" s="9">
        <f>ведомство!J1853</f>
        <v>30164.566999999999</v>
      </c>
      <c r="H449" s="9">
        <f>ведомство!K1853</f>
        <v>30115.86824</v>
      </c>
      <c r="I449" s="9">
        <f t="shared" si="186"/>
        <v>69.187798045732521</v>
      </c>
      <c r="J449" s="9">
        <f t="shared" si="187"/>
        <v>99.838556409578175</v>
      </c>
    </row>
    <row r="450" spans="1:10">
      <c r="A450" s="8" t="s">
        <v>818</v>
      </c>
      <c r="B450" s="1" t="s">
        <v>819</v>
      </c>
      <c r="C450" s="1" t="s">
        <v>0</v>
      </c>
      <c r="D450" s="9">
        <v>48765.599999999999</v>
      </c>
      <c r="E450" s="9">
        <f>E451+E453</f>
        <v>48765.614000000001</v>
      </c>
      <c r="F450" s="9">
        <f t="shared" ref="F450:H450" si="217">F451+F453</f>
        <v>22324.700000000004</v>
      </c>
      <c r="G450" s="9">
        <f t="shared" si="217"/>
        <v>22308.9</v>
      </c>
      <c r="H450" s="9">
        <f t="shared" si="217"/>
        <v>22259.73893</v>
      </c>
      <c r="I450" s="9">
        <f t="shared" si="186"/>
        <v>45.646382982074215</v>
      </c>
      <c r="J450" s="9">
        <f t="shared" si="187"/>
        <v>99.709017052860716</v>
      </c>
    </row>
    <row r="451" spans="1:10" ht="25.5">
      <c r="A451" s="8" t="s">
        <v>64</v>
      </c>
      <c r="B451" s="1" t="s">
        <v>819</v>
      </c>
      <c r="C451" s="1" t="s">
        <v>65</v>
      </c>
      <c r="D451" s="9">
        <v>571.20000000000005</v>
      </c>
      <c r="E451" s="9">
        <f>E452</f>
        <v>571.21400000000006</v>
      </c>
      <c r="F451" s="9">
        <f t="shared" ref="F451:H451" si="218">F452</f>
        <v>259.89999999999998</v>
      </c>
      <c r="G451" s="9">
        <f t="shared" si="218"/>
        <v>244.1</v>
      </c>
      <c r="H451" s="9">
        <f t="shared" si="218"/>
        <v>239.10769999999999</v>
      </c>
      <c r="I451" s="9">
        <f t="shared" si="186"/>
        <v>41.859565766945487</v>
      </c>
      <c r="J451" s="9">
        <f t="shared" si="187"/>
        <v>91.99988457098884</v>
      </c>
    </row>
    <row r="452" spans="1:10" ht="25.5">
      <c r="A452" s="8" t="s">
        <v>66</v>
      </c>
      <c r="B452" s="1" t="s">
        <v>819</v>
      </c>
      <c r="C452" s="1" t="s">
        <v>67</v>
      </c>
      <c r="D452" s="9">
        <v>571.20000000000005</v>
      </c>
      <c r="E452" s="9">
        <f>ведомство!H1856</f>
        <v>571.21400000000006</v>
      </c>
      <c r="F452" s="9">
        <f>ведомство!I1856</f>
        <v>259.89999999999998</v>
      </c>
      <c r="G452" s="9">
        <f>ведомство!J1856</f>
        <v>244.1</v>
      </c>
      <c r="H452" s="9">
        <f>ведомство!K1856</f>
        <v>239.10769999999999</v>
      </c>
      <c r="I452" s="9">
        <f t="shared" si="186"/>
        <v>41.859565766945487</v>
      </c>
      <c r="J452" s="9">
        <f t="shared" si="187"/>
        <v>91.99988457098884</v>
      </c>
    </row>
    <row r="453" spans="1:10">
      <c r="A453" s="8" t="s">
        <v>68</v>
      </c>
      <c r="B453" s="1" t="s">
        <v>819</v>
      </c>
      <c r="C453" s="1" t="s">
        <v>69</v>
      </c>
      <c r="D453" s="9">
        <v>48194.400000000001</v>
      </c>
      <c r="E453" s="9">
        <f>E454</f>
        <v>48194.400000000001</v>
      </c>
      <c r="F453" s="9">
        <f t="shared" ref="F453:H453" si="219">F454</f>
        <v>22064.800000000003</v>
      </c>
      <c r="G453" s="9">
        <f t="shared" si="219"/>
        <v>22064.800000000003</v>
      </c>
      <c r="H453" s="9">
        <f t="shared" si="219"/>
        <v>22020.631229999999</v>
      </c>
      <c r="I453" s="9">
        <f t="shared" si="186"/>
        <v>45.691265437478215</v>
      </c>
      <c r="J453" s="9">
        <f t="shared" si="187"/>
        <v>99.799822477430098</v>
      </c>
    </row>
    <row r="454" spans="1:10" ht="25.5">
      <c r="A454" s="8" t="s">
        <v>151</v>
      </c>
      <c r="B454" s="1" t="s">
        <v>819</v>
      </c>
      <c r="C454" s="1" t="s">
        <v>152</v>
      </c>
      <c r="D454" s="9">
        <v>48194.400000000001</v>
      </c>
      <c r="E454" s="9">
        <f>ведомство!H1858</f>
        <v>48194.400000000001</v>
      </c>
      <c r="F454" s="9">
        <f>ведомство!I1858</f>
        <v>22064.800000000003</v>
      </c>
      <c r="G454" s="9">
        <f>ведомство!J1858</f>
        <v>22064.800000000003</v>
      </c>
      <c r="H454" s="9">
        <f>ведомство!K1858</f>
        <v>22020.631229999999</v>
      </c>
      <c r="I454" s="9">
        <f t="shared" si="186"/>
        <v>45.691265437478215</v>
      </c>
      <c r="J454" s="9">
        <f t="shared" si="187"/>
        <v>99.799822477430098</v>
      </c>
    </row>
    <row r="455" spans="1:10">
      <c r="A455" s="8" t="s">
        <v>870</v>
      </c>
      <c r="B455" s="1" t="s">
        <v>871</v>
      </c>
      <c r="C455" s="1" t="s">
        <v>0</v>
      </c>
      <c r="D455" s="9">
        <v>203833.2</v>
      </c>
      <c r="E455" s="9">
        <f>E456+E458</f>
        <v>203833.17800000001</v>
      </c>
      <c r="F455" s="9">
        <f t="shared" ref="F455:H455" si="220">F456+F458</f>
        <v>99736.365000000005</v>
      </c>
      <c r="G455" s="9">
        <f t="shared" si="220"/>
        <v>99736.365000000005</v>
      </c>
      <c r="H455" s="9">
        <f t="shared" si="220"/>
        <v>99368.425719999999</v>
      </c>
      <c r="I455" s="9">
        <f t="shared" si="186"/>
        <v>48.749878059596355</v>
      </c>
      <c r="J455" s="9">
        <f t="shared" si="187"/>
        <v>99.631088139215819</v>
      </c>
    </row>
    <row r="456" spans="1:10" ht="25.5">
      <c r="A456" s="8" t="s">
        <v>64</v>
      </c>
      <c r="B456" s="1" t="s">
        <v>871</v>
      </c>
      <c r="C456" s="1" t="s">
        <v>65</v>
      </c>
      <c r="D456" s="9">
        <v>2691.3</v>
      </c>
      <c r="E456" s="9">
        <f>E457</f>
        <v>2691.277</v>
      </c>
      <c r="F456" s="9">
        <f t="shared" ref="F456:H456" si="221">F457</f>
        <v>1206.778</v>
      </c>
      <c r="G456" s="9">
        <f t="shared" si="221"/>
        <v>1206.778</v>
      </c>
      <c r="H456" s="9">
        <f t="shared" si="221"/>
        <v>1196.6827699999999</v>
      </c>
      <c r="I456" s="9">
        <f t="shared" si="186"/>
        <v>44.465239735634789</v>
      </c>
      <c r="J456" s="9">
        <f t="shared" si="187"/>
        <v>99.163455913183682</v>
      </c>
    </row>
    <row r="457" spans="1:10" ht="25.5">
      <c r="A457" s="8" t="s">
        <v>66</v>
      </c>
      <c r="B457" s="1" t="s">
        <v>871</v>
      </c>
      <c r="C457" s="1" t="s">
        <v>67</v>
      </c>
      <c r="D457" s="9">
        <v>2691.3</v>
      </c>
      <c r="E457" s="9">
        <f>ведомство!H1980</f>
        <v>2691.277</v>
      </c>
      <c r="F457" s="9">
        <f>ведомство!I1980</f>
        <v>1206.778</v>
      </c>
      <c r="G457" s="9">
        <f>ведомство!J1980</f>
        <v>1206.778</v>
      </c>
      <c r="H457" s="9">
        <f>ведомство!K1980</f>
        <v>1196.6827699999999</v>
      </c>
      <c r="I457" s="9">
        <f t="shared" si="186"/>
        <v>44.465239735634789</v>
      </c>
      <c r="J457" s="9">
        <f t="shared" si="187"/>
        <v>99.163455913183682</v>
      </c>
    </row>
    <row r="458" spans="1:10">
      <c r="A458" s="8" t="s">
        <v>68</v>
      </c>
      <c r="B458" s="1" t="s">
        <v>871</v>
      </c>
      <c r="C458" s="1" t="s">
        <v>69</v>
      </c>
      <c r="D458" s="9">
        <v>201141.9</v>
      </c>
      <c r="E458" s="9">
        <f>E459</f>
        <v>201141.90100000001</v>
      </c>
      <c r="F458" s="9">
        <f t="shared" ref="F458:H458" si="222">F459</f>
        <v>98529.587</v>
      </c>
      <c r="G458" s="9">
        <f t="shared" si="222"/>
        <v>98529.587</v>
      </c>
      <c r="H458" s="9">
        <f t="shared" si="222"/>
        <v>98171.74295</v>
      </c>
      <c r="I458" s="9">
        <f t="shared" si="186"/>
        <v>48.807206485534806</v>
      </c>
      <c r="J458" s="9">
        <f t="shared" si="187"/>
        <v>99.636815639955941</v>
      </c>
    </row>
    <row r="459" spans="1:10">
      <c r="A459" s="8" t="s">
        <v>463</v>
      </c>
      <c r="B459" s="1" t="s">
        <v>871</v>
      </c>
      <c r="C459" s="1" t="s">
        <v>464</v>
      </c>
      <c r="D459" s="9">
        <v>201141.9</v>
      </c>
      <c r="E459" s="9">
        <f>ведомство!H1982</f>
        <v>201141.90100000001</v>
      </c>
      <c r="F459" s="9">
        <f>ведомство!I1982</f>
        <v>98529.587</v>
      </c>
      <c r="G459" s="9">
        <f>ведомство!J1982</f>
        <v>98529.587</v>
      </c>
      <c r="H459" s="9">
        <f>ведомство!K1982</f>
        <v>98171.74295</v>
      </c>
      <c r="I459" s="9">
        <f t="shared" si="186"/>
        <v>48.807206485534806</v>
      </c>
      <c r="J459" s="9">
        <f t="shared" si="187"/>
        <v>99.636815639955941</v>
      </c>
    </row>
    <row r="460" spans="1:10">
      <c r="A460" s="8" t="s">
        <v>820</v>
      </c>
      <c r="B460" s="1" t="s">
        <v>821</v>
      </c>
      <c r="C460" s="1" t="s">
        <v>0</v>
      </c>
      <c r="D460" s="9">
        <v>1479413.2</v>
      </c>
      <c r="E460" s="9">
        <f>E461+E463</f>
        <v>1479413.223</v>
      </c>
      <c r="F460" s="9">
        <f t="shared" ref="F460:H460" si="223">F461+F463</f>
        <v>759028.72311999998</v>
      </c>
      <c r="G460" s="9">
        <f t="shared" si="223"/>
        <v>759028.72311999998</v>
      </c>
      <c r="H460" s="9">
        <f t="shared" si="223"/>
        <v>758975.89036000008</v>
      </c>
      <c r="I460" s="9">
        <f t="shared" si="186"/>
        <v>51.302494702658208</v>
      </c>
      <c r="J460" s="9">
        <f t="shared" si="187"/>
        <v>99.993039425466961</v>
      </c>
    </row>
    <row r="461" spans="1:10" ht="25.5">
      <c r="A461" s="8" t="s">
        <v>64</v>
      </c>
      <c r="B461" s="1" t="s">
        <v>821</v>
      </c>
      <c r="C461" s="1" t="s">
        <v>65</v>
      </c>
      <c r="D461" s="9">
        <v>20651</v>
      </c>
      <c r="E461" s="9">
        <f>E462</f>
        <v>20650.983</v>
      </c>
      <c r="F461" s="9">
        <f t="shared" ref="F461:H461" si="224">F462</f>
        <v>10561.84303</v>
      </c>
      <c r="G461" s="9">
        <f t="shared" si="224"/>
        <v>10561.84303</v>
      </c>
      <c r="H461" s="9">
        <f t="shared" si="224"/>
        <v>10561.47394</v>
      </c>
      <c r="I461" s="9">
        <f t="shared" ref="I461:I524" si="225">H461/E461*100</f>
        <v>51.142717709854288</v>
      </c>
      <c r="J461" s="9">
        <f t="shared" ref="J461:J524" si="226">H461/F461*100</f>
        <v>99.996505439448853</v>
      </c>
    </row>
    <row r="462" spans="1:10" ht="25.5">
      <c r="A462" s="8" t="s">
        <v>66</v>
      </c>
      <c r="B462" s="1" t="s">
        <v>821</v>
      </c>
      <c r="C462" s="1" t="s">
        <v>67</v>
      </c>
      <c r="D462" s="9">
        <v>20651</v>
      </c>
      <c r="E462" s="9">
        <f>ведомство!H1861</f>
        <v>20650.983</v>
      </c>
      <c r="F462" s="9">
        <f>ведомство!I1861</f>
        <v>10561.84303</v>
      </c>
      <c r="G462" s="9">
        <f>ведомство!J1861</f>
        <v>10561.84303</v>
      </c>
      <c r="H462" s="9">
        <f>ведомство!K1861</f>
        <v>10561.47394</v>
      </c>
      <c r="I462" s="9">
        <f t="shared" si="225"/>
        <v>51.142717709854288</v>
      </c>
      <c r="J462" s="9">
        <f t="shared" si="226"/>
        <v>99.996505439448853</v>
      </c>
    </row>
    <row r="463" spans="1:10">
      <c r="A463" s="8" t="s">
        <v>68</v>
      </c>
      <c r="B463" s="1" t="s">
        <v>821</v>
      </c>
      <c r="C463" s="1" t="s">
        <v>69</v>
      </c>
      <c r="D463" s="9">
        <v>1458762.2</v>
      </c>
      <c r="E463" s="9">
        <f>E464</f>
        <v>1458762.24</v>
      </c>
      <c r="F463" s="9">
        <f t="shared" ref="F463:H463" si="227">F464</f>
        <v>748466.88008999999</v>
      </c>
      <c r="G463" s="9">
        <f t="shared" si="227"/>
        <v>748466.88008999999</v>
      </c>
      <c r="H463" s="9">
        <f t="shared" si="227"/>
        <v>748414.41642000002</v>
      </c>
      <c r="I463" s="9">
        <f t="shared" si="225"/>
        <v>51.304756587338041</v>
      </c>
      <c r="J463" s="9">
        <f t="shared" si="226"/>
        <v>99.992990515492991</v>
      </c>
    </row>
    <row r="464" spans="1:10">
      <c r="A464" s="8" t="s">
        <v>463</v>
      </c>
      <c r="B464" s="1" t="s">
        <v>821</v>
      </c>
      <c r="C464" s="1" t="s">
        <v>464</v>
      </c>
      <c r="D464" s="9">
        <v>1458762.2</v>
      </c>
      <c r="E464" s="9">
        <f>ведомство!H1863</f>
        <v>1458762.24</v>
      </c>
      <c r="F464" s="9">
        <f>ведомство!I1863</f>
        <v>748466.88008999999</v>
      </c>
      <c r="G464" s="9">
        <f>ведомство!J1863</f>
        <v>748466.88008999999</v>
      </c>
      <c r="H464" s="9">
        <f>ведомство!K1863</f>
        <v>748414.41642000002</v>
      </c>
      <c r="I464" s="9">
        <f t="shared" si="225"/>
        <v>51.304756587338041</v>
      </c>
      <c r="J464" s="9">
        <f t="shared" si="226"/>
        <v>99.992990515492991</v>
      </c>
    </row>
    <row r="465" spans="1:10">
      <c r="A465" s="8" t="s">
        <v>822</v>
      </c>
      <c r="B465" s="1" t="s">
        <v>823</v>
      </c>
      <c r="C465" s="1" t="s">
        <v>0</v>
      </c>
      <c r="D465" s="9">
        <v>267</v>
      </c>
      <c r="E465" s="9">
        <f>E466+E468</f>
        <v>267.02199999999999</v>
      </c>
      <c r="F465" s="9">
        <f t="shared" ref="F465:H465" si="228">F466+F468</f>
        <v>122.1</v>
      </c>
      <c r="G465" s="9">
        <f t="shared" si="228"/>
        <v>110.54900000000001</v>
      </c>
      <c r="H465" s="9">
        <f t="shared" si="228"/>
        <v>107.54863</v>
      </c>
      <c r="I465" s="9">
        <f t="shared" si="225"/>
        <v>40.277067058145022</v>
      </c>
      <c r="J465" s="9">
        <f t="shared" si="226"/>
        <v>88.08241605241605</v>
      </c>
    </row>
    <row r="466" spans="1:10" ht="25.5">
      <c r="A466" s="8" t="s">
        <v>64</v>
      </c>
      <c r="B466" s="1" t="s">
        <v>823</v>
      </c>
      <c r="C466" s="1" t="s">
        <v>65</v>
      </c>
      <c r="D466" s="9">
        <v>4.4000000000000004</v>
      </c>
      <c r="E466" s="9">
        <f>E467</f>
        <v>4.3780000000000001</v>
      </c>
      <c r="F466" s="9">
        <f t="shared" ref="F466:H466" si="229">F467</f>
        <v>2.1</v>
      </c>
      <c r="G466" s="9">
        <f t="shared" si="229"/>
        <v>1.7569999999999999</v>
      </c>
      <c r="H466" s="9">
        <f t="shared" si="229"/>
        <v>1.7566299999999999</v>
      </c>
      <c r="I466" s="9">
        <f t="shared" si="225"/>
        <v>40.124029237094561</v>
      </c>
      <c r="J466" s="9">
        <f t="shared" si="226"/>
        <v>83.649047619047607</v>
      </c>
    </row>
    <row r="467" spans="1:10" ht="25.5">
      <c r="A467" s="8" t="s">
        <v>66</v>
      </c>
      <c r="B467" s="1" t="s">
        <v>823</v>
      </c>
      <c r="C467" s="1" t="s">
        <v>67</v>
      </c>
      <c r="D467" s="9">
        <v>4.4000000000000004</v>
      </c>
      <c r="E467" s="9">
        <f>ведомство!H1866</f>
        <v>4.3780000000000001</v>
      </c>
      <c r="F467" s="9">
        <f>ведомство!I1866</f>
        <v>2.1</v>
      </c>
      <c r="G467" s="9">
        <f>ведомство!J1866</f>
        <v>1.7569999999999999</v>
      </c>
      <c r="H467" s="9">
        <f>ведомство!K1866</f>
        <v>1.7566299999999999</v>
      </c>
      <c r="I467" s="9">
        <f t="shared" si="225"/>
        <v>40.124029237094561</v>
      </c>
      <c r="J467" s="9">
        <f t="shared" si="226"/>
        <v>83.649047619047607</v>
      </c>
    </row>
    <row r="468" spans="1:10">
      <c r="A468" s="8" t="s">
        <v>68</v>
      </c>
      <c r="B468" s="1" t="s">
        <v>823</v>
      </c>
      <c r="C468" s="1" t="s">
        <v>69</v>
      </c>
      <c r="D468" s="9">
        <v>262.60000000000002</v>
      </c>
      <c r="E468" s="9">
        <f>E469</f>
        <v>262.64400000000001</v>
      </c>
      <c r="F468" s="9">
        <f t="shared" ref="F468:H468" si="230">F469</f>
        <v>120</v>
      </c>
      <c r="G468" s="9">
        <f t="shared" si="230"/>
        <v>108.792</v>
      </c>
      <c r="H468" s="9">
        <f t="shared" si="230"/>
        <v>105.792</v>
      </c>
      <c r="I468" s="9">
        <f t="shared" si="225"/>
        <v>40.279618038104807</v>
      </c>
      <c r="J468" s="9">
        <f t="shared" si="226"/>
        <v>88.160000000000011</v>
      </c>
    </row>
    <row r="469" spans="1:10">
      <c r="A469" s="8" t="s">
        <v>463</v>
      </c>
      <c r="B469" s="1" t="s">
        <v>823</v>
      </c>
      <c r="C469" s="1" t="s">
        <v>464</v>
      </c>
      <c r="D469" s="9">
        <v>262.60000000000002</v>
      </c>
      <c r="E469" s="9">
        <f>ведомство!H1868</f>
        <v>262.64400000000001</v>
      </c>
      <c r="F469" s="9">
        <f>ведомство!I1868</f>
        <v>120</v>
      </c>
      <c r="G469" s="9">
        <f>ведомство!J1868</f>
        <v>108.792</v>
      </c>
      <c r="H469" s="9">
        <f>ведомство!K1868</f>
        <v>105.792</v>
      </c>
      <c r="I469" s="9">
        <f t="shared" si="225"/>
        <v>40.279618038104807</v>
      </c>
      <c r="J469" s="9">
        <f t="shared" si="226"/>
        <v>88.160000000000011</v>
      </c>
    </row>
    <row r="470" spans="1:10" ht="25.5">
      <c r="A470" s="8" t="s">
        <v>824</v>
      </c>
      <c r="B470" s="1" t="s">
        <v>825</v>
      </c>
      <c r="C470" s="1" t="s">
        <v>0</v>
      </c>
      <c r="D470" s="9">
        <v>11232.4</v>
      </c>
      <c r="E470" s="9">
        <f>E471+E473</f>
        <v>11232.387000000001</v>
      </c>
      <c r="F470" s="9">
        <f t="shared" ref="F470:H470" si="231">F471+F473</f>
        <v>5625.8506400000006</v>
      </c>
      <c r="G470" s="9">
        <f t="shared" si="231"/>
        <v>5625.8506400000006</v>
      </c>
      <c r="H470" s="9">
        <f t="shared" si="231"/>
        <v>5625.3941000000004</v>
      </c>
      <c r="I470" s="9">
        <f t="shared" si="225"/>
        <v>50.081911351523054</v>
      </c>
      <c r="J470" s="9">
        <f t="shared" si="226"/>
        <v>99.991884960529276</v>
      </c>
    </row>
    <row r="471" spans="1:10" ht="25.5">
      <c r="A471" s="8" t="s">
        <v>64</v>
      </c>
      <c r="B471" s="1" t="s">
        <v>825</v>
      </c>
      <c r="C471" s="1" t="s">
        <v>65</v>
      </c>
      <c r="D471" s="9">
        <v>173.2</v>
      </c>
      <c r="E471" s="9">
        <f>E472</f>
        <v>173.18700000000001</v>
      </c>
      <c r="F471" s="9">
        <f t="shared" ref="F471:H471" si="232">F472</f>
        <v>85.67313</v>
      </c>
      <c r="G471" s="9">
        <f t="shared" si="232"/>
        <v>85.67313</v>
      </c>
      <c r="H471" s="9">
        <f t="shared" si="232"/>
        <v>85.67313</v>
      </c>
      <c r="I471" s="9">
        <f t="shared" si="225"/>
        <v>49.468568657000809</v>
      </c>
      <c r="J471" s="9">
        <f t="shared" si="226"/>
        <v>100</v>
      </c>
    </row>
    <row r="472" spans="1:10" ht="25.5">
      <c r="A472" s="8" t="s">
        <v>66</v>
      </c>
      <c r="B472" s="1" t="s">
        <v>825</v>
      </c>
      <c r="C472" s="1" t="s">
        <v>67</v>
      </c>
      <c r="D472" s="9">
        <v>173.2</v>
      </c>
      <c r="E472" s="9">
        <f>ведомство!H1871</f>
        <v>173.18700000000001</v>
      </c>
      <c r="F472" s="9">
        <f>ведомство!I1871</f>
        <v>85.67313</v>
      </c>
      <c r="G472" s="9">
        <f>ведомство!J1871</f>
        <v>85.67313</v>
      </c>
      <c r="H472" s="9">
        <f>ведомство!K1871</f>
        <v>85.67313</v>
      </c>
      <c r="I472" s="9">
        <f t="shared" si="225"/>
        <v>49.468568657000809</v>
      </c>
      <c r="J472" s="9">
        <f t="shared" si="226"/>
        <v>100</v>
      </c>
    </row>
    <row r="473" spans="1:10">
      <c r="A473" s="8" t="s">
        <v>68</v>
      </c>
      <c r="B473" s="1" t="s">
        <v>825</v>
      </c>
      <c r="C473" s="1" t="s">
        <v>69</v>
      </c>
      <c r="D473" s="9">
        <v>11059.2</v>
      </c>
      <c r="E473" s="9">
        <f>E474</f>
        <v>11059.2</v>
      </c>
      <c r="F473" s="9">
        <f t="shared" ref="F473:H473" si="233">F474</f>
        <v>5540.1775100000004</v>
      </c>
      <c r="G473" s="9">
        <f t="shared" si="233"/>
        <v>5540.1775100000004</v>
      </c>
      <c r="H473" s="9">
        <f t="shared" si="233"/>
        <v>5539.7209700000003</v>
      </c>
      <c r="I473" s="9">
        <f t="shared" si="225"/>
        <v>50.091516294126158</v>
      </c>
      <c r="J473" s="9">
        <f t="shared" si="226"/>
        <v>99.99175946981525</v>
      </c>
    </row>
    <row r="474" spans="1:10">
      <c r="A474" s="8" t="s">
        <v>463</v>
      </c>
      <c r="B474" s="1" t="s">
        <v>825</v>
      </c>
      <c r="C474" s="1" t="s">
        <v>464</v>
      </c>
      <c r="D474" s="9">
        <v>11059.2</v>
      </c>
      <c r="E474" s="9">
        <f>ведомство!H1873</f>
        <v>11059.2</v>
      </c>
      <c r="F474" s="9">
        <f>ведомство!I1873</f>
        <v>5540.1775100000004</v>
      </c>
      <c r="G474" s="9">
        <f>ведомство!J1873</f>
        <v>5540.1775100000004</v>
      </c>
      <c r="H474" s="9">
        <f>ведомство!K1873</f>
        <v>5539.7209700000003</v>
      </c>
      <c r="I474" s="9">
        <f t="shared" si="225"/>
        <v>50.091516294126158</v>
      </c>
      <c r="J474" s="9">
        <f t="shared" si="226"/>
        <v>99.99175946981525</v>
      </c>
    </row>
    <row r="475" spans="1:10" ht="25.5">
      <c r="A475" s="8" t="s">
        <v>872</v>
      </c>
      <c r="B475" s="1" t="s">
        <v>873</v>
      </c>
      <c r="C475" s="1" t="s">
        <v>0</v>
      </c>
      <c r="D475" s="9">
        <v>166698.6</v>
      </c>
      <c r="E475" s="9">
        <f>E476+E478</f>
        <v>166698.61600000001</v>
      </c>
      <c r="F475" s="9">
        <f t="shared" ref="F475:H475" si="234">F476+F478</f>
        <v>124782.433</v>
      </c>
      <c r="G475" s="9">
        <f t="shared" si="234"/>
        <v>124782.433</v>
      </c>
      <c r="H475" s="9">
        <f t="shared" si="234"/>
        <v>124717.54943</v>
      </c>
      <c r="I475" s="9">
        <f t="shared" si="225"/>
        <v>74.816187694083794</v>
      </c>
      <c r="J475" s="9">
        <f t="shared" si="226"/>
        <v>99.948002640724269</v>
      </c>
    </row>
    <row r="476" spans="1:10" ht="25.5">
      <c r="A476" s="8" t="s">
        <v>64</v>
      </c>
      <c r="B476" s="1" t="s">
        <v>873</v>
      </c>
      <c r="C476" s="1" t="s">
        <v>65</v>
      </c>
      <c r="D476" s="9">
        <v>1918.6</v>
      </c>
      <c r="E476" s="9">
        <f>E477</f>
        <v>1918.616</v>
      </c>
      <c r="F476" s="9">
        <f t="shared" ref="F476:H476" si="235">F477</f>
        <v>1380.2080000000001</v>
      </c>
      <c r="G476" s="9">
        <f t="shared" si="235"/>
        <v>1380.2080000000001</v>
      </c>
      <c r="H476" s="9">
        <f t="shared" si="235"/>
        <v>1353.6471300000001</v>
      </c>
      <c r="I476" s="9">
        <f t="shared" si="225"/>
        <v>70.553311866470409</v>
      </c>
      <c r="J476" s="9">
        <f t="shared" si="226"/>
        <v>98.075589331463092</v>
      </c>
    </row>
    <row r="477" spans="1:10" ht="25.5">
      <c r="A477" s="8" t="s">
        <v>66</v>
      </c>
      <c r="B477" s="1" t="s">
        <v>873</v>
      </c>
      <c r="C477" s="1" t="s">
        <v>67</v>
      </c>
      <c r="D477" s="9">
        <v>1918.6</v>
      </c>
      <c r="E477" s="9">
        <f>ведомство!H1985</f>
        <v>1918.616</v>
      </c>
      <c r="F477" s="9">
        <f>ведомство!I1985</f>
        <v>1380.2080000000001</v>
      </c>
      <c r="G477" s="9">
        <f>ведомство!J1985</f>
        <v>1380.2080000000001</v>
      </c>
      <c r="H477" s="9">
        <f>ведомство!K1985</f>
        <v>1353.6471300000001</v>
      </c>
      <c r="I477" s="9">
        <f t="shared" si="225"/>
        <v>70.553311866470409</v>
      </c>
      <c r="J477" s="9">
        <f t="shared" si="226"/>
        <v>98.075589331463092</v>
      </c>
    </row>
    <row r="478" spans="1:10">
      <c r="A478" s="8" t="s">
        <v>68</v>
      </c>
      <c r="B478" s="1" t="s">
        <v>873</v>
      </c>
      <c r="C478" s="1" t="s">
        <v>69</v>
      </c>
      <c r="D478" s="9">
        <v>164780</v>
      </c>
      <c r="E478" s="9">
        <f>E479</f>
        <v>164780</v>
      </c>
      <c r="F478" s="9">
        <f t="shared" ref="F478:H478" si="236">F479</f>
        <v>123402.22500000001</v>
      </c>
      <c r="G478" s="9">
        <f t="shared" si="236"/>
        <v>123402.22500000001</v>
      </c>
      <c r="H478" s="9">
        <f t="shared" si="236"/>
        <v>123363.9023</v>
      </c>
      <c r="I478" s="9">
        <f t="shared" si="225"/>
        <v>74.865822490593516</v>
      </c>
      <c r="J478" s="9">
        <f t="shared" si="226"/>
        <v>99.968944887338935</v>
      </c>
    </row>
    <row r="479" spans="1:10">
      <c r="A479" s="8" t="s">
        <v>463</v>
      </c>
      <c r="B479" s="1" t="s">
        <v>873</v>
      </c>
      <c r="C479" s="1" t="s">
        <v>464</v>
      </c>
      <c r="D479" s="9">
        <v>164780</v>
      </c>
      <c r="E479" s="9">
        <f>ведомство!H1987</f>
        <v>164780</v>
      </c>
      <c r="F479" s="9">
        <f>ведомство!I1987</f>
        <v>123402.22500000001</v>
      </c>
      <c r="G479" s="9">
        <f>ведомство!J1987</f>
        <v>123402.22500000001</v>
      </c>
      <c r="H479" s="9">
        <f>ведомство!K1987</f>
        <v>123363.9023</v>
      </c>
      <c r="I479" s="9">
        <f t="shared" si="225"/>
        <v>74.865822490593516</v>
      </c>
      <c r="J479" s="9">
        <f t="shared" si="226"/>
        <v>99.968944887338935</v>
      </c>
    </row>
    <row r="480" spans="1:10" ht="38.25">
      <c r="A480" s="8" t="s">
        <v>826</v>
      </c>
      <c r="B480" s="1" t="s">
        <v>827</v>
      </c>
      <c r="C480" s="1" t="s">
        <v>0</v>
      </c>
      <c r="D480" s="9">
        <v>60.4</v>
      </c>
      <c r="E480" s="9">
        <f>E481+E483</f>
        <v>60.367999999999995</v>
      </c>
      <c r="F480" s="9">
        <f t="shared" ref="F480:H480" si="237">F481+F483</f>
        <v>30.198</v>
      </c>
      <c r="G480" s="9">
        <f t="shared" si="237"/>
        <v>28.431999999999999</v>
      </c>
      <c r="H480" s="9">
        <f t="shared" si="237"/>
        <v>28.431090000000001</v>
      </c>
      <c r="I480" s="9">
        <f t="shared" si="225"/>
        <v>47.096292737874379</v>
      </c>
      <c r="J480" s="9">
        <f t="shared" si="226"/>
        <v>94.148917146830925</v>
      </c>
    </row>
    <row r="481" spans="1:10" ht="25.5">
      <c r="A481" s="8" t="s">
        <v>64</v>
      </c>
      <c r="B481" s="1" t="s">
        <v>827</v>
      </c>
      <c r="C481" s="1" t="s">
        <v>65</v>
      </c>
      <c r="D481" s="9">
        <v>1</v>
      </c>
      <c r="E481" s="9">
        <f>E482</f>
        <v>0.96799999999999997</v>
      </c>
      <c r="F481" s="9">
        <f t="shared" ref="F481:H481" si="238">F482</f>
        <v>0.498</v>
      </c>
      <c r="G481" s="9">
        <f t="shared" si="238"/>
        <v>0.38900000000000001</v>
      </c>
      <c r="H481" s="9">
        <f t="shared" si="238"/>
        <v>0.3881</v>
      </c>
      <c r="I481" s="9">
        <f t="shared" si="225"/>
        <v>40.09297520661157</v>
      </c>
      <c r="J481" s="9">
        <f t="shared" si="226"/>
        <v>77.931726907630534</v>
      </c>
    </row>
    <row r="482" spans="1:10" ht="25.5">
      <c r="A482" s="8" t="s">
        <v>66</v>
      </c>
      <c r="B482" s="1" t="s">
        <v>827</v>
      </c>
      <c r="C482" s="1" t="s">
        <v>67</v>
      </c>
      <c r="D482" s="9">
        <v>1</v>
      </c>
      <c r="E482" s="9">
        <f>ведомство!H1876</f>
        <v>0.96799999999999997</v>
      </c>
      <c r="F482" s="9">
        <f>ведомство!I1876</f>
        <v>0.498</v>
      </c>
      <c r="G482" s="9">
        <f>ведомство!J1876</f>
        <v>0.38900000000000001</v>
      </c>
      <c r="H482" s="9">
        <f>ведомство!K1876</f>
        <v>0.3881</v>
      </c>
      <c r="I482" s="9">
        <f t="shared" si="225"/>
        <v>40.09297520661157</v>
      </c>
      <c r="J482" s="9">
        <f t="shared" si="226"/>
        <v>77.931726907630534</v>
      </c>
    </row>
    <row r="483" spans="1:10">
      <c r="A483" s="8" t="s">
        <v>68</v>
      </c>
      <c r="B483" s="1" t="s">
        <v>827</v>
      </c>
      <c r="C483" s="1" t="s">
        <v>69</v>
      </c>
      <c r="D483" s="9">
        <v>59.4</v>
      </c>
      <c r="E483" s="9">
        <f>E484</f>
        <v>59.4</v>
      </c>
      <c r="F483" s="9">
        <f t="shared" ref="F483:H483" si="239">F484</f>
        <v>29.7</v>
      </c>
      <c r="G483" s="9">
        <f t="shared" si="239"/>
        <v>28.042999999999999</v>
      </c>
      <c r="H483" s="9">
        <f t="shared" si="239"/>
        <v>28.04299</v>
      </c>
      <c r="I483" s="9">
        <f t="shared" si="225"/>
        <v>47.21042087542088</v>
      </c>
      <c r="J483" s="9">
        <f t="shared" si="226"/>
        <v>94.42084175084176</v>
      </c>
    </row>
    <row r="484" spans="1:10">
      <c r="A484" s="8" t="s">
        <v>463</v>
      </c>
      <c r="B484" s="1" t="s">
        <v>827</v>
      </c>
      <c r="C484" s="1" t="s">
        <v>464</v>
      </c>
      <c r="D484" s="9">
        <v>59.4</v>
      </c>
      <c r="E484" s="9">
        <f>ведомство!H1878</f>
        <v>59.4</v>
      </c>
      <c r="F484" s="9">
        <f>ведомство!I1878</f>
        <v>29.7</v>
      </c>
      <c r="G484" s="9">
        <f>ведомство!J1878</f>
        <v>28.042999999999999</v>
      </c>
      <c r="H484" s="9">
        <f>ведомство!K1878</f>
        <v>28.04299</v>
      </c>
      <c r="I484" s="9">
        <f t="shared" si="225"/>
        <v>47.21042087542088</v>
      </c>
      <c r="J484" s="9">
        <f t="shared" si="226"/>
        <v>94.42084175084176</v>
      </c>
    </row>
    <row r="485" spans="1:10" ht="38.25">
      <c r="A485" s="8" t="s">
        <v>828</v>
      </c>
      <c r="B485" s="1" t="s">
        <v>829</v>
      </c>
      <c r="C485" s="1" t="s">
        <v>0</v>
      </c>
      <c r="D485" s="9">
        <v>1661.4</v>
      </c>
      <c r="E485" s="9">
        <f>E486+E488</f>
        <v>1661.402</v>
      </c>
      <c r="F485" s="9">
        <f t="shared" ref="F485:H485" si="240">F486+F488</f>
        <v>0</v>
      </c>
      <c r="G485" s="9">
        <f t="shared" si="240"/>
        <v>0</v>
      </c>
      <c r="H485" s="9">
        <f t="shared" si="240"/>
        <v>0</v>
      </c>
      <c r="I485" s="9">
        <f t="shared" si="225"/>
        <v>0</v>
      </c>
      <c r="J485" s="9">
        <v>0</v>
      </c>
    </row>
    <row r="486" spans="1:10" ht="25.5">
      <c r="A486" s="8" t="s">
        <v>64</v>
      </c>
      <c r="B486" s="1" t="s">
        <v>829</v>
      </c>
      <c r="C486" s="1" t="s">
        <v>65</v>
      </c>
      <c r="D486" s="9">
        <v>21.4</v>
      </c>
      <c r="E486" s="9">
        <f>E487</f>
        <v>21.402000000000001</v>
      </c>
      <c r="F486" s="9">
        <f t="shared" ref="F486:H486" si="241">F487</f>
        <v>0</v>
      </c>
      <c r="G486" s="9">
        <f t="shared" si="241"/>
        <v>0</v>
      </c>
      <c r="H486" s="9">
        <f t="shared" si="241"/>
        <v>0</v>
      </c>
      <c r="I486" s="9">
        <f t="shared" si="225"/>
        <v>0</v>
      </c>
      <c r="J486" s="9">
        <v>0</v>
      </c>
    </row>
    <row r="487" spans="1:10" ht="25.5">
      <c r="A487" s="8" t="s">
        <v>66</v>
      </c>
      <c r="B487" s="1" t="s">
        <v>829</v>
      </c>
      <c r="C487" s="1" t="s">
        <v>67</v>
      </c>
      <c r="D487" s="9">
        <v>21.4</v>
      </c>
      <c r="E487" s="9">
        <f>ведомство!H1881</f>
        <v>21.402000000000001</v>
      </c>
      <c r="F487" s="9">
        <f>ведомство!I1881</f>
        <v>0</v>
      </c>
      <c r="G487" s="9">
        <f>ведомство!J1881</f>
        <v>0</v>
      </c>
      <c r="H487" s="9">
        <f>ведомство!K1881</f>
        <v>0</v>
      </c>
      <c r="I487" s="9">
        <f t="shared" si="225"/>
        <v>0</v>
      </c>
      <c r="J487" s="9">
        <v>0</v>
      </c>
    </row>
    <row r="488" spans="1:10">
      <c r="A488" s="8" t="s">
        <v>68</v>
      </c>
      <c r="B488" s="1" t="s">
        <v>829</v>
      </c>
      <c r="C488" s="1" t="s">
        <v>69</v>
      </c>
      <c r="D488" s="9">
        <v>1640</v>
      </c>
      <c r="E488" s="9">
        <f>E489</f>
        <v>1640</v>
      </c>
      <c r="F488" s="9">
        <f t="shared" ref="F488:H488" si="242">F489</f>
        <v>0</v>
      </c>
      <c r="G488" s="9">
        <f t="shared" si="242"/>
        <v>0</v>
      </c>
      <c r="H488" s="9">
        <f t="shared" si="242"/>
        <v>0</v>
      </c>
      <c r="I488" s="9">
        <f t="shared" si="225"/>
        <v>0</v>
      </c>
      <c r="J488" s="9">
        <v>0</v>
      </c>
    </row>
    <row r="489" spans="1:10" ht="25.5">
      <c r="A489" s="8" t="s">
        <v>830</v>
      </c>
      <c r="B489" s="1" t="s">
        <v>829</v>
      </c>
      <c r="C489" s="1" t="s">
        <v>831</v>
      </c>
      <c r="D489" s="9">
        <v>1640</v>
      </c>
      <c r="E489" s="9">
        <f>ведомство!H1883</f>
        <v>1640</v>
      </c>
      <c r="F489" s="9">
        <f>ведомство!I1883</f>
        <v>0</v>
      </c>
      <c r="G489" s="9">
        <f>ведомство!J1883</f>
        <v>0</v>
      </c>
      <c r="H489" s="9">
        <f>ведомство!K1883</f>
        <v>0</v>
      </c>
      <c r="I489" s="9">
        <f t="shared" si="225"/>
        <v>0</v>
      </c>
      <c r="J489" s="9">
        <v>0</v>
      </c>
    </row>
    <row r="490" spans="1:10" ht="25.5">
      <c r="A490" s="8" t="s">
        <v>832</v>
      </c>
      <c r="B490" s="1" t="s">
        <v>833</v>
      </c>
      <c r="C490" s="1" t="s">
        <v>0</v>
      </c>
      <c r="D490" s="9">
        <v>291389</v>
      </c>
      <c r="E490" s="9">
        <f>E491+E493</f>
        <v>291388.951</v>
      </c>
      <c r="F490" s="9">
        <f t="shared" ref="F490:H490" si="243">F491+F493</f>
        <v>182749.49109999998</v>
      </c>
      <c r="G490" s="9">
        <f t="shared" si="243"/>
        <v>182749.49109999998</v>
      </c>
      <c r="H490" s="9">
        <f t="shared" si="243"/>
        <v>182731.39713</v>
      </c>
      <c r="I490" s="9">
        <f t="shared" si="225"/>
        <v>62.710475638453431</v>
      </c>
      <c r="J490" s="9">
        <f t="shared" si="226"/>
        <v>99.990099031252527</v>
      </c>
    </row>
    <row r="491" spans="1:10" ht="25.5">
      <c r="A491" s="8" t="s">
        <v>64</v>
      </c>
      <c r="B491" s="1" t="s">
        <v>833</v>
      </c>
      <c r="C491" s="1" t="s">
        <v>65</v>
      </c>
      <c r="D491" s="9">
        <v>3032.6</v>
      </c>
      <c r="E491" s="9">
        <f>E492</f>
        <v>3032.5819999999999</v>
      </c>
      <c r="F491" s="9">
        <f t="shared" ref="F491:H491" si="244">F492</f>
        <v>1623.0961</v>
      </c>
      <c r="G491" s="9">
        <f t="shared" si="244"/>
        <v>1623.0961</v>
      </c>
      <c r="H491" s="9">
        <f t="shared" si="244"/>
        <v>1622.73991</v>
      </c>
      <c r="I491" s="9">
        <f t="shared" si="225"/>
        <v>53.510174168414906</v>
      </c>
      <c r="J491" s="9">
        <f t="shared" si="226"/>
        <v>99.978054903834717</v>
      </c>
    </row>
    <row r="492" spans="1:10" ht="25.5">
      <c r="A492" s="8" t="s">
        <v>66</v>
      </c>
      <c r="B492" s="1" t="s">
        <v>833</v>
      </c>
      <c r="C492" s="1" t="s">
        <v>67</v>
      </c>
      <c r="D492" s="9">
        <v>3032.6</v>
      </c>
      <c r="E492" s="9">
        <f>ведомство!H1886</f>
        <v>3032.5819999999999</v>
      </c>
      <c r="F492" s="9">
        <f>ведомство!I1886</f>
        <v>1623.0961</v>
      </c>
      <c r="G492" s="9">
        <f>ведомство!J1886</f>
        <v>1623.0961</v>
      </c>
      <c r="H492" s="9">
        <f>ведомство!K1886</f>
        <v>1622.73991</v>
      </c>
      <c r="I492" s="9">
        <f t="shared" si="225"/>
        <v>53.510174168414906</v>
      </c>
      <c r="J492" s="9">
        <f t="shared" si="226"/>
        <v>99.978054903834717</v>
      </c>
    </row>
    <row r="493" spans="1:10">
      <c r="A493" s="8" t="s">
        <v>68</v>
      </c>
      <c r="B493" s="1" t="s">
        <v>833</v>
      </c>
      <c r="C493" s="1" t="s">
        <v>69</v>
      </c>
      <c r="D493" s="9">
        <v>288356.40000000002</v>
      </c>
      <c r="E493" s="9">
        <f>E494</f>
        <v>288356.36900000001</v>
      </c>
      <c r="F493" s="9">
        <f t="shared" ref="F493:H493" si="245">F494</f>
        <v>181126.39499999999</v>
      </c>
      <c r="G493" s="9">
        <f t="shared" si="245"/>
        <v>181126.39499999999</v>
      </c>
      <c r="H493" s="9">
        <f t="shared" si="245"/>
        <v>181108.65721999999</v>
      </c>
      <c r="I493" s="9">
        <f t="shared" si="225"/>
        <v>62.807233232986079</v>
      </c>
      <c r="J493" s="9">
        <f t="shared" si="226"/>
        <v>99.990206960172756</v>
      </c>
    </row>
    <row r="494" spans="1:10">
      <c r="A494" s="8" t="s">
        <v>463</v>
      </c>
      <c r="B494" s="1" t="s">
        <v>833</v>
      </c>
      <c r="C494" s="1" t="s">
        <v>464</v>
      </c>
      <c r="D494" s="9">
        <v>288356.40000000002</v>
      </c>
      <c r="E494" s="9">
        <f>ведомство!H1888</f>
        <v>288356.36900000001</v>
      </c>
      <c r="F494" s="9">
        <f>ведомство!I1888</f>
        <v>181126.39499999999</v>
      </c>
      <c r="G494" s="9">
        <f>ведомство!J1888</f>
        <v>181126.39499999999</v>
      </c>
      <c r="H494" s="9">
        <f>ведомство!K1888</f>
        <v>181108.65721999999</v>
      </c>
      <c r="I494" s="9">
        <f t="shared" si="225"/>
        <v>62.807233232986079</v>
      </c>
      <c r="J494" s="9">
        <f t="shared" si="226"/>
        <v>99.990206960172756</v>
      </c>
    </row>
    <row r="495" spans="1:10" ht="51">
      <c r="A495" s="8" t="s">
        <v>834</v>
      </c>
      <c r="B495" s="1" t="s">
        <v>835</v>
      </c>
      <c r="C495" s="1" t="s">
        <v>0</v>
      </c>
      <c r="D495" s="9">
        <v>638.9</v>
      </c>
      <c r="E495" s="9">
        <f>E496+E498</f>
        <v>638.90100000000007</v>
      </c>
      <c r="F495" s="9">
        <f t="shared" ref="F495:H495" si="246">F496+F498</f>
        <v>297.60000000000002</v>
      </c>
      <c r="G495" s="9">
        <f t="shared" si="246"/>
        <v>296.36500000000001</v>
      </c>
      <c r="H495" s="9">
        <f t="shared" si="246"/>
        <v>296.32355000000001</v>
      </c>
      <c r="I495" s="9">
        <f t="shared" si="225"/>
        <v>46.380198184069208</v>
      </c>
      <c r="J495" s="9">
        <f t="shared" si="226"/>
        <v>99.571085349462365</v>
      </c>
    </row>
    <row r="496" spans="1:10" ht="25.5">
      <c r="A496" s="8" t="s">
        <v>64</v>
      </c>
      <c r="B496" s="1" t="s">
        <v>835</v>
      </c>
      <c r="C496" s="1" t="s">
        <v>65</v>
      </c>
      <c r="D496" s="9">
        <v>7.7</v>
      </c>
      <c r="E496" s="9">
        <f>E497</f>
        <v>7.7009999999999996</v>
      </c>
      <c r="F496" s="9">
        <f t="shared" ref="F496:H496" si="247">F497</f>
        <v>3.6</v>
      </c>
      <c r="G496" s="9">
        <f t="shared" si="247"/>
        <v>3.5649999999999999</v>
      </c>
      <c r="H496" s="9">
        <f t="shared" si="247"/>
        <v>3.5235500000000002</v>
      </c>
      <c r="I496" s="9">
        <f t="shared" si="225"/>
        <v>45.754447474353981</v>
      </c>
      <c r="J496" s="9">
        <f t="shared" si="226"/>
        <v>97.876388888888883</v>
      </c>
    </row>
    <row r="497" spans="1:10" ht="25.5">
      <c r="A497" s="8" t="s">
        <v>66</v>
      </c>
      <c r="B497" s="1" t="s">
        <v>835</v>
      </c>
      <c r="C497" s="1" t="s">
        <v>67</v>
      </c>
      <c r="D497" s="9">
        <v>7.7</v>
      </c>
      <c r="E497" s="9">
        <f>ведомство!H1891</f>
        <v>7.7009999999999996</v>
      </c>
      <c r="F497" s="9">
        <f>ведомство!I1891</f>
        <v>3.6</v>
      </c>
      <c r="G497" s="9">
        <f>ведомство!J1891</f>
        <v>3.5649999999999999</v>
      </c>
      <c r="H497" s="9">
        <f>ведомство!K1891</f>
        <v>3.5235500000000002</v>
      </c>
      <c r="I497" s="9">
        <f t="shared" si="225"/>
        <v>45.754447474353981</v>
      </c>
      <c r="J497" s="9">
        <f t="shared" si="226"/>
        <v>97.876388888888883</v>
      </c>
    </row>
    <row r="498" spans="1:10">
      <c r="A498" s="8" t="s">
        <v>68</v>
      </c>
      <c r="B498" s="1" t="s">
        <v>835</v>
      </c>
      <c r="C498" s="1" t="s">
        <v>69</v>
      </c>
      <c r="D498" s="9">
        <v>631.20000000000005</v>
      </c>
      <c r="E498" s="9">
        <f>E499</f>
        <v>631.20000000000005</v>
      </c>
      <c r="F498" s="9">
        <f t="shared" ref="F498:H498" si="248">F499</f>
        <v>294</v>
      </c>
      <c r="G498" s="9">
        <f t="shared" si="248"/>
        <v>292.8</v>
      </c>
      <c r="H498" s="9">
        <f t="shared" si="248"/>
        <v>292.8</v>
      </c>
      <c r="I498" s="9">
        <f t="shared" si="225"/>
        <v>46.387832699619771</v>
      </c>
      <c r="J498" s="9">
        <f t="shared" si="226"/>
        <v>99.591836734693885</v>
      </c>
    </row>
    <row r="499" spans="1:10">
      <c r="A499" s="8" t="s">
        <v>463</v>
      </c>
      <c r="B499" s="1" t="s">
        <v>835</v>
      </c>
      <c r="C499" s="1" t="s">
        <v>464</v>
      </c>
      <c r="D499" s="9">
        <v>631.20000000000005</v>
      </c>
      <c r="E499" s="9">
        <f>ведомство!H1893</f>
        <v>631.20000000000005</v>
      </c>
      <c r="F499" s="9">
        <f>ведомство!I1893</f>
        <v>294</v>
      </c>
      <c r="G499" s="9">
        <f>ведомство!J1893</f>
        <v>292.8</v>
      </c>
      <c r="H499" s="9">
        <f>ведомство!K1893</f>
        <v>292.8</v>
      </c>
      <c r="I499" s="9">
        <f t="shared" si="225"/>
        <v>46.387832699619771</v>
      </c>
      <c r="J499" s="9">
        <f t="shared" si="226"/>
        <v>99.591836734693885</v>
      </c>
    </row>
    <row r="500" spans="1:10" ht="51">
      <c r="A500" s="8" t="s">
        <v>836</v>
      </c>
      <c r="B500" s="1" t="s">
        <v>837</v>
      </c>
      <c r="C500" s="1" t="s">
        <v>0</v>
      </c>
      <c r="D500" s="9">
        <v>12.2</v>
      </c>
      <c r="E500" s="9">
        <f>E501+E503</f>
        <v>12.18</v>
      </c>
      <c r="F500" s="9">
        <f t="shared" ref="F500:H500" si="249">F501+F503</f>
        <v>6.12</v>
      </c>
      <c r="G500" s="9">
        <f t="shared" si="249"/>
        <v>6.09</v>
      </c>
      <c r="H500" s="9">
        <f t="shared" si="249"/>
        <v>6.09</v>
      </c>
      <c r="I500" s="9">
        <f t="shared" si="225"/>
        <v>50</v>
      </c>
      <c r="J500" s="9">
        <f t="shared" si="226"/>
        <v>99.509803921568619</v>
      </c>
    </row>
    <row r="501" spans="1:10" ht="25.5">
      <c r="A501" s="8" t="s">
        <v>64</v>
      </c>
      <c r="B501" s="1" t="s">
        <v>837</v>
      </c>
      <c r="C501" s="1" t="s">
        <v>65</v>
      </c>
      <c r="D501" s="9">
        <v>0.2</v>
      </c>
      <c r="E501" s="9">
        <f>E502</f>
        <v>0.18</v>
      </c>
      <c r="F501" s="9">
        <f t="shared" ref="F501:H501" si="250">F502</f>
        <v>0.12</v>
      </c>
      <c r="G501" s="9">
        <f t="shared" si="250"/>
        <v>0.09</v>
      </c>
      <c r="H501" s="9">
        <f t="shared" si="250"/>
        <v>0.09</v>
      </c>
      <c r="I501" s="9">
        <f t="shared" si="225"/>
        <v>50</v>
      </c>
      <c r="J501" s="9">
        <f t="shared" si="226"/>
        <v>75</v>
      </c>
    </row>
    <row r="502" spans="1:10" ht="25.5">
      <c r="A502" s="8" t="s">
        <v>66</v>
      </c>
      <c r="B502" s="1" t="s">
        <v>837</v>
      </c>
      <c r="C502" s="1" t="s">
        <v>67</v>
      </c>
      <c r="D502" s="9">
        <v>0.2</v>
      </c>
      <c r="E502" s="9">
        <f>ведомство!H1896</f>
        <v>0.18</v>
      </c>
      <c r="F502" s="9">
        <f>ведомство!I1896</f>
        <v>0.12</v>
      </c>
      <c r="G502" s="9">
        <f>ведомство!J1896</f>
        <v>0.09</v>
      </c>
      <c r="H502" s="9">
        <f>ведомство!K1896</f>
        <v>0.09</v>
      </c>
      <c r="I502" s="9">
        <f t="shared" si="225"/>
        <v>50</v>
      </c>
      <c r="J502" s="9">
        <f t="shared" si="226"/>
        <v>75</v>
      </c>
    </row>
    <row r="503" spans="1:10">
      <c r="A503" s="8" t="s">
        <v>68</v>
      </c>
      <c r="B503" s="1" t="s">
        <v>837</v>
      </c>
      <c r="C503" s="1" t="s">
        <v>69</v>
      </c>
      <c r="D503" s="9">
        <v>12</v>
      </c>
      <c r="E503" s="9">
        <f>E504</f>
        <v>12</v>
      </c>
      <c r="F503" s="9">
        <f t="shared" ref="F503:H503" si="251">F504</f>
        <v>6</v>
      </c>
      <c r="G503" s="9">
        <f t="shared" si="251"/>
        <v>6</v>
      </c>
      <c r="H503" s="9">
        <f t="shared" si="251"/>
        <v>6</v>
      </c>
      <c r="I503" s="9">
        <f t="shared" si="225"/>
        <v>50</v>
      </c>
      <c r="J503" s="9">
        <f t="shared" si="226"/>
        <v>100</v>
      </c>
    </row>
    <row r="504" spans="1:10">
      <c r="A504" s="8" t="s">
        <v>463</v>
      </c>
      <c r="B504" s="1" t="s">
        <v>837</v>
      </c>
      <c r="C504" s="1" t="s">
        <v>464</v>
      </c>
      <c r="D504" s="9">
        <v>12</v>
      </c>
      <c r="E504" s="9">
        <f>ведомство!H1898</f>
        <v>12</v>
      </c>
      <c r="F504" s="9">
        <f>ведомство!I1898</f>
        <v>6</v>
      </c>
      <c r="G504" s="9">
        <f>ведомство!J1898</f>
        <v>6</v>
      </c>
      <c r="H504" s="9">
        <f>ведомство!K1898</f>
        <v>6</v>
      </c>
      <c r="I504" s="9">
        <f t="shared" si="225"/>
        <v>50</v>
      </c>
      <c r="J504" s="9">
        <f t="shared" si="226"/>
        <v>100</v>
      </c>
    </row>
    <row r="505" spans="1:10" ht="38.25">
      <c r="A505" s="8" t="s">
        <v>838</v>
      </c>
      <c r="B505" s="1" t="s">
        <v>839</v>
      </c>
      <c r="C505" s="1" t="s">
        <v>0</v>
      </c>
      <c r="D505" s="9">
        <v>4869.6000000000004</v>
      </c>
      <c r="E505" s="9">
        <f>E506+E508</f>
        <v>4869.6000000000004</v>
      </c>
      <c r="F505" s="9">
        <f t="shared" ref="F505:H505" si="252">F506+F508</f>
        <v>2473.29</v>
      </c>
      <c r="G505" s="9">
        <f t="shared" si="252"/>
        <v>2455.3519999999999</v>
      </c>
      <c r="H505" s="9">
        <f t="shared" si="252"/>
        <v>2454.8912600000003</v>
      </c>
      <c r="I505" s="9">
        <f t="shared" si="225"/>
        <v>50.412585427961233</v>
      </c>
      <c r="J505" s="9">
        <f t="shared" si="226"/>
        <v>99.256102600180341</v>
      </c>
    </row>
    <row r="506" spans="1:10" ht="25.5">
      <c r="A506" s="8" t="s">
        <v>64</v>
      </c>
      <c r="B506" s="1" t="s">
        <v>839</v>
      </c>
      <c r="C506" s="1" t="s">
        <v>65</v>
      </c>
      <c r="D506" s="9">
        <v>69.599999999999994</v>
      </c>
      <c r="E506" s="9">
        <f>E507</f>
        <v>69.599999999999994</v>
      </c>
      <c r="F506" s="9">
        <f t="shared" ref="F506:H506" si="253">F507</f>
        <v>30.39</v>
      </c>
      <c r="G506" s="9">
        <f t="shared" si="253"/>
        <v>28.042000000000002</v>
      </c>
      <c r="H506" s="9">
        <f t="shared" si="253"/>
        <v>28.034050000000001</v>
      </c>
      <c r="I506" s="9">
        <f t="shared" si="225"/>
        <v>40.278807471264372</v>
      </c>
      <c r="J506" s="9">
        <f t="shared" si="226"/>
        <v>92.247614346824619</v>
      </c>
    </row>
    <row r="507" spans="1:10" ht="25.5">
      <c r="A507" s="8" t="s">
        <v>66</v>
      </c>
      <c r="B507" s="1" t="s">
        <v>839</v>
      </c>
      <c r="C507" s="1" t="s">
        <v>67</v>
      </c>
      <c r="D507" s="9">
        <v>69.599999999999994</v>
      </c>
      <c r="E507" s="9">
        <f>ведомство!H1901</f>
        <v>69.599999999999994</v>
      </c>
      <c r="F507" s="9">
        <f>ведомство!I1901</f>
        <v>30.39</v>
      </c>
      <c r="G507" s="9">
        <f>ведомство!J1901</f>
        <v>28.042000000000002</v>
      </c>
      <c r="H507" s="9">
        <f>ведомство!K1901</f>
        <v>28.034050000000001</v>
      </c>
      <c r="I507" s="9">
        <f t="shared" si="225"/>
        <v>40.278807471264372</v>
      </c>
      <c r="J507" s="9">
        <f t="shared" si="226"/>
        <v>92.247614346824619</v>
      </c>
    </row>
    <row r="508" spans="1:10">
      <c r="A508" s="8" t="s">
        <v>68</v>
      </c>
      <c r="B508" s="1" t="s">
        <v>839</v>
      </c>
      <c r="C508" s="1" t="s">
        <v>69</v>
      </c>
      <c r="D508" s="9">
        <v>4800</v>
      </c>
      <c r="E508" s="9">
        <f>E509</f>
        <v>4800</v>
      </c>
      <c r="F508" s="9">
        <f t="shared" ref="F508:H508" si="254">F509</f>
        <v>2442.9</v>
      </c>
      <c r="G508" s="9">
        <f t="shared" si="254"/>
        <v>2427.31</v>
      </c>
      <c r="H508" s="9">
        <f t="shared" si="254"/>
        <v>2426.8572100000001</v>
      </c>
      <c r="I508" s="9">
        <f t="shared" si="225"/>
        <v>50.559525208333334</v>
      </c>
      <c r="J508" s="9">
        <f t="shared" si="226"/>
        <v>99.343289123582622</v>
      </c>
    </row>
    <row r="509" spans="1:10">
      <c r="A509" s="8" t="s">
        <v>463</v>
      </c>
      <c r="B509" s="1" t="s">
        <v>839</v>
      </c>
      <c r="C509" s="1" t="s">
        <v>464</v>
      </c>
      <c r="D509" s="9">
        <v>4800</v>
      </c>
      <c r="E509" s="9">
        <f>ведомство!H1903</f>
        <v>4800</v>
      </c>
      <c r="F509" s="9">
        <f>ведомство!I1903</f>
        <v>2442.9</v>
      </c>
      <c r="G509" s="9">
        <f>ведомство!J1903</f>
        <v>2427.31</v>
      </c>
      <c r="H509" s="9">
        <f>ведомство!K1903</f>
        <v>2426.8572100000001</v>
      </c>
      <c r="I509" s="9">
        <f t="shared" si="225"/>
        <v>50.559525208333334</v>
      </c>
      <c r="J509" s="9">
        <f t="shared" si="226"/>
        <v>99.343289123582622</v>
      </c>
    </row>
    <row r="510" spans="1:10" ht="25.5">
      <c r="A510" s="8" t="s">
        <v>840</v>
      </c>
      <c r="B510" s="1" t="s">
        <v>841</v>
      </c>
      <c r="C510" s="1" t="s">
        <v>0</v>
      </c>
      <c r="D510" s="9">
        <v>11353.6</v>
      </c>
      <c r="E510" s="9">
        <f>E511+E513</f>
        <v>11353.575000000001</v>
      </c>
      <c r="F510" s="9">
        <f t="shared" ref="F510:H510" si="255">F511+F513</f>
        <v>5574.9</v>
      </c>
      <c r="G510" s="9">
        <f t="shared" si="255"/>
        <v>5505.5519999999997</v>
      </c>
      <c r="H510" s="9">
        <f t="shared" si="255"/>
        <v>5505.4540299999999</v>
      </c>
      <c r="I510" s="9">
        <f t="shared" si="225"/>
        <v>48.490929332831286</v>
      </c>
      <c r="J510" s="9">
        <f t="shared" si="226"/>
        <v>98.754310032466947</v>
      </c>
    </row>
    <row r="511" spans="1:10" ht="25.5">
      <c r="A511" s="8" t="s">
        <v>64</v>
      </c>
      <c r="B511" s="1" t="s">
        <v>841</v>
      </c>
      <c r="C511" s="1" t="s">
        <v>65</v>
      </c>
      <c r="D511" s="9">
        <v>167.8</v>
      </c>
      <c r="E511" s="9">
        <f>E512</f>
        <v>167.78700000000001</v>
      </c>
      <c r="F511" s="9">
        <f t="shared" ref="F511:H511" si="256">F512</f>
        <v>74.900000000000006</v>
      </c>
      <c r="G511" s="9">
        <f t="shared" si="256"/>
        <v>70.611000000000004</v>
      </c>
      <c r="H511" s="9">
        <f t="shared" si="256"/>
        <v>70.541899999999998</v>
      </c>
      <c r="I511" s="9">
        <f t="shared" si="225"/>
        <v>42.042530112583215</v>
      </c>
      <c r="J511" s="9">
        <f t="shared" si="226"/>
        <v>94.181441922563408</v>
      </c>
    </row>
    <row r="512" spans="1:10" ht="25.5">
      <c r="A512" s="8" t="s">
        <v>66</v>
      </c>
      <c r="B512" s="1" t="s">
        <v>841</v>
      </c>
      <c r="C512" s="1" t="s">
        <v>67</v>
      </c>
      <c r="D512" s="9">
        <v>167.8</v>
      </c>
      <c r="E512" s="9">
        <f>ведомство!H1906</f>
        <v>167.78700000000001</v>
      </c>
      <c r="F512" s="9">
        <f>ведомство!I1906</f>
        <v>74.900000000000006</v>
      </c>
      <c r="G512" s="9">
        <f>ведомство!J1906</f>
        <v>70.611000000000004</v>
      </c>
      <c r="H512" s="9">
        <f>ведомство!K1906</f>
        <v>70.541899999999998</v>
      </c>
      <c r="I512" s="9">
        <f t="shared" si="225"/>
        <v>42.042530112583215</v>
      </c>
      <c r="J512" s="9">
        <f t="shared" si="226"/>
        <v>94.181441922563408</v>
      </c>
    </row>
    <row r="513" spans="1:10">
      <c r="A513" s="8" t="s">
        <v>68</v>
      </c>
      <c r="B513" s="1" t="s">
        <v>841</v>
      </c>
      <c r="C513" s="1" t="s">
        <v>69</v>
      </c>
      <c r="D513" s="9">
        <v>11185.8</v>
      </c>
      <c r="E513" s="9">
        <f>E514</f>
        <v>11185.788</v>
      </c>
      <c r="F513" s="9">
        <f t="shared" ref="F513:H513" si="257">F514</f>
        <v>5500</v>
      </c>
      <c r="G513" s="9">
        <f t="shared" si="257"/>
        <v>5434.9409999999998</v>
      </c>
      <c r="H513" s="9">
        <f t="shared" si="257"/>
        <v>5434.9121299999997</v>
      </c>
      <c r="I513" s="9">
        <f t="shared" si="225"/>
        <v>48.587655424901669</v>
      </c>
      <c r="J513" s="9">
        <f t="shared" si="226"/>
        <v>98.816584181818172</v>
      </c>
    </row>
    <row r="514" spans="1:10">
      <c r="A514" s="8" t="s">
        <v>463</v>
      </c>
      <c r="B514" s="1" t="s">
        <v>841</v>
      </c>
      <c r="C514" s="1" t="s">
        <v>464</v>
      </c>
      <c r="D514" s="9">
        <v>11185.8</v>
      </c>
      <c r="E514" s="9">
        <f>ведомство!H1908</f>
        <v>11185.788</v>
      </c>
      <c r="F514" s="9">
        <f>ведомство!I1908</f>
        <v>5500</v>
      </c>
      <c r="G514" s="9">
        <f>ведомство!J1908</f>
        <v>5434.9409999999998</v>
      </c>
      <c r="H514" s="9">
        <f>ведомство!K1908</f>
        <v>5434.9121299999997</v>
      </c>
      <c r="I514" s="9">
        <f t="shared" si="225"/>
        <v>48.587655424901669</v>
      </c>
      <c r="J514" s="9">
        <f t="shared" si="226"/>
        <v>98.816584181818172</v>
      </c>
    </row>
    <row r="515" spans="1:10" ht="25.5">
      <c r="A515" s="8" t="s">
        <v>842</v>
      </c>
      <c r="B515" s="1" t="s">
        <v>843</v>
      </c>
      <c r="C515" s="1" t="s">
        <v>0</v>
      </c>
      <c r="D515" s="9">
        <v>996.5</v>
      </c>
      <c r="E515" s="9">
        <f>E516+E518</f>
        <v>996.52499999999998</v>
      </c>
      <c r="F515" s="9">
        <f t="shared" ref="F515:H515" si="258">F516+F518</f>
        <v>655.01600000000008</v>
      </c>
      <c r="G515" s="9">
        <f t="shared" si="258"/>
        <v>635.41589999999997</v>
      </c>
      <c r="H515" s="9">
        <f t="shared" si="258"/>
        <v>633.79486000000009</v>
      </c>
      <c r="I515" s="9">
        <f t="shared" si="225"/>
        <v>63.600497729610403</v>
      </c>
      <c r="J515" s="9">
        <f t="shared" si="226"/>
        <v>96.760210437607626</v>
      </c>
    </row>
    <row r="516" spans="1:10" ht="25.5">
      <c r="A516" s="8" t="s">
        <v>64</v>
      </c>
      <c r="B516" s="1" t="s">
        <v>843</v>
      </c>
      <c r="C516" s="1" t="s">
        <v>65</v>
      </c>
      <c r="D516" s="9">
        <v>11.5</v>
      </c>
      <c r="E516" s="9">
        <f>E517</f>
        <v>11.525</v>
      </c>
      <c r="F516" s="9">
        <f t="shared" ref="F516:H516" si="259">F517</f>
        <v>7.8159999999999998</v>
      </c>
      <c r="G516" s="9">
        <f t="shared" si="259"/>
        <v>7.6158999999999999</v>
      </c>
      <c r="H516" s="9">
        <f t="shared" si="259"/>
        <v>7.3448599999999997</v>
      </c>
      <c r="I516" s="9">
        <f t="shared" si="225"/>
        <v>63.729804772234267</v>
      </c>
      <c r="J516" s="9">
        <f t="shared" si="226"/>
        <v>93.972108495394053</v>
      </c>
    </row>
    <row r="517" spans="1:10" ht="25.5">
      <c r="A517" s="8" t="s">
        <v>66</v>
      </c>
      <c r="B517" s="1" t="s">
        <v>843</v>
      </c>
      <c r="C517" s="1" t="s">
        <v>67</v>
      </c>
      <c r="D517" s="9">
        <v>11.5</v>
      </c>
      <c r="E517" s="9">
        <f>ведомство!H1911</f>
        <v>11.525</v>
      </c>
      <c r="F517" s="9">
        <f>ведомство!I1911</f>
        <v>7.8159999999999998</v>
      </c>
      <c r="G517" s="9">
        <f>ведомство!J1911</f>
        <v>7.6158999999999999</v>
      </c>
      <c r="H517" s="9">
        <f>ведомство!K1911</f>
        <v>7.3448599999999997</v>
      </c>
      <c r="I517" s="9">
        <f t="shared" si="225"/>
        <v>63.729804772234267</v>
      </c>
      <c r="J517" s="9">
        <f t="shared" si="226"/>
        <v>93.972108495394053</v>
      </c>
    </row>
    <row r="518" spans="1:10">
      <c r="A518" s="8" t="s">
        <v>68</v>
      </c>
      <c r="B518" s="1" t="s">
        <v>843</v>
      </c>
      <c r="C518" s="1" t="s">
        <v>69</v>
      </c>
      <c r="D518" s="9">
        <v>985</v>
      </c>
      <c r="E518" s="9">
        <f>E519</f>
        <v>985</v>
      </c>
      <c r="F518" s="9">
        <f t="shared" ref="F518:H518" si="260">F519</f>
        <v>647.20000000000005</v>
      </c>
      <c r="G518" s="9">
        <f t="shared" si="260"/>
        <v>627.79999999999995</v>
      </c>
      <c r="H518" s="9">
        <f t="shared" si="260"/>
        <v>626.45000000000005</v>
      </c>
      <c r="I518" s="9">
        <f t="shared" si="225"/>
        <v>63.598984771573605</v>
      </c>
      <c r="J518" s="9">
        <f t="shared" si="226"/>
        <v>96.793881334981464</v>
      </c>
    </row>
    <row r="519" spans="1:10">
      <c r="A519" s="8" t="s">
        <v>463</v>
      </c>
      <c r="B519" s="1" t="s">
        <v>843</v>
      </c>
      <c r="C519" s="1" t="s">
        <v>464</v>
      </c>
      <c r="D519" s="9">
        <v>985</v>
      </c>
      <c r="E519" s="9">
        <f>ведомство!H1913</f>
        <v>985</v>
      </c>
      <c r="F519" s="9">
        <f>ведомство!I1913</f>
        <v>647.20000000000005</v>
      </c>
      <c r="G519" s="9">
        <f>ведомство!J1913</f>
        <v>627.79999999999995</v>
      </c>
      <c r="H519" s="9">
        <f>ведомство!K1913</f>
        <v>626.45000000000005</v>
      </c>
      <c r="I519" s="9">
        <f t="shared" si="225"/>
        <v>63.598984771573605</v>
      </c>
      <c r="J519" s="9">
        <f t="shared" si="226"/>
        <v>96.793881334981464</v>
      </c>
    </row>
    <row r="520" spans="1:10" ht="63.75">
      <c r="A520" s="8" t="s">
        <v>844</v>
      </c>
      <c r="B520" s="1" t="s">
        <v>845</v>
      </c>
      <c r="C520" s="1" t="s">
        <v>0</v>
      </c>
      <c r="D520" s="9">
        <v>485.1</v>
      </c>
      <c r="E520" s="9">
        <f>E521+E523</f>
        <v>485.13600000000002</v>
      </c>
      <c r="F520" s="9">
        <f t="shared" ref="F520:H520" si="261">F521+F523</f>
        <v>186.7</v>
      </c>
      <c r="G520" s="9">
        <f t="shared" si="261"/>
        <v>186.06</v>
      </c>
      <c r="H520" s="9">
        <f t="shared" si="261"/>
        <v>186.0514</v>
      </c>
      <c r="I520" s="9">
        <f t="shared" si="225"/>
        <v>38.35035948682431</v>
      </c>
      <c r="J520" s="9">
        <f t="shared" si="226"/>
        <v>99.652597750401711</v>
      </c>
    </row>
    <row r="521" spans="1:10" ht="25.5">
      <c r="A521" s="8" t="s">
        <v>64</v>
      </c>
      <c r="B521" s="1" t="s">
        <v>845</v>
      </c>
      <c r="C521" s="1" t="s">
        <v>65</v>
      </c>
      <c r="D521" s="9">
        <v>5.0999999999999996</v>
      </c>
      <c r="E521" s="9">
        <f>E522</f>
        <v>5.1360000000000001</v>
      </c>
      <c r="F521" s="9">
        <f t="shared" ref="F521:H521" si="262">F522</f>
        <v>2.7</v>
      </c>
      <c r="G521" s="9">
        <f t="shared" si="262"/>
        <v>2.06</v>
      </c>
      <c r="H521" s="9">
        <f t="shared" si="262"/>
        <v>2.0514000000000001</v>
      </c>
      <c r="I521" s="9">
        <f t="shared" si="225"/>
        <v>39.941588785046726</v>
      </c>
      <c r="J521" s="9">
        <f t="shared" si="226"/>
        <v>75.977777777777774</v>
      </c>
    </row>
    <row r="522" spans="1:10" ht="25.5">
      <c r="A522" s="8" t="s">
        <v>66</v>
      </c>
      <c r="B522" s="1" t="s">
        <v>845</v>
      </c>
      <c r="C522" s="1" t="s">
        <v>67</v>
      </c>
      <c r="D522" s="9">
        <v>5.0999999999999996</v>
      </c>
      <c r="E522" s="9">
        <f>ведомство!H1916</f>
        <v>5.1360000000000001</v>
      </c>
      <c r="F522" s="9">
        <f>ведомство!I1916</f>
        <v>2.7</v>
      </c>
      <c r="G522" s="9">
        <f>ведомство!J1916</f>
        <v>2.06</v>
      </c>
      <c r="H522" s="9">
        <f>ведомство!K1916</f>
        <v>2.0514000000000001</v>
      </c>
      <c r="I522" s="9">
        <f t="shared" si="225"/>
        <v>39.941588785046726</v>
      </c>
      <c r="J522" s="9">
        <f t="shared" si="226"/>
        <v>75.977777777777774</v>
      </c>
    </row>
    <row r="523" spans="1:10">
      <c r="A523" s="8" t="s">
        <v>68</v>
      </c>
      <c r="B523" s="1" t="s">
        <v>845</v>
      </c>
      <c r="C523" s="1" t="s">
        <v>69</v>
      </c>
      <c r="D523" s="9">
        <v>480</v>
      </c>
      <c r="E523" s="9">
        <f>E524</f>
        <v>480</v>
      </c>
      <c r="F523" s="9">
        <f t="shared" ref="F523:H523" si="263">F524</f>
        <v>184</v>
      </c>
      <c r="G523" s="9">
        <f t="shared" si="263"/>
        <v>184</v>
      </c>
      <c r="H523" s="9">
        <f t="shared" si="263"/>
        <v>184</v>
      </c>
      <c r="I523" s="9">
        <f t="shared" si="225"/>
        <v>38.333333333333336</v>
      </c>
      <c r="J523" s="9">
        <f t="shared" si="226"/>
        <v>100</v>
      </c>
    </row>
    <row r="524" spans="1:10">
      <c r="A524" s="8" t="s">
        <v>463</v>
      </c>
      <c r="B524" s="1" t="s">
        <v>845</v>
      </c>
      <c r="C524" s="1" t="s">
        <v>464</v>
      </c>
      <c r="D524" s="9">
        <v>480</v>
      </c>
      <c r="E524" s="9">
        <f>ведомство!H1918</f>
        <v>480</v>
      </c>
      <c r="F524" s="9">
        <f>ведомство!I1918</f>
        <v>184</v>
      </c>
      <c r="G524" s="9">
        <f>ведомство!J1918</f>
        <v>184</v>
      </c>
      <c r="H524" s="9">
        <f>ведомство!K1918</f>
        <v>184</v>
      </c>
      <c r="I524" s="9">
        <f t="shared" si="225"/>
        <v>38.333333333333336</v>
      </c>
      <c r="J524" s="9">
        <f t="shared" si="226"/>
        <v>100</v>
      </c>
    </row>
    <row r="525" spans="1:10" ht="25.5">
      <c r="A525" s="8" t="s">
        <v>874</v>
      </c>
      <c r="B525" s="1" t="s">
        <v>875</v>
      </c>
      <c r="C525" s="1" t="s">
        <v>0</v>
      </c>
      <c r="D525" s="9">
        <v>37227.1</v>
      </c>
      <c r="E525" s="9">
        <f>E526+E528</f>
        <v>37227.07</v>
      </c>
      <c r="F525" s="9">
        <f t="shared" ref="F525:H525" si="264">F526+F528</f>
        <v>1545.231</v>
      </c>
      <c r="G525" s="9">
        <f t="shared" si="264"/>
        <v>1545.231</v>
      </c>
      <c r="H525" s="9">
        <f t="shared" si="264"/>
        <v>1545.231</v>
      </c>
      <c r="I525" s="9">
        <f t="shared" ref="I525:I593" si="265">H525/E525*100</f>
        <v>4.1508262670148364</v>
      </c>
      <c r="J525" s="9">
        <f t="shared" ref="J525:J592" si="266">H525/F525*100</f>
        <v>100</v>
      </c>
    </row>
    <row r="526" spans="1:10" ht="25.5">
      <c r="A526" s="8" t="s">
        <v>64</v>
      </c>
      <c r="B526" s="1" t="s">
        <v>875</v>
      </c>
      <c r="C526" s="1" t="s">
        <v>65</v>
      </c>
      <c r="D526" s="9">
        <v>597.1</v>
      </c>
      <c r="E526" s="9">
        <f>E527</f>
        <v>597.07000000000005</v>
      </c>
      <c r="F526" s="9">
        <f t="shared" ref="F526:H526" si="267">F527</f>
        <v>15.231</v>
      </c>
      <c r="G526" s="9">
        <f t="shared" si="267"/>
        <v>15.231</v>
      </c>
      <c r="H526" s="9">
        <f t="shared" si="267"/>
        <v>15.231</v>
      </c>
      <c r="I526" s="9">
        <f t="shared" si="265"/>
        <v>2.55095717420068</v>
      </c>
      <c r="J526" s="9">
        <f t="shared" si="266"/>
        <v>100</v>
      </c>
    </row>
    <row r="527" spans="1:10" ht="25.5">
      <c r="A527" s="8" t="s">
        <v>66</v>
      </c>
      <c r="B527" s="1" t="s">
        <v>875</v>
      </c>
      <c r="C527" s="1" t="s">
        <v>67</v>
      </c>
      <c r="D527" s="9">
        <v>597.1</v>
      </c>
      <c r="E527" s="9">
        <f>ведомство!H1990</f>
        <v>597.07000000000005</v>
      </c>
      <c r="F527" s="9">
        <f>ведомство!I1990</f>
        <v>15.231</v>
      </c>
      <c r="G527" s="9">
        <f>ведомство!J1990</f>
        <v>15.231</v>
      </c>
      <c r="H527" s="9">
        <f>ведомство!K1990</f>
        <v>15.231</v>
      </c>
      <c r="I527" s="9">
        <f t="shared" si="265"/>
        <v>2.55095717420068</v>
      </c>
      <c r="J527" s="9">
        <f t="shared" si="266"/>
        <v>100</v>
      </c>
    </row>
    <row r="528" spans="1:10">
      <c r="A528" s="8" t="s">
        <v>68</v>
      </c>
      <c r="B528" s="1" t="s">
        <v>875</v>
      </c>
      <c r="C528" s="1" t="s">
        <v>69</v>
      </c>
      <c r="D528" s="9">
        <v>36630</v>
      </c>
      <c r="E528" s="9">
        <f>E529</f>
        <v>36630</v>
      </c>
      <c r="F528" s="9">
        <f t="shared" ref="F528:H528" si="268">F529</f>
        <v>1530</v>
      </c>
      <c r="G528" s="9">
        <f t="shared" si="268"/>
        <v>1530</v>
      </c>
      <c r="H528" s="9">
        <f t="shared" si="268"/>
        <v>1530</v>
      </c>
      <c r="I528" s="9">
        <f t="shared" si="265"/>
        <v>4.176904176904177</v>
      </c>
      <c r="J528" s="9">
        <f t="shared" si="266"/>
        <v>100</v>
      </c>
    </row>
    <row r="529" spans="1:10">
      <c r="A529" s="8" t="s">
        <v>463</v>
      </c>
      <c r="B529" s="1" t="s">
        <v>875</v>
      </c>
      <c r="C529" s="1" t="s">
        <v>464</v>
      </c>
      <c r="D529" s="9">
        <v>36630</v>
      </c>
      <c r="E529" s="9">
        <f>ведомство!H1992</f>
        <v>36630</v>
      </c>
      <c r="F529" s="9">
        <f>ведомство!I1992</f>
        <v>1530</v>
      </c>
      <c r="G529" s="9">
        <f>ведомство!J1992</f>
        <v>1530</v>
      </c>
      <c r="H529" s="9">
        <f>ведомство!K1992</f>
        <v>1530</v>
      </c>
      <c r="I529" s="9">
        <f t="shared" si="265"/>
        <v>4.176904176904177</v>
      </c>
      <c r="J529" s="9">
        <f t="shared" si="266"/>
        <v>100</v>
      </c>
    </row>
    <row r="530" spans="1:10" ht="38.25">
      <c r="A530" s="8" t="s">
        <v>846</v>
      </c>
      <c r="B530" s="1" t="s">
        <v>847</v>
      </c>
      <c r="C530" s="1" t="s">
        <v>0</v>
      </c>
      <c r="D530" s="9">
        <v>25680.3</v>
      </c>
      <c r="E530" s="9">
        <f>E531+E533</f>
        <v>25680.300999999999</v>
      </c>
      <c r="F530" s="9">
        <f t="shared" ref="F530:H530" si="269">F531+F533</f>
        <v>4645.3440000000001</v>
      </c>
      <c r="G530" s="9">
        <f t="shared" si="269"/>
        <v>4645.3440000000001</v>
      </c>
      <c r="H530" s="9">
        <f t="shared" si="269"/>
        <v>4645.3428399999993</v>
      </c>
      <c r="I530" s="9">
        <f t="shared" si="265"/>
        <v>18.089129251249815</v>
      </c>
      <c r="J530" s="9">
        <f t="shared" si="266"/>
        <v>99.999975028759962</v>
      </c>
    </row>
    <row r="531" spans="1:10" ht="25.5">
      <c r="A531" s="8" t="s">
        <v>64</v>
      </c>
      <c r="B531" s="1" t="s">
        <v>847</v>
      </c>
      <c r="C531" s="1" t="s">
        <v>65</v>
      </c>
      <c r="D531" s="9">
        <v>411.9</v>
      </c>
      <c r="E531" s="9">
        <f>E532</f>
        <v>411.875</v>
      </c>
      <c r="F531" s="9">
        <f t="shared" ref="F531:H531" si="270">F532</f>
        <v>75.018000000000001</v>
      </c>
      <c r="G531" s="9">
        <f t="shared" si="270"/>
        <v>75.018000000000001</v>
      </c>
      <c r="H531" s="9">
        <f t="shared" si="270"/>
        <v>75.017690000000002</v>
      </c>
      <c r="I531" s="9">
        <f t="shared" si="265"/>
        <v>18.213703186646434</v>
      </c>
      <c r="J531" s="9">
        <f t="shared" si="266"/>
        <v>99.999586765842864</v>
      </c>
    </row>
    <row r="532" spans="1:10" ht="25.5">
      <c r="A532" s="8" t="s">
        <v>66</v>
      </c>
      <c r="B532" s="1" t="s">
        <v>847</v>
      </c>
      <c r="C532" s="1" t="s">
        <v>67</v>
      </c>
      <c r="D532" s="9">
        <v>411.9</v>
      </c>
      <c r="E532" s="9">
        <f>ведомство!H1921</f>
        <v>411.875</v>
      </c>
      <c r="F532" s="9">
        <f>ведомство!I1921</f>
        <v>75.018000000000001</v>
      </c>
      <c r="G532" s="9">
        <f>ведомство!J1921</f>
        <v>75.018000000000001</v>
      </c>
      <c r="H532" s="9">
        <f>ведомство!K1921</f>
        <v>75.017690000000002</v>
      </c>
      <c r="I532" s="9">
        <f t="shared" si="265"/>
        <v>18.213703186646434</v>
      </c>
      <c r="J532" s="9">
        <f t="shared" si="266"/>
        <v>99.999586765842864</v>
      </c>
    </row>
    <row r="533" spans="1:10">
      <c r="A533" s="8" t="s">
        <v>68</v>
      </c>
      <c r="B533" s="1" t="s">
        <v>847</v>
      </c>
      <c r="C533" s="1" t="s">
        <v>69</v>
      </c>
      <c r="D533" s="9">
        <v>25268.400000000001</v>
      </c>
      <c r="E533" s="9">
        <f>E534</f>
        <v>25268.425999999999</v>
      </c>
      <c r="F533" s="9">
        <f t="shared" ref="F533:H533" si="271">F534</f>
        <v>4570.326</v>
      </c>
      <c r="G533" s="9">
        <f t="shared" si="271"/>
        <v>4570.326</v>
      </c>
      <c r="H533" s="9">
        <f t="shared" si="271"/>
        <v>4570.3251499999997</v>
      </c>
      <c r="I533" s="9">
        <f t="shared" si="265"/>
        <v>18.087098697797796</v>
      </c>
      <c r="J533" s="9">
        <f t="shared" si="266"/>
        <v>99.99998140176433</v>
      </c>
    </row>
    <row r="534" spans="1:10" ht="25.5">
      <c r="A534" s="8" t="s">
        <v>151</v>
      </c>
      <c r="B534" s="1" t="s">
        <v>847</v>
      </c>
      <c r="C534" s="1" t="s">
        <v>152</v>
      </c>
      <c r="D534" s="9">
        <v>25268.400000000001</v>
      </c>
      <c r="E534" s="9">
        <f>ведомство!H1923</f>
        <v>25268.425999999999</v>
      </c>
      <c r="F534" s="9">
        <f>ведомство!I1923</f>
        <v>4570.326</v>
      </c>
      <c r="G534" s="9">
        <f>ведомство!J1923</f>
        <v>4570.326</v>
      </c>
      <c r="H534" s="9">
        <f>ведомство!K1923</f>
        <v>4570.3251499999997</v>
      </c>
      <c r="I534" s="9">
        <f t="shared" si="265"/>
        <v>18.087098697797796</v>
      </c>
      <c r="J534" s="9">
        <f t="shared" si="266"/>
        <v>99.99998140176433</v>
      </c>
    </row>
    <row r="535" spans="1:10" ht="25.5">
      <c r="A535" s="8" t="s">
        <v>848</v>
      </c>
      <c r="B535" s="1" t="s">
        <v>849</v>
      </c>
      <c r="C535" s="1" t="s">
        <v>0</v>
      </c>
      <c r="D535" s="9">
        <v>422393.9</v>
      </c>
      <c r="E535" s="9">
        <f>E536</f>
        <v>422393.9</v>
      </c>
      <c r="F535" s="9">
        <f t="shared" ref="F535:H536" si="272">F536</f>
        <v>193524.34361000001</v>
      </c>
      <c r="G535" s="9">
        <f t="shared" si="272"/>
        <v>193524.34361000001</v>
      </c>
      <c r="H535" s="9">
        <f t="shared" si="272"/>
        <v>193481.45250000001</v>
      </c>
      <c r="I535" s="9">
        <f t="shared" si="265"/>
        <v>45.805929607411471</v>
      </c>
      <c r="J535" s="9">
        <f t="shared" si="266"/>
        <v>99.977836839955174</v>
      </c>
    </row>
    <row r="536" spans="1:10">
      <c r="A536" s="8" t="s">
        <v>26</v>
      </c>
      <c r="B536" s="1" t="s">
        <v>849</v>
      </c>
      <c r="C536" s="1" t="s">
        <v>27</v>
      </c>
      <c r="D536" s="9">
        <v>422393.9</v>
      </c>
      <c r="E536" s="9">
        <f>E537</f>
        <v>422393.9</v>
      </c>
      <c r="F536" s="9">
        <f t="shared" si="272"/>
        <v>193524.34361000001</v>
      </c>
      <c r="G536" s="9">
        <f t="shared" si="272"/>
        <v>193524.34361000001</v>
      </c>
      <c r="H536" s="9">
        <f t="shared" si="272"/>
        <v>193481.45250000001</v>
      </c>
      <c r="I536" s="9">
        <f t="shared" si="265"/>
        <v>45.805929607411471</v>
      </c>
      <c r="J536" s="9">
        <f t="shared" si="266"/>
        <v>99.977836839955174</v>
      </c>
    </row>
    <row r="537" spans="1:10">
      <c r="A537" s="8" t="s">
        <v>28</v>
      </c>
      <c r="B537" s="1" t="s">
        <v>849</v>
      </c>
      <c r="C537" s="1" t="s">
        <v>29</v>
      </c>
      <c r="D537" s="9">
        <v>422393.9</v>
      </c>
      <c r="E537" s="9">
        <f>ведомство!H1926</f>
        <v>422393.9</v>
      </c>
      <c r="F537" s="9">
        <f>ведомство!I1926</f>
        <v>193524.34361000001</v>
      </c>
      <c r="G537" s="9">
        <f>ведомство!J1926</f>
        <v>193524.34361000001</v>
      </c>
      <c r="H537" s="9">
        <f>ведомство!K1926</f>
        <v>193481.45250000001</v>
      </c>
      <c r="I537" s="9">
        <f t="shared" si="265"/>
        <v>45.805929607411471</v>
      </c>
      <c r="J537" s="9">
        <f t="shared" si="266"/>
        <v>99.977836839955174</v>
      </c>
    </row>
    <row r="538" spans="1:10" ht="38.25">
      <c r="A538" s="8" t="s">
        <v>850</v>
      </c>
      <c r="B538" s="1" t="s">
        <v>851</v>
      </c>
      <c r="C538" s="1" t="s">
        <v>0</v>
      </c>
      <c r="D538" s="9">
        <v>7720.2</v>
      </c>
      <c r="E538" s="9">
        <f>E539</f>
        <v>7720.2</v>
      </c>
      <c r="F538" s="9">
        <f t="shared" ref="F538:H539" si="273">F539</f>
        <v>2870.05</v>
      </c>
      <c r="G538" s="9">
        <f t="shared" si="273"/>
        <v>2870.05</v>
      </c>
      <c r="H538" s="9">
        <f t="shared" si="273"/>
        <v>2730.9868900000001</v>
      </c>
      <c r="I538" s="9">
        <f t="shared" si="265"/>
        <v>35.374561410326159</v>
      </c>
      <c r="J538" s="9">
        <f t="shared" si="266"/>
        <v>95.154679883625718</v>
      </c>
    </row>
    <row r="539" spans="1:10">
      <c r="A539" s="8" t="s">
        <v>26</v>
      </c>
      <c r="B539" s="1" t="s">
        <v>851</v>
      </c>
      <c r="C539" s="1" t="s">
        <v>27</v>
      </c>
      <c r="D539" s="9">
        <v>7720.2</v>
      </c>
      <c r="E539" s="9">
        <f>E540</f>
        <v>7720.2</v>
      </c>
      <c r="F539" s="9">
        <f t="shared" si="273"/>
        <v>2870.05</v>
      </c>
      <c r="G539" s="9">
        <f t="shared" si="273"/>
        <v>2870.05</v>
      </c>
      <c r="H539" s="9">
        <f t="shared" si="273"/>
        <v>2730.9868900000001</v>
      </c>
      <c r="I539" s="9">
        <f t="shared" si="265"/>
        <v>35.374561410326159</v>
      </c>
      <c r="J539" s="9">
        <f t="shared" si="266"/>
        <v>95.154679883625718</v>
      </c>
    </row>
    <row r="540" spans="1:10">
      <c r="A540" s="8" t="s">
        <v>352</v>
      </c>
      <c r="B540" s="1" t="s">
        <v>851</v>
      </c>
      <c r="C540" s="1" t="s">
        <v>353</v>
      </c>
      <c r="D540" s="9">
        <v>7720.2</v>
      </c>
      <c r="E540" s="9">
        <f>ведомство!H1928</f>
        <v>7720.2</v>
      </c>
      <c r="F540" s="9">
        <f>ведомство!I1928</f>
        <v>2870.05</v>
      </c>
      <c r="G540" s="9">
        <f>ведомство!J1928</f>
        <v>2870.05</v>
      </c>
      <c r="H540" s="9">
        <f>ведомство!K1928</f>
        <v>2730.9868900000001</v>
      </c>
      <c r="I540" s="9">
        <f t="shared" si="265"/>
        <v>35.374561410326159</v>
      </c>
      <c r="J540" s="9">
        <f t="shared" si="266"/>
        <v>95.154679883625718</v>
      </c>
    </row>
    <row r="541" spans="1:10" ht="38.25">
      <c r="A541" s="8" t="s">
        <v>876</v>
      </c>
      <c r="B541" s="1" t="s">
        <v>877</v>
      </c>
      <c r="C541" s="1" t="s">
        <v>0</v>
      </c>
      <c r="D541" s="9">
        <v>384989.6</v>
      </c>
      <c r="E541" s="9">
        <f>E542+E544</f>
        <v>384989.62</v>
      </c>
      <c r="F541" s="9">
        <f t="shared" ref="F541:H541" si="274">F542+F544</f>
        <v>159696.11300000001</v>
      </c>
      <c r="G541" s="9">
        <f t="shared" si="274"/>
        <v>159696.11300000001</v>
      </c>
      <c r="H541" s="9">
        <f t="shared" si="274"/>
        <v>159696.11230000001</v>
      </c>
      <c r="I541" s="9">
        <f t="shared" si="265"/>
        <v>41.480628049140648</v>
      </c>
      <c r="J541" s="9">
        <f t="shared" si="266"/>
        <v>99.999999561667479</v>
      </c>
    </row>
    <row r="542" spans="1:10" ht="25.5">
      <c r="A542" s="8" t="s">
        <v>64</v>
      </c>
      <c r="B542" s="1" t="s">
        <v>877</v>
      </c>
      <c r="C542" s="1" t="s">
        <v>65</v>
      </c>
      <c r="D542" s="9">
        <v>11718.3</v>
      </c>
      <c r="E542" s="9">
        <f>E543</f>
        <v>11718.334000000001</v>
      </c>
      <c r="F542" s="9">
        <f t="shared" ref="F542:H542" si="275">F543</f>
        <v>4209.5720000000001</v>
      </c>
      <c r="G542" s="9">
        <f t="shared" si="275"/>
        <v>4209.5720000000001</v>
      </c>
      <c r="H542" s="9">
        <f t="shared" si="275"/>
        <v>4209.5719799999997</v>
      </c>
      <c r="I542" s="9">
        <f t="shared" si="265"/>
        <v>35.922956113044734</v>
      </c>
      <c r="J542" s="9">
        <f t="shared" si="266"/>
        <v>99.999999524892303</v>
      </c>
    </row>
    <row r="543" spans="1:10" ht="25.5">
      <c r="A543" s="8" t="s">
        <v>66</v>
      </c>
      <c r="B543" s="1" t="s">
        <v>877</v>
      </c>
      <c r="C543" s="1" t="s">
        <v>67</v>
      </c>
      <c r="D543" s="9">
        <v>11718.3</v>
      </c>
      <c r="E543" s="9">
        <f>ведомство!H1995</f>
        <v>11718.334000000001</v>
      </c>
      <c r="F543" s="9">
        <f>ведомство!I1995</f>
        <v>4209.5720000000001</v>
      </c>
      <c r="G543" s="9">
        <f>ведомство!J1995</f>
        <v>4209.5720000000001</v>
      </c>
      <c r="H543" s="9">
        <f>ведомство!K1995</f>
        <v>4209.5719799999997</v>
      </c>
      <c r="I543" s="9">
        <f t="shared" si="265"/>
        <v>35.922956113044734</v>
      </c>
      <c r="J543" s="9">
        <f t="shared" si="266"/>
        <v>99.999999524892303</v>
      </c>
    </row>
    <row r="544" spans="1:10">
      <c r="A544" s="8" t="s">
        <v>68</v>
      </c>
      <c r="B544" s="1" t="s">
        <v>877</v>
      </c>
      <c r="C544" s="1" t="s">
        <v>69</v>
      </c>
      <c r="D544" s="9">
        <v>373271.3</v>
      </c>
      <c r="E544" s="9">
        <f>E545</f>
        <v>373271.28600000002</v>
      </c>
      <c r="F544" s="9">
        <f t="shared" ref="F544:H544" si="276">F545</f>
        <v>155486.541</v>
      </c>
      <c r="G544" s="9">
        <f t="shared" si="276"/>
        <v>155486.541</v>
      </c>
      <c r="H544" s="9">
        <f t="shared" si="276"/>
        <v>155486.54032</v>
      </c>
      <c r="I544" s="9">
        <f t="shared" si="265"/>
        <v>41.655103446665862</v>
      </c>
      <c r="J544" s="9">
        <f t="shared" si="266"/>
        <v>99.999999562663106</v>
      </c>
    </row>
    <row r="545" spans="1:10">
      <c r="A545" s="8" t="s">
        <v>463</v>
      </c>
      <c r="B545" s="1" t="s">
        <v>877</v>
      </c>
      <c r="C545" s="1" t="s">
        <v>464</v>
      </c>
      <c r="D545" s="9">
        <v>373271.3</v>
      </c>
      <c r="E545" s="9">
        <f>ведомство!H1997</f>
        <v>373271.28600000002</v>
      </c>
      <c r="F545" s="9">
        <f>ведомство!I1997</f>
        <v>155486.541</v>
      </c>
      <c r="G545" s="9">
        <f>ведомство!J1997</f>
        <v>155486.541</v>
      </c>
      <c r="H545" s="9">
        <f>ведомство!K1997</f>
        <v>155486.54032</v>
      </c>
      <c r="I545" s="9">
        <f t="shared" si="265"/>
        <v>41.655103446665862</v>
      </c>
      <c r="J545" s="9">
        <f t="shared" si="266"/>
        <v>99.999999562663106</v>
      </c>
    </row>
    <row r="546" spans="1:10">
      <c r="A546" s="4" t="s">
        <v>0</v>
      </c>
      <c r="B546" s="17" t="s">
        <v>0</v>
      </c>
      <c r="C546" s="5" t="s">
        <v>0</v>
      </c>
      <c r="D546" s="7" t="s">
        <v>0</v>
      </c>
      <c r="E546" s="7" t="s">
        <v>0</v>
      </c>
      <c r="F546" s="7"/>
      <c r="G546" s="7"/>
      <c r="H546" s="7"/>
      <c r="I546" s="7"/>
      <c r="J546" s="7"/>
    </row>
    <row r="547" spans="1:10">
      <c r="A547" s="4" t="s">
        <v>416</v>
      </c>
      <c r="B547" s="5" t="s">
        <v>417</v>
      </c>
      <c r="C547" s="5" t="s">
        <v>0</v>
      </c>
      <c r="D547" s="7">
        <v>345015.7</v>
      </c>
      <c r="E547" s="7">
        <f>E553+E557+E563+E548</f>
        <v>410266.7</v>
      </c>
      <c r="F547" s="7">
        <f t="shared" ref="F547:H547" si="277">F553+F557+F563+F548</f>
        <v>246924.00599999996</v>
      </c>
      <c r="G547" s="7">
        <f t="shared" si="277"/>
        <v>246924.00599999996</v>
      </c>
      <c r="H547" s="7">
        <f t="shared" si="277"/>
        <v>203001.43209999998</v>
      </c>
      <c r="I547" s="7">
        <f t="shared" si="265"/>
        <v>49.480358045144776</v>
      </c>
      <c r="J547" s="7">
        <f t="shared" si="266"/>
        <v>82.212108651760659</v>
      </c>
    </row>
    <row r="548" spans="1:10" ht="25.5">
      <c r="A548" s="8" t="s">
        <v>1192</v>
      </c>
      <c r="B548" s="25" t="s">
        <v>1191</v>
      </c>
      <c r="C548" s="6"/>
      <c r="D548" s="7"/>
      <c r="E548" s="23">
        <f>E549+E551</f>
        <v>65251</v>
      </c>
      <c r="F548" s="23">
        <f t="shared" ref="F548:H548" si="278">F549+F551</f>
        <v>20555.400000000001</v>
      </c>
      <c r="G548" s="23">
        <f t="shared" si="278"/>
        <v>20555.400000000001</v>
      </c>
      <c r="H548" s="23">
        <f t="shared" si="278"/>
        <v>20406.286500000002</v>
      </c>
      <c r="I548" s="9">
        <f t="shared" ref="I548:I552" si="279">H548/E548*100</f>
        <v>31.273523011141595</v>
      </c>
      <c r="J548" s="9">
        <f t="shared" ref="J548:J552" si="280">H548/F548*100</f>
        <v>99.274577483289065</v>
      </c>
    </row>
    <row r="549" spans="1:10">
      <c r="A549" s="8" t="s">
        <v>68</v>
      </c>
      <c r="B549" s="25" t="s">
        <v>1191</v>
      </c>
      <c r="C549" s="1">
        <v>300</v>
      </c>
      <c r="D549" s="7"/>
      <c r="E549" s="23">
        <f>E550</f>
        <v>55933.262000000002</v>
      </c>
      <c r="F549" s="23">
        <f t="shared" ref="F549:H549" si="281">F550</f>
        <v>11237.6621</v>
      </c>
      <c r="G549" s="23">
        <f t="shared" si="281"/>
        <v>11237.6621</v>
      </c>
      <c r="H549" s="23">
        <f t="shared" si="281"/>
        <v>11088.5486</v>
      </c>
      <c r="I549" s="9">
        <f t="shared" si="279"/>
        <v>19.824605616600728</v>
      </c>
      <c r="J549" s="9">
        <f t="shared" si="280"/>
        <v>98.67309144310363</v>
      </c>
    </row>
    <row r="550" spans="1:10" ht="25.5">
      <c r="A550" s="8" t="s">
        <v>151</v>
      </c>
      <c r="B550" s="25" t="s">
        <v>1191</v>
      </c>
      <c r="C550" s="1">
        <v>320</v>
      </c>
      <c r="D550" s="7"/>
      <c r="E550" s="23">
        <f>ведомство!H1704</f>
        <v>55933.262000000002</v>
      </c>
      <c r="F550" s="23">
        <f>ведомство!I1704</f>
        <v>11237.6621</v>
      </c>
      <c r="G550" s="23">
        <f>ведомство!J1704</f>
        <v>11237.6621</v>
      </c>
      <c r="H550" s="23">
        <f>ведомство!K1704</f>
        <v>11088.5486</v>
      </c>
      <c r="I550" s="9">
        <f t="shared" si="279"/>
        <v>19.824605616600728</v>
      </c>
      <c r="J550" s="9">
        <f t="shared" si="280"/>
        <v>98.67309144310363</v>
      </c>
    </row>
    <row r="551" spans="1:10" ht="25.5">
      <c r="A551" s="8" t="s">
        <v>80</v>
      </c>
      <c r="B551" s="25" t="s">
        <v>1191</v>
      </c>
      <c r="C551" s="1">
        <v>600</v>
      </c>
      <c r="D551" s="7"/>
      <c r="E551" s="23">
        <f>E552</f>
        <v>9317.7379999999994</v>
      </c>
      <c r="F551" s="23">
        <f t="shared" ref="F551:H551" si="282">F552</f>
        <v>9317.7379000000001</v>
      </c>
      <c r="G551" s="23">
        <f t="shared" si="282"/>
        <v>9317.7379000000001</v>
      </c>
      <c r="H551" s="23">
        <f t="shared" si="282"/>
        <v>9317.7379000000001</v>
      </c>
      <c r="I551" s="9">
        <f t="shared" si="279"/>
        <v>99.999998926778161</v>
      </c>
      <c r="J551" s="9">
        <f t="shared" si="280"/>
        <v>100</v>
      </c>
    </row>
    <row r="552" spans="1:10">
      <c r="A552" s="8" t="s">
        <v>82</v>
      </c>
      <c r="B552" s="25" t="s">
        <v>1191</v>
      </c>
      <c r="C552" s="1">
        <v>620</v>
      </c>
      <c r="D552" s="7"/>
      <c r="E552" s="23">
        <f>ведомство!H1706</f>
        <v>9317.7379999999994</v>
      </c>
      <c r="F552" s="23">
        <f>ведомство!I1706</f>
        <v>9317.7379000000001</v>
      </c>
      <c r="G552" s="23">
        <f>ведомство!J1706</f>
        <v>9317.7379000000001</v>
      </c>
      <c r="H552" s="23">
        <f>ведомство!K1706</f>
        <v>9317.7379000000001</v>
      </c>
      <c r="I552" s="9">
        <f t="shared" si="279"/>
        <v>99.999998926778161</v>
      </c>
      <c r="J552" s="9">
        <f t="shared" si="280"/>
        <v>100</v>
      </c>
    </row>
    <row r="553" spans="1:10" ht="25.5">
      <c r="A553" s="8" t="s">
        <v>76</v>
      </c>
      <c r="B553" s="1" t="s">
        <v>761</v>
      </c>
      <c r="C553" s="1" t="s">
        <v>0</v>
      </c>
      <c r="D553" s="9">
        <v>28009</v>
      </c>
      <c r="E553" s="9">
        <f>E554</f>
        <v>28009</v>
      </c>
      <c r="F553" s="9">
        <f t="shared" ref="F553:H553" si="283">F554</f>
        <v>16698</v>
      </c>
      <c r="G553" s="9">
        <f t="shared" si="283"/>
        <v>16698</v>
      </c>
      <c r="H553" s="9">
        <f t="shared" si="283"/>
        <v>16698</v>
      </c>
      <c r="I553" s="9">
        <f t="shared" si="265"/>
        <v>59.616551822628438</v>
      </c>
      <c r="J553" s="9">
        <f t="shared" si="266"/>
        <v>100</v>
      </c>
    </row>
    <row r="554" spans="1:10" ht="25.5">
      <c r="A554" s="8" t="s">
        <v>80</v>
      </c>
      <c r="B554" s="1" t="s">
        <v>761</v>
      </c>
      <c r="C554" s="1" t="s">
        <v>81</v>
      </c>
      <c r="D554" s="9">
        <v>28009</v>
      </c>
      <c r="E554" s="9">
        <f>E555+E556</f>
        <v>28009</v>
      </c>
      <c r="F554" s="9">
        <f t="shared" ref="F554:H554" si="284">F555+F556</f>
        <v>16698</v>
      </c>
      <c r="G554" s="9">
        <f t="shared" si="284"/>
        <v>16698</v>
      </c>
      <c r="H554" s="9">
        <f t="shared" si="284"/>
        <v>16698</v>
      </c>
      <c r="I554" s="9">
        <f t="shared" si="265"/>
        <v>59.616551822628438</v>
      </c>
      <c r="J554" s="9">
        <f t="shared" si="266"/>
        <v>100</v>
      </c>
    </row>
    <row r="555" spans="1:10">
      <c r="A555" s="8" t="s">
        <v>271</v>
      </c>
      <c r="B555" s="1" t="s">
        <v>761</v>
      </c>
      <c r="C555" s="1" t="s">
        <v>272</v>
      </c>
      <c r="D555" s="9">
        <v>778</v>
      </c>
      <c r="E555" s="9">
        <f>ведомство!H1709</f>
        <v>778</v>
      </c>
      <c r="F555" s="9">
        <f>ведомство!I1709</f>
        <v>778</v>
      </c>
      <c r="G555" s="9">
        <f>ведомство!J1709</f>
        <v>778</v>
      </c>
      <c r="H555" s="9">
        <f>ведомство!K1709</f>
        <v>778</v>
      </c>
      <c r="I555" s="9">
        <f t="shared" si="265"/>
        <v>100</v>
      </c>
      <c r="J555" s="9">
        <f t="shared" si="266"/>
        <v>100</v>
      </c>
    </row>
    <row r="556" spans="1:10">
      <c r="A556" s="8" t="s">
        <v>82</v>
      </c>
      <c r="B556" s="1" t="s">
        <v>761</v>
      </c>
      <c r="C556" s="1" t="s">
        <v>83</v>
      </c>
      <c r="D556" s="9">
        <v>27231</v>
      </c>
      <c r="E556" s="9">
        <f>ведомство!H1710</f>
        <v>27231</v>
      </c>
      <c r="F556" s="9">
        <f>ведомство!I1710</f>
        <v>15920</v>
      </c>
      <c r="G556" s="9">
        <f>ведомство!J1710</f>
        <v>15920</v>
      </c>
      <c r="H556" s="9">
        <f>ведомство!K1710</f>
        <v>15920</v>
      </c>
      <c r="I556" s="9">
        <f t="shared" si="265"/>
        <v>58.462781388858289</v>
      </c>
      <c r="J556" s="9">
        <f t="shared" si="266"/>
        <v>100</v>
      </c>
    </row>
    <row r="557" spans="1:10">
      <c r="A557" s="8" t="s">
        <v>418</v>
      </c>
      <c r="B557" s="1" t="s">
        <v>419</v>
      </c>
      <c r="C557" s="1" t="s">
        <v>0</v>
      </c>
      <c r="D557" s="9">
        <v>117307.7</v>
      </c>
      <c r="E557" s="9">
        <f>E558+E560</f>
        <v>117307.7</v>
      </c>
      <c r="F557" s="9">
        <f t="shared" ref="F557:H557" si="285">F558+F560</f>
        <v>76180.895999999993</v>
      </c>
      <c r="G557" s="9">
        <f t="shared" si="285"/>
        <v>76180.895999999993</v>
      </c>
      <c r="H557" s="9">
        <f t="shared" si="285"/>
        <v>56240.9162</v>
      </c>
      <c r="I557" s="9">
        <f t="shared" si="265"/>
        <v>47.943072961109969</v>
      </c>
      <c r="J557" s="9">
        <f t="shared" si="266"/>
        <v>73.82548532902527</v>
      </c>
    </row>
    <row r="558" spans="1:10">
      <c r="A558" s="8" t="s">
        <v>68</v>
      </c>
      <c r="B558" s="1" t="s">
        <v>419</v>
      </c>
      <c r="C558" s="1" t="s">
        <v>69</v>
      </c>
      <c r="D558" s="9">
        <v>73547.7</v>
      </c>
      <c r="E558" s="9">
        <f>E559</f>
        <v>73547.7</v>
      </c>
      <c r="F558" s="9">
        <f t="shared" ref="F558:H558" si="286">F559</f>
        <v>45710.7</v>
      </c>
      <c r="G558" s="9">
        <f t="shared" si="286"/>
        <v>45710.7</v>
      </c>
      <c r="H558" s="9">
        <f t="shared" si="286"/>
        <v>25770.7202</v>
      </c>
      <c r="I558" s="9">
        <f t="shared" si="265"/>
        <v>35.039464456400403</v>
      </c>
      <c r="J558" s="9">
        <f t="shared" si="266"/>
        <v>56.37787257688025</v>
      </c>
    </row>
    <row r="559" spans="1:10" ht="25.5">
      <c r="A559" s="8" t="s">
        <v>151</v>
      </c>
      <c r="B559" s="1" t="s">
        <v>419</v>
      </c>
      <c r="C559" s="1" t="s">
        <v>152</v>
      </c>
      <c r="D559" s="9">
        <v>73547.7</v>
      </c>
      <c r="E559" s="9">
        <f>ведомство!H1713</f>
        <v>73547.7</v>
      </c>
      <c r="F559" s="9">
        <f>ведомство!I1713</f>
        <v>45710.7</v>
      </c>
      <c r="G559" s="9">
        <f>ведомство!J1713</f>
        <v>45710.7</v>
      </c>
      <c r="H559" s="9">
        <f>ведомство!K1713</f>
        <v>25770.7202</v>
      </c>
      <c r="I559" s="9">
        <f t="shared" si="265"/>
        <v>35.039464456400403</v>
      </c>
      <c r="J559" s="9">
        <f t="shared" si="266"/>
        <v>56.37787257688025</v>
      </c>
    </row>
    <row r="560" spans="1:10" ht="25.5">
      <c r="A560" s="8" t="s">
        <v>80</v>
      </c>
      <c r="B560" s="1" t="s">
        <v>419</v>
      </c>
      <c r="C560" s="1" t="s">
        <v>81</v>
      </c>
      <c r="D560" s="9">
        <v>43760</v>
      </c>
      <c r="E560" s="9">
        <f>E561+E562</f>
        <v>43760</v>
      </c>
      <c r="F560" s="9">
        <f t="shared" ref="F560:H560" si="287">F561+F562</f>
        <v>30470.196</v>
      </c>
      <c r="G560" s="9">
        <f t="shared" si="287"/>
        <v>30470.196</v>
      </c>
      <c r="H560" s="9">
        <f t="shared" si="287"/>
        <v>30470.196</v>
      </c>
      <c r="I560" s="9">
        <f t="shared" si="265"/>
        <v>69.630246800731271</v>
      </c>
      <c r="J560" s="9">
        <f t="shared" si="266"/>
        <v>100</v>
      </c>
    </row>
    <row r="561" spans="1:10">
      <c r="A561" s="8" t="s">
        <v>271</v>
      </c>
      <c r="B561" s="1" t="s">
        <v>419</v>
      </c>
      <c r="C561" s="1" t="s">
        <v>272</v>
      </c>
      <c r="D561" s="9">
        <v>41760</v>
      </c>
      <c r="E561" s="9">
        <f>ведомство!H939</f>
        <v>41760</v>
      </c>
      <c r="F561" s="9">
        <f>ведомство!I939</f>
        <v>28470.196</v>
      </c>
      <c r="G561" s="9">
        <f>ведомство!J939</f>
        <v>28470.196</v>
      </c>
      <c r="H561" s="9">
        <f>ведомство!K939</f>
        <v>28470.196</v>
      </c>
      <c r="I561" s="9">
        <f t="shared" si="265"/>
        <v>68.175756704980842</v>
      </c>
      <c r="J561" s="9">
        <f t="shared" si="266"/>
        <v>100</v>
      </c>
    </row>
    <row r="562" spans="1:10">
      <c r="A562" s="8" t="s">
        <v>82</v>
      </c>
      <c r="B562" s="1" t="s">
        <v>419</v>
      </c>
      <c r="C562" s="1" t="s">
        <v>83</v>
      </c>
      <c r="D562" s="9">
        <v>2000</v>
      </c>
      <c r="E562" s="9">
        <f>ведомство!H940</f>
        <v>2000</v>
      </c>
      <c r="F562" s="9">
        <f>ведомство!I940</f>
        <v>2000</v>
      </c>
      <c r="G562" s="9">
        <f>ведомство!J940</f>
        <v>2000</v>
      </c>
      <c r="H562" s="9">
        <f>ведомство!K940</f>
        <v>2000</v>
      </c>
      <c r="I562" s="9">
        <f t="shared" si="265"/>
        <v>100</v>
      </c>
      <c r="J562" s="9">
        <f t="shared" si="266"/>
        <v>100</v>
      </c>
    </row>
    <row r="563" spans="1:10">
      <c r="A563" s="8" t="s">
        <v>762</v>
      </c>
      <c r="B563" s="1" t="s">
        <v>763</v>
      </c>
      <c r="C563" s="1" t="s">
        <v>0</v>
      </c>
      <c r="D563" s="9">
        <v>199699</v>
      </c>
      <c r="E563" s="9">
        <f>E564</f>
        <v>199699</v>
      </c>
      <c r="F563" s="9">
        <f t="shared" ref="F563:H564" si="288">F564</f>
        <v>133489.71</v>
      </c>
      <c r="G563" s="9">
        <f t="shared" si="288"/>
        <v>133489.71</v>
      </c>
      <c r="H563" s="9">
        <f t="shared" si="288"/>
        <v>109656.2294</v>
      </c>
      <c r="I563" s="9">
        <f t="shared" si="265"/>
        <v>54.910755386857211</v>
      </c>
      <c r="J563" s="9">
        <f t="shared" si="266"/>
        <v>82.145829367671865</v>
      </c>
    </row>
    <row r="564" spans="1:10">
      <c r="A564" s="8" t="s">
        <v>26</v>
      </c>
      <c r="B564" s="1" t="s">
        <v>763</v>
      </c>
      <c r="C564" s="1" t="s">
        <v>27</v>
      </c>
      <c r="D564" s="9">
        <v>199699</v>
      </c>
      <c r="E564" s="9">
        <f>E565</f>
        <v>199699</v>
      </c>
      <c r="F564" s="9">
        <f t="shared" si="288"/>
        <v>133489.71</v>
      </c>
      <c r="G564" s="9">
        <f t="shared" si="288"/>
        <v>133489.71</v>
      </c>
      <c r="H564" s="9">
        <f t="shared" si="288"/>
        <v>109656.2294</v>
      </c>
      <c r="I564" s="9">
        <f t="shared" si="265"/>
        <v>54.910755386857211</v>
      </c>
      <c r="J564" s="9">
        <f t="shared" si="266"/>
        <v>82.145829367671865</v>
      </c>
    </row>
    <row r="565" spans="1:10">
      <c r="A565" s="8" t="s">
        <v>56</v>
      </c>
      <c r="B565" s="1" t="s">
        <v>763</v>
      </c>
      <c r="C565" s="1" t="s">
        <v>57</v>
      </c>
      <c r="D565" s="9">
        <v>199699</v>
      </c>
      <c r="E565" s="9">
        <f>ведомство!H1716</f>
        <v>199699</v>
      </c>
      <c r="F565" s="9">
        <f>ведомство!I1716</f>
        <v>133489.71</v>
      </c>
      <c r="G565" s="9">
        <f>ведомство!J1716</f>
        <v>133489.71</v>
      </c>
      <c r="H565" s="9">
        <f>ведомство!K1716</f>
        <v>109656.2294</v>
      </c>
      <c r="I565" s="9">
        <f t="shared" si="265"/>
        <v>54.910755386857211</v>
      </c>
      <c r="J565" s="9">
        <f t="shared" si="266"/>
        <v>82.145829367671865</v>
      </c>
    </row>
    <row r="566" spans="1:10">
      <c r="A566" s="4" t="s">
        <v>0</v>
      </c>
      <c r="B566" s="17" t="s">
        <v>0</v>
      </c>
      <c r="C566" s="5" t="s">
        <v>0</v>
      </c>
      <c r="D566" s="7" t="s">
        <v>0</v>
      </c>
      <c r="E566" s="7" t="s">
        <v>0</v>
      </c>
      <c r="F566" s="7"/>
      <c r="G566" s="7"/>
      <c r="H566" s="7"/>
      <c r="I566" s="7"/>
      <c r="J566" s="7"/>
    </row>
    <row r="567" spans="1:10">
      <c r="A567" s="4" t="s">
        <v>778</v>
      </c>
      <c r="B567" s="5" t="s">
        <v>779</v>
      </c>
      <c r="C567" s="5" t="s">
        <v>0</v>
      </c>
      <c r="D567" s="7">
        <v>22466.2</v>
      </c>
      <c r="E567" s="7">
        <f>E568</f>
        <v>22466.2</v>
      </c>
      <c r="F567" s="7">
        <f t="shared" ref="F567:H569" si="289">F568</f>
        <v>12900.6</v>
      </c>
      <c r="G567" s="7">
        <f t="shared" si="289"/>
        <v>12900.6</v>
      </c>
      <c r="H567" s="7">
        <f t="shared" si="289"/>
        <v>12900.6</v>
      </c>
      <c r="I567" s="7">
        <f t="shared" si="265"/>
        <v>57.422260996519213</v>
      </c>
      <c r="J567" s="7">
        <f t="shared" si="266"/>
        <v>100</v>
      </c>
    </row>
    <row r="568" spans="1:10" ht="25.5">
      <c r="A568" s="8" t="s">
        <v>76</v>
      </c>
      <c r="B568" s="1" t="s">
        <v>780</v>
      </c>
      <c r="C568" s="1" t="s">
        <v>0</v>
      </c>
      <c r="D568" s="9">
        <v>22466.2</v>
      </c>
      <c r="E568" s="9">
        <f>E569</f>
        <v>22466.2</v>
      </c>
      <c r="F568" s="9">
        <f t="shared" si="289"/>
        <v>12900.6</v>
      </c>
      <c r="G568" s="9">
        <f t="shared" si="289"/>
        <v>12900.6</v>
      </c>
      <c r="H568" s="9">
        <f t="shared" si="289"/>
        <v>12900.6</v>
      </c>
      <c r="I568" s="9">
        <f t="shared" si="265"/>
        <v>57.422260996519213</v>
      </c>
      <c r="J568" s="9">
        <f t="shared" si="266"/>
        <v>100</v>
      </c>
    </row>
    <row r="569" spans="1:10" ht="25.5">
      <c r="A569" s="8" t="s">
        <v>80</v>
      </c>
      <c r="B569" s="1" t="s">
        <v>780</v>
      </c>
      <c r="C569" s="1" t="s">
        <v>81</v>
      </c>
      <c r="D569" s="9">
        <v>22466.2</v>
      </c>
      <c r="E569" s="9">
        <f>E570</f>
        <v>22466.2</v>
      </c>
      <c r="F569" s="9">
        <f t="shared" si="289"/>
        <v>12900.6</v>
      </c>
      <c r="G569" s="9">
        <f t="shared" si="289"/>
        <v>12900.6</v>
      </c>
      <c r="H569" s="9">
        <f t="shared" si="289"/>
        <v>12900.6</v>
      </c>
      <c r="I569" s="9">
        <f t="shared" si="265"/>
        <v>57.422260996519213</v>
      </c>
      <c r="J569" s="9">
        <f t="shared" si="266"/>
        <v>100</v>
      </c>
    </row>
    <row r="570" spans="1:10">
      <c r="A570" s="8" t="s">
        <v>271</v>
      </c>
      <c r="B570" s="1" t="s">
        <v>780</v>
      </c>
      <c r="C570" s="1" t="s">
        <v>272</v>
      </c>
      <c r="D570" s="9">
        <v>22466.2</v>
      </c>
      <c r="E570" s="9">
        <f>ведомство!H1757</f>
        <v>22466.2</v>
      </c>
      <c r="F570" s="9">
        <f>ведомство!I1757</f>
        <v>12900.6</v>
      </c>
      <c r="G570" s="9">
        <f>ведомство!J1757</f>
        <v>12900.6</v>
      </c>
      <c r="H570" s="9">
        <f>ведомство!K1757</f>
        <v>12900.6</v>
      </c>
      <c r="I570" s="9">
        <f t="shared" si="265"/>
        <v>57.422260996519213</v>
      </c>
      <c r="J570" s="9">
        <f t="shared" si="266"/>
        <v>100</v>
      </c>
    </row>
    <row r="571" spans="1:10">
      <c r="A571" s="4" t="s">
        <v>0</v>
      </c>
      <c r="B571" s="17" t="s">
        <v>0</v>
      </c>
      <c r="C571" s="5" t="s">
        <v>0</v>
      </c>
      <c r="D571" s="7" t="s">
        <v>0</v>
      </c>
      <c r="E571" s="7" t="s">
        <v>0</v>
      </c>
      <c r="F571" s="7"/>
      <c r="G571" s="7"/>
      <c r="H571" s="7"/>
      <c r="I571" s="7"/>
      <c r="J571" s="7"/>
    </row>
    <row r="572" spans="1:10" ht="25.5">
      <c r="A572" s="4" t="s">
        <v>781</v>
      </c>
      <c r="B572" s="5" t="s">
        <v>782</v>
      </c>
      <c r="C572" s="5" t="s">
        <v>0</v>
      </c>
      <c r="D572" s="7">
        <v>83758.2</v>
      </c>
      <c r="E572" s="7">
        <f>E573+E577+E580+E585</f>
        <v>83758.19</v>
      </c>
      <c r="F572" s="7">
        <f t="shared" ref="F572:H572" si="290">F573+F577+F580+F585</f>
        <v>21409.563409999999</v>
      </c>
      <c r="G572" s="7">
        <f t="shared" si="290"/>
        <v>21309.563409999999</v>
      </c>
      <c r="H572" s="7">
        <f t="shared" si="290"/>
        <v>21309.546849999999</v>
      </c>
      <c r="I572" s="7">
        <f t="shared" si="265"/>
        <v>25.441747069749237</v>
      </c>
      <c r="J572" s="7">
        <f t="shared" si="266"/>
        <v>99.532841664798809</v>
      </c>
    </row>
    <row r="573" spans="1:10" ht="25.5">
      <c r="A573" s="8" t="s">
        <v>76</v>
      </c>
      <c r="B573" s="1" t="s">
        <v>783</v>
      </c>
      <c r="C573" s="1" t="s">
        <v>0</v>
      </c>
      <c r="D573" s="9">
        <v>20582.900000000001</v>
      </c>
      <c r="E573" s="9">
        <f>E574</f>
        <v>20582.900000000001</v>
      </c>
      <c r="F573" s="9">
        <f t="shared" ref="F573:H573" si="291">F574</f>
        <v>14782.05</v>
      </c>
      <c r="G573" s="9">
        <f t="shared" si="291"/>
        <v>14782.05</v>
      </c>
      <c r="H573" s="9">
        <f t="shared" si="291"/>
        <v>14782.05</v>
      </c>
      <c r="I573" s="9">
        <f t="shared" si="265"/>
        <v>71.817139470142692</v>
      </c>
      <c r="J573" s="9">
        <f t="shared" si="266"/>
        <v>100</v>
      </c>
    </row>
    <row r="574" spans="1:10" ht="25.5">
      <c r="A574" s="8" t="s">
        <v>80</v>
      </c>
      <c r="B574" s="1" t="s">
        <v>783</v>
      </c>
      <c r="C574" s="1" t="s">
        <v>81</v>
      </c>
      <c r="D574" s="9">
        <v>20582.900000000001</v>
      </c>
      <c r="E574" s="9">
        <f>E575+E576</f>
        <v>20582.900000000001</v>
      </c>
      <c r="F574" s="9">
        <f t="shared" ref="F574:H574" si="292">F575+F576</f>
        <v>14782.05</v>
      </c>
      <c r="G574" s="9">
        <f t="shared" si="292"/>
        <v>14782.05</v>
      </c>
      <c r="H574" s="9">
        <f t="shared" si="292"/>
        <v>14782.05</v>
      </c>
      <c r="I574" s="9">
        <f t="shared" si="265"/>
        <v>71.817139470142692</v>
      </c>
      <c r="J574" s="9">
        <f t="shared" si="266"/>
        <v>100</v>
      </c>
    </row>
    <row r="575" spans="1:10">
      <c r="A575" s="8" t="s">
        <v>271</v>
      </c>
      <c r="B575" s="1" t="s">
        <v>783</v>
      </c>
      <c r="C575" s="1" t="s">
        <v>272</v>
      </c>
      <c r="D575" s="9">
        <v>20182.900000000001</v>
      </c>
      <c r="E575" s="9">
        <f>ведомство!H1761</f>
        <v>20182.900000000001</v>
      </c>
      <c r="F575" s="9">
        <f>ведомство!I1761</f>
        <v>14382.05</v>
      </c>
      <c r="G575" s="9">
        <f>ведомство!J1761</f>
        <v>14382.05</v>
      </c>
      <c r="H575" s="9">
        <f>ведомство!K1761</f>
        <v>14382.05</v>
      </c>
      <c r="I575" s="9">
        <f t="shared" si="265"/>
        <v>71.258590192687862</v>
      </c>
      <c r="J575" s="9">
        <f t="shared" si="266"/>
        <v>100</v>
      </c>
    </row>
    <row r="576" spans="1:10">
      <c r="A576" s="8" t="s">
        <v>82</v>
      </c>
      <c r="B576" s="1" t="s">
        <v>783</v>
      </c>
      <c r="C576" s="1" t="s">
        <v>83</v>
      </c>
      <c r="D576" s="9">
        <v>400</v>
      </c>
      <c r="E576" s="9">
        <f>ведомство!H1762</f>
        <v>400</v>
      </c>
      <c r="F576" s="9">
        <f>ведомство!I1762</f>
        <v>400</v>
      </c>
      <c r="G576" s="9">
        <f>ведомство!J1762</f>
        <v>400</v>
      </c>
      <c r="H576" s="9">
        <f>ведомство!K1762</f>
        <v>400</v>
      </c>
      <c r="I576" s="9">
        <f t="shared" si="265"/>
        <v>100</v>
      </c>
      <c r="J576" s="9">
        <f t="shared" si="266"/>
        <v>100</v>
      </c>
    </row>
    <row r="577" spans="1:10" ht="25.5">
      <c r="A577" s="8" t="s">
        <v>880</v>
      </c>
      <c r="B577" s="1" t="s">
        <v>881</v>
      </c>
      <c r="C577" s="1" t="s">
        <v>0</v>
      </c>
      <c r="D577" s="9">
        <v>520</v>
      </c>
      <c r="E577" s="9">
        <f>E578</f>
        <v>520</v>
      </c>
      <c r="F577" s="9">
        <f t="shared" ref="F577:H578" si="293">F578</f>
        <v>270</v>
      </c>
      <c r="G577" s="9">
        <f t="shared" si="293"/>
        <v>170</v>
      </c>
      <c r="H577" s="9">
        <f t="shared" si="293"/>
        <v>170</v>
      </c>
      <c r="I577" s="9">
        <f t="shared" si="265"/>
        <v>32.692307692307693</v>
      </c>
      <c r="J577" s="9">
        <f t="shared" si="266"/>
        <v>62.962962962962962</v>
      </c>
    </row>
    <row r="578" spans="1:10" ht="25.5">
      <c r="A578" s="8" t="s">
        <v>80</v>
      </c>
      <c r="B578" s="1" t="s">
        <v>881</v>
      </c>
      <c r="C578" s="1" t="s">
        <v>81</v>
      </c>
      <c r="D578" s="9">
        <v>520</v>
      </c>
      <c r="E578" s="9">
        <f>E579</f>
        <v>520</v>
      </c>
      <c r="F578" s="9">
        <f t="shared" si="293"/>
        <v>270</v>
      </c>
      <c r="G578" s="9">
        <f t="shared" si="293"/>
        <v>170</v>
      </c>
      <c r="H578" s="9">
        <f t="shared" si="293"/>
        <v>170</v>
      </c>
      <c r="I578" s="9">
        <f t="shared" si="265"/>
        <v>32.692307692307693</v>
      </c>
      <c r="J578" s="9">
        <f t="shared" si="266"/>
        <v>62.962962962962962</v>
      </c>
    </row>
    <row r="579" spans="1:10">
      <c r="A579" s="8" t="s">
        <v>271</v>
      </c>
      <c r="B579" s="1" t="s">
        <v>881</v>
      </c>
      <c r="C579" s="1" t="s">
        <v>272</v>
      </c>
      <c r="D579" s="9">
        <v>520</v>
      </c>
      <c r="E579" s="9">
        <f>ведомство!H2007</f>
        <v>520</v>
      </c>
      <c r="F579" s="9">
        <f>ведомство!I2007</f>
        <v>270</v>
      </c>
      <c r="G579" s="9">
        <f>ведомство!J2007</f>
        <v>170</v>
      </c>
      <c r="H579" s="9">
        <f>ведомство!K2007</f>
        <v>170</v>
      </c>
      <c r="I579" s="9">
        <f t="shared" si="265"/>
        <v>32.692307692307693</v>
      </c>
      <c r="J579" s="9">
        <f t="shared" si="266"/>
        <v>62.962962962962962</v>
      </c>
    </row>
    <row r="580" spans="1:10" ht="76.5">
      <c r="A580" s="8" t="s">
        <v>852</v>
      </c>
      <c r="B580" s="1" t="s">
        <v>853</v>
      </c>
      <c r="C580" s="1" t="s">
        <v>0</v>
      </c>
      <c r="D580" s="9">
        <v>59592.2</v>
      </c>
      <c r="E580" s="9">
        <f>E581+E583</f>
        <v>59592.19</v>
      </c>
      <c r="F580" s="9">
        <f t="shared" ref="F580:H580" si="294">F581+F583</f>
        <v>4644.5784100000001</v>
      </c>
      <c r="G580" s="9">
        <f t="shared" si="294"/>
        <v>4644.5784100000001</v>
      </c>
      <c r="H580" s="9">
        <f t="shared" si="294"/>
        <v>4644.5784100000001</v>
      </c>
      <c r="I580" s="9">
        <f t="shared" si="265"/>
        <v>7.7939381150449405</v>
      </c>
      <c r="J580" s="9">
        <f t="shared" si="266"/>
        <v>100</v>
      </c>
    </row>
    <row r="581" spans="1:10" ht="25.5">
      <c r="A581" s="8" t="s">
        <v>64</v>
      </c>
      <c r="B581" s="1" t="s">
        <v>853</v>
      </c>
      <c r="C581" s="1" t="s">
        <v>65</v>
      </c>
      <c r="D581" s="9">
        <v>811.2</v>
      </c>
      <c r="E581" s="9">
        <f>E582</f>
        <v>811.19</v>
      </c>
      <c r="F581" s="9">
        <f t="shared" ref="F581:H581" si="295">F582</f>
        <v>69.542509999999993</v>
      </c>
      <c r="G581" s="9">
        <f t="shared" si="295"/>
        <v>69.542509999999993</v>
      </c>
      <c r="H581" s="9">
        <f t="shared" si="295"/>
        <v>69.542509999999993</v>
      </c>
      <c r="I581" s="9">
        <f t="shared" si="265"/>
        <v>8.5729003069564449</v>
      </c>
      <c r="J581" s="9">
        <f t="shared" si="266"/>
        <v>100</v>
      </c>
    </row>
    <row r="582" spans="1:10" ht="25.5">
      <c r="A582" s="8" t="s">
        <v>66</v>
      </c>
      <c r="B582" s="1" t="s">
        <v>853</v>
      </c>
      <c r="C582" s="1" t="s">
        <v>67</v>
      </c>
      <c r="D582" s="9">
        <v>811.2</v>
      </c>
      <c r="E582" s="9">
        <f>ведомство!H1933</f>
        <v>811.19</v>
      </c>
      <c r="F582" s="9">
        <f>ведомство!I1933</f>
        <v>69.542509999999993</v>
      </c>
      <c r="G582" s="9">
        <f>ведомство!J1933</f>
        <v>69.542509999999993</v>
      </c>
      <c r="H582" s="9">
        <f>ведомство!K1933</f>
        <v>69.542509999999993</v>
      </c>
      <c r="I582" s="9">
        <f t="shared" si="265"/>
        <v>8.5729003069564449</v>
      </c>
      <c r="J582" s="9">
        <f t="shared" si="266"/>
        <v>100</v>
      </c>
    </row>
    <row r="583" spans="1:10">
      <c r="A583" s="8" t="s">
        <v>68</v>
      </c>
      <c r="B583" s="1" t="s">
        <v>853</v>
      </c>
      <c r="C583" s="1" t="s">
        <v>69</v>
      </c>
      <c r="D583" s="9">
        <v>58781</v>
      </c>
      <c r="E583" s="9">
        <f>E584</f>
        <v>58781</v>
      </c>
      <c r="F583" s="9">
        <f t="shared" ref="F583:H583" si="296">F584</f>
        <v>4575.0358999999999</v>
      </c>
      <c r="G583" s="9">
        <f t="shared" si="296"/>
        <v>4575.0358999999999</v>
      </c>
      <c r="H583" s="9">
        <f t="shared" si="296"/>
        <v>4575.0358999999999</v>
      </c>
      <c r="I583" s="9">
        <f t="shared" si="265"/>
        <v>7.7831882751229138</v>
      </c>
      <c r="J583" s="9">
        <f t="shared" si="266"/>
        <v>100</v>
      </c>
    </row>
    <row r="584" spans="1:10" ht="25.5">
      <c r="A584" s="8" t="s">
        <v>151</v>
      </c>
      <c r="B584" s="1" t="s">
        <v>853</v>
      </c>
      <c r="C584" s="1" t="s">
        <v>152</v>
      </c>
      <c r="D584" s="9">
        <v>58781</v>
      </c>
      <c r="E584" s="9">
        <f>ведомство!H1935</f>
        <v>58781</v>
      </c>
      <c r="F584" s="9">
        <f>ведомство!I1935</f>
        <v>4575.0358999999999</v>
      </c>
      <c r="G584" s="9">
        <f>ведомство!J1935</f>
        <v>4575.0358999999999</v>
      </c>
      <c r="H584" s="9">
        <f>ведомство!K1935</f>
        <v>4575.0358999999999</v>
      </c>
      <c r="I584" s="9">
        <f t="shared" si="265"/>
        <v>7.7831882751229138</v>
      </c>
      <c r="J584" s="9">
        <f t="shared" si="266"/>
        <v>100</v>
      </c>
    </row>
    <row r="585" spans="1:10" ht="25.5">
      <c r="A585" s="8" t="s">
        <v>882</v>
      </c>
      <c r="B585" s="1" t="s">
        <v>883</v>
      </c>
      <c r="C585" s="1" t="s">
        <v>0</v>
      </c>
      <c r="D585" s="9">
        <v>3063.1</v>
      </c>
      <c r="E585" s="9">
        <f>E586</f>
        <v>3063.1</v>
      </c>
      <c r="F585" s="9">
        <f t="shared" ref="F585:H586" si="297">F586</f>
        <v>1712.9349999999999</v>
      </c>
      <c r="G585" s="9">
        <f t="shared" si="297"/>
        <v>1712.9349999999999</v>
      </c>
      <c r="H585" s="9">
        <f t="shared" si="297"/>
        <v>1712.9184399999999</v>
      </c>
      <c r="I585" s="9">
        <f t="shared" si="265"/>
        <v>55.92107472821651</v>
      </c>
      <c r="J585" s="9">
        <f t="shared" si="266"/>
        <v>99.999033238272318</v>
      </c>
    </row>
    <row r="586" spans="1:10">
      <c r="A586" s="8" t="s">
        <v>26</v>
      </c>
      <c r="B586" s="1" t="s">
        <v>883</v>
      </c>
      <c r="C586" s="1" t="s">
        <v>27</v>
      </c>
      <c r="D586" s="9">
        <v>3063.1</v>
      </c>
      <c r="E586" s="9">
        <f>E587</f>
        <v>3063.1</v>
      </c>
      <c r="F586" s="9">
        <f t="shared" si="297"/>
        <v>1712.9349999999999</v>
      </c>
      <c r="G586" s="9">
        <f t="shared" si="297"/>
        <v>1712.9349999999999</v>
      </c>
      <c r="H586" s="9">
        <f t="shared" si="297"/>
        <v>1712.9184399999999</v>
      </c>
      <c r="I586" s="9">
        <f t="shared" si="265"/>
        <v>55.92107472821651</v>
      </c>
      <c r="J586" s="9">
        <f t="shared" si="266"/>
        <v>99.999033238272318</v>
      </c>
    </row>
    <row r="587" spans="1:10">
      <c r="A587" s="8" t="s">
        <v>28</v>
      </c>
      <c r="B587" s="1" t="s">
        <v>883</v>
      </c>
      <c r="C587" s="1" t="s">
        <v>29</v>
      </c>
      <c r="D587" s="9">
        <v>3063.1</v>
      </c>
      <c r="E587" s="9">
        <f>ведомство!H2010</f>
        <v>3063.1</v>
      </c>
      <c r="F587" s="9">
        <f>ведомство!I2010</f>
        <v>1712.9349999999999</v>
      </c>
      <c r="G587" s="9">
        <f>ведомство!J2010</f>
        <v>1712.9349999999999</v>
      </c>
      <c r="H587" s="9">
        <f>ведомство!K2010</f>
        <v>1712.9184399999999</v>
      </c>
      <c r="I587" s="9">
        <f t="shared" si="265"/>
        <v>55.92107472821651</v>
      </c>
      <c r="J587" s="9">
        <f t="shared" si="266"/>
        <v>99.999033238272318</v>
      </c>
    </row>
    <row r="588" spans="1:10">
      <c r="A588" s="4" t="s">
        <v>0</v>
      </c>
      <c r="B588" s="17" t="s">
        <v>0</v>
      </c>
      <c r="C588" s="5" t="s">
        <v>0</v>
      </c>
      <c r="D588" s="7" t="s">
        <v>0</v>
      </c>
      <c r="E588" s="7" t="s">
        <v>0</v>
      </c>
      <c r="F588" s="7"/>
      <c r="G588" s="7"/>
      <c r="H588" s="7"/>
      <c r="I588" s="7"/>
      <c r="J588" s="7"/>
    </row>
    <row r="589" spans="1:10" ht="25.5">
      <c r="A589" s="4" t="s">
        <v>884</v>
      </c>
      <c r="B589" s="5" t="s">
        <v>885</v>
      </c>
      <c r="C589" s="5" t="s">
        <v>0</v>
      </c>
      <c r="D589" s="7">
        <v>2275.4</v>
      </c>
      <c r="E589" s="7">
        <f>E590+E593+E596</f>
        <v>2275.4</v>
      </c>
      <c r="F589" s="7">
        <f t="shared" ref="F589:H589" si="298">F590+F593+F596</f>
        <v>943</v>
      </c>
      <c r="G589" s="7">
        <f t="shared" si="298"/>
        <v>943</v>
      </c>
      <c r="H589" s="7">
        <f t="shared" si="298"/>
        <v>943</v>
      </c>
      <c r="I589" s="7">
        <f t="shared" si="265"/>
        <v>41.443262723037705</v>
      </c>
      <c r="J589" s="7">
        <f t="shared" si="266"/>
        <v>100</v>
      </c>
    </row>
    <row r="590" spans="1:10">
      <c r="A590" s="8" t="s">
        <v>924</v>
      </c>
      <c r="B590" s="1" t="s">
        <v>925</v>
      </c>
      <c r="C590" s="1" t="s">
        <v>0</v>
      </c>
      <c r="D590" s="9">
        <v>126</v>
      </c>
      <c r="E590" s="9">
        <f>E591</f>
        <v>126</v>
      </c>
      <c r="F590" s="9">
        <f t="shared" ref="F590:H591" si="299">F591</f>
        <v>63</v>
      </c>
      <c r="G590" s="9">
        <f t="shared" si="299"/>
        <v>63</v>
      </c>
      <c r="H590" s="9">
        <f t="shared" si="299"/>
        <v>63</v>
      </c>
      <c r="I590" s="9">
        <f t="shared" si="265"/>
        <v>50</v>
      </c>
      <c r="J590" s="9">
        <f t="shared" si="266"/>
        <v>100</v>
      </c>
    </row>
    <row r="591" spans="1:10" ht="25.5">
      <c r="A591" s="8" t="s">
        <v>80</v>
      </c>
      <c r="B591" s="1" t="s">
        <v>925</v>
      </c>
      <c r="C591" s="1" t="s">
        <v>81</v>
      </c>
      <c r="D591" s="9">
        <v>126</v>
      </c>
      <c r="E591" s="9">
        <f>E592</f>
        <v>126</v>
      </c>
      <c r="F591" s="9">
        <f t="shared" si="299"/>
        <v>63</v>
      </c>
      <c r="G591" s="9">
        <f t="shared" si="299"/>
        <v>63</v>
      </c>
      <c r="H591" s="9">
        <f t="shared" si="299"/>
        <v>63</v>
      </c>
      <c r="I591" s="9">
        <f t="shared" si="265"/>
        <v>50</v>
      </c>
      <c r="J591" s="9">
        <f t="shared" si="266"/>
        <v>100</v>
      </c>
    </row>
    <row r="592" spans="1:10">
      <c r="A592" s="8" t="s">
        <v>82</v>
      </c>
      <c r="B592" s="1" t="s">
        <v>925</v>
      </c>
      <c r="C592" s="1" t="s">
        <v>83</v>
      </c>
      <c r="D592" s="9">
        <v>126</v>
      </c>
      <c r="E592" s="9">
        <f>ведомство!H2147</f>
        <v>126</v>
      </c>
      <c r="F592" s="9">
        <f>ведомство!I2147</f>
        <v>63</v>
      </c>
      <c r="G592" s="9">
        <f>ведомство!J2147</f>
        <v>63</v>
      </c>
      <c r="H592" s="9">
        <f>ведомство!K2147</f>
        <v>63</v>
      </c>
      <c r="I592" s="9">
        <f t="shared" si="265"/>
        <v>50</v>
      </c>
      <c r="J592" s="9">
        <f t="shared" si="266"/>
        <v>100</v>
      </c>
    </row>
    <row r="593" spans="1:10" ht="25.5">
      <c r="A593" s="8" t="s">
        <v>774</v>
      </c>
      <c r="B593" s="1" t="s">
        <v>886</v>
      </c>
      <c r="C593" s="1" t="s">
        <v>0</v>
      </c>
      <c r="D593" s="9">
        <v>150</v>
      </c>
      <c r="E593" s="9">
        <f>E594</f>
        <v>150</v>
      </c>
      <c r="F593" s="9">
        <f t="shared" ref="F593:H594" si="300">F594</f>
        <v>0</v>
      </c>
      <c r="G593" s="9">
        <f t="shared" si="300"/>
        <v>0</v>
      </c>
      <c r="H593" s="9">
        <f t="shared" si="300"/>
        <v>0</v>
      </c>
      <c r="I593" s="9">
        <f t="shared" si="265"/>
        <v>0</v>
      </c>
      <c r="J593" s="9">
        <v>0</v>
      </c>
    </row>
    <row r="594" spans="1:10" ht="25.5">
      <c r="A594" s="8" t="s">
        <v>64</v>
      </c>
      <c r="B594" s="1" t="s">
        <v>886</v>
      </c>
      <c r="C594" s="1" t="s">
        <v>65</v>
      </c>
      <c r="D594" s="9">
        <v>150</v>
      </c>
      <c r="E594" s="9">
        <f>E595</f>
        <v>150</v>
      </c>
      <c r="F594" s="9">
        <f t="shared" si="300"/>
        <v>0</v>
      </c>
      <c r="G594" s="9">
        <f t="shared" si="300"/>
        <v>0</v>
      </c>
      <c r="H594" s="9">
        <f t="shared" si="300"/>
        <v>0</v>
      </c>
      <c r="I594" s="9">
        <f t="shared" ref="I594:I657" si="301">H594/E594*100</f>
        <v>0</v>
      </c>
      <c r="J594" s="9">
        <v>0</v>
      </c>
    </row>
    <row r="595" spans="1:10" ht="25.5">
      <c r="A595" s="8" t="s">
        <v>66</v>
      </c>
      <c r="B595" s="1" t="s">
        <v>886</v>
      </c>
      <c r="C595" s="1" t="s">
        <v>67</v>
      </c>
      <c r="D595" s="9">
        <v>150</v>
      </c>
      <c r="E595" s="9">
        <f>ведомство!H2014</f>
        <v>150</v>
      </c>
      <c r="F595" s="9">
        <f>ведомство!I2014</f>
        <v>0</v>
      </c>
      <c r="G595" s="9">
        <f>ведомство!J2014</f>
        <v>0</v>
      </c>
      <c r="H595" s="9">
        <f>ведомство!K2014</f>
        <v>0</v>
      </c>
      <c r="I595" s="9">
        <f t="shared" si="301"/>
        <v>0</v>
      </c>
      <c r="J595" s="9">
        <v>0</v>
      </c>
    </row>
    <row r="596" spans="1:10" ht="25.5">
      <c r="A596" s="8" t="s">
        <v>880</v>
      </c>
      <c r="B596" s="1" t="s">
        <v>887</v>
      </c>
      <c r="C596" s="1" t="s">
        <v>0</v>
      </c>
      <c r="D596" s="9">
        <v>1999.4</v>
      </c>
      <c r="E596" s="9">
        <f>E597</f>
        <v>1999.4</v>
      </c>
      <c r="F596" s="9">
        <f t="shared" ref="F596:H597" si="302">F597</f>
        <v>880</v>
      </c>
      <c r="G596" s="9">
        <f t="shared" si="302"/>
        <v>880</v>
      </c>
      <c r="H596" s="9">
        <f t="shared" si="302"/>
        <v>880</v>
      </c>
      <c r="I596" s="9">
        <f t="shared" si="301"/>
        <v>44.013203961188353</v>
      </c>
      <c r="J596" s="9">
        <f t="shared" ref="J596:J657" si="303">H596/F596*100</f>
        <v>100</v>
      </c>
    </row>
    <row r="597" spans="1:10" ht="25.5">
      <c r="A597" s="8" t="s">
        <v>80</v>
      </c>
      <c r="B597" s="1" t="s">
        <v>887</v>
      </c>
      <c r="C597" s="1" t="s">
        <v>81</v>
      </c>
      <c r="D597" s="9">
        <v>1999.4</v>
      </c>
      <c r="E597" s="9">
        <f>E598</f>
        <v>1999.4</v>
      </c>
      <c r="F597" s="9">
        <f t="shared" si="302"/>
        <v>880</v>
      </c>
      <c r="G597" s="9">
        <f t="shared" si="302"/>
        <v>880</v>
      </c>
      <c r="H597" s="9">
        <f t="shared" si="302"/>
        <v>880</v>
      </c>
      <c r="I597" s="9">
        <f t="shared" si="301"/>
        <v>44.013203961188353</v>
      </c>
      <c r="J597" s="9">
        <f t="shared" si="303"/>
        <v>100</v>
      </c>
    </row>
    <row r="598" spans="1:10">
      <c r="A598" s="8" t="s">
        <v>271</v>
      </c>
      <c r="B598" s="1" t="s">
        <v>887</v>
      </c>
      <c r="C598" s="1" t="s">
        <v>272</v>
      </c>
      <c r="D598" s="9">
        <v>1999.4</v>
      </c>
      <c r="E598" s="9">
        <f>ведомство!H2017</f>
        <v>1999.4</v>
      </c>
      <c r="F598" s="9">
        <f>ведомство!I2017</f>
        <v>880</v>
      </c>
      <c r="G598" s="9">
        <f>ведомство!J2017</f>
        <v>880</v>
      </c>
      <c r="H598" s="9">
        <f>ведомство!K2017</f>
        <v>880</v>
      </c>
      <c r="I598" s="9">
        <f t="shared" si="301"/>
        <v>44.013203961188353</v>
      </c>
      <c r="J598" s="9">
        <f t="shared" si="303"/>
        <v>100</v>
      </c>
    </row>
    <row r="599" spans="1:10">
      <c r="A599" s="4" t="s">
        <v>0</v>
      </c>
      <c r="B599" s="17" t="s">
        <v>0</v>
      </c>
      <c r="C599" s="5" t="s">
        <v>0</v>
      </c>
      <c r="D599" s="7" t="s">
        <v>0</v>
      </c>
      <c r="E599" s="7" t="s">
        <v>0</v>
      </c>
      <c r="F599" s="7"/>
      <c r="G599" s="7"/>
      <c r="H599" s="7"/>
      <c r="I599" s="7"/>
      <c r="J599" s="7"/>
    </row>
    <row r="600" spans="1:10">
      <c r="A600" s="4" t="s">
        <v>301</v>
      </c>
      <c r="B600" s="5" t="s">
        <v>302</v>
      </c>
      <c r="C600" s="5" t="s">
        <v>0</v>
      </c>
      <c r="D600" s="7">
        <v>8866.7999999999993</v>
      </c>
      <c r="E600" s="7">
        <f>E601+E607+E610+E613+E616+E619</f>
        <v>8866.7999999999993</v>
      </c>
      <c r="F600" s="7">
        <f t="shared" ref="F600:H600" si="304">F601+F607+F610+F613+F616+F619</f>
        <v>475</v>
      </c>
      <c r="G600" s="7">
        <f t="shared" si="304"/>
        <v>475</v>
      </c>
      <c r="H600" s="7">
        <f t="shared" si="304"/>
        <v>475</v>
      </c>
      <c r="I600" s="7">
        <f t="shared" si="301"/>
        <v>5.3570622998150412</v>
      </c>
      <c r="J600" s="7">
        <f t="shared" si="303"/>
        <v>100</v>
      </c>
    </row>
    <row r="601" spans="1:10" ht="25.5">
      <c r="A601" s="8" t="s">
        <v>76</v>
      </c>
      <c r="B601" s="1" t="s">
        <v>356</v>
      </c>
      <c r="C601" s="1" t="s">
        <v>0</v>
      </c>
      <c r="D601" s="9">
        <v>4533.3999999999996</v>
      </c>
      <c r="E601" s="9">
        <f>E602+E604</f>
        <v>3551.4</v>
      </c>
      <c r="F601" s="9">
        <f t="shared" ref="F601:H601" si="305">F602+F604</f>
        <v>125</v>
      </c>
      <c r="G601" s="9">
        <f t="shared" si="305"/>
        <v>125</v>
      </c>
      <c r="H601" s="9">
        <f t="shared" si="305"/>
        <v>125</v>
      </c>
      <c r="I601" s="9">
        <f t="shared" si="301"/>
        <v>3.519738694599313</v>
      </c>
      <c r="J601" s="9">
        <f t="shared" si="303"/>
        <v>100</v>
      </c>
    </row>
    <row r="602" spans="1:10" ht="25.5">
      <c r="A602" s="8" t="s">
        <v>64</v>
      </c>
      <c r="B602" s="1" t="s">
        <v>356</v>
      </c>
      <c r="C602" s="1" t="s">
        <v>65</v>
      </c>
      <c r="D602" s="9">
        <v>1981</v>
      </c>
      <c r="E602" s="9">
        <f>E603</f>
        <v>1981</v>
      </c>
      <c r="F602" s="9">
        <f t="shared" ref="F602:H602" si="306">F603</f>
        <v>0</v>
      </c>
      <c r="G602" s="9">
        <f t="shared" si="306"/>
        <v>0</v>
      </c>
      <c r="H602" s="9">
        <f t="shared" si="306"/>
        <v>0</v>
      </c>
      <c r="I602" s="9">
        <f t="shared" si="301"/>
        <v>0</v>
      </c>
      <c r="J602" s="9">
        <v>0</v>
      </c>
    </row>
    <row r="603" spans="1:10" ht="25.5">
      <c r="A603" s="8" t="s">
        <v>66</v>
      </c>
      <c r="B603" s="1" t="s">
        <v>356</v>
      </c>
      <c r="C603" s="1" t="s">
        <v>67</v>
      </c>
      <c r="D603" s="9">
        <v>1981</v>
      </c>
      <c r="E603" s="9">
        <f>ведомство!H1656</f>
        <v>1981</v>
      </c>
      <c r="F603" s="9">
        <f>ведомство!I1656</f>
        <v>0</v>
      </c>
      <c r="G603" s="9">
        <f>ведомство!J1656</f>
        <v>0</v>
      </c>
      <c r="H603" s="9">
        <f>ведомство!K1656</f>
        <v>0</v>
      </c>
      <c r="I603" s="9">
        <f t="shared" si="301"/>
        <v>0</v>
      </c>
      <c r="J603" s="9">
        <v>0</v>
      </c>
    </row>
    <row r="604" spans="1:10" ht="25.5">
      <c r="A604" s="8" t="s">
        <v>80</v>
      </c>
      <c r="B604" s="1" t="s">
        <v>356</v>
      </c>
      <c r="C604" s="1" t="s">
        <v>81</v>
      </c>
      <c r="D604" s="9">
        <v>2552.4</v>
      </c>
      <c r="E604" s="9">
        <f>E605+E606</f>
        <v>1570.4</v>
      </c>
      <c r="F604" s="9">
        <f t="shared" ref="F604:H604" si="307">F605+F606</f>
        <v>125</v>
      </c>
      <c r="G604" s="9">
        <f t="shared" si="307"/>
        <v>125</v>
      </c>
      <c r="H604" s="9">
        <f t="shared" si="307"/>
        <v>125</v>
      </c>
      <c r="I604" s="9">
        <f t="shared" si="301"/>
        <v>7.9597554763117664</v>
      </c>
      <c r="J604" s="9">
        <f t="shared" si="303"/>
        <v>100</v>
      </c>
    </row>
    <row r="605" spans="1:10">
      <c r="A605" s="8" t="s">
        <v>271</v>
      </c>
      <c r="B605" s="1" t="s">
        <v>356</v>
      </c>
      <c r="C605" s="1" t="s">
        <v>272</v>
      </c>
      <c r="D605" s="9">
        <v>1407</v>
      </c>
      <c r="E605" s="9">
        <f>ведомство!H733+ведомство!H1766</f>
        <v>425</v>
      </c>
      <c r="F605" s="9">
        <f>ведомство!I733+ведомство!I1766</f>
        <v>125</v>
      </c>
      <c r="G605" s="9">
        <f>ведомство!J733+ведомство!J1766</f>
        <v>125</v>
      </c>
      <c r="H605" s="9">
        <f>ведомство!K733+ведомство!K1766</f>
        <v>125</v>
      </c>
      <c r="I605" s="9">
        <f t="shared" si="301"/>
        <v>29.411764705882355</v>
      </c>
      <c r="J605" s="9">
        <f t="shared" si="303"/>
        <v>100</v>
      </c>
    </row>
    <row r="606" spans="1:10">
      <c r="A606" s="8" t="s">
        <v>82</v>
      </c>
      <c r="B606" s="1" t="s">
        <v>356</v>
      </c>
      <c r="C606" s="1" t="s">
        <v>83</v>
      </c>
      <c r="D606" s="9">
        <v>1145.4000000000001</v>
      </c>
      <c r="E606" s="9">
        <f>ведомство!H2151</f>
        <v>1145.4000000000001</v>
      </c>
      <c r="F606" s="9">
        <f>ведомство!I2151</f>
        <v>0</v>
      </c>
      <c r="G606" s="9">
        <f>ведомство!J2151</f>
        <v>0</v>
      </c>
      <c r="H606" s="9">
        <f>ведомство!K2151</f>
        <v>0</v>
      </c>
      <c r="I606" s="9">
        <f t="shared" si="301"/>
        <v>0</v>
      </c>
      <c r="J606" s="9">
        <v>0</v>
      </c>
    </row>
    <row r="607" spans="1:10">
      <c r="A607" s="8" t="s">
        <v>303</v>
      </c>
      <c r="B607" s="1" t="s">
        <v>304</v>
      </c>
      <c r="C607" s="1" t="s">
        <v>0</v>
      </c>
      <c r="D607" s="9">
        <v>1000</v>
      </c>
      <c r="E607" s="9">
        <f>E608</f>
        <v>0</v>
      </c>
      <c r="F607" s="9">
        <f t="shared" ref="F607:H608" si="308">F608</f>
        <v>0</v>
      </c>
      <c r="G607" s="9">
        <f t="shared" si="308"/>
        <v>0</v>
      </c>
      <c r="H607" s="9">
        <f t="shared" si="308"/>
        <v>0</v>
      </c>
      <c r="I607" s="9">
        <v>0</v>
      </c>
      <c r="J607" s="9">
        <v>0</v>
      </c>
    </row>
    <row r="608" spans="1:10" ht="25.5">
      <c r="A608" s="8" t="s">
        <v>80</v>
      </c>
      <c r="B608" s="1" t="s">
        <v>304</v>
      </c>
      <c r="C608" s="1" t="s">
        <v>81</v>
      </c>
      <c r="D608" s="9">
        <v>1000</v>
      </c>
      <c r="E608" s="9">
        <f>E609</f>
        <v>0</v>
      </c>
      <c r="F608" s="9">
        <f t="shared" si="308"/>
        <v>0</v>
      </c>
      <c r="G608" s="9">
        <f t="shared" si="308"/>
        <v>0</v>
      </c>
      <c r="H608" s="9">
        <f t="shared" si="308"/>
        <v>0</v>
      </c>
      <c r="I608" s="9">
        <v>0</v>
      </c>
      <c r="J608" s="9">
        <v>0</v>
      </c>
    </row>
    <row r="609" spans="1:10">
      <c r="A609" s="8" t="s">
        <v>271</v>
      </c>
      <c r="B609" s="1" t="s">
        <v>304</v>
      </c>
      <c r="C609" s="1" t="s">
        <v>272</v>
      </c>
      <c r="D609" s="9">
        <v>1000</v>
      </c>
      <c r="E609" s="9">
        <f>ведомство!H511</f>
        <v>0</v>
      </c>
      <c r="F609" s="9">
        <f>ведомство!I511</f>
        <v>0</v>
      </c>
      <c r="G609" s="9">
        <f>ведомство!J511</f>
        <v>0</v>
      </c>
      <c r="H609" s="9">
        <f>ведомство!K511</f>
        <v>0</v>
      </c>
      <c r="I609" s="9">
        <v>0</v>
      </c>
      <c r="J609" s="9">
        <v>0</v>
      </c>
    </row>
    <row r="610" spans="1:10">
      <c r="A610" s="8" t="s">
        <v>1074</v>
      </c>
      <c r="B610" s="1" t="s">
        <v>1075</v>
      </c>
      <c r="C610" s="1" t="s">
        <v>0</v>
      </c>
      <c r="D610" s="9">
        <v>956</v>
      </c>
      <c r="E610" s="9">
        <f>E611</f>
        <v>956</v>
      </c>
      <c r="F610" s="9">
        <f t="shared" ref="F610:H611" si="309">F611</f>
        <v>0</v>
      </c>
      <c r="G610" s="9">
        <f t="shared" si="309"/>
        <v>0</v>
      </c>
      <c r="H610" s="9">
        <f t="shared" si="309"/>
        <v>0</v>
      </c>
      <c r="I610" s="9">
        <f t="shared" si="301"/>
        <v>0</v>
      </c>
      <c r="J610" s="9">
        <v>0</v>
      </c>
    </row>
    <row r="611" spans="1:10" ht="25.5">
      <c r="A611" s="8" t="s">
        <v>64</v>
      </c>
      <c r="B611" s="1" t="s">
        <v>1075</v>
      </c>
      <c r="C611" s="1" t="s">
        <v>65</v>
      </c>
      <c r="D611" s="9">
        <v>956</v>
      </c>
      <c r="E611" s="9">
        <f>E612</f>
        <v>956</v>
      </c>
      <c r="F611" s="9">
        <f t="shared" si="309"/>
        <v>0</v>
      </c>
      <c r="G611" s="9">
        <f t="shared" si="309"/>
        <v>0</v>
      </c>
      <c r="H611" s="9">
        <f t="shared" si="309"/>
        <v>0</v>
      </c>
      <c r="I611" s="9">
        <f t="shared" si="301"/>
        <v>0</v>
      </c>
      <c r="J611" s="9">
        <v>0</v>
      </c>
    </row>
    <row r="612" spans="1:10" ht="25.5">
      <c r="A612" s="8" t="s">
        <v>66</v>
      </c>
      <c r="B612" s="1" t="s">
        <v>1075</v>
      </c>
      <c r="C612" s="1" t="s">
        <v>67</v>
      </c>
      <c r="D612" s="9">
        <v>956</v>
      </c>
      <c r="E612" s="9">
        <f>ведомство!H2614</f>
        <v>956</v>
      </c>
      <c r="F612" s="9">
        <f>ведомство!I2614</f>
        <v>0</v>
      </c>
      <c r="G612" s="9">
        <f>ведомство!J2614</f>
        <v>0</v>
      </c>
      <c r="H612" s="9">
        <f>ведомство!K2614</f>
        <v>0</v>
      </c>
      <c r="I612" s="9">
        <f t="shared" si="301"/>
        <v>0</v>
      </c>
      <c r="J612" s="9">
        <v>0</v>
      </c>
    </row>
    <row r="613" spans="1:10" ht="25.5">
      <c r="A613" s="8" t="s">
        <v>880</v>
      </c>
      <c r="B613" s="1" t="s">
        <v>888</v>
      </c>
      <c r="C613" s="1" t="s">
        <v>0</v>
      </c>
      <c r="D613" s="9">
        <v>100</v>
      </c>
      <c r="E613" s="9">
        <f>E614</f>
        <v>0</v>
      </c>
      <c r="F613" s="9">
        <f t="shared" ref="F613:H614" si="310">F614</f>
        <v>0</v>
      </c>
      <c r="G613" s="9">
        <f t="shared" si="310"/>
        <v>0</v>
      </c>
      <c r="H613" s="9">
        <f t="shared" si="310"/>
        <v>0</v>
      </c>
      <c r="I613" s="9">
        <v>0</v>
      </c>
      <c r="J613" s="9">
        <v>0</v>
      </c>
    </row>
    <row r="614" spans="1:10" ht="25.5">
      <c r="A614" s="8" t="s">
        <v>80</v>
      </c>
      <c r="B614" s="1" t="s">
        <v>888</v>
      </c>
      <c r="C614" s="1" t="s">
        <v>81</v>
      </c>
      <c r="D614" s="9">
        <v>100</v>
      </c>
      <c r="E614" s="9">
        <f>E615</f>
        <v>0</v>
      </c>
      <c r="F614" s="9">
        <f t="shared" si="310"/>
        <v>0</v>
      </c>
      <c r="G614" s="9">
        <f t="shared" si="310"/>
        <v>0</v>
      </c>
      <c r="H614" s="9">
        <f t="shared" si="310"/>
        <v>0</v>
      </c>
      <c r="I614" s="9">
        <v>0</v>
      </c>
      <c r="J614" s="9">
        <v>0</v>
      </c>
    </row>
    <row r="615" spans="1:10">
      <c r="A615" s="8" t="s">
        <v>271</v>
      </c>
      <c r="B615" s="1" t="s">
        <v>888</v>
      </c>
      <c r="C615" s="1" t="s">
        <v>272</v>
      </c>
      <c r="D615" s="9">
        <v>100</v>
      </c>
      <c r="E615" s="9">
        <v>0</v>
      </c>
      <c r="F615" s="9">
        <v>0</v>
      </c>
      <c r="G615" s="9">
        <v>0</v>
      </c>
      <c r="H615" s="9">
        <v>0</v>
      </c>
      <c r="I615" s="9">
        <v>0</v>
      </c>
      <c r="J615" s="9">
        <v>0</v>
      </c>
    </row>
    <row r="616" spans="1:10" ht="25.5">
      <c r="A616" s="8" t="s">
        <v>357</v>
      </c>
      <c r="B616" s="1" t="s">
        <v>358</v>
      </c>
      <c r="C616" s="1" t="s">
        <v>0</v>
      </c>
      <c r="D616" s="9">
        <v>2277.4</v>
      </c>
      <c r="E616" s="9">
        <f>E617</f>
        <v>2277.4</v>
      </c>
      <c r="F616" s="9">
        <f t="shared" ref="F616:H617" si="311">F617</f>
        <v>0</v>
      </c>
      <c r="G616" s="9">
        <f t="shared" si="311"/>
        <v>0</v>
      </c>
      <c r="H616" s="9">
        <f t="shared" si="311"/>
        <v>0</v>
      </c>
      <c r="I616" s="9">
        <f t="shared" si="301"/>
        <v>0</v>
      </c>
      <c r="J616" s="9">
        <v>0</v>
      </c>
    </row>
    <row r="617" spans="1:10">
      <c r="A617" s="8" t="s">
        <v>26</v>
      </c>
      <c r="B617" s="1" t="s">
        <v>358</v>
      </c>
      <c r="C617" s="1" t="s">
        <v>27</v>
      </c>
      <c r="D617" s="9">
        <v>2277.4</v>
      </c>
      <c r="E617" s="9">
        <f>E618</f>
        <v>2277.4</v>
      </c>
      <c r="F617" s="9">
        <f t="shared" si="311"/>
        <v>0</v>
      </c>
      <c r="G617" s="9">
        <f t="shared" si="311"/>
        <v>0</v>
      </c>
      <c r="H617" s="9">
        <f t="shared" si="311"/>
        <v>0</v>
      </c>
      <c r="I617" s="9">
        <f t="shared" si="301"/>
        <v>0</v>
      </c>
      <c r="J617" s="9">
        <v>0</v>
      </c>
    </row>
    <row r="618" spans="1:10">
      <c r="A618" s="8" t="s">
        <v>56</v>
      </c>
      <c r="B618" s="1" t="s">
        <v>358</v>
      </c>
      <c r="C618" s="1" t="s">
        <v>57</v>
      </c>
      <c r="D618" s="9">
        <v>2277.4</v>
      </c>
      <c r="E618" s="9">
        <f>ведомство!H736+ведомство!H1479</f>
        <v>2277.4</v>
      </c>
      <c r="F618" s="9">
        <f>ведомство!I736+ведомство!I1479</f>
        <v>0</v>
      </c>
      <c r="G618" s="9">
        <f>ведомство!J736+ведомство!J1479</f>
        <v>0</v>
      </c>
      <c r="H618" s="9">
        <f>ведомство!K736+ведомство!K1479</f>
        <v>0</v>
      </c>
      <c r="I618" s="9">
        <f t="shared" si="301"/>
        <v>0</v>
      </c>
      <c r="J618" s="9">
        <v>0</v>
      </c>
    </row>
    <row r="619" spans="1:10" ht="25.5">
      <c r="A619" s="8" t="s">
        <v>1126</v>
      </c>
      <c r="B619" s="25" t="s">
        <v>1125</v>
      </c>
      <c r="C619" s="1"/>
      <c r="D619" s="9"/>
      <c r="E619" s="9">
        <f>E620</f>
        <v>2082</v>
      </c>
      <c r="F619" s="9">
        <f t="shared" ref="F619:H620" si="312">F620</f>
        <v>350</v>
      </c>
      <c r="G619" s="9">
        <f t="shared" si="312"/>
        <v>350</v>
      </c>
      <c r="H619" s="9">
        <f t="shared" si="312"/>
        <v>350</v>
      </c>
      <c r="I619" s="9">
        <f t="shared" si="301"/>
        <v>16.810758885686838</v>
      </c>
      <c r="J619" s="9">
        <f t="shared" si="303"/>
        <v>100</v>
      </c>
    </row>
    <row r="620" spans="1:10" ht="25.5">
      <c r="A620" s="8" t="s">
        <v>80</v>
      </c>
      <c r="B620" s="25" t="s">
        <v>1125</v>
      </c>
      <c r="C620" s="1" t="s">
        <v>81</v>
      </c>
      <c r="D620" s="9"/>
      <c r="E620" s="9">
        <f>E621</f>
        <v>2082</v>
      </c>
      <c r="F620" s="9">
        <f t="shared" si="312"/>
        <v>350</v>
      </c>
      <c r="G620" s="9">
        <f t="shared" si="312"/>
        <v>350</v>
      </c>
      <c r="H620" s="9">
        <f t="shared" si="312"/>
        <v>350</v>
      </c>
      <c r="I620" s="9">
        <f t="shared" si="301"/>
        <v>16.810758885686838</v>
      </c>
      <c r="J620" s="9">
        <f t="shared" si="303"/>
        <v>100</v>
      </c>
    </row>
    <row r="621" spans="1:10">
      <c r="A621" s="8" t="s">
        <v>271</v>
      </c>
      <c r="B621" s="25" t="s">
        <v>1125</v>
      </c>
      <c r="C621" s="1" t="s">
        <v>272</v>
      </c>
      <c r="D621" s="7" t="s">
        <v>0</v>
      </c>
      <c r="E621" s="23">
        <f>ведомство!H514+ведомство!H1769+ведомство!H2024</f>
        <v>2082</v>
      </c>
      <c r="F621" s="23">
        <f>ведомство!I514+ведомство!I1769+ведомство!I2024</f>
        <v>350</v>
      </c>
      <c r="G621" s="23">
        <f>ведомство!J514+ведомство!J1769+ведомство!J2024</f>
        <v>350</v>
      </c>
      <c r="H621" s="23">
        <f>ведомство!K514+ведомство!K1769+ведомство!K2024</f>
        <v>350</v>
      </c>
      <c r="I621" s="7">
        <f t="shared" si="301"/>
        <v>16.810758885686838</v>
      </c>
      <c r="J621" s="7">
        <f t="shared" si="303"/>
        <v>100</v>
      </c>
    </row>
    <row r="622" spans="1:10">
      <c r="A622" s="8"/>
      <c r="B622" s="25"/>
      <c r="C622" s="1"/>
      <c r="D622" s="7"/>
      <c r="E622" s="23"/>
      <c r="F622" s="7"/>
      <c r="G622" s="7"/>
      <c r="H622" s="7"/>
      <c r="I622" s="7"/>
      <c r="J622" s="7"/>
    </row>
    <row r="623" spans="1:10">
      <c r="A623" s="4" t="s">
        <v>440</v>
      </c>
      <c r="B623" s="5" t="s">
        <v>441</v>
      </c>
      <c r="C623" s="5" t="s">
        <v>0</v>
      </c>
      <c r="D623" s="7">
        <v>20023.2</v>
      </c>
      <c r="E623" s="7">
        <f>E624+E627+E631</f>
        <v>20023.2</v>
      </c>
      <c r="F623" s="7">
        <f t="shared" ref="F623:H623" si="313">F624+F627+F631</f>
        <v>12385.55</v>
      </c>
      <c r="G623" s="7">
        <f t="shared" si="313"/>
        <v>12285.55</v>
      </c>
      <c r="H623" s="7">
        <f t="shared" si="313"/>
        <v>12285.55</v>
      </c>
      <c r="I623" s="7">
        <f t="shared" si="301"/>
        <v>61.356576371409155</v>
      </c>
      <c r="J623" s="7">
        <f t="shared" si="303"/>
        <v>99.192607514401871</v>
      </c>
    </row>
    <row r="624" spans="1:10" ht="25.5">
      <c r="A624" s="8" t="s">
        <v>76</v>
      </c>
      <c r="B624" s="1" t="s">
        <v>784</v>
      </c>
      <c r="C624" s="1" t="s">
        <v>0</v>
      </c>
      <c r="D624" s="9">
        <v>19006</v>
      </c>
      <c r="E624" s="9">
        <f>E625</f>
        <v>19006</v>
      </c>
      <c r="F624" s="9">
        <f t="shared" ref="F624:H625" si="314">F625</f>
        <v>12110.55</v>
      </c>
      <c r="G624" s="9">
        <f t="shared" si="314"/>
        <v>12110.55</v>
      </c>
      <c r="H624" s="9">
        <f t="shared" si="314"/>
        <v>12110.55</v>
      </c>
      <c r="I624" s="9">
        <f t="shared" si="301"/>
        <v>63.719614858465746</v>
      </c>
      <c r="J624" s="9">
        <f t="shared" si="303"/>
        <v>100</v>
      </c>
    </row>
    <row r="625" spans="1:10" ht="25.5">
      <c r="A625" s="8" t="s">
        <v>80</v>
      </c>
      <c r="B625" s="1" t="s">
        <v>784</v>
      </c>
      <c r="C625" s="1" t="s">
        <v>81</v>
      </c>
      <c r="D625" s="9">
        <v>19006</v>
      </c>
      <c r="E625" s="9">
        <f>E626</f>
        <v>19006</v>
      </c>
      <c r="F625" s="9">
        <f t="shared" si="314"/>
        <v>12110.55</v>
      </c>
      <c r="G625" s="9">
        <f t="shared" si="314"/>
        <v>12110.55</v>
      </c>
      <c r="H625" s="9">
        <f t="shared" si="314"/>
        <v>12110.55</v>
      </c>
      <c r="I625" s="9">
        <f t="shared" si="301"/>
        <v>63.719614858465746</v>
      </c>
      <c r="J625" s="9">
        <f t="shared" si="303"/>
        <v>100</v>
      </c>
    </row>
    <row r="626" spans="1:10">
      <c r="A626" s="8" t="s">
        <v>271</v>
      </c>
      <c r="B626" s="1" t="s">
        <v>784</v>
      </c>
      <c r="C626" s="1" t="s">
        <v>272</v>
      </c>
      <c r="D626" s="9">
        <v>19006</v>
      </c>
      <c r="E626" s="9">
        <f>ведомство!H1773</f>
        <v>19006</v>
      </c>
      <c r="F626" s="9">
        <f>ведомство!I1773</f>
        <v>12110.55</v>
      </c>
      <c r="G626" s="9">
        <f>ведомство!J1773</f>
        <v>12110.55</v>
      </c>
      <c r="H626" s="9">
        <f>ведомство!K1773</f>
        <v>12110.55</v>
      </c>
      <c r="I626" s="9">
        <f t="shared" si="301"/>
        <v>63.719614858465746</v>
      </c>
      <c r="J626" s="9">
        <f t="shared" si="303"/>
        <v>100</v>
      </c>
    </row>
    <row r="627" spans="1:10">
      <c r="A627" s="8" t="s">
        <v>424</v>
      </c>
      <c r="B627" s="1" t="s">
        <v>442</v>
      </c>
      <c r="C627" s="1" t="s">
        <v>0</v>
      </c>
      <c r="D627" s="9">
        <v>600</v>
      </c>
      <c r="E627" s="9">
        <f>E628</f>
        <v>600</v>
      </c>
      <c r="F627" s="9">
        <f t="shared" ref="F627:H627" si="315">F628</f>
        <v>175</v>
      </c>
      <c r="G627" s="9">
        <f t="shared" si="315"/>
        <v>175</v>
      </c>
      <c r="H627" s="9">
        <f t="shared" si="315"/>
        <v>175</v>
      </c>
      <c r="I627" s="9">
        <f t="shared" si="301"/>
        <v>29.166666666666668</v>
      </c>
      <c r="J627" s="9">
        <f t="shared" si="303"/>
        <v>100</v>
      </c>
    </row>
    <row r="628" spans="1:10" ht="25.5">
      <c r="A628" s="8" t="s">
        <v>80</v>
      </c>
      <c r="B628" s="1" t="s">
        <v>442</v>
      </c>
      <c r="C628" s="1" t="s">
        <v>81</v>
      </c>
      <c r="D628" s="9">
        <v>600</v>
      </c>
      <c r="E628" s="9">
        <f>E629+E630</f>
        <v>600</v>
      </c>
      <c r="F628" s="9">
        <f t="shared" ref="F628:H628" si="316">F629+F630</f>
        <v>175</v>
      </c>
      <c r="G628" s="9">
        <f t="shared" si="316"/>
        <v>175</v>
      </c>
      <c r="H628" s="9">
        <f t="shared" si="316"/>
        <v>175</v>
      </c>
      <c r="I628" s="9">
        <f t="shared" si="301"/>
        <v>29.166666666666668</v>
      </c>
      <c r="J628" s="9">
        <f t="shared" si="303"/>
        <v>100</v>
      </c>
    </row>
    <row r="629" spans="1:10">
      <c r="A629" s="8" t="s">
        <v>271</v>
      </c>
      <c r="B629" s="1" t="s">
        <v>442</v>
      </c>
      <c r="C629" s="1" t="s">
        <v>272</v>
      </c>
      <c r="D629" s="9">
        <v>450</v>
      </c>
      <c r="E629" s="9">
        <f>ведомство!H1031</f>
        <v>405</v>
      </c>
      <c r="F629" s="9">
        <f>ведомство!I1031</f>
        <v>75</v>
      </c>
      <c r="G629" s="9">
        <f>ведомство!J1031</f>
        <v>75</v>
      </c>
      <c r="H629" s="9">
        <f>ведомство!K1031</f>
        <v>75</v>
      </c>
      <c r="I629" s="9">
        <f t="shared" si="301"/>
        <v>18.518518518518519</v>
      </c>
      <c r="J629" s="9">
        <f t="shared" si="303"/>
        <v>100</v>
      </c>
    </row>
    <row r="630" spans="1:10">
      <c r="A630" s="8" t="s">
        <v>82</v>
      </c>
      <c r="B630" s="1" t="s">
        <v>442</v>
      </c>
      <c r="C630" s="1" t="s">
        <v>83</v>
      </c>
      <c r="D630" s="9">
        <v>150</v>
      </c>
      <c r="E630" s="9">
        <f>ведомство!H1032</f>
        <v>195</v>
      </c>
      <c r="F630" s="9">
        <f>ведомство!I1032</f>
        <v>100</v>
      </c>
      <c r="G630" s="9">
        <f>ведомство!J1032</f>
        <v>100</v>
      </c>
      <c r="H630" s="9">
        <f>ведомство!K1032</f>
        <v>100</v>
      </c>
      <c r="I630" s="9">
        <f t="shared" si="301"/>
        <v>51.282051282051277</v>
      </c>
      <c r="J630" s="9">
        <f t="shared" si="303"/>
        <v>100</v>
      </c>
    </row>
    <row r="631" spans="1:10" ht="25.5">
      <c r="A631" s="8" t="s">
        <v>774</v>
      </c>
      <c r="B631" s="1" t="s">
        <v>889</v>
      </c>
      <c r="C631" s="1" t="s">
        <v>0</v>
      </c>
      <c r="D631" s="9">
        <v>417.2</v>
      </c>
      <c r="E631" s="9">
        <f>E632</f>
        <v>417.2</v>
      </c>
      <c r="F631" s="9">
        <f t="shared" ref="F631:H632" si="317">F632</f>
        <v>100</v>
      </c>
      <c r="G631" s="9">
        <f t="shared" si="317"/>
        <v>0</v>
      </c>
      <c r="H631" s="9">
        <f t="shared" si="317"/>
        <v>0</v>
      </c>
      <c r="I631" s="9">
        <f t="shared" si="301"/>
        <v>0</v>
      </c>
      <c r="J631" s="9">
        <f t="shared" si="303"/>
        <v>0</v>
      </c>
    </row>
    <row r="632" spans="1:10" ht="25.5">
      <c r="A632" s="8" t="s">
        <v>64</v>
      </c>
      <c r="B632" s="1" t="s">
        <v>889</v>
      </c>
      <c r="C632" s="1" t="s">
        <v>65</v>
      </c>
      <c r="D632" s="9">
        <v>417.2</v>
      </c>
      <c r="E632" s="9">
        <f>E633</f>
        <v>417.2</v>
      </c>
      <c r="F632" s="9">
        <f t="shared" si="317"/>
        <v>100</v>
      </c>
      <c r="G632" s="9">
        <f t="shared" si="317"/>
        <v>0</v>
      </c>
      <c r="H632" s="9">
        <f t="shared" si="317"/>
        <v>0</v>
      </c>
      <c r="I632" s="9">
        <f t="shared" si="301"/>
        <v>0</v>
      </c>
      <c r="J632" s="9">
        <f t="shared" si="303"/>
        <v>0</v>
      </c>
    </row>
    <row r="633" spans="1:10" ht="25.5">
      <c r="A633" s="8" t="s">
        <v>66</v>
      </c>
      <c r="B633" s="1" t="s">
        <v>889</v>
      </c>
      <c r="C633" s="1" t="s">
        <v>67</v>
      </c>
      <c r="D633" s="9">
        <v>417.2</v>
      </c>
      <c r="E633" s="9">
        <f>ведомство!H2028</f>
        <v>417.2</v>
      </c>
      <c r="F633" s="9">
        <f>ведомство!I2028</f>
        <v>100</v>
      </c>
      <c r="G633" s="9">
        <f>ведомство!J2028</f>
        <v>0</v>
      </c>
      <c r="H633" s="9">
        <f>ведомство!K2028</f>
        <v>0</v>
      </c>
      <c r="I633" s="9">
        <f t="shared" si="301"/>
        <v>0</v>
      </c>
      <c r="J633" s="9">
        <f t="shared" si="303"/>
        <v>0</v>
      </c>
    </row>
    <row r="634" spans="1:10">
      <c r="A634" s="4" t="s">
        <v>0</v>
      </c>
      <c r="B634" s="17" t="s">
        <v>0</v>
      </c>
      <c r="C634" s="5" t="s">
        <v>0</v>
      </c>
      <c r="D634" s="7" t="s">
        <v>0</v>
      </c>
      <c r="E634" s="7" t="s">
        <v>0</v>
      </c>
      <c r="F634" s="7"/>
      <c r="G634" s="7"/>
      <c r="H634" s="7"/>
      <c r="I634" s="7"/>
      <c r="J634" s="7"/>
    </row>
    <row r="635" spans="1:10" ht="25.5">
      <c r="A635" s="4" t="s">
        <v>47</v>
      </c>
      <c r="B635" s="5" t="s">
        <v>48</v>
      </c>
      <c r="C635" s="5" t="s">
        <v>0</v>
      </c>
      <c r="D635" s="24">
        <v>911584.7</v>
      </c>
      <c r="E635" s="24">
        <f>E636+E641+E644+E647+E650+E653+E660+E669+E678+E681+E689+E692+E695+E698</f>
        <v>1020778.3607399999</v>
      </c>
      <c r="F635" s="24">
        <f t="shared" ref="F635:H635" si="318">F636+F641+F644+F647+F650+F653+F660+F669+F678+F681+F689+F692+F695+F698</f>
        <v>474293.98783</v>
      </c>
      <c r="G635" s="24">
        <f t="shared" si="318"/>
        <v>474293.98783</v>
      </c>
      <c r="H635" s="24">
        <f t="shared" si="318"/>
        <v>472733.99393</v>
      </c>
      <c r="I635" s="7">
        <f t="shared" si="301"/>
        <v>46.311130027021505</v>
      </c>
      <c r="J635" s="7">
        <f t="shared" si="303"/>
        <v>99.671091361048596</v>
      </c>
    </row>
    <row r="636" spans="1:10" ht="25.5">
      <c r="A636" s="8" t="s">
        <v>354</v>
      </c>
      <c r="B636" s="1" t="s">
        <v>355</v>
      </c>
      <c r="C636" s="1" t="s">
        <v>0</v>
      </c>
      <c r="D636" s="9">
        <v>780.4</v>
      </c>
      <c r="E636" s="9">
        <f>E637+E639</f>
        <v>70733.792130000002</v>
      </c>
      <c r="F636" s="9">
        <f t="shared" ref="F636:H636" si="319">F637+F639</f>
        <v>780.39212999999995</v>
      </c>
      <c r="G636" s="9">
        <f t="shared" si="319"/>
        <v>780.39212999999995</v>
      </c>
      <c r="H636" s="9">
        <f t="shared" si="319"/>
        <v>377.83692000000002</v>
      </c>
      <c r="I636" s="9">
        <f t="shared" si="301"/>
        <v>0.53416748716876694</v>
      </c>
      <c r="J636" s="9">
        <f t="shared" si="303"/>
        <v>48.4162904103095</v>
      </c>
    </row>
    <row r="637" spans="1:10" ht="25.5">
      <c r="A637" s="8" t="s">
        <v>39</v>
      </c>
      <c r="B637" s="1" t="s">
        <v>355</v>
      </c>
      <c r="C637" s="1">
        <v>400</v>
      </c>
      <c r="D637" s="9"/>
      <c r="E637" s="9">
        <f>E638</f>
        <v>20055.099999999999</v>
      </c>
      <c r="F637" s="9">
        <f t="shared" ref="F637:H637" si="320">F638</f>
        <v>0</v>
      </c>
      <c r="G637" s="9">
        <f t="shared" si="320"/>
        <v>0</v>
      </c>
      <c r="H637" s="9">
        <f t="shared" si="320"/>
        <v>0</v>
      </c>
      <c r="I637" s="9">
        <f t="shared" si="301"/>
        <v>0</v>
      </c>
      <c r="J637" s="9">
        <v>0</v>
      </c>
    </row>
    <row r="638" spans="1:10">
      <c r="A638" s="8" t="s">
        <v>41</v>
      </c>
      <c r="B638" s="1" t="s">
        <v>355</v>
      </c>
      <c r="C638" s="1">
        <v>410</v>
      </c>
      <c r="D638" s="9"/>
      <c r="E638" s="9">
        <f>ведомство!H153</f>
        <v>20055.099999999999</v>
      </c>
      <c r="F638" s="9">
        <f>ведомство!I153</f>
        <v>0</v>
      </c>
      <c r="G638" s="9">
        <f>ведомство!J153</f>
        <v>0</v>
      </c>
      <c r="H638" s="9">
        <f>ведомство!K153</f>
        <v>0</v>
      </c>
      <c r="I638" s="9">
        <f t="shared" si="301"/>
        <v>0</v>
      </c>
      <c r="J638" s="9">
        <v>0</v>
      </c>
    </row>
    <row r="639" spans="1:10">
      <c r="A639" s="8" t="s">
        <v>26</v>
      </c>
      <c r="B639" s="1" t="s">
        <v>355</v>
      </c>
      <c r="C639" s="1" t="s">
        <v>27</v>
      </c>
      <c r="D639" s="9">
        <v>780.4</v>
      </c>
      <c r="E639" s="9">
        <f>E640</f>
        <v>50678.692130000003</v>
      </c>
      <c r="F639" s="9">
        <f t="shared" ref="F639:H639" si="321">F640</f>
        <v>780.39212999999995</v>
      </c>
      <c r="G639" s="9">
        <f t="shared" si="321"/>
        <v>780.39212999999995</v>
      </c>
      <c r="H639" s="9">
        <f t="shared" si="321"/>
        <v>377.83692000000002</v>
      </c>
      <c r="I639" s="9">
        <f t="shared" si="301"/>
        <v>0.7455538099341239</v>
      </c>
      <c r="J639" s="9">
        <f t="shared" si="303"/>
        <v>48.4162904103095</v>
      </c>
    </row>
    <row r="640" spans="1:10">
      <c r="A640" s="8" t="s">
        <v>56</v>
      </c>
      <c r="B640" s="1" t="s">
        <v>355</v>
      </c>
      <c r="C640" s="1" t="s">
        <v>57</v>
      </c>
      <c r="D640" s="9">
        <v>780.4</v>
      </c>
      <c r="E640" s="9">
        <f>ведомство!H155+ведомство!H710</f>
        <v>50678.692130000003</v>
      </c>
      <c r="F640" s="9">
        <f>ведомство!I155+ведомство!I710</f>
        <v>780.39212999999995</v>
      </c>
      <c r="G640" s="9">
        <f>ведомство!J155+ведомство!J710</f>
        <v>780.39212999999995</v>
      </c>
      <c r="H640" s="9">
        <f>ведомство!K155+ведомство!K710</f>
        <v>377.83692000000002</v>
      </c>
      <c r="I640" s="9">
        <f t="shared" si="301"/>
        <v>0.7455538099341239</v>
      </c>
      <c r="J640" s="9">
        <f t="shared" si="303"/>
        <v>48.4162904103095</v>
      </c>
    </row>
    <row r="641" spans="1:10" ht="38.25">
      <c r="A641" s="8" t="s">
        <v>359</v>
      </c>
      <c r="B641" s="1" t="s">
        <v>360</v>
      </c>
      <c r="C641" s="1" t="s">
        <v>0</v>
      </c>
      <c r="D641" s="9">
        <v>390</v>
      </c>
      <c r="E641" s="9">
        <f>E642</f>
        <v>342</v>
      </c>
      <c r="F641" s="9">
        <f t="shared" ref="F641:H642" si="322">F642</f>
        <v>0</v>
      </c>
      <c r="G641" s="9">
        <f t="shared" si="322"/>
        <v>0</v>
      </c>
      <c r="H641" s="9">
        <f t="shared" si="322"/>
        <v>0</v>
      </c>
      <c r="I641" s="9">
        <f t="shared" si="301"/>
        <v>0</v>
      </c>
      <c r="J641" s="9">
        <v>0</v>
      </c>
    </row>
    <row r="642" spans="1:10">
      <c r="A642" s="8" t="s">
        <v>26</v>
      </c>
      <c r="B642" s="1" t="s">
        <v>360</v>
      </c>
      <c r="C642" s="1" t="s">
        <v>27</v>
      </c>
      <c r="D642" s="9">
        <v>390</v>
      </c>
      <c r="E642" s="9">
        <f>E643</f>
        <v>342</v>
      </c>
      <c r="F642" s="9">
        <f t="shared" si="322"/>
        <v>0</v>
      </c>
      <c r="G642" s="9">
        <f t="shared" si="322"/>
        <v>0</v>
      </c>
      <c r="H642" s="9">
        <f t="shared" si="322"/>
        <v>0</v>
      </c>
      <c r="I642" s="9">
        <f t="shared" si="301"/>
        <v>0</v>
      </c>
      <c r="J642" s="9">
        <v>0</v>
      </c>
    </row>
    <row r="643" spans="1:10">
      <c r="A643" s="8" t="s">
        <v>352</v>
      </c>
      <c r="B643" s="1" t="s">
        <v>360</v>
      </c>
      <c r="C643" s="1" t="s">
        <v>353</v>
      </c>
      <c r="D643" s="9">
        <v>390</v>
      </c>
      <c r="E643" s="9">
        <f>ведомство!H740</f>
        <v>342</v>
      </c>
      <c r="F643" s="9">
        <f>ведомство!I740</f>
        <v>0</v>
      </c>
      <c r="G643" s="9">
        <f>ведомство!J740</f>
        <v>0</v>
      </c>
      <c r="H643" s="9">
        <f>ведомство!K740</f>
        <v>0</v>
      </c>
      <c r="I643" s="9">
        <f t="shared" si="301"/>
        <v>0</v>
      </c>
      <c r="J643" s="9">
        <v>0</v>
      </c>
    </row>
    <row r="644" spans="1:10" ht="38.25">
      <c r="A644" s="8" t="s">
        <v>361</v>
      </c>
      <c r="B644" s="1" t="s">
        <v>362</v>
      </c>
      <c r="C644" s="1" t="s">
        <v>0</v>
      </c>
      <c r="D644" s="9">
        <v>655</v>
      </c>
      <c r="E644" s="9">
        <f>E645</f>
        <v>574</v>
      </c>
      <c r="F644" s="9">
        <f t="shared" ref="F644:H645" si="323">F645</f>
        <v>574</v>
      </c>
      <c r="G644" s="9">
        <f t="shared" si="323"/>
        <v>574</v>
      </c>
      <c r="H644" s="9">
        <f t="shared" si="323"/>
        <v>0</v>
      </c>
      <c r="I644" s="9">
        <f t="shared" si="301"/>
        <v>0</v>
      </c>
      <c r="J644" s="9">
        <f t="shared" si="303"/>
        <v>0</v>
      </c>
    </row>
    <row r="645" spans="1:10">
      <c r="A645" s="8" t="s">
        <v>26</v>
      </c>
      <c r="B645" s="1" t="s">
        <v>362</v>
      </c>
      <c r="C645" s="1" t="s">
        <v>27</v>
      </c>
      <c r="D645" s="9">
        <v>655</v>
      </c>
      <c r="E645" s="9">
        <f>E646</f>
        <v>574</v>
      </c>
      <c r="F645" s="9">
        <f t="shared" si="323"/>
        <v>574</v>
      </c>
      <c r="G645" s="9">
        <f t="shared" si="323"/>
        <v>574</v>
      </c>
      <c r="H645" s="9">
        <f t="shared" si="323"/>
        <v>0</v>
      </c>
      <c r="I645" s="9">
        <f t="shared" si="301"/>
        <v>0</v>
      </c>
      <c r="J645" s="9">
        <f t="shared" si="303"/>
        <v>0</v>
      </c>
    </row>
    <row r="646" spans="1:10">
      <c r="A646" s="8" t="s">
        <v>352</v>
      </c>
      <c r="B646" s="1" t="s">
        <v>362</v>
      </c>
      <c r="C646" s="1" t="s">
        <v>353</v>
      </c>
      <c r="D646" s="9">
        <v>655</v>
      </c>
      <c r="E646" s="9">
        <f>ведомство!H743</f>
        <v>574</v>
      </c>
      <c r="F646" s="9">
        <f>ведомство!I743</f>
        <v>574</v>
      </c>
      <c r="G646" s="9">
        <f>ведомство!J743</f>
        <v>574</v>
      </c>
      <c r="H646" s="9">
        <f>ведомство!K743</f>
        <v>0</v>
      </c>
      <c r="I646" s="9">
        <f t="shared" si="301"/>
        <v>0</v>
      </c>
      <c r="J646" s="9">
        <f t="shared" si="303"/>
        <v>0</v>
      </c>
    </row>
    <row r="647" spans="1:10" ht="25.5">
      <c r="A647" s="8" t="s">
        <v>363</v>
      </c>
      <c r="B647" s="1" t="s">
        <v>364</v>
      </c>
      <c r="C647" s="1" t="s">
        <v>0</v>
      </c>
      <c r="D647" s="9">
        <v>600</v>
      </c>
      <c r="E647" s="9">
        <f>E648</f>
        <v>600</v>
      </c>
      <c r="F647" s="9">
        <f t="shared" ref="F647:H648" si="324">F648</f>
        <v>600</v>
      </c>
      <c r="G647" s="9">
        <f t="shared" si="324"/>
        <v>600</v>
      </c>
      <c r="H647" s="9">
        <f t="shared" si="324"/>
        <v>267.58</v>
      </c>
      <c r="I647" s="9">
        <f t="shared" si="301"/>
        <v>44.596666666666664</v>
      </c>
      <c r="J647" s="9">
        <f t="shared" si="303"/>
        <v>44.596666666666664</v>
      </c>
    </row>
    <row r="648" spans="1:10">
      <c r="A648" s="8" t="s">
        <v>26</v>
      </c>
      <c r="B648" s="1" t="s">
        <v>364</v>
      </c>
      <c r="C648" s="1" t="s">
        <v>27</v>
      </c>
      <c r="D648" s="9">
        <v>600</v>
      </c>
      <c r="E648" s="9">
        <f>E649</f>
        <v>600</v>
      </c>
      <c r="F648" s="9">
        <f t="shared" si="324"/>
        <v>600</v>
      </c>
      <c r="G648" s="9">
        <f t="shared" si="324"/>
        <v>600</v>
      </c>
      <c r="H648" s="9">
        <f t="shared" si="324"/>
        <v>267.58</v>
      </c>
      <c r="I648" s="9">
        <f t="shared" si="301"/>
        <v>44.596666666666664</v>
      </c>
      <c r="J648" s="9">
        <f t="shared" si="303"/>
        <v>44.596666666666664</v>
      </c>
    </row>
    <row r="649" spans="1:10">
      <c r="A649" s="8" t="s">
        <v>352</v>
      </c>
      <c r="B649" s="1" t="s">
        <v>364</v>
      </c>
      <c r="C649" s="1" t="s">
        <v>353</v>
      </c>
      <c r="D649" s="9">
        <v>600</v>
      </c>
      <c r="E649" s="9">
        <f>ведомство!H746</f>
        <v>600</v>
      </c>
      <c r="F649" s="9">
        <f>ведомство!I746</f>
        <v>600</v>
      </c>
      <c r="G649" s="9">
        <f>ведомство!J746</f>
        <v>600</v>
      </c>
      <c r="H649" s="9">
        <f>ведомство!K746</f>
        <v>267.58</v>
      </c>
      <c r="I649" s="9">
        <f t="shared" si="301"/>
        <v>44.596666666666664</v>
      </c>
      <c r="J649" s="9">
        <f t="shared" si="303"/>
        <v>44.596666666666664</v>
      </c>
    </row>
    <row r="650" spans="1:10" ht="38.25">
      <c r="A650" s="8" t="s">
        <v>365</v>
      </c>
      <c r="B650" s="1" t="s">
        <v>366</v>
      </c>
      <c r="C650" s="1" t="s">
        <v>0</v>
      </c>
      <c r="D650" s="9">
        <v>450</v>
      </c>
      <c r="E650" s="9">
        <f>E651</f>
        <v>450</v>
      </c>
      <c r="F650" s="9">
        <f t="shared" ref="F650:H651" si="325">F651</f>
        <v>450</v>
      </c>
      <c r="G650" s="9">
        <f t="shared" si="325"/>
        <v>450</v>
      </c>
      <c r="H650" s="9">
        <f t="shared" si="325"/>
        <v>400</v>
      </c>
      <c r="I650" s="9">
        <f t="shared" si="301"/>
        <v>88.888888888888886</v>
      </c>
      <c r="J650" s="9">
        <f t="shared" si="303"/>
        <v>88.888888888888886</v>
      </c>
    </row>
    <row r="651" spans="1:10">
      <c r="A651" s="8" t="s">
        <v>26</v>
      </c>
      <c r="B651" s="1" t="s">
        <v>366</v>
      </c>
      <c r="C651" s="1" t="s">
        <v>27</v>
      </c>
      <c r="D651" s="9">
        <v>450</v>
      </c>
      <c r="E651" s="9">
        <f>E652</f>
        <v>450</v>
      </c>
      <c r="F651" s="9">
        <f t="shared" si="325"/>
        <v>450</v>
      </c>
      <c r="G651" s="9">
        <f t="shared" si="325"/>
        <v>450</v>
      </c>
      <c r="H651" s="9">
        <f t="shared" si="325"/>
        <v>400</v>
      </c>
      <c r="I651" s="9">
        <f t="shared" si="301"/>
        <v>88.888888888888886</v>
      </c>
      <c r="J651" s="9">
        <f t="shared" si="303"/>
        <v>88.888888888888886</v>
      </c>
    </row>
    <row r="652" spans="1:10">
      <c r="A652" s="8" t="s">
        <v>352</v>
      </c>
      <c r="B652" s="1" t="s">
        <v>366</v>
      </c>
      <c r="C652" s="1" t="s">
        <v>353</v>
      </c>
      <c r="D652" s="9">
        <v>450</v>
      </c>
      <c r="E652" s="9">
        <f>ведомство!H749</f>
        <v>450</v>
      </c>
      <c r="F652" s="9">
        <f>ведомство!I749</f>
        <v>450</v>
      </c>
      <c r="G652" s="9">
        <f>ведомство!J749</f>
        <v>450</v>
      </c>
      <c r="H652" s="9">
        <f>ведомство!K749</f>
        <v>400</v>
      </c>
      <c r="I652" s="9">
        <f t="shared" si="301"/>
        <v>88.888888888888886</v>
      </c>
      <c r="J652" s="9">
        <f t="shared" si="303"/>
        <v>88.888888888888886</v>
      </c>
    </row>
    <row r="653" spans="1:10" ht="76.5">
      <c r="A653" s="8" t="s">
        <v>381</v>
      </c>
      <c r="B653" s="1" t="s">
        <v>382</v>
      </c>
      <c r="C653" s="1" t="s">
        <v>0</v>
      </c>
      <c r="D653" s="9">
        <v>10240.5</v>
      </c>
      <c r="E653" s="9">
        <f>E654+E656+E658</f>
        <v>10240.5</v>
      </c>
      <c r="F653" s="9">
        <f t="shared" ref="F653:H653" si="326">F654+F656+F658</f>
        <v>4876.1949800000002</v>
      </c>
      <c r="G653" s="9">
        <f t="shared" si="326"/>
        <v>4876.1949800000002</v>
      </c>
      <c r="H653" s="9">
        <f t="shared" si="326"/>
        <v>4757.85095</v>
      </c>
      <c r="I653" s="9">
        <f t="shared" si="301"/>
        <v>46.46111957423954</v>
      </c>
      <c r="J653" s="9">
        <f t="shared" si="303"/>
        <v>97.573025063899308</v>
      </c>
    </row>
    <row r="654" spans="1:10" ht="51">
      <c r="A654" s="8" t="s">
        <v>60</v>
      </c>
      <c r="B654" s="1" t="s">
        <v>382</v>
      </c>
      <c r="C654" s="1" t="s">
        <v>61</v>
      </c>
      <c r="D654" s="9">
        <v>8958.4</v>
      </c>
      <c r="E654" s="9">
        <f>E655</f>
        <v>8958.4</v>
      </c>
      <c r="F654" s="9">
        <f t="shared" ref="F654:H654" si="327">F655</f>
        <v>4175.2246599999999</v>
      </c>
      <c r="G654" s="9">
        <f t="shared" si="327"/>
        <v>4175.2246599999999</v>
      </c>
      <c r="H654" s="9">
        <f t="shared" si="327"/>
        <v>4081.7557400000001</v>
      </c>
      <c r="I654" s="9">
        <f t="shared" si="301"/>
        <v>45.563445927844256</v>
      </c>
      <c r="J654" s="9">
        <f t="shared" si="303"/>
        <v>97.761343936879314</v>
      </c>
    </row>
    <row r="655" spans="1:10" ht="25.5">
      <c r="A655" s="8" t="s">
        <v>62</v>
      </c>
      <c r="B655" s="1" t="s">
        <v>382</v>
      </c>
      <c r="C655" s="1" t="s">
        <v>63</v>
      </c>
      <c r="D655" s="9">
        <v>8958.4</v>
      </c>
      <c r="E655" s="9">
        <f>ведомство!H782</f>
        <v>8958.4</v>
      </c>
      <c r="F655" s="9">
        <f>ведомство!I782</f>
        <v>4175.2246599999999</v>
      </c>
      <c r="G655" s="9">
        <f>ведомство!J782</f>
        <v>4175.2246599999999</v>
      </c>
      <c r="H655" s="9">
        <f>ведомство!K782</f>
        <v>4081.7557400000001</v>
      </c>
      <c r="I655" s="9">
        <f t="shared" si="301"/>
        <v>45.563445927844256</v>
      </c>
      <c r="J655" s="9">
        <f t="shared" si="303"/>
        <v>97.761343936879314</v>
      </c>
    </row>
    <row r="656" spans="1:10" ht="25.5">
      <c r="A656" s="8" t="s">
        <v>64</v>
      </c>
      <c r="B656" s="1" t="s">
        <v>382</v>
      </c>
      <c r="C656" s="1" t="s">
        <v>65</v>
      </c>
      <c r="D656" s="9">
        <v>1280.9000000000001</v>
      </c>
      <c r="E656" s="9">
        <f>E657</f>
        <v>1280.9000000000001</v>
      </c>
      <c r="F656" s="9">
        <f t="shared" ref="F656:H656" si="328">F657</f>
        <v>700.22032000000002</v>
      </c>
      <c r="G656" s="9">
        <f t="shared" si="328"/>
        <v>700.22032000000002</v>
      </c>
      <c r="H656" s="9">
        <f t="shared" si="328"/>
        <v>675.65821000000005</v>
      </c>
      <c r="I656" s="9">
        <f t="shared" si="301"/>
        <v>52.748708720430947</v>
      </c>
      <c r="J656" s="9">
        <f t="shared" si="303"/>
        <v>96.49223118803522</v>
      </c>
    </row>
    <row r="657" spans="1:10" ht="25.5">
      <c r="A657" s="8" t="s">
        <v>66</v>
      </c>
      <c r="B657" s="1" t="s">
        <v>382</v>
      </c>
      <c r="C657" s="1" t="s">
        <v>67</v>
      </c>
      <c r="D657" s="9">
        <v>1280.9000000000001</v>
      </c>
      <c r="E657" s="9">
        <f>ведомство!H784</f>
        <v>1280.9000000000001</v>
      </c>
      <c r="F657" s="9">
        <f>ведомство!I784</f>
        <v>700.22032000000002</v>
      </c>
      <c r="G657" s="9">
        <f>ведомство!J784</f>
        <v>700.22032000000002</v>
      </c>
      <c r="H657" s="9">
        <f>ведомство!K784</f>
        <v>675.65821000000005</v>
      </c>
      <c r="I657" s="9">
        <f t="shared" si="301"/>
        <v>52.748708720430947</v>
      </c>
      <c r="J657" s="9">
        <f t="shared" si="303"/>
        <v>96.49223118803522</v>
      </c>
    </row>
    <row r="658" spans="1:10">
      <c r="A658" s="8" t="s">
        <v>72</v>
      </c>
      <c r="B658" s="1" t="s">
        <v>382</v>
      </c>
      <c r="C658" s="1" t="s">
        <v>73</v>
      </c>
      <c r="D658" s="9">
        <v>1.2</v>
      </c>
      <c r="E658" s="9">
        <f>E659</f>
        <v>1.2</v>
      </c>
      <c r="F658" s="9">
        <f t="shared" ref="F658:H658" si="329">F659</f>
        <v>0.75</v>
      </c>
      <c r="G658" s="9">
        <f t="shared" si="329"/>
        <v>0.75</v>
      </c>
      <c r="H658" s="9">
        <f t="shared" si="329"/>
        <v>0.437</v>
      </c>
      <c r="I658" s="9">
        <f t="shared" ref="I658:I729" si="330">H658/E658*100</f>
        <v>36.416666666666671</v>
      </c>
      <c r="J658" s="9">
        <f t="shared" ref="J658:J729" si="331">H658/F658*100</f>
        <v>58.266666666666666</v>
      </c>
    </row>
    <row r="659" spans="1:10">
      <c r="A659" s="8" t="s">
        <v>74</v>
      </c>
      <c r="B659" s="1" t="s">
        <v>382</v>
      </c>
      <c r="C659" s="1" t="s">
        <v>75</v>
      </c>
      <c r="D659" s="9">
        <v>1.2</v>
      </c>
      <c r="E659" s="9">
        <f>ведомство!H786</f>
        <v>1.2</v>
      </c>
      <c r="F659" s="9">
        <f>ведомство!I786</f>
        <v>0.75</v>
      </c>
      <c r="G659" s="9">
        <f>ведомство!J786</f>
        <v>0.75</v>
      </c>
      <c r="H659" s="9">
        <f>ведомство!K786</f>
        <v>0.437</v>
      </c>
      <c r="I659" s="9">
        <f t="shared" si="330"/>
        <v>36.416666666666671</v>
      </c>
      <c r="J659" s="9">
        <f t="shared" si="331"/>
        <v>58.266666666666666</v>
      </c>
    </row>
    <row r="660" spans="1:10" ht="25.5">
      <c r="A660" s="8" t="s">
        <v>58</v>
      </c>
      <c r="B660" s="1" t="s">
        <v>383</v>
      </c>
      <c r="C660" s="1" t="s">
        <v>0</v>
      </c>
      <c r="D660" s="9">
        <v>29141.9</v>
      </c>
      <c r="E660" s="9">
        <f>E661+E663+E667+E665</f>
        <v>37388.5</v>
      </c>
      <c r="F660" s="9">
        <f t="shared" ref="F660:H660" si="332">F661+F663+F667+F665</f>
        <v>17438.899999999998</v>
      </c>
      <c r="G660" s="9">
        <f t="shared" si="332"/>
        <v>17438.899999999998</v>
      </c>
      <c r="H660" s="9">
        <f t="shared" si="332"/>
        <v>17356.225339999997</v>
      </c>
      <c r="I660" s="9">
        <f t="shared" si="330"/>
        <v>46.421293552830406</v>
      </c>
      <c r="J660" s="9">
        <f t="shared" si="331"/>
        <v>99.52591814850706</v>
      </c>
    </row>
    <row r="661" spans="1:10" ht="51">
      <c r="A661" s="8" t="s">
        <v>60</v>
      </c>
      <c r="B661" s="1" t="s">
        <v>383</v>
      </c>
      <c r="C661" s="1" t="s">
        <v>61</v>
      </c>
      <c r="D661" s="9">
        <v>28126</v>
      </c>
      <c r="E661" s="9">
        <f>E662</f>
        <v>35845.454149999998</v>
      </c>
      <c r="F661" s="9">
        <f t="shared" ref="F661:H661" si="333">F662</f>
        <v>16765.094689999998</v>
      </c>
      <c r="G661" s="9">
        <f t="shared" si="333"/>
        <v>16765.094689999998</v>
      </c>
      <c r="H661" s="9">
        <f t="shared" si="333"/>
        <v>16743.162819999998</v>
      </c>
      <c r="I661" s="9">
        <f t="shared" si="330"/>
        <v>46.709305871634484</v>
      </c>
      <c r="J661" s="9">
        <f t="shared" si="331"/>
        <v>99.869181353248891</v>
      </c>
    </row>
    <row r="662" spans="1:10" ht="25.5">
      <c r="A662" s="8" t="s">
        <v>62</v>
      </c>
      <c r="B662" s="1" t="s">
        <v>383</v>
      </c>
      <c r="C662" s="1" t="s">
        <v>63</v>
      </c>
      <c r="D662" s="9">
        <v>28126</v>
      </c>
      <c r="E662" s="9">
        <f>ведомство!H789</f>
        <v>35845.454149999998</v>
      </c>
      <c r="F662" s="9">
        <f>ведомство!I789</f>
        <v>16765.094689999998</v>
      </c>
      <c r="G662" s="9">
        <f>ведомство!J789</f>
        <v>16765.094689999998</v>
      </c>
      <c r="H662" s="9">
        <f>ведомство!K789</f>
        <v>16743.162819999998</v>
      </c>
      <c r="I662" s="9">
        <f t="shared" si="330"/>
        <v>46.709305871634484</v>
      </c>
      <c r="J662" s="9">
        <f t="shared" si="331"/>
        <v>99.869181353248891</v>
      </c>
    </row>
    <row r="663" spans="1:10" ht="25.5">
      <c r="A663" s="8" t="s">
        <v>64</v>
      </c>
      <c r="B663" s="1" t="s">
        <v>383</v>
      </c>
      <c r="C663" s="1" t="s">
        <v>65</v>
      </c>
      <c r="D663" s="9">
        <v>1015.1</v>
      </c>
      <c r="E663" s="9">
        <f>E664</f>
        <v>1289.4000000000001</v>
      </c>
      <c r="F663" s="9">
        <f t="shared" ref="F663:H663" si="334">F664</f>
        <v>519.4</v>
      </c>
      <c r="G663" s="9">
        <f t="shared" si="334"/>
        <v>519.4</v>
      </c>
      <c r="H663" s="9">
        <f t="shared" si="334"/>
        <v>458.65721000000002</v>
      </c>
      <c r="I663" s="9">
        <f t="shared" si="330"/>
        <v>35.571367302621368</v>
      </c>
      <c r="J663" s="9">
        <f t="shared" si="331"/>
        <v>88.305200231035812</v>
      </c>
    </row>
    <row r="664" spans="1:10" ht="25.5">
      <c r="A664" s="8" t="s">
        <v>66</v>
      </c>
      <c r="B664" s="1" t="s">
        <v>383</v>
      </c>
      <c r="C664" s="1" t="s">
        <v>67</v>
      </c>
      <c r="D664" s="9">
        <v>1015.1</v>
      </c>
      <c r="E664" s="9">
        <f>ведомство!H790</f>
        <v>1289.4000000000001</v>
      </c>
      <c r="F664" s="9">
        <f>ведомство!I790</f>
        <v>519.4</v>
      </c>
      <c r="G664" s="9">
        <f>ведомство!J790</f>
        <v>519.4</v>
      </c>
      <c r="H664" s="9">
        <f>ведомство!K790</f>
        <v>458.65721000000002</v>
      </c>
      <c r="I664" s="9">
        <f t="shared" si="330"/>
        <v>35.571367302621368</v>
      </c>
      <c r="J664" s="9">
        <f t="shared" si="331"/>
        <v>88.305200231035812</v>
      </c>
    </row>
    <row r="665" spans="1:10" s="43" customFormat="1">
      <c r="A665" s="8" t="s">
        <v>68</v>
      </c>
      <c r="B665" s="1" t="s">
        <v>383</v>
      </c>
      <c r="C665" s="1">
        <v>300</v>
      </c>
      <c r="D665" s="9"/>
      <c r="E665" s="9">
        <f>E666</f>
        <v>252.84585000000001</v>
      </c>
      <c r="F665" s="9">
        <f t="shared" ref="F665:H665" si="335">F666</f>
        <v>154.40530999999999</v>
      </c>
      <c r="G665" s="9">
        <f t="shared" si="335"/>
        <v>154.40530999999999</v>
      </c>
      <c r="H665" s="9">
        <f t="shared" si="335"/>
        <v>154.40530999999999</v>
      </c>
      <c r="I665" s="9"/>
      <c r="J665" s="9"/>
    </row>
    <row r="666" spans="1:10" s="43" customFormat="1" ht="25.5">
      <c r="A666" s="8" t="s">
        <v>151</v>
      </c>
      <c r="B666" s="1" t="s">
        <v>383</v>
      </c>
      <c r="C666" s="1">
        <v>320</v>
      </c>
      <c r="D666" s="9"/>
      <c r="E666" s="9">
        <f>ведомство!H793</f>
        <v>252.84585000000001</v>
      </c>
      <c r="F666" s="9">
        <f>ведомство!I793</f>
        <v>154.40530999999999</v>
      </c>
      <c r="G666" s="9">
        <f>ведомство!J793</f>
        <v>154.40530999999999</v>
      </c>
      <c r="H666" s="9">
        <f>ведомство!K793</f>
        <v>154.40530999999999</v>
      </c>
      <c r="I666" s="9"/>
      <c r="J666" s="9"/>
    </row>
    <row r="667" spans="1:10">
      <c r="A667" s="8" t="s">
        <v>72</v>
      </c>
      <c r="B667" s="1" t="s">
        <v>383</v>
      </c>
      <c r="C667" s="1" t="s">
        <v>73</v>
      </c>
      <c r="D667" s="9">
        <v>0.8</v>
      </c>
      <c r="E667" s="9">
        <f>E668</f>
        <v>0.8</v>
      </c>
      <c r="F667" s="9">
        <f t="shared" ref="F667:H667" si="336">F668</f>
        <v>0</v>
      </c>
      <c r="G667" s="9">
        <f t="shared" si="336"/>
        <v>0</v>
      </c>
      <c r="H667" s="9">
        <f t="shared" si="336"/>
        <v>0</v>
      </c>
      <c r="I667" s="9">
        <f t="shared" si="330"/>
        <v>0</v>
      </c>
      <c r="J667" s="9">
        <v>0</v>
      </c>
    </row>
    <row r="668" spans="1:10">
      <c r="A668" s="8" t="s">
        <v>74</v>
      </c>
      <c r="B668" s="1" t="s">
        <v>383</v>
      </c>
      <c r="C668" s="1" t="s">
        <v>75</v>
      </c>
      <c r="D668" s="9">
        <v>0.8</v>
      </c>
      <c r="E668" s="9">
        <f>ведомство!H795</f>
        <v>0.8</v>
      </c>
      <c r="F668" s="9">
        <f>ведомство!I795</f>
        <v>0</v>
      </c>
      <c r="G668" s="9">
        <f>ведомство!J795</f>
        <v>0</v>
      </c>
      <c r="H668" s="9">
        <f>ведомство!K795</f>
        <v>0</v>
      </c>
      <c r="I668" s="9">
        <f t="shared" si="330"/>
        <v>0</v>
      </c>
      <c r="J668" s="9">
        <v>0</v>
      </c>
    </row>
    <row r="669" spans="1:10" ht="25.5">
      <c r="A669" s="8" t="s">
        <v>76</v>
      </c>
      <c r="B669" s="1" t="s">
        <v>121</v>
      </c>
      <c r="C669" s="1" t="s">
        <v>0</v>
      </c>
      <c r="D669" s="9">
        <v>725528.1</v>
      </c>
      <c r="E669" s="9">
        <f>E670+E672</f>
        <v>759542.02070000011</v>
      </c>
      <c r="F669" s="9">
        <f t="shared" ref="F669:H669" si="337">F670+F672</f>
        <v>388688.56100000005</v>
      </c>
      <c r="G669" s="9">
        <f t="shared" si="337"/>
        <v>388688.56100000005</v>
      </c>
      <c r="H669" s="9">
        <f t="shared" si="337"/>
        <v>388688.56100000005</v>
      </c>
      <c r="I669" s="9">
        <f t="shared" si="330"/>
        <v>51.174069426966199</v>
      </c>
      <c r="J669" s="9">
        <f t="shared" si="331"/>
        <v>100</v>
      </c>
    </row>
    <row r="670" spans="1:10" ht="25.5">
      <c r="A670" s="8" t="s">
        <v>64</v>
      </c>
      <c r="B670" s="1" t="s">
        <v>121</v>
      </c>
      <c r="C670" s="1" t="s">
        <v>65</v>
      </c>
      <c r="D670" s="9">
        <v>26737.599999999999</v>
      </c>
      <c r="E670" s="9">
        <f>E671</f>
        <v>26737.620699999999</v>
      </c>
      <c r="F670" s="9">
        <f t="shared" ref="F670:H670" si="338">F671</f>
        <v>0</v>
      </c>
      <c r="G670" s="9">
        <f t="shared" si="338"/>
        <v>0</v>
      </c>
      <c r="H670" s="9">
        <f t="shared" si="338"/>
        <v>0</v>
      </c>
      <c r="I670" s="9">
        <f t="shared" si="330"/>
        <v>0</v>
      </c>
      <c r="J670" s="9">
        <v>0</v>
      </c>
    </row>
    <row r="671" spans="1:10" ht="25.5">
      <c r="A671" s="8" t="s">
        <v>66</v>
      </c>
      <c r="B671" s="1" t="s">
        <v>121</v>
      </c>
      <c r="C671" s="1" t="s">
        <v>67</v>
      </c>
      <c r="D671" s="9">
        <v>26737.599999999999</v>
      </c>
      <c r="E671" s="9">
        <f>ведомство!H130+ведомство!H158</f>
        <v>26737.620699999999</v>
      </c>
      <c r="F671" s="9">
        <f>ведомство!I130+ведомство!I158</f>
        <v>0</v>
      </c>
      <c r="G671" s="9">
        <f>ведомство!J130+ведомство!J158</f>
        <v>0</v>
      </c>
      <c r="H671" s="9">
        <f>ведомство!K130+ведомство!K158</f>
        <v>0</v>
      </c>
      <c r="I671" s="9">
        <f t="shared" si="330"/>
        <v>0</v>
      </c>
      <c r="J671" s="9">
        <v>0</v>
      </c>
    </row>
    <row r="672" spans="1:10" ht="25.5">
      <c r="A672" s="8" t="s">
        <v>80</v>
      </c>
      <c r="B672" s="1" t="s">
        <v>121</v>
      </c>
      <c r="C672" s="1" t="s">
        <v>81</v>
      </c>
      <c r="D672" s="9">
        <v>698790.5</v>
      </c>
      <c r="E672" s="9">
        <f>E673+E674</f>
        <v>732804.40000000014</v>
      </c>
      <c r="F672" s="9">
        <f t="shared" ref="F672:H672" si="339">F673+F674</f>
        <v>388688.56100000005</v>
      </c>
      <c r="G672" s="9">
        <f t="shared" si="339"/>
        <v>388688.56100000005</v>
      </c>
      <c r="H672" s="9">
        <f t="shared" si="339"/>
        <v>388688.56100000005</v>
      </c>
      <c r="I672" s="9">
        <f t="shared" si="330"/>
        <v>53.041242792756151</v>
      </c>
      <c r="J672" s="9">
        <f t="shared" si="331"/>
        <v>100</v>
      </c>
    </row>
    <row r="673" spans="1:10">
      <c r="A673" s="8" t="s">
        <v>271</v>
      </c>
      <c r="B673" s="1" t="s">
        <v>121</v>
      </c>
      <c r="C673" s="1" t="s">
        <v>272</v>
      </c>
      <c r="D673" s="9">
        <v>674490.7</v>
      </c>
      <c r="E673" s="9">
        <f>ведомство!H690+ведомство!H697+ведомство!H713+ведомство!H725+ведомство!H752</f>
        <v>708504.60000000009</v>
      </c>
      <c r="F673" s="9">
        <f>ведомство!I690+ведомство!I697+ведомство!I713+ведомство!I725+ведомство!I752</f>
        <v>376361.86100000003</v>
      </c>
      <c r="G673" s="9">
        <f>ведомство!J690+ведомство!J697+ведомство!J713+ведомство!J725+ведомство!J752</f>
        <v>376361.86100000003</v>
      </c>
      <c r="H673" s="9">
        <f>ведомство!K690+ведомство!K697+ведомство!K713+ведомство!K725+ведомство!K752</f>
        <v>376361.86100000003</v>
      </c>
      <c r="I673" s="9">
        <f t="shared" si="330"/>
        <v>53.120595265013094</v>
      </c>
      <c r="J673" s="9">
        <f t="shared" si="331"/>
        <v>100</v>
      </c>
    </row>
    <row r="674" spans="1:10">
      <c r="A674" s="8" t="s">
        <v>82</v>
      </c>
      <c r="B674" s="1" t="s">
        <v>121</v>
      </c>
      <c r="C674" s="1" t="s">
        <v>83</v>
      </c>
      <c r="D674" s="9">
        <v>24299.8</v>
      </c>
      <c r="E674" s="9">
        <f>ведомство!H753</f>
        <v>24299.8</v>
      </c>
      <c r="F674" s="9">
        <f>ведомство!I753</f>
        <v>12326.7</v>
      </c>
      <c r="G674" s="9">
        <f>ведомство!J753</f>
        <v>12326.7</v>
      </c>
      <c r="H674" s="9">
        <f>ведомство!K753</f>
        <v>12326.7</v>
      </c>
      <c r="I674" s="9">
        <f t="shared" si="330"/>
        <v>50.727578004757248</v>
      </c>
      <c r="J674" s="9">
        <f t="shared" si="331"/>
        <v>100</v>
      </c>
    </row>
    <row r="675" spans="1:10" ht="63.75">
      <c r="A675" s="8" t="s">
        <v>367</v>
      </c>
      <c r="B675" s="1" t="s">
        <v>368</v>
      </c>
      <c r="C675" s="1" t="s">
        <v>0</v>
      </c>
      <c r="D675" s="9">
        <v>2891.3</v>
      </c>
      <c r="E675" s="9">
        <f>E676</f>
        <v>0</v>
      </c>
      <c r="F675" s="9">
        <f t="shared" ref="F675:H676" si="340">F676</f>
        <v>0</v>
      </c>
      <c r="G675" s="9">
        <f t="shared" si="340"/>
        <v>0</v>
      </c>
      <c r="H675" s="9">
        <f t="shared" si="340"/>
        <v>0</v>
      </c>
      <c r="I675" s="9">
        <v>0</v>
      </c>
      <c r="J675" s="9">
        <v>0</v>
      </c>
    </row>
    <row r="676" spans="1:10">
      <c r="A676" s="8" t="s">
        <v>72</v>
      </c>
      <c r="B676" s="1" t="s">
        <v>368</v>
      </c>
      <c r="C676" s="1" t="s">
        <v>73</v>
      </c>
      <c r="D676" s="9">
        <v>2891.3</v>
      </c>
      <c r="E676" s="9">
        <f>E677</f>
        <v>0</v>
      </c>
      <c r="F676" s="9">
        <f t="shared" si="340"/>
        <v>0</v>
      </c>
      <c r="G676" s="9">
        <f t="shared" si="340"/>
        <v>0</v>
      </c>
      <c r="H676" s="9">
        <f t="shared" si="340"/>
        <v>0</v>
      </c>
      <c r="I676" s="9">
        <v>0</v>
      </c>
      <c r="J676" s="9">
        <v>0</v>
      </c>
    </row>
    <row r="677" spans="1:10">
      <c r="A677" s="8" t="s">
        <v>369</v>
      </c>
      <c r="B677" s="1" t="s">
        <v>368</v>
      </c>
      <c r="C677" s="1" t="s">
        <v>370</v>
      </c>
      <c r="D677" s="9">
        <v>2891.3</v>
      </c>
      <c r="E677" s="9">
        <f>ведомство!H756</f>
        <v>0</v>
      </c>
      <c r="F677" s="9">
        <f>ведомство!I756</f>
        <v>0</v>
      </c>
      <c r="G677" s="9">
        <f>ведомство!J756</f>
        <v>0</v>
      </c>
      <c r="H677" s="9">
        <f>ведомство!K756</f>
        <v>0</v>
      </c>
      <c r="I677" s="9">
        <v>0</v>
      </c>
      <c r="J677" s="9">
        <v>0</v>
      </c>
    </row>
    <row r="678" spans="1:10" ht="38.25">
      <c r="A678" s="8" t="s">
        <v>37</v>
      </c>
      <c r="B678" s="1" t="s">
        <v>49</v>
      </c>
      <c r="C678" s="1" t="s">
        <v>0</v>
      </c>
      <c r="D678" s="9">
        <v>6504.6</v>
      </c>
      <c r="E678" s="9">
        <f>E679</f>
        <v>6504.6479099999997</v>
      </c>
      <c r="F678" s="9">
        <f t="shared" ref="F678:H679" si="341">F679</f>
        <v>1721.7547400000001</v>
      </c>
      <c r="G678" s="9">
        <f t="shared" si="341"/>
        <v>1721.7547400000001</v>
      </c>
      <c r="H678" s="9">
        <f t="shared" si="341"/>
        <v>1721.7547400000001</v>
      </c>
      <c r="I678" s="9">
        <f t="shared" si="330"/>
        <v>26.46960702289573</v>
      </c>
      <c r="J678" s="9">
        <f t="shared" si="331"/>
        <v>100</v>
      </c>
    </row>
    <row r="679" spans="1:10" ht="25.5">
      <c r="A679" s="8" t="s">
        <v>39</v>
      </c>
      <c r="B679" s="1" t="s">
        <v>49</v>
      </c>
      <c r="C679" s="1" t="s">
        <v>40</v>
      </c>
      <c r="D679" s="9">
        <v>6504.6</v>
      </c>
      <c r="E679" s="9">
        <f>E680</f>
        <v>6504.6479099999997</v>
      </c>
      <c r="F679" s="9">
        <f t="shared" si="341"/>
        <v>1721.7547400000001</v>
      </c>
      <c r="G679" s="9">
        <f t="shared" si="341"/>
        <v>1721.7547400000001</v>
      </c>
      <c r="H679" s="9">
        <f t="shared" si="341"/>
        <v>1721.7547400000001</v>
      </c>
      <c r="I679" s="9">
        <f t="shared" si="330"/>
        <v>26.46960702289573</v>
      </c>
      <c r="J679" s="9">
        <f t="shared" si="331"/>
        <v>100</v>
      </c>
    </row>
    <row r="680" spans="1:10">
      <c r="A680" s="8" t="s">
        <v>41</v>
      </c>
      <c r="B680" s="1" t="s">
        <v>49</v>
      </c>
      <c r="C680" s="1" t="s">
        <v>42</v>
      </c>
      <c r="D680" s="9">
        <v>6504.6</v>
      </c>
      <c r="E680" s="9">
        <f>ведомство!H34</f>
        <v>6504.6479099999997</v>
      </c>
      <c r="F680" s="9">
        <f>ведомство!I34</f>
        <v>1721.7547400000001</v>
      </c>
      <c r="G680" s="9">
        <f>ведомство!J34</f>
        <v>1721.7547400000001</v>
      </c>
      <c r="H680" s="9">
        <f>ведомство!K34</f>
        <v>1721.7547400000001</v>
      </c>
      <c r="I680" s="9">
        <f t="shared" si="330"/>
        <v>26.46960702289573</v>
      </c>
      <c r="J680" s="9">
        <f t="shared" si="331"/>
        <v>100</v>
      </c>
    </row>
    <row r="681" spans="1:10">
      <c r="A681" s="8" t="s">
        <v>371</v>
      </c>
      <c r="B681" s="1" t="s">
        <v>372</v>
      </c>
      <c r="C681" s="1" t="s">
        <v>0</v>
      </c>
      <c r="D681" s="9">
        <v>11016.2</v>
      </c>
      <c r="E681" s="9">
        <f>E682+E684+E687</f>
        <v>11016.2</v>
      </c>
      <c r="F681" s="9">
        <f t="shared" ref="F681:H681" si="342">F682+F684+F687</f>
        <v>506.69839999999999</v>
      </c>
      <c r="G681" s="9">
        <f t="shared" si="342"/>
        <v>506.69839999999999</v>
      </c>
      <c r="H681" s="9">
        <f t="shared" si="342"/>
        <v>506.69839999999999</v>
      </c>
      <c r="I681" s="9">
        <f t="shared" si="330"/>
        <v>4.5995751711116357</v>
      </c>
      <c r="J681" s="9">
        <f t="shared" si="331"/>
        <v>100</v>
      </c>
    </row>
    <row r="682" spans="1:10" ht="25.5">
      <c r="A682" s="8" t="s">
        <v>64</v>
      </c>
      <c r="B682" s="1" t="s">
        <v>372</v>
      </c>
      <c r="C682" s="1" t="s">
        <v>65</v>
      </c>
      <c r="D682" s="9">
        <v>4558.2</v>
      </c>
      <c r="E682" s="9">
        <f>E683</f>
        <v>4558.2</v>
      </c>
      <c r="F682" s="9">
        <f t="shared" ref="F682:H682" si="343">F683</f>
        <v>191.85599999999999</v>
      </c>
      <c r="G682" s="9">
        <f t="shared" si="343"/>
        <v>191.85599999999999</v>
      </c>
      <c r="H682" s="9">
        <f t="shared" si="343"/>
        <v>191.85599999999999</v>
      </c>
      <c r="I682" s="9">
        <f t="shared" si="330"/>
        <v>4.2090298802158745</v>
      </c>
      <c r="J682" s="9">
        <f t="shared" si="331"/>
        <v>100</v>
      </c>
    </row>
    <row r="683" spans="1:10" ht="25.5">
      <c r="A683" s="8" t="s">
        <v>66</v>
      </c>
      <c r="B683" s="1" t="s">
        <v>372</v>
      </c>
      <c r="C683" s="1" t="s">
        <v>67</v>
      </c>
      <c r="D683" s="9">
        <v>4558.2</v>
      </c>
      <c r="E683" s="9">
        <f>ведомство!H759</f>
        <v>4558.2</v>
      </c>
      <c r="F683" s="9">
        <f>ведомство!I759</f>
        <v>191.85599999999999</v>
      </c>
      <c r="G683" s="9">
        <f>ведомство!J759</f>
        <v>191.85599999999999</v>
      </c>
      <c r="H683" s="9">
        <f>ведомство!K759</f>
        <v>191.85599999999999</v>
      </c>
      <c r="I683" s="9">
        <f t="shared" si="330"/>
        <v>4.2090298802158745</v>
      </c>
      <c r="J683" s="9">
        <f t="shared" si="331"/>
        <v>100</v>
      </c>
    </row>
    <row r="684" spans="1:10">
      <c r="A684" s="8" t="s">
        <v>68</v>
      </c>
      <c r="B684" s="1" t="s">
        <v>372</v>
      </c>
      <c r="C684" s="1" t="s">
        <v>69</v>
      </c>
      <c r="D684" s="9">
        <v>725.5</v>
      </c>
      <c r="E684" s="9">
        <f>E685+E686</f>
        <v>725.5</v>
      </c>
      <c r="F684" s="9">
        <f t="shared" ref="F684:H684" si="344">F685+F686</f>
        <v>314.8424</v>
      </c>
      <c r="G684" s="9">
        <f t="shared" si="344"/>
        <v>314.8424</v>
      </c>
      <c r="H684" s="9">
        <f t="shared" si="344"/>
        <v>314.8424</v>
      </c>
      <c r="I684" s="9">
        <f t="shared" si="330"/>
        <v>43.396609235010338</v>
      </c>
      <c r="J684" s="9">
        <f t="shared" si="331"/>
        <v>100</v>
      </c>
    </row>
    <row r="685" spans="1:10">
      <c r="A685" s="8" t="s">
        <v>373</v>
      </c>
      <c r="B685" s="1" t="s">
        <v>372</v>
      </c>
      <c r="C685" s="1" t="s">
        <v>374</v>
      </c>
      <c r="D685" s="9">
        <v>225</v>
      </c>
      <c r="E685" s="9">
        <f>ведомство!H761</f>
        <v>225</v>
      </c>
      <c r="F685" s="9">
        <f>ведомство!I761</f>
        <v>125</v>
      </c>
      <c r="G685" s="9">
        <f>ведомство!J761</f>
        <v>125</v>
      </c>
      <c r="H685" s="9">
        <f>ведомство!K761</f>
        <v>125</v>
      </c>
      <c r="I685" s="9">
        <f t="shared" si="330"/>
        <v>55.555555555555557</v>
      </c>
      <c r="J685" s="9">
        <f t="shared" si="331"/>
        <v>100</v>
      </c>
    </row>
    <row r="686" spans="1:10">
      <c r="A686" s="8" t="s">
        <v>70</v>
      </c>
      <c r="B686" s="1" t="s">
        <v>372</v>
      </c>
      <c r="C686" s="1" t="s">
        <v>71</v>
      </c>
      <c r="D686" s="9">
        <v>500.5</v>
      </c>
      <c r="E686" s="9">
        <f>ведомство!H762</f>
        <v>500.5</v>
      </c>
      <c r="F686" s="9">
        <f>ведомство!I762</f>
        <v>189.8424</v>
      </c>
      <c r="G686" s="9">
        <f>ведомство!J762</f>
        <v>189.8424</v>
      </c>
      <c r="H686" s="9">
        <f>ведомство!K762</f>
        <v>189.8424</v>
      </c>
      <c r="I686" s="9">
        <f t="shared" si="330"/>
        <v>37.930549450549449</v>
      </c>
      <c r="J686" s="9">
        <f t="shared" si="331"/>
        <v>100</v>
      </c>
    </row>
    <row r="687" spans="1:10" ht="25.5">
      <c r="A687" s="8" t="s">
        <v>80</v>
      </c>
      <c r="B687" s="1" t="s">
        <v>372</v>
      </c>
      <c r="C687" s="1" t="s">
        <v>81</v>
      </c>
      <c r="D687" s="9">
        <v>5732.5</v>
      </c>
      <c r="E687" s="9">
        <f>E688</f>
        <v>5732.5</v>
      </c>
      <c r="F687" s="9">
        <f t="shared" ref="F687:H687" si="345">F688</f>
        <v>0</v>
      </c>
      <c r="G687" s="9">
        <f t="shared" si="345"/>
        <v>0</v>
      </c>
      <c r="H687" s="9">
        <f t="shared" si="345"/>
        <v>0</v>
      </c>
      <c r="I687" s="9">
        <f t="shared" si="330"/>
        <v>0</v>
      </c>
      <c r="J687" s="9">
        <v>0</v>
      </c>
    </row>
    <row r="688" spans="1:10" ht="25.5">
      <c r="A688" s="8" t="s">
        <v>195</v>
      </c>
      <c r="B688" s="1" t="s">
        <v>372</v>
      </c>
      <c r="C688" s="1" t="s">
        <v>196</v>
      </c>
      <c r="D688" s="9">
        <v>5732.5</v>
      </c>
      <c r="E688" s="9">
        <f>ведомство!H764</f>
        <v>5732.5</v>
      </c>
      <c r="F688" s="9">
        <f>ведомство!I764</f>
        <v>0</v>
      </c>
      <c r="G688" s="9">
        <f>ведомство!J764</f>
        <v>0</v>
      </c>
      <c r="H688" s="9">
        <f>ведомство!K764</f>
        <v>0</v>
      </c>
      <c r="I688" s="9">
        <f t="shared" si="330"/>
        <v>0</v>
      </c>
      <c r="J688" s="9">
        <v>0</v>
      </c>
    </row>
    <row r="689" spans="1:10" ht="25.5">
      <c r="A689" s="8" t="s">
        <v>375</v>
      </c>
      <c r="B689" s="1" t="s">
        <v>376</v>
      </c>
      <c r="C689" s="1" t="s">
        <v>0</v>
      </c>
      <c r="D689" s="9">
        <v>3500</v>
      </c>
      <c r="E689" s="9">
        <f>E690</f>
        <v>3500</v>
      </c>
      <c r="F689" s="9">
        <f t="shared" ref="F689:H690" si="346">F690</f>
        <v>2915.6</v>
      </c>
      <c r="G689" s="9">
        <f t="shared" si="346"/>
        <v>2915.6</v>
      </c>
      <c r="H689" s="9">
        <f t="shared" si="346"/>
        <v>2915.6</v>
      </c>
      <c r="I689" s="9">
        <f t="shared" si="330"/>
        <v>83.30285714285715</v>
      </c>
      <c r="J689" s="9">
        <f t="shared" si="331"/>
        <v>100</v>
      </c>
    </row>
    <row r="690" spans="1:10">
      <c r="A690" s="8" t="s">
        <v>26</v>
      </c>
      <c r="B690" s="1" t="s">
        <v>376</v>
      </c>
      <c r="C690" s="1" t="s">
        <v>27</v>
      </c>
      <c r="D690" s="9">
        <v>3500</v>
      </c>
      <c r="E690" s="9">
        <f>E691</f>
        <v>3500</v>
      </c>
      <c r="F690" s="9">
        <f t="shared" si="346"/>
        <v>2915.6</v>
      </c>
      <c r="G690" s="9">
        <f t="shared" si="346"/>
        <v>2915.6</v>
      </c>
      <c r="H690" s="9">
        <f t="shared" si="346"/>
        <v>2915.6</v>
      </c>
      <c r="I690" s="9">
        <f t="shared" si="330"/>
        <v>83.30285714285715</v>
      </c>
      <c r="J690" s="9">
        <f t="shared" si="331"/>
        <v>100</v>
      </c>
    </row>
    <row r="691" spans="1:10">
      <c r="A691" s="8" t="s">
        <v>56</v>
      </c>
      <c r="B691" s="1" t="s">
        <v>376</v>
      </c>
      <c r="C691" s="1" t="s">
        <v>57</v>
      </c>
      <c r="D691" s="9">
        <v>3500</v>
      </c>
      <c r="E691" s="9">
        <f>ведомство!H767</f>
        <v>3500</v>
      </c>
      <c r="F691" s="9">
        <f>ведомство!I767</f>
        <v>2915.6</v>
      </c>
      <c r="G691" s="9">
        <f>ведомство!J767</f>
        <v>2915.6</v>
      </c>
      <c r="H691" s="9">
        <f>ведомство!K767</f>
        <v>2915.6</v>
      </c>
      <c r="I691" s="9">
        <f t="shared" si="330"/>
        <v>83.30285714285715</v>
      </c>
      <c r="J691" s="9">
        <f t="shared" si="331"/>
        <v>100</v>
      </c>
    </row>
    <row r="692" spans="1:10" ht="25.5">
      <c r="A692" s="8" t="s">
        <v>348</v>
      </c>
      <c r="B692" s="1" t="s">
        <v>349</v>
      </c>
      <c r="C692" s="1" t="s">
        <v>0</v>
      </c>
      <c r="D692" s="9">
        <v>3000</v>
      </c>
      <c r="E692" s="9">
        <f>E693</f>
        <v>3000</v>
      </c>
      <c r="F692" s="9">
        <f t="shared" ref="F692:H693" si="347">F693</f>
        <v>0</v>
      </c>
      <c r="G692" s="9">
        <f t="shared" si="347"/>
        <v>0</v>
      </c>
      <c r="H692" s="9">
        <f t="shared" si="347"/>
        <v>0</v>
      </c>
      <c r="I692" s="9">
        <f t="shared" si="330"/>
        <v>0</v>
      </c>
      <c r="J692" s="9">
        <v>0</v>
      </c>
    </row>
    <row r="693" spans="1:10">
      <c r="A693" s="8" t="s">
        <v>26</v>
      </c>
      <c r="B693" s="1" t="s">
        <v>349</v>
      </c>
      <c r="C693" s="1" t="s">
        <v>27</v>
      </c>
      <c r="D693" s="9">
        <v>3000</v>
      </c>
      <c r="E693" s="9">
        <f>E694</f>
        <v>3000</v>
      </c>
      <c r="F693" s="9">
        <f t="shared" si="347"/>
        <v>0</v>
      </c>
      <c r="G693" s="9">
        <f t="shared" si="347"/>
        <v>0</v>
      </c>
      <c r="H693" s="9">
        <f t="shared" si="347"/>
        <v>0</v>
      </c>
      <c r="I693" s="9">
        <f t="shared" si="330"/>
        <v>0</v>
      </c>
      <c r="J693" s="9">
        <v>0</v>
      </c>
    </row>
    <row r="694" spans="1:10">
      <c r="A694" s="8" t="s">
        <v>56</v>
      </c>
      <c r="B694" s="1" t="s">
        <v>349</v>
      </c>
      <c r="C694" s="1" t="s">
        <v>57</v>
      </c>
      <c r="D694" s="9">
        <v>3000</v>
      </c>
      <c r="E694" s="9">
        <f>ведомство!H700</f>
        <v>3000</v>
      </c>
      <c r="F694" s="9">
        <f>ведомство!I700</f>
        <v>0</v>
      </c>
      <c r="G694" s="9">
        <f>ведомство!J700</f>
        <v>0</v>
      </c>
      <c r="H694" s="9">
        <f>ведомство!K700</f>
        <v>0</v>
      </c>
      <c r="I694" s="9">
        <f t="shared" si="330"/>
        <v>0</v>
      </c>
      <c r="J694" s="9">
        <v>0</v>
      </c>
    </row>
    <row r="695" spans="1:10">
      <c r="A695" s="8" t="s">
        <v>350</v>
      </c>
      <c r="B695" s="1" t="s">
        <v>351</v>
      </c>
      <c r="C695" s="1" t="s">
        <v>0</v>
      </c>
      <c r="D695" s="9">
        <v>500</v>
      </c>
      <c r="E695" s="9">
        <f>E696</f>
        <v>500</v>
      </c>
      <c r="F695" s="9">
        <f t="shared" ref="F695:H696" si="348">F696</f>
        <v>0</v>
      </c>
      <c r="G695" s="9">
        <f t="shared" si="348"/>
        <v>0</v>
      </c>
      <c r="H695" s="9">
        <f t="shared" si="348"/>
        <v>0</v>
      </c>
      <c r="I695" s="9">
        <f t="shared" si="330"/>
        <v>0</v>
      </c>
      <c r="J695" s="9">
        <v>0</v>
      </c>
    </row>
    <row r="696" spans="1:10">
      <c r="A696" s="8" t="s">
        <v>26</v>
      </c>
      <c r="B696" s="1" t="s">
        <v>351</v>
      </c>
      <c r="C696" s="1" t="s">
        <v>27</v>
      </c>
      <c r="D696" s="9">
        <v>500</v>
      </c>
      <c r="E696" s="9">
        <f>E697</f>
        <v>500</v>
      </c>
      <c r="F696" s="9">
        <f t="shared" si="348"/>
        <v>0</v>
      </c>
      <c r="G696" s="9">
        <f t="shared" si="348"/>
        <v>0</v>
      </c>
      <c r="H696" s="9">
        <f t="shared" si="348"/>
        <v>0</v>
      </c>
      <c r="I696" s="9">
        <f t="shared" si="330"/>
        <v>0</v>
      </c>
      <c r="J696" s="9">
        <v>0</v>
      </c>
    </row>
    <row r="697" spans="1:10">
      <c r="A697" s="8" t="s">
        <v>352</v>
      </c>
      <c r="B697" s="1" t="s">
        <v>351</v>
      </c>
      <c r="C697" s="1" t="s">
        <v>353</v>
      </c>
      <c r="D697" s="9">
        <v>500</v>
      </c>
      <c r="E697" s="9">
        <f>ведомство!H703</f>
        <v>500</v>
      </c>
      <c r="F697" s="9">
        <f>ведомство!I703</f>
        <v>0</v>
      </c>
      <c r="G697" s="9">
        <f>ведомство!J703</f>
        <v>0</v>
      </c>
      <c r="H697" s="9">
        <f>ведомство!K703</f>
        <v>0</v>
      </c>
      <c r="I697" s="9">
        <f t="shared" si="330"/>
        <v>0</v>
      </c>
      <c r="J697" s="9">
        <v>0</v>
      </c>
    </row>
    <row r="698" spans="1:10" ht="25.5">
      <c r="A698" s="8" t="s">
        <v>132</v>
      </c>
      <c r="B698" s="1" t="s">
        <v>133</v>
      </c>
      <c r="C698" s="1" t="s">
        <v>0</v>
      </c>
      <c r="D698" s="9">
        <v>116386.7</v>
      </c>
      <c r="E698" s="9">
        <f>E699+E701+E703</f>
        <v>116386.7</v>
      </c>
      <c r="F698" s="9">
        <f t="shared" ref="F698:H698" si="349">F699+F701+F703</f>
        <v>55741.886580000006</v>
      </c>
      <c r="G698" s="9">
        <f t="shared" si="349"/>
        <v>55741.886580000006</v>
      </c>
      <c r="H698" s="9">
        <f t="shared" si="349"/>
        <v>55741.886580000006</v>
      </c>
      <c r="I698" s="9">
        <f t="shared" si="330"/>
        <v>47.893691100443611</v>
      </c>
      <c r="J698" s="9">
        <f t="shared" si="331"/>
        <v>100</v>
      </c>
    </row>
    <row r="699" spans="1:10" ht="25.5">
      <c r="A699" s="8" t="s">
        <v>39</v>
      </c>
      <c r="B699" s="1" t="s">
        <v>133</v>
      </c>
      <c r="C699" s="1" t="s">
        <v>40</v>
      </c>
      <c r="D699" s="9">
        <v>84700</v>
      </c>
      <c r="E699" s="9">
        <f>E700</f>
        <v>84700</v>
      </c>
      <c r="F699" s="9">
        <f t="shared" ref="F699:H699" si="350">F700</f>
        <v>55449.586580000003</v>
      </c>
      <c r="G699" s="9">
        <f t="shared" si="350"/>
        <v>55449.586580000003</v>
      </c>
      <c r="H699" s="9">
        <f t="shared" si="350"/>
        <v>55449.586580000003</v>
      </c>
      <c r="I699" s="9">
        <f t="shared" si="330"/>
        <v>65.465863730814647</v>
      </c>
      <c r="J699" s="9">
        <f t="shared" si="331"/>
        <v>100</v>
      </c>
    </row>
    <row r="700" spans="1:10">
      <c r="A700" s="8" t="s">
        <v>41</v>
      </c>
      <c r="B700" s="1" t="s">
        <v>133</v>
      </c>
      <c r="C700" s="1" t="s">
        <v>42</v>
      </c>
      <c r="D700" s="9">
        <v>84700</v>
      </c>
      <c r="E700" s="9">
        <f>ведомство!H161</f>
        <v>84700</v>
      </c>
      <c r="F700" s="9">
        <f>ведомство!I161</f>
        <v>55449.586580000003</v>
      </c>
      <c r="G700" s="9">
        <f>ведомство!J161</f>
        <v>55449.586580000003</v>
      </c>
      <c r="H700" s="9">
        <f>ведомство!K161</f>
        <v>55449.586580000003</v>
      </c>
      <c r="I700" s="9">
        <f t="shared" si="330"/>
        <v>65.465863730814647</v>
      </c>
      <c r="J700" s="9">
        <f t="shared" si="331"/>
        <v>100</v>
      </c>
    </row>
    <row r="701" spans="1:10">
      <c r="A701" s="8" t="s">
        <v>26</v>
      </c>
      <c r="B701" s="1" t="s">
        <v>133</v>
      </c>
      <c r="C701" s="1" t="s">
        <v>27</v>
      </c>
      <c r="D701" s="9">
        <v>31394.400000000001</v>
      </c>
      <c r="E701" s="9">
        <f>E702</f>
        <v>31394.400000000001</v>
      </c>
      <c r="F701" s="9">
        <f t="shared" ref="F701:H701" si="351">F702</f>
        <v>0</v>
      </c>
      <c r="G701" s="9">
        <f t="shared" si="351"/>
        <v>0</v>
      </c>
      <c r="H701" s="9">
        <f t="shared" si="351"/>
        <v>0</v>
      </c>
      <c r="I701" s="9">
        <f t="shared" si="330"/>
        <v>0</v>
      </c>
      <c r="J701" s="9">
        <v>0</v>
      </c>
    </row>
    <row r="702" spans="1:10">
      <c r="A702" s="8" t="s">
        <v>56</v>
      </c>
      <c r="B702" s="1" t="s">
        <v>133</v>
      </c>
      <c r="C702" s="1" t="s">
        <v>57</v>
      </c>
      <c r="D702" s="9">
        <v>31394.400000000001</v>
      </c>
      <c r="E702" s="9">
        <f>ведомство!H163</f>
        <v>31394.400000000001</v>
      </c>
      <c r="F702" s="9">
        <f>ведомство!I163</f>
        <v>0</v>
      </c>
      <c r="G702" s="9">
        <f>ведомство!J163</f>
        <v>0</v>
      </c>
      <c r="H702" s="9">
        <f>ведомство!K163</f>
        <v>0</v>
      </c>
      <c r="I702" s="9">
        <f t="shared" si="330"/>
        <v>0</v>
      </c>
      <c r="J702" s="9">
        <v>0</v>
      </c>
    </row>
    <row r="703" spans="1:10" ht="25.5">
      <c r="A703" s="8" t="s">
        <v>80</v>
      </c>
      <c r="B703" s="1" t="s">
        <v>133</v>
      </c>
      <c r="C703" s="1" t="s">
        <v>81</v>
      </c>
      <c r="D703" s="9">
        <v>292.3</v>
      </c>
      <c r="E703" s="9">
        <f>E704</f>
        <v>292.3</v>
      </c>
      <c r="F703" s="9">
        <f t="shared" ref="F703:H703" si="352">F704</f>
        <v>292.3</v>
      </c>
      <c r="G703" s="9">
        <f t="shared" si="352"/>
        <v>292.3</v>
      </c>
      <c r="H703" s="9">
        <f t="shared" si="352"/>
        <v>292.3</v>
      </c>
      <c r="I703" s="9">
        <f t="shared" si="330"/>
        <v>100</v>
      </c>
      <c r="J703" s="9">
        <f t="shared" si="331"/>
        <v>100</v>
      </c>
    </row>
    <row r="704" spans="1:10">
      <c r="A704" s="8" t="s">
        <v>271</v>
      </c>
      <c r="B704" s="1" t="s">
        <v>133</v>
      </c>
      <c r="C704" s="1" t="s">
        <v>272</v>
      </c>
      <c r="D704" s="9">
        <v>292.3</v>
      </c>
      <c r="E704" s="9">
        <f>ведомство!H716</f>
        <v>292.3</v>
      </c>
      <c r="F704" s="9">
        <f>ведомство!I716</f>
        <v>292.3</v>
      </c>
      <c r="G704" s="9">
        <f>ведомство!J716</f>
        <v>292.3</v>
      </c>
      <c r="H704" s="9">
        <f>ведомство!K716</f>
        <v>292.3</v>
      </c>
      <c r="I704" s="9">
        <f t="shared" si="330"/>
        <v>100</v>
      </c>
      <c r="J704" s="9">
        <f t="shared" si="331"/>
        <v>100</v>
      </c>
    </row>
    <row r="705" spans="1:10">
      <c r="A705" s="4" t="s">
        <v>0</v>
      </c>
      <c r="B705" s="17" t="s">
        <v>0</v>
      </c>
      <c r="C705" s="5" t="s">
        <v>0</v>
      </c>
      <c r="D705" s="7" t="s">
        <v>0</v>
      </c>
      <c r="E705" s="7" t="s">
        <v>0</v>
      </c>
      <c r="F705" s="7"/>
      <c r="G705" s="7"/>
      <c r="H705" s="7"/>
      <c r="I705" s="7"/>
      <c r="J705" s="7"/>
    </row>
    <row r="706" spans="1:10" ht="38.25">
      <c r="A706" s="4" t="s">
        <v>186</v>
      </c>
      <c r="B706" s="5" t="s">
        <v>187</v>
      </c>
      <c r="C706" s="5" t="s">
        <v>0</v>
      </c>
      <c r="D706" s="7">
        <v>914766.3</v>
      </c>
      <c r="E706" s="7">
        <f>E707+E885+E899+E918</f>
        <v>1128824.6000000001</v>
      </c>
      <c r="F706" s="7">
        <f t="shared" ref="F706:H706" si="353">F707+F885+F899+F918</f>
        <v>653262.32394000003</v>
      </c>
      <c r="G706" s="7">
        <f t="shared" si="353"/>
        <v>652125.51850999997</v>
      </c>
      <c r="H706" s="7">
        <f t="shared" si="353"/>
        <v>648847.06517000007</v>
      </c>
      <c r="I706" s="7">
        <f t="shared" si="330"/>
        <v>57.479883515118289</v>
      </c>
      <c r="J706" s="7">
        <f t="shared" si="331"/>
        <v>99.324121626459288</v>
      </c>
    </row>
    <row r="707" spans="1:10" ht="25.5">
      <c r="A707" s="4" t="s">
        <v>188</v>
      </c>
      <c r="B707" s="5" t="s">
        <v>189</v>
      </c>
      <c r="C707" s="5" t="s">
        <v>0</v>
      </c>
      <c r="D707" s="7">
        <v>663860</v>
      </c>
      <c r="E707" s="7">
        <f>E708+E711+E714+E717+E720+E723+E726+E729+E732++E735+E738+E741+E744+E747+E750+E753+E756+E759+E762+E765+E768++E771+E774+E777+E780+E785+E788+E791+E794+E797+E800+E803+E806+E809+E812+E815+E818+E821+E824+E827+E830+E833++E836+E842+E839+E845+E848+E851+E854+E857+E860+E863+E866+E869+E872+E875+E878+E881</f>
        <v>836577.3</v>
      </c>
      <c r="F707" s="7">
        <f t="shared" ref="F707:H707" si="354">F708+F711+F714+F717+F720+F723+F726+F729+F732++F735+F738+F741+F744+F747+F750+F753+F756+F759+F762+F765+F768++F771+F774+F777+F780+F785+F788+F791+F794+F797+F800+F803+F806+F809+F812+F815+F818+F821+F824+F827+F830+F833++F836+F842+F839+F845+F848+F851+F854+F857+F860+F863+F866+F869+F872+F875+F878+F881</f>
        <v>541075.70166000002</v>
      </c>
      <c r="G707" s="7">
        <f t="shared" si="354"/>
        <v>540064.69623</v>
      </c>
      <c r="H707" s="7">
        <f t="shared" si="354"/>
        <v>540029.46940000006</v>
      </c>
      <c r="I707" s="7">
        <f t="shared" si="330"/>
        <v>64.552249911633993</v>
      </c>
      <c r="J707" s="7">
        <f t="shared" si="331"/>
        <v>99.806638469110666</v>
      </c>
    </row>
    <row r="708" spans="1:10">
      <c r="A708" s="8" t="s">
        <v>490</v>
      </c>
      <c r="B708" s="1" t="s">
        <v>491</v>
      </c>
      <c r="C708" s="1" t="s">
        <v>0</v>
      </c>
      <c r="D708" s="9">
        <v>933.1</v>
      </c>
      <c r="E708" s="9">
        <f>E709</f>
        <v>752.1</v>
      </c>
      <c r="F708" s="9">
        <f t="shared" ref="F708:H709" si="355">F709</f>
        <v>0</v>
      </c>
      <c r="G708" s="9">
        <f t="shared" si="355"/>
        <v>0</v>
      </c>
      <c r="H708" s="9">
        <f t="shared" si="355"/>
        <v>0</v>
      </c>
      <c r="I708" s="9">
        <f t="shared" si="330"/>
        <v>0</v>
      </c>
      <c r="J708" s="9">
        <v>0</v>
      </c>
    </row>
    <row r="709" spans="1:10">
      <c r="A709" s="8" t="s">
        <v>72</v>
      </c>
      <c r="B709" s="1" t="s">
        <v>491</v>
      </c>
      <c r="C709" s="1" t="s">
        <v>73</v>
      </c>
      <c r="D709" s="9">
        <v>933.1</v>
      </c>
      <c r="E709" s="9">
        <f>E710</f>
        <v>752.1</v>
      </c>
      <c r="F709" s="9">
        <f t="shared" si="355"/>
        <v>0</v>
      </c>
      <c r="G709" s="9">
        <f t="shared" si="355"/>
        <v>0</v>
      </c>
      <c r="H709" s="9">
        <f t="shared" si="355"/>
        <v>0</v>
      </c>
      <c r="I709" s="9">
        <f t="shared" si="330"/>
        <v>0</v>
      </c>
      <c r="J709" s="9">
        <v>0</v>
      </c>
    </row>
    <row r="710" spans="1:10" ht="38.25">
      <c r="A710" s="8" t="s">
        <v>218</v>
      </c>
      <c r="B710" s="1" t="s">
        <v>491</v>
      </c>
      <c r="C710" s="1" t="s">
        <v>219</v>
      </c>
      <c r="D710" s="9">
        <v>933.1</v>
      </c>
      <c r="E710" s="9">
        <f>ведомство!H1128</f>
        <v>752.1</v>
      </c>
      <c r="F710" s="9">
        <f>ведомство!I1128</f>
        <v>0</v>
      </c>
      <c r="G710" s="9">
        <f>ведомство!J1128</f>
        <v>0</v>
      </c>
      <c r="H710" s="9">
        <f>ведомство!K1128</f>
        <v>0</v>
      </c>
      <c r="I710" s="9">
        <f t="shared" si="330"/>
        <v>0</v>
      </c>
      <c r="J710" s="9">
        <v>0</v>
      </c>
    </row>
    <row r="711" spans="1:10" ht="38.25">
      <c r="A711" s="8" t="s">
        <v>492</v>
      </c>
      <c r="B711" s="1" t="s">
        <v>493</v>
      </c>
      <c r="C711" s="1" t="s">
        <v>0</v>
      </c>
      <c r="D711" s="9">
        <v>40010.9</v>
      </c>
      <c r="E711" s="9">
        <f>E712</f>
        <v>40010.9</v>
      </c>
      <c r="F711" s="9">
        <f t="shared" ref="F711:H712" si="356">F712</f>
        <v>24560.241999999998</v>
      </c>
      <c r="G711" s="9">
        <f t="shared" si="356"/>
        <v>24560.241999999998</v>
      </c>
      <c r="H711" s="9">
        <f t="shared" si="356"/>
        <v>24560.241999999998</v>
      </c>
      <c r="I711" s="9">
        <f t="shared" si="330"/>
        <v>61.383877893274075</v>
      </c>
      <c r="J711" s="9">
        <f t="shared" si="331"/>
        <v>100</v>
      </c>
    </row>
    <row r="712" spans="1:10">
      <c r="A712" s="8" t="s">
        <v>72</v>
      </c>
      <c r="B712" s="1" t="s">
        <v>493</v>
      </c>
      <c r="C712" s="1" t="s">
        <v>73</v>
      </c>
      <c r="D712" s="9">
        <v>40010.9</v>
      </c>
      <c r="E712" s="9">
        <f>E713</f>
        <v>40010.9</v>
      </c>
      <c r="F712" s="9">
        <f t="shared" si="356"/>
        <v>24560.241999999998</v>
      </c>
      <c r="G712" s="9">
        <f t="shared" si="356"/>
        <v>24560.241999999998</v>
      </c>
      <c r="H712" s="9">
        <f t="shared" si="356"/>
        <v>24560.241999999998</v>
      </c>
      <c r="I712" s="9">
        <f t="shared" si="330"/>
        <v>61.383877893274075</v>
      </c>
      <c r="J712" s="9">
        <f t="shared" si="331"/>
        <v>100</v>
      </c>
    </row>
    <row r="713" spans="1:10" ht="38.25">
      <c r="A713" s="8" t="s">
        <v>218</v>
      </c>
      <c r="B713" s="1" t="s">
        <v>493</v>
      </c>
      <c r="C713" s="1" t="s">
        <v>219</v>
      </c>
      <c r="D713" s="9">
        <v>40010.9</v>
      </c>
      <c r="E713" s="9">
        <f>ведомство!H1131</f>
        <v>40010.9</v>
      </c>
      <c r="F713" s="9">
        <f>ведомство!I1131</f>
        <v>24560.241999999998</v>
      </c>
      <c r="G713" s="9">
        <f>ведомство!J1131</f>
        <v>24560.241999999998</v>
      </c>
      <c r="H713" s="9">
        <f>ведомство!K1131</f>
        <v>24560.241999999998</v>
      </c>
      <c r="I713" s="9">
        <f t="shared" si="330"/>
        <v>61.383877893274075</v>
      </c>
      <c r="J713" s="9">
        <f t="shared" si="331"/>
        <v>100</v>
      </c>
    </row>
    <row r="714" spans="1:10" s="43" customFormat="1" ht="38.25">
      <c r="A714" s="8" t="s">
        <v>1159</v>
      </c>
      <c r="B714" s="25" t="s">
        <v>1158</v>
      </c>
      <c r="C714" s="1"/>
      <c r="D714" s="9"/>
      <c r="E714" s="9">
        <f>E715</f>
        <v>2652.5</v>
      </c>
      <c r="F714" s="9">
        <f t="shared" ref="F714:H715" si="357">F715</f>
        <v>858.86500000000001</v>
      </c>
      <c r="G714" s="9">
        <f t="shared" si="357"/>
        <v>858.86500000000001</v>
      </c>
      <c r="H714" s="9">
        <f t="shared" si="357"/>
        <v>858.86500000000001</v>
      </c>
      <c r="I714" s="9">
        <f t="shared" ref="I714:I719" si="358">H714/E714*100</f>
        <v>32.379453345900096</v>
      </c>
      <c r="J714" s="9">
        <f t="shared" ref="J714:J719" si="359">H714/F714*100</f>
        <v>100</v>
      </c>
    </row>
    <row r="715" spans="1:10" s="43" customFormat="1">
      <c r="A715" s="8" t="s">
        <v>72</v>
      </c>
      <c r="B715" s="25" t="s">
        <v>1158</v>
      </c>
      <c r="C715" s="1" t="s">
        <v>73</v>
      </c>
      <c r="D715" s="9"/>
      <c r="E715" s="9">
        <f>E716</f>
        <v>2652.5</v>
      </c>
      <c r="F715" s="9">
        <f t="shared" si="357"/>
        <v>858.86500000000001</v>
      </c>
      <c r="G715" s="9">
        <f t="shared" si="357"/>
        <v>858.86500000000001</v>
      </c>
      <c r="H715" s="9">
        <f t="shared" si="357"/>
        <v>858.86500000000001</v>
      </c>
      <c r="I715" s="9">
        <f t="shared" si="358"/>
        <v>32.379453345900096</v>
      </c>
      <c r="J715" s="9">
        <f t="shared" si="359"/>
        <v>100</v>
      </c>
    </row>
    <row r="716" spans="1:10" s="43" customFormat="1" ht="38.25">
      <c r="A716" s="8" t="s">
        <v>218</v>
      </c>
      <c r="B716" s="25" t="s">
        <v>1158</v>
      </c>
      <c r="C716" s="1" t="s">
        <v>219</v>
      </c>
      <c r="D716" s="9"/>
      <c r="E716" s="9">
        <f>ведомство!H1134</f>
        <v>2652.5</v>
      </c>
      <c r="F716" s="9">
        <f>ведомство!I1134</f>
        <v>858.86500000000001</v>
      </c>
      <c r="G716" s="9">
        <f>ведомство!J1134</f>
        <v>858.86500000000001</v>
      </c>
      <c r="H716" s="9">
        <f>ведомство!K1134</f>
        <v>858.86500000000001</v>
      </c>
      <c r="I716" s="9">
        <f t="shared" si="358"/>
        <v>32.379453345900096</v>
      </c>
      <c r="J716" s="9">
        <f t="shared" si="359"/>
        <v>100</v>
      </c>
    </row>
    <row r="717" spans="1:10" s="43" customFormat="1" ht="51">
      <c r="A717" s="8" t="s">
        <v>1161</v>
      </c>
      <c r="B717" s="25" t="s">
        <v>1160</v>
      </c>
      <c r="C717" s="1"/>
      <c r="D717" s="9"/>
      <c r="E717" s="9">
        <f>E718</f>
        <v>9549.4</v>
      </c>
      <c r="F717" s="9">
        <f t="shared" ref="F717:H718" si="360">F718</f>
        <v>3450.7150000000001</v>
      </c>
      <c r="G717" s="9">
        <f t="shared" si="360"/>
        <v>3450.7150000000001</v>
      </c>
      <c r="H717" s="9">
        <f t="shared" si="360"/>
        <v>3450.7150000000001</v>
      </c>
      <c r="I717" s="9">
        <f t="shared" si="358"/>
        <v>36.135411648899414</v>
      </c>
      <c r="J717" s="9">
        <f t="shared" si="359"/>
        <v>100</v>
      </c>
    </row>
    <row r="718" spans="1:10" s="43" customFormat="1">
      <c r="A718" s="8" t="s">
        <v>72</v>
      </c>
      <c r="B718" s="25" t="s">
        <v>1160</v>
      </c>
      <c r="C718" s="1" t="s">
        <v>73</v>
      </c>
      <c r="D718" s="9"/>
      <c r="E718" s="9">
        <f>E719</f>
        <v>9549.4</v>
      </c>
      <c r="F718" s="9">
        <f t="shared" si="360"/>
        <v>3450.7150000000001</v>
      </c>
      <c r="G718" s="9">
        <f t="shared" si="360"/>
        <v>3450.7150000000001</v>
      </c>
      <c r="H718" s="9">
        <f t="shared" si="360"/>
        <v>3450.7150000000001</v>
      </c>
      <c r="I718" s="9">
        <f t="shared" si="358"/>
        <v>36.135411648899414</v>
      </c>
      <c r="J718" s="9">
        <f t="shared" si="359"/>
        <v>100</v>
      </c>
    </row>
    <row r="719" spans="1:10" s="43" customFormat="1" ht="38.25">
      <c r="A719" s="8" t="s">
        <v>218</v>
      </c>
      <c r="B719" s="25" t="s">
        <v>1160</v>
      </c>
      <c r="C719" s="1" t="s">
        <v>219</v>
      </c>
      <c r="D719" s="9"/>
      <c r="E719" s="9">
        <f>ведомство!H1137</f>
        <v>9549.4</v>
      </c>
      <c r="F719" s="9">
        <f>ведомство!I1137</f>
        <v>3450.7150000000001</v>
      </c>
      <c r="G719" s="9">
        <f>ведомство!J1137</f>
        <v>3450.7150000000001</v>
      </c>
      <c r="H719" s="9">
        <f>ведомство!K1137</f>
        <v>3450.7150000000001</v>
      </c>
      <c r="I719" s="9">
        <f t="shared" si="358"/>
        <v>36.135411648899414</v>
      </c>
      <c r="J719" s="9">
        <f t="shared" si="359"/>
        <v>100</v>
      </c>
    </row>
    <row r="720" spans="1:10" ht="51">
      <c r="A720" s="8" t="s">
        <v>494</v>
      </c>
      <c r="B720" s="1" t="s">
        <v>495</v>
      </c>
      <c r="C720" s="1" t="s">
        <v>0</v>
      </c>
      <c r="D720" s="9">
        <v>5081.2</v>
      </c>
      <c r="E720" s="9">
        <f>E721</f>
        <v>0</v>
      </c>
      <c r="F720" s="9">
        <f t="shared" ref="F720:H721" si="361">F721</f>
        <v>0</v>
      </c>
      <c r="G720" s="9">
        <f t="shared" si="361"/>
        <v>0</v>
      </c>
      <c r="H720" s="9">
        <f t="shared" si="361"/>
        <v>0</v>
      </c>
      <c r="I720" s="9">
        <v>0</v>
      </c>
      <c r="J720" s="9">
        <v>0</v>
      </c>
    </row>
    <row r="721" spans="1:10">
      <c r="A721" s="8" t="s">
        <v>72</v>
      </c>
      <c r="B721" s="1" t="s">
        <v>495</v>
      </c>
      <c r="C721" s="1" t="s">
        <v>73</v>
      </c>
      <c r="D721" s="9">
        <v>5081.2</v>
      </c>
      <c r="E721" s="9">
        <f>E722</f>
        <v>0</v>
      </c>
      <c r="F721" s="9">
        <f t="shared" si="361"/>
        <v>0</v>
      </c>
      <c r="G721" s="9">
        <f t="shared" si="361"/>
        <v>0</v>
      </c>
      <c r="H721" s="9">
        <f t="shared" si="361"/>
        <v>0</v>
      </c>
      <c r="I721" s="9">
        <v>0</v>
      </c>
      <c r="J721" s="9">
        <v>0</v>
      </c>
    </row>
    <row r="722" spans="1:10" ht="38.25">
      <c r="A722" s="8" t="s">
        <v>218</v>
      </c>
      <c r="B722" s="1" t="s">
        <v>495</v>
      </c>
      <c r="C722" s="1" t="s">
        <v>219</v>
      </c>
      <c r="D722" s="9">
        <v>5081.2</v>
      </c>
      <c r="E722" s="9">
        <f>ведомство!H1140</f>
        <v>0</v>
      </c>
      <c r="F722" s="9">
        <f>ведомство!I1140</f>
        <v>0</v>
      </c>
      <c r="G722" s="9">
        <f>ведомство!J1140</f>
        <v>0</v>
      </c>
      <c r="H722" s="9">
        <f>ведомство!K1140</f>
        <v>0</v>
      </c>
      <c r="I722" s="9">
        <v>0</v>
      </c>
      <c r="J722" s="9">
        <v>0</v>
      </c>
    </row>
    <row r="723" spans="1:10" ht="25.5">
      <c r="A723" s="8" t="s">
        <v>496</v>
      </c>
      <c r="B723" s="1" t="s">
        <v>497</v>
      </c>
      <c r="C723" s="1" t="s">
        <v>0</v>
      </c>
      <c r="D723" s="9">
        <v>16337.4</v>
      </c>
      <c r="E723" s="9">
        <f>E724</f>
        <v>20142.7</v>
      </c>
      <c r="F723" s="9">
        <f t="shared" ref="F723:H724" si="362">F724</f>
        <v>19135.564999999999</v>
      </c>
      <c r="G723" s="9">
        <f t="shared" si="362"/>
        <v>19135.564999999999</v>
      </c>
      <c r="H723" s="9">
        <f t="shared" si="362"/>
        <v>19135.564999999999</v>
      </c>
      <c r="I723" s="9">
        <f t="shared" si="330"/>
        <v>95</v>
      </c>
      <c r="J723" s="9">
        <f t="shared" si="331"/>
        <v>100</v>
      </c>
    </row>
    <row r="724" spans="1:10">
      <c r="A724" s="8" t="s">
        <v>72</v>
      </c>
      <c r="B724" s="1" t="s">
        <v>497</v>
      </c>
      <c r="C724" s="1" t="s">
        <v>73</v>
      </c>
      <c r="D724" s="9">
        <v>16337.4</v>
      </c>
      <c r="E724" s="9">
        <f>E725</f>
        <v>20142.7</v>
      </c>
      <c r="F724" s="9">
        <f t="shared" si="362"/>
        <v>19135.564999999999</v>
      </c>
      <c r="G724" s="9">
        <f t="shared" si="362"/>
        <v>19135.564999999999</v>
      </c>
      <c r="H724" s="9">
        <f t="shared" si="362"/>
        <v>19135.564999999999</v>
      </c>
      <c r="I724" s="9">
        <f t="shared" si="330"/>
        <v>95</v>
      </c>
      <c r="J724" s="9">
        <f t="shared" si="331"/>
        <v>100</v>
      </c>
    </row>
    <row r="725" spans="1:10" ht="38.25">
      <c r="A725" s="8" t="s">
        <v>218</v>
      </c>
      <c r="B725" s="1" t="s">
        <v>497</v>
      </c>
      <c r="C725" s="1" t="s">
        <v>219</v>
      </c>
      <c r="D725" s="9">
        <v>16337.4</v>
      </c>
      <c r="E725" s="9">
        <f>ведомство!H1143</f>
        <v>20142.7</v>
      </c>
      <c r="F725" s="9">
        <f>ведомство!I1143</f>
        <v>19135.564999999999</v>
      </c>
      <c r="G725" s="9">
        <f>ведомство!J1143</f>
        <v>19135.564999999999</v>
      </c>
      <c r="H725" s="9">
        <f>ведомство!K1143</f>
        <v>19135.564999999999</v>
      </c>
      <c r="I725" s="9">
        <f t="shared" si="330"/>
        <v>95</v>
      </c>
      <c r="J725" s="9">
        <f t="shared" si="331"/>
        <v>100</v>
      </c>
    </row>
    <row r="726" spans="1:10">
      <c r="A726" s="8" t="s">
        <v>498</v>
      </c>
      <c r="B726" s="1" t="s">
        <v>499</v>
      </c>
      <c r="C726" s="1" t="s">
        <v>0</v>
      </c>
      <c r="D726" s="9">
        <v>310.10000000000002</v>
      </c>
      <c r="E726" s="9">
        <f>E727</f>
        <v>310.10000000000002</v>
      </c>
      <c r="F726" s="9">
        <f t="shared" ref="F726:H727" si="363">F727</f>
        <v>310.10000000000002</v>
      </c>
      <c r="G726" s="9">
        <f t="shared" si="363"/>
        <v>310.10000000000002</v>
      </c>
      <c r="H726" s="9">
        <f t="shared" si="363"/>
        <v>310.10000000000002</v>
      </c>
      <c r="I726" s="9">
        <f t="shared" si="330"/>
        <v>100</v>
      </c>
      <c r="J726" s="9">
        <f t="shared" si="331"/>
        <v>100</v>
      </c>
    </row>
    <row r="727" spans="1:10">
      <c r="A727" s="8" t="s">
        <v>72</v>
      </c>
      <c r="B727" s="1" t="s">
        <v>499</v>
      </c>
      <c r="C727" s="1" t="s">
        <v>73</v>
      </c>
      <c r="D727" s="9">
        <v>310.10000000000002</v>
      </c>
      <c r="E727" s="9">
        <f>E728</f>
        <v>310.10000000000002</v>
      </c>
      <c r="F727" s="9">
        <f t="shared" si="363"/>
        <v>310.10000000000002</v>
      </c>
      <c r="G727" s="9">
        <f t="shared" si="363"/>
        <v>310.10000000000002</v>
      </c>
      <c r="H727" s="9">
        <f t="shared" si="363"/>
        <v>310.10000000000002</v>
      </c>
      <c r="I727" s="9">
        <f t="shared" si="330"/>
        <v>100</v>
      </c>
      <c r="J727" s="9">
        <f t="shared" si="331"/>
        <v>100</v>
      </c>
    </row>
    <row r="728" spans="1:10" ht="38.25">
      <c r="A728" s="8" t="s">
        <v>218</v>
      </c>
      <c r="B728" s="1" t="s">
        <v>499</v>
      </c>
      <c r="C728" s="1" t="s">
        <v>219</v>
      </c>
      <c r="D728" s="9">
        <v>310.10000000000002</v>
      </c>
      <c r="E728" s="9">
        <f>ведомство!H1146</f>
        <v>310.10000000000002</v>
      </c>
      <c r="F728" s="9">
        <f>ведомство!I1146</f>
        <v>310.10000000000002</v>
      </c>
      <c r="G728" s="9">
        <f>ведомство!J1146</f>
        <v>310.10000000000002</v>
      </c>
      <c r="H728" s="9">
        <f>ведомство!K1146</f>
        <v>310.10000000000002</v>
      </c>
      <c r="I728" s="9">
        <f t="shared" si="330"/>
        <v>100</v>
      </c>
      <c r="J728" s="9">
        <f t="shared" si="331"/>
        <v>100</v>
      </c>
    </row>
    <row r="729" spans="1:10" ht="25.5">
      <c r="A729" s="8" t="s">
        <v>500</v>
      </c>
      <c r="B729" s="1" t="s">
        <v>501</v>
      </c>
      <c r="C729" s="1" t="s">
        <v>0</v>
      </c>
      <c r="D729" s="9">
        <v>89968.2</v>
      </c>
      <c r="E729" s="9">
        <f>E730</f>
        <v>100349.3</v>
      </c>
      <c r="F729" s="9">
        <f t="shared" ref="F729:H730" si="364">F730</f>
        <v>40292.383609999997</v>
      </c>
      <c r="G729" s="9">
        <f t="shared" si="364"/>
        <v>40292.383609999997</v>
      </c>
      <c r="H729" s="9">
        <f t="shared" si="364"/>
        <v>40292.383609999997</v>
      </c>
      <c r="I729" s="9">
        <f t="shared" si="330"/>
        <v>40.152132212182842</v>
      </c>
      <c r="J729" s="9">
        <f t="shared" si="331"/>
        <v>100</v>
      </c>
    </row>
    <row r="730" spans="1:10">
      <c r="A730" s="8" t="s">
        <v>72</v>
      </c>
      <c r="B730" s="1" t="s">
        <v>501</v>
      </c>
      <c r="C730" s="1" t="s">
        <v>73</v>
      </c>
      <c r="D730" s="9">
        <v>89968.2</v>
      </c>
      <c r="E730" s="9">
        <f>E731</f>
        <v>100349.3</v>
      </c>
      <c r="F730" s="9">
        <f t="shared" si="364"/>
        <v>40292.383609999997</v>
      </c>
      <c r="G730" s="9">
        <f t="shared" si="364"/>
        <v>40292.383609999997</v>
      </c>
      <c r="H730" s="9">
        <f t="shared" si="364"/>
        <v>40292.383609999997</v>
      </c>
      <c r="I730" s="9">
        <f t="shared" ref="I730:I826" si="365">H730/E730*100</f>
        <v>40.152132212182842</v>
      </c>
      <c r="J730" s="9">
        <f t="shared" ref="J730:J826" si="366">H730/F730*100</f>
        <v>100</v>
      </c>
    </row>
    <row r="731" spans="1:10" ht="38.25">
      <c r="A731" s="8" t="s">
        <v>218</v>
      </c>
      <c r="B731" s="1" t="s">
        <v>501</v>
      </c>
      <c r="C731" s="1" t="s">
        <v>219</v>
      </c>
      <c r="D731" s="9">
        <v>89968.2</v>
      </c>
      <c r="E731" s="9">
        <f>ведомство!H1149</f>
        <v>100349.3</v>
      </c>
      <c r="F731" s="9">
        <f>ведомство!I1149</f>
        <v>40292.383609999997</v>
      </c>
      <c r="G731" s="9">
        <f>ведомство!J1149</f>
        <v>40292.383609999997</v>
      </c>
      <c r="H731" s="9">
        <f>ведомство!K1149</f>
        <v>40292.383609999997</v>
      </c>
      <c r="I731" s="9">
        <f t="shared" si="365"/>
        <v>40.152132212182842</v>
      </c>
      <c r="J731" s="9">
        <f t="shared" si="366"/>
        <v>100</v>
      </c>
    </row>
    <row r="732" spans="1:10" ht="25.5">
      <c r="A732" s="8" t="s">
        <v>502</v>
      </c>
      <c r="B732" s="1" t="s">
        <v>503</v>
      </c>
      <c r="C732" s="1" t="s">
        <v>0</v>
      </c>
      <c r="D732" s="9">
        <v>356.8</v>
      </c>
      <c r="E732" s="9">
        <f>E733</f>
        <v>356.8</v>
      </c>
      <c r="F732" s="9">
        <f t="shared" ref="F732:H733" si="367">F733</f>
        <v>356.8</v>
      </c>
      <c r="G732" s="9">
        <f t="shared" si="367"/>
        <v>356.8</v>
      </c>
      <c r="H732" s="9">
        <f t="shared" si="367"/>
        <v>356.8</v>
      </c>
      <c r="I732" s="9">
        <f t="shared" si="365"/>
        <v>100</v>
      </c>
      <c r="J732" s="9">
        <f t="shared" si="366"/>
        <v>100</v>
      </c>
    </row>
    <row r="733" spans="1:10">
      <c r="A733" s="8" t="s">
        <v>72</v>
      </c>
      <c r="B733" s="1" t="s">
        <v>503</v>
      </c>
      <c r="C733" s="1" t="s">
        <v>73</v>
      </c>
      <c r="D733" s="9">
        <v>356.8</v>
      </c>
      <c r="E733" s="9">
        <f>E734</f>
        <v>356.8</v>
      </c>
      <c r="F733" s="9">
        <f t="shared" si="367"/>
        <v>356.8</v>
      </c>
      <c r="G733" s="9">
        <f t="shared" si="367"/>
        <v>356.8</v>
      </c>
      <c r="H733" s="9">
        <f t="shared" si="367"/>
        <v>356.8</v>
      </c>
      <c r="I733" s="9">
        <f t="shared" si="365"/>
        <v>100</v>
      </c>
      <c r="J733" s="9">
        <f t="shared" si="366"/>
        <v>100</v>
      </c>
    </row>
    <row r="734" spans="1:10" ht="38.25">
      <c r="A734" s="8" t="s">
        <v>218</v>
      </c>
      <c r="B734" s="1" t="s">
        <v>503</v>
      </c>
      <c r="C734" s="1" t="s">
        <v>219</v>
      </c>
      <c r="D734" s="9">
        <v>356.8</v>
      </c>
      <c r="E734" s="9">
        <f>ведомство!H1152</f>
        <v>356.8</v>
      </c>
      <c r="F734" s="9">
        <f>ведомство!I1152</f>
        <v>356.8</v>
      </c>
      <c r="G734" s="9">
        <f>ведомство!J1152</f>
        <v>356.8</v>
      </c>
      <c r="H734" s="9">
        <f>ведомство!K1152</f>
        <v>356.8</v>
      </c>
      <c r="I734" s="9">
        <f t="shared" si="365"/>
        <v>100</v>
      </c>
      <c r="J734" s="9">
        <f t="shared" si="366"/>
        <v>100</v>
      </c>
    </row>
    <row r="735" spans="1:10" s="43" customFormat="1" ht="51">
      <c r="A735" s="8" t="s">
        <v>1163</v>
      </c>
      <c r="B735" s="25" t="s">
        <v>1162</v>
      </c>
      <c r="C735" s="1"/>
      <c r="D735" s="9"/>
      <c r="E735" s="9">
        <f>E736</f>
        <v>681.4</v>
      </c>
      <c r="F735" s="9">
        <f t="shared" ref="F735:H736" si="368">F736</f>
        <v>681.4</v>
      </c>
      <c r="G735" s="9">
        <f t="shared" si="368"/>
        <v>681.4</v>
      </c>
      <c r="H735" s="9">
        <f t="shared" si="368"/>
        <v>681.4</v>
      </c>
      <c r="I735" s="9">
        <f t="shared" ref="I735:I737" si="369">H735/E735*100</f>
        <v>100</v>
      </c>
      <c r="J735" s="9">
        <f t="shared" ref="J735:J737" si="370">H735/F735*100</f>
        <v>100</v>
      </c>
    </row>
    <row r="736" spans="1:10" s="43" customFormat="1">
      <c r="A736" s="8" t="s">
        <v>72</v>
      </c>
      <c r="B736" s="25" t="s">
        <v>1162</v>
      </c>
      <c r="C736" s="1" t="s">
        <v>73</v>
      </c>
      <c r="D736" s="9"/>
      <c r="E736" s="9">
        <f>E737</f>
        <v>681.4</v>
      </c>
      <c r="F736" s="9">
        <f t="shared" si="368"/>
        <v>681.4</v>
      </c>
      <c r="G736" s="9">
        <f t="shared" si="368"/>
        <v>681.4</v>
      </c>
      <c r="H736" s="9">
        <f t="shared" si="368"/>
        <v>681.4</v>
      </c>
      <c r="I736" s="9">
        <f t="shared" si="369"/>
        <v>100</v>
      </c>
      <c r="J736" s="9">
        <f t="shared" si="370"/>
        <v>100</v>
      </c>
    </row>
    <row r="737" spans="1:10" s="43" customFormat="1" ht="38.25">
      <c r="A737" s="8" t="s">
        <v>218</v>
      </c>
      <c r="B737" s="25" t="s">
        <v>1162</v>
      </c>
      <c r="C737" s="1" t="s">
        <v>219</v>
      </c>
      <c r="D737" s="9"/>
      <c r="E737" s="9">
        <f>ведомство!H1155</f>
        <v>681.4</v>
      </c>
      <c r="F737" s="9">
        <f>ведомство!I1155</f>
        <v>681.4</v>
      </c>
      <c r="G737" s="9">
        <f>ведомство!J1155</f>
        <v>681.4</v>
      </c>
      <c r="H737" s="9">
        <f>ведомство!K1155</f>
        <v>681.4</v>
      </c>
      <c r="I737" s="9">
        <f t="shared" si="369"/>
        <v>100</v>
      </c>
      <c r="J737" s="9">
        <f t="shared" si="370"/>
        <v>100</v>
      </c>
    </row>
    <row r="738" spans="1:10" ht="51">
      <c r="A738" s="8" t="s">
        <v>504</v>
      </c>
      <c r="B738" s="1" t="s">
        <v>505</v>
      </c>
      <c r="C738" s="1" t="s">
        <v>0</v>
      </c>
      <c r="D738" s="9">
        <v>1999.8</v>
      </c>
      <c r="E738" s="9">
        <f>E739</f>
        <v>0</v>
      </c>
      <c r="F738" s="9">
        <f t="shared" ref="F738:H739" si="371">F739</f>
        <v>0</v>
      </c>
      <c r="G738" s="9">
        <f t="shared" si="371"/>
        <v>0</v>
      </c>
      <c r="H738" s="9">
        <f t="shared" si="371"/>
        <v>0</v>
      </c>
      <c r="I738" s="9">
        <v>0</v>
      </c>
      <c r="J738" s="9">
        <v>0</v>
      </c>
    </row>
    <row r="739" spans="1:10">
      <c r="A739" s="8" t="s">
        <v>72</v>
      </c>
      <c r="B739" s="1" t="s">
        <v>505</v>
      </c>
      <c r="C739" s="1" t="s">
        <v>73</v>
      </c>
      <c r="D739" s="9">
        <v>1999.8</v>
      </c>
      <c r="E739" s="9">
        <f>E740</f>
        <v>0</v>
      </c>
      <c r="F739" s="9">
        <f t="shared" si="371"/>
        <v>0</v>
      </c>
      <c r="G739" s="9">
        <f t="shared" si="371"/>
        <v>0</v>
      </c>
      <c r="H739" s="9">
        <f t="shared" si="371"/>
        <v>0</v>
      </c>
      <c r="I739" s="9">
        <v>0</v>
      </c>
      <c r="J739" s="9">
        <v>0</v>
      </c>
    </row>
    <row r="740" spans="1:10" ht="38.25">
      <c r="A740" s="8" t="s">
        <v>218</v>
      </c>
      <c r="B740" s="1" t="s">
        <v>505</v>
      </c>
      <c r="C740" s="1" t="s">
        <v>219</v>
      </c>
      <c r="D740" s="9">
        <v>1999.8</v>
      </c>
      <c r="E740" s="9">
        <f>ведомство!H1158</f>
        <v>0</v>
      </c>
      <c r="F740" s="9">
        <f>ведомство!I1158</f>
        <v>0</v>
      </c>
      <c r="G740" s="9">
        <f>ведомство!J1158</f>
        <v>0</v>
      </c>
      <c r="H740" s="9">
        <f>ведомство!K1158</f>
        <v>0</v>
      </c>
      <c r="I740" s="9">
        <v>0</v>
      </c>
      <c r="J740" s="9">
        <v>0</v>
      </c>
    </row>
    <row r="741" spans="1:10" s="43" customFormat="1" ht="38.25">
      <c r="A741" s="8" t="s">
        <v>1165</v>
      </c>
      <c r="B741" s="25" t="s">
        <v>1164</v>
      </c>
      <c r="C741" s="1"/>
      <c r="D741" s="9"/>
      <c r="E741" s="9">
        <f>E742</f>
        <v>1355.7</v>
      </c>
      <c r="F741" s="9">
        <f t="shared" ref="F741:H742" si="372">F742</f>
        <v>1355.7</v>
      </c>
      <c r="G741" s="9">
        <f t="shared" si="372"/>
        <v>1355.7</v>
      </c>
      <c r="H741" s="9">
        <f t="shared" si="372"/>
        <v>1355.7</v>
      </c>
      <c r="I741" s="9">
        <f t="shared" ref="I741:I755" si="373">H741/E741*100</f>
        <v>100</v>
      </c>
      <c r="J741" s="9">
        <f t="shared" ref="J741:J755" si="374">H741/F741*100</f>
        <v>100</v>
      </c>
    </row>
    <row r="742" spans="1:10" s="43" customFormat="1">
      <c r="A742" s="8" t="s">
        <v>72</v>
      </c>
      <c r="B742" s="25" t="s">
        <v>1164</v>
      </c>
      <c r="C742" s="1" t="s">
        <v>73</v>
      </c>
      <c r="D742" s="9"/>
      <c r="E742" s="9">
        <f>E743</f>
        <v>1355.7</v>
      </c>
      <c r="F742" s="9">
        <f t="shared" si="372"/>
        <v>1355.7</v>
      </c>
      <c r="G742" s="9">
        <f t="shared" si="372"/>
        <v>1355.7</v>
      </c>
      <c r="H742" s="9">
        <f t="shared" si="372"/>
        <v>1355.7</v>
      </c>
      <c r="I742" s="9">
        <f t="shared" si="373"/>
        <v>100</v>
      </c>
      <c r="J742" s="9">
        <f t="shared" si="374"/>
        <v>100</v>
      </c>
    </row>
    <row r="743" spans="1:10" s="43" customFormat="1" ht="38.25">
      <c r="A743" s="8" t="s">
        <v>218</v>
      </c>
      <c r="B743" s="25" t="s">
        <v>1164</v>
      </c>
      <c r="C743" s="1" t="s">
        <v>219</v>
      </c>
      <c r="D743" s="9"/>
      <c r="E743" s="9">
        <f>ведомство!H1161</f>
        <v>1355.7</v>
      </c>
      <c r="F743" s="9">
        <f>ведомство!I1161</f>
        <v>1355.7</v>
      </c>
      <c r="G743" s="9">
        <f>ведомство!J1161</f>
        <v>1355.7</v>
      </c>
      <c r="H743" s="9">
        <f>ведомство!K1161</f>
        <v>1355.7</v>
      </c>
      <c r="I743" s="9">
        <f t="shared" si="373"/>
        <v>100</v>
      </c>
      <c r="J743" s="9">
        <f t="shared" si="374"/>
        <v>100</v>
      </c>
    </row>
    <row r="744" spans="1:10" s="43" customFormat="1">
      <c r="A744" s="8" t="s">
        <v>1167</v>
      </c>
      <c r="B744" s="25" t="s">
        <v>1166</v>
      </c>
      <c r="C744" s="1"/>
      <c r="D744" s="9"/>
      <c r="E744" s="9">
        <f>E745</f>
        <v>35514</v>
      </c>
      <c r="F744" s="9">
        <f t="shared" ref="F744:H745" si="375">F745</f>
        <v>35514</v>
      </c>
      <c r="G744" s="9">
        <f t="shared" si="375"/>
        <v>35514</v>
      </c>
      <c r="H744" s="9">
        <f t="shared" si="375"/>
        <v>35514</v>
      </c>
      <c r="I744" s="9">
        <f t="shared" si="373"/>
        <v>100</v>
      </c>
      <c r="J744" s="9">
        <f t="shared" si="374"/>
        <v>100</v>
      </c>
    </row>
    <row r="745" spans="1:10" s="43" customFormat="1">
      <c r="A745" s="8" t="s">
        <v>72</v>
      </c>
      <c r="B745" s="25" t="s">
        <v>1166</v>
      </c>
      <c r="C745" s="1" t="s">
        <v>73</v>
      </c>
      <c r="D745" s="9"/>
      <c r="E745" s="9">
        <f>E746</f>
        <v>35514</v>
      </c>
      <c r="F745" s="9">
        <f t="shared" si="375"/>
        <v>35514</v>
      </c>
      <c r="G745" s="9">
        <f t="shared" si="375"/>
        <v>35514</v>
      </c>
      <c r="H745" s="9">
        <f t="shared" si="375"/>
        <v>35514</v>
      </c>
      <c r="I745" s="9">
        <f t="shared" si="373"/>
        <v>100</v>
      </c>
      <c r="J745" s="9">
        <f t="shared" si="374"/>
        <v>100</v>
      </c>
    </row>
    <row r="746" spans="1:10" s="43" customFormat="1" ht="38.25">
      <c r="A746" s="8" t="s">
        <v>218</v>
      </c>
      <c r="B746" s="25" t="s">
        <v>1166</v>
      </c>
      <c r="C746" s="1" t="s">
        <v>219</v>
      </c>
      <c r="D746" s="9"/>
      <c r="E746" s="9">
        <f>ведомство!H1164</f>
        <v>35514</v>
      </c>
      <c r="F746" s="9">
        <f>ведомство!I1164</f>
        <v>35514</v>
      </c>
      <c r="G746" s="9">
        <f>ведомство!J1164</f>
        <v>35514</v>
      </c>
      <c r="H746" s="9">
        <f>ведомство!K1164</f>
        <v>35514</v>
      </c>
      <c r="I746" s="9">
        <f t="shared" si="373"/>
        <v>100</v>
      </c>
      <c r="J746" s="9">
        <f t="shared" si="374"/>
        <v>100</v>
      </c>
    </row>
    <row r="747" spans="1:10" s="43" customFormat="1">
      <c r="A747" s="8" t="s">
        <v>1169</v>
      </c>
      <c r="B747" s="25" t="s">
        <v>1168</v>
      </c>
      <c r="C747" s="1"/>
      <c r="D747" s="9"/>
      <c r="E747" s="9">
        <f>E748</f>
        <v>27045</v>
      </c>
      <c r="F747" s="9">
        <f t="shared" ref="F747:H748" si="376">F748</f>
        <v>27045</v>
      </c>
      <c r="G747" s="9">
        <f t="shared" si="376"/>
        <v>27045</v>
      </c>
      <c r="H747" s="9">
        <f t="shared" si="376"/>
        <v>27045</v>
      </c>
      <c r="I747" s="9">
        <f t="shared" si="373"/>
        <v>100</v>
      </c>
      <c r="J747" s="9">
        <f t="shared" si="374"/>
        <v>100</v>
      </c>
    </row>
    <row r="748" spans="1:10" s="43" customFormat="1">
      <c r="A748" s="8" t="s">
        <v>72</v>
      </c>
      <c r="B748" s="25" t="s">
        <v>1168</v>
      </c>
      <c r="C748" s="1" t="s">
        <v>73</v>
      </c>
      <c r="D748" s="9"/>
      <c r="E748" s="9">
        <f>E749</f>
        <v>27045</v>
      </c>
      <c r="F748" s="9">
        <f t="shared" si="376"/>
        <v>27045</v>
      </c>
      <c r="G748" s="9">
        <f t="shared" si="376"/>
        <v>27045</v>
      </c>
      <c r="H748" s="9">
        <f t="shared" si="376"/>
        <v>27045</v>
      </c>
      <c r="I748" s="9">
        <f t="shared" si="373"/>
        <v>100</v>
      </c>
      <c r="J748" s="9">
        <f t="shared" si="374"/>
        <v>100</v>
      </c>
    </row>
    <row r="749" spans="1:10" s="43" customFormat="1" ht="38.25">
      <c r="A749" s="8" t="s">
        <v>218</v>
      </c>
      <c r="B749" s="25" t="s">
        <v>1168</v>
      </c>
      <c r="C749" s="1" t="s">
        <v>219</v>
      </c>
      <c r="D749" s="9"/>
      <c r="E749" s="9">
        <f>ведомство!H1167</f>
        <v>27045</v>
      </c>
      <c r="F749" s="9">
        <f>ведомство!I1167</f>
        <v>27045</v>
      </c>
      <c r="G749" s="9">
        <f>ведомство!J1167</f>
        <v>27045</v>
      </c>
      <c r="H749" s="9">
        <f>ведомство!K1167</f>
        <v>27045</v>
      </c>
      <c r="I749" s="9">
        <f t="shared" si="373"/>
        <v>100</v>
      </c>
      <c r="J749" s="9">
        <f t="shared" si="374"/>
        <v>100</v>
      </c>
    </row>
    <row r="750" spans="1:10" s="43" customFormat="1" ht="38.25">
      <c r="A750" s="8" t="s">
        <v>1172</v>
      </c>
      <c r="B750" s="25" t="s">
        <v>1170</v>
      </c>
      <c r="C750" s="1"/>
      <c r="D750" s="9"/>
      <c r="E750" s="9">
        <f>E751</f>
        <v>255.6</v>
      </c>
      <c r="F750" s="9">
        <f t="shared" ref="F750:H751" si="377">F751</f>
        <v>237.744</v>
      </c>
      <c r="G750" s="9">
        <f t="shared" si="377"/>
        <v>237.744</v>
      </c>
      <c r="H750" s="9">
        <f t="shared" si="377"/>
        <v>237.744</v>
      </c>
      <c r="I750" s="9">
        <f t="shared" si="373"/>
        <v>93.014084507042256</v>
      </c>
      <c r="J750" s="9">
        <f t="shared" si="374"/>
        <v>100</v>
      </c>
    </row>
    <row r="751" spans="1:10" s="43" customFormat="1">
      <c r="A751" s="8" t="s">
        <v>72</v>
      </c>
      <c r="B751" s="25" t="s">
        <v>1170</v>
      </c>
      <c r="C751" s="1" t="s">
        <v>73</v>
      </c>
      <c r="D751" s="9"/>
      <c r="E751" s="9">
        <f>E752</f>
        <v>255.6</v>
      </c>
      <c r="F751" s="9">
        <f t="shared" si="377"/>
        <v>237.744</v>
      </c>
      <c r="G751" s="9">
        <f t="shared" si="377"/>
        <v>237.744</v>
      </c>
      <c r="H751" s="9">
        <f t="shared" si="377"/>
        <v>237.744</v>
      </c>
      <c r="I751" s="9">
        <f t="shared" si="373"/>
        <v>93.014084507042256</v>
      </c>
      <c r="J751" s="9">
        <f t="shared" si="374"/>
        <v>100</v>
      </c>
    </row>
    <row r="752" spans="1:10" s="43" customFormat="1" ht="38.25">
      <c r="A752" s="8" t="s">
        <v>218</v>
      </c>
      <c r="B752" s="25" t="s">
        <v>1170</v>
      </c>
      <c r="C752" s="1" t="s">
        <v>219</v>
      </c>
      <c r="D752" s="9"/>
      <c r="E752" s="9">
        <f>ведомство!H1170</f>
        <v>255.6</v>
      </c>
      <c r="F752" s="9">
        <f>ведомство!I1170</f>
        <v>237.744</v>
      </c>
      <c r="G752" s="9">
        <f>ведомство!J1170</f>
        <v>237.744</v>
      </c>
      <c r="H752" s="9">
        <f>ведомство!K1170</f>
        <v>237.744</v>
      </c>
      <c r="I752" s="9">
        <f t="shared" si="373"/>
        <v>93.014084507042256</v>
      </c>
      <c r="J752" s="9">
        <f t="shared" si="374"/>
        <v>100</v>
      </c>
    </row>
    <row r="753" spans="1:10" s="43" customFormat="1" ht="25.5">
      <c r="A753" s="8" t="s">
        <v>1173</v>
      </c>
      <c r="B753" s="25" t="s">
        <v>1171</v>
      </c>
      <c r="C753" s="1"/>
      <c r="D753" s="9"/>
      <c r="E753" s="9">
        <f>E754</f>
        <v>35592</v>
      </c>
      <c r="F753" s="9">
        <f t="shared" ref="F753:H754" si="378">F754</f>
        <v>7399.8403600000001</v>
      </c>
      <c r="G753" s="9">
        <f t="shared" si="378"/>
        <v>7187.4003899999998</v>
      </c>
      <c r="H753" s="9">
        <f t="shared" si="378"/>
        <v>7187.4003899999998</v>
      </c>
      <c r="I753" s="9">
        <f t="shared" si="373"/>
        <v>20.1938648853675</v>
      </c>
      <c r="J753" s="9">
        <f t="shared" si="374"/>
        <v>97.129127661343219</v>
      </c>
    </row>
    <row r="754" spans="1:10" s="43" customFormat="1">
      <c r="A754" s="8" t="s">
        <v>72</v>
      </c>
      <c r="B754" s="25" t="s">
        <v>1171</v>
      </c>
      <c r="C754" s="1" t="s">
        <v>73</v>
      </c>
      <c r="D754" s="9"/>
      <c r="E754" s="9">
        <f>E755</f>
        <v>35592</v>
      </c>
      <c r="F754" s="9">
        <f t="shared" si="378"/>
        <v>7399.8403600000001</v>
      </c>
      <c r="G754" s="9">
        <f t="shared" si="378"/>
        <v>7187.4003899999998</v>
      </c>
      <c r="H754" s="9">
        <f t="shared" si="378"/>
        <v>7187.4003899999998</v>
      </c>
      <c r="I754" s="9">
        <f t="shared" si="373"/>
        <v>20.1938648853675</v>
      </c>
      <c r="J754" s="9">
        <f t="shared" si="374"/>
        <v>97.129127661343219</v>
      </c>
    </row>
    <row r="755" spans="1:10" s="43" customFormat="1" ht="38.25">
      <c r="A755" s="8" t="s">
        <v>218</v>
      </c>
      <c r="B755" s="25" t="s">
        <v>1171</v>
      </c>
      <c r="C755" s="1" t="s">
        <v>219</v>
      </c>
      <c r="D755" s="9"/>
      <c r="E755" s="9">
        <f>ведомство!H1173</f>
        <v>35592</v>
      </c>
      <c r="F755" s="9">
        <f>ведомство!I1173</f>
        <v>7399.8403600000001</v>
      </c>
      <c r="G755" s="9">
        <f>ведомство!J1173</f>
        <v>7187.4003899999998</v>
      </c>
      <c r="H755" s="9">
        <f>ведомство!K1173</f>
        <v>7187.4003899999998</v>
      </c>
      <c r="I755" s="9">
        <f t="shared" si="373"/>
        <v>20.1938648853675</v>
      </c>
      <c r="J755" s="9">
        <f t="shared" si="374"/>
        <v>97.129127661343219</v>
      </c>
    </row>
    <row r="756" spans="1:10" ht="38.25">
      <c r="A756" s="8" t="s">
        <v>506</v>
      </c>
      <c r="B756" s="1" t="s">
        <v>507</v>
      </c>
      <c r="C756" s="1" t="s">
        <v>0</v>
      </c>
      <c r="D756" s="9">
        <v>2032.2</v>
      </c>
      <c r="E756" s="9">
        <f>E757</f>
        <v>2032.2</v>
      </c>
      <c r="F756" s="9">
        <f t="shared" ref="F756:H757" si="379">F757</f>
        <v>0</v>
      </c>
      <c r="G756" s="9">
        <f t="shared" si="379"/>
        <v>0</v>
      </c>
      <c r="H756" s="9">
        <f t="shared" si="379"/>
        <v>0</v>
      </c>
      <c r="I756" s="9">
        <f t="shared" si="365"/>
        <v>0</v>
      </c>
      <c r="J756" s="9">
        <v>0</v>
      </c>
    </row>
    <row r="757" spans="1:10">
      <c r="A757" s="8" t="s">
        <v>72</v>
      </c>
      <c r="B757" s="1" t="s">
        <v>507</v>
      </c>
      <c r="C757" s="1" t="s">
        <v>73</v>
      </c>
      <c r="D757" s="9">
        <v>2032.2</v>
      </c>
      <c r="E757" s="9">
        <f>E758</f>
        <v>2032.2</v>
      </c>
      <c r="F757" s="9">
        <f t="shared" si="379"/>
        <v>0</v>
      </c>
      <c r="G757" s="9">
        <f t="shared" si="379"/>
        <v>0</v>
      </c>
      <c r="H757" s="9">
        <f t="shared" si="379"/>
        <v>0</v>
      </c>
      <c r="I757" s="9">
        <f t="shared" si="365"/>
        <v>0</v>
      </c>
      <c r="J757" s="9">
        <v>0</v>
      </c>
    </row>
    <row r="758" spans="1:10" ht="38.25">
      <c r="A758" s="8" t="s">
        <v>218</v>
      </c>
      <c r="B758" s="1" t="s">
        <v>507</v>
      </c>
      <c r="C758" s="1" t="s">
        <v>219</v>
      </c>
      <c r="D758" s="9">
        <v>2032.2</v>
      </c>
      <c r="E758" s="9">
        <f>ведомство!H1176</f>
        <v>2032.2</v>
      </c>
      <c r="F758" s="9">
        <f>ведомство!I1176</f>
        <v>0</v>
      </c>
      <c r="G758" s="9">
        <f>ведомство!J1176</f>
        <v>0</v>
      </c>
      <c r="H758" s="9">
        <f>ведомство!K1176</f>
        <v>0</v>
      </c>
      <c r="I758" s="9">
        <f t="shared" si="365"/>
        <v>0</v>
      </c>
      <c r="J758" s="9">
        <v>0</v>
      </c>
    </row>
    <row r="759" spans="1:10" s="43" customFormat="1" ht="51">
      <c r="A759" s="8" t="s">
        <v>1175</v>
      </c>
      <c r="B759" s="25" t="s">
        <v>1174</v>
      </c>
      <c r="C759" s="1"/>
      <c r="D759" s="9"/>
      <c r="E759" s="9">
        <f>E760</f>
        <v>28013.1</v>
      </c>
      <c r="F759" s="9">
        <f t="shared" ref="F759:H760" si="380">F760</f>
        <v>20783.330999999998</v>
      </c>
      <c r="G759" s="9">
        <f t="shared" si="380"/>
        <v>20783.330999999998</v>
      </c>
      <c r="H759" s="9">
        <f t="shared" si="380"/>
        <v>20783.330999999998</v>
      </c>
      <c r="I759" s="9">
        <f t="shared" ref="I759:I767" si="381">H759/E759*100</f>
        <v>74.191471133148411</v>
      </c>
      <c r="J759" s="9">
        <f t="shared" ref="J759:J767" si="382">H759/F759*100</f>
        <v>100</v>
      </c>
    </row>
    <row r="760" spans="1:10" s="43" customFormat="1">
      <c r="A760" s="8" t="s">
        <v>72</v>
      </c>
      <c r="B760" s="25" t="s">
        <v>1174</v>
      </c>
      <c r="C760" s="1" t="s">
        <v>73</v>
      </c>
      <c r="D760" s="9"/>
      <c r="E760" s="9">
        <f>E761</f>
        <v>28013.1</v>
      </c>
      <c r="F760" s="9">
        <f t="shared" si="380"/>
        <v>20783.330999999998</v>
      </c>
      <c r="G760" s="9">
        <f t="shared" si="380"/>
        <v>20783.330999999998</v>
      </c>
      <c r="H760" s="9">
        <f t="shared" si="380"/>
        <v>20783.330999999998</v>
      </c>
      <c r="I760" s="9">
        <f t="shared" si="381"/>
        <v>74.191471133148411</v>
      </c>
      <c r="J760" s="9">
        <f t="shared" si="382"/>
        <v>100</v>
      </c>
    </row>
    <row r="761" spans="1:10" s="43" customFormat="1" ht="38.25">
      <c r="A761" s="8" t="s">
        <v>218</v>
      </c>
      <c r="B761" s="25" t="s">
        <v>1174</v>
      </c>
      <c r="C761" s="1" t="s">
        <v>219</v>
      </c>
      <c r="D761" s="9"/>
      <c r="E761" s="9">
        <f>ведомство!H1179</f>
        <v>28013.1</v>
      </c>
      <c r="F761" s="9">
        <f>ведомство!I1179</f>
        <v>20783.330999999998</v>
      </c>
      <c r="G761" s="9">
        <f>ведомство!J1179</f>
        <v>20783.330999999998</v>
      </c>
      <c r="H761" s="9">
        <f>ведомство!K1179</f>
        <v>20783.330999999998</v>
      </c>
      <c r="I761" s="9">
        <f t="shared" si="381"/>
        <v>74.191471133148411</v>
      </c>
      <c r="J761" s="9">
        <f t="shared" si="382"/>
        <v>100</v>
      </c>
    </row>
    <row r="762" spans="1:10" s="43" customFormat="1" ht="25.5">
      <c r="A762" s="8" t="s">
        <v>1178</v>
      </c>
      <c r="B762" s="25" t="s">
        <v>1176</v>
      </c>
      <c r="C762" s="1"/>
      <c r="D762" s="9"/>
      <c r="E762" s="9">
        <f>E763</f>
        <v>2764.2</v>
      </c>
      <c r="F762" s="9">
        <f t="shared" ref="F762:H763" si="383">F763</f>
        <v>1056.3</v>
      </c>
      <c r="G762" s="9">
        <f t="shared" si="383"/>
        <v>1056.3</v>
      </c>
      <c r="H762" s="9">
        <f t="shared" si="383"/>
        <v>1056.3</v>
      </c>
      <c r="I762" s="9">
        <f t="shared" si="381"/>
        <v>38.213588018233125</v>
      </c>
      <c r="J762" s="9">
        <f t="shared" si="382"/>
        <v>100</v>
      </c>
    </row>
    <row r="763" spans="1:10" s="43" customFormat="1">
      <c r="A763" s="8" t="s">
        <v>72</v>
      </c>
      <c r="B763" s="25" t="s">
        <v>1176</v>
      </c>
      <c r="C763" s="1" t="s">
        <v>73</v>
      </c>
      <c r="D763" s="9"/>
      <c r="E763" s="9">
        <f>E764</f>
        <v>2764.2</v>
      </c>
      <c r="F763" s="9">
        <f t="shared" si="383"/>
        <v>1056.3</v>
      </c>
      <c r="G763" s="9">
        <f t="shared" si="383"/>
        <v>1056.3</v>
      </c>
      <c r="H763" s="9">
        <f t="shared" si="383"/>
        <v>1056.3</v>
      </c>
      <c r="I763" s="9">
        <f t="shared" si="381"/>
        <v>38.213588018233125</v>
      </c>
      <c r="J763" s="9">
        <f t="shared" si="382"/>
        <v>100</v>
      </c>
    </row>
    <row r="764" spans="1:10" s="43" customFormat="1" ht="38.25">
      <c r="A764" s="8" t="s">
        <v>218</v>
      </c>
      <c r="B764" s="25" t="s">
        <v>1176</v>
      </c>
      <c r="C764" s="1" t="s">
        <v>219</v>
      </c>
      <c r="D764" s="9"/>
      <c r="E764" s="9">
        <f>ведомство!H1182</f>
        <v>2764.2</v>
      </c>
      <c r="F764" s="9">
        <f>ведомство!I1182</f>
        <v>1056.3</v>
      </c>
      <c r="G764" s="9">
        <f>ведомство!J1182</f>
        <v>1056.3</v>
      </c>
      <c r="H764" s="9">
        <f>ведомство!K1182</f>
        <v>1056.3</v>
      </c>
      <c r="I764" s="9">
        <f t="shared" si="381"/>
        <v>38.213588018233125</v>
      </c>
      <c r="J764" s="9">
        <f t="shared" si="382"/>
        <v>100</v>
      </c>
    </row>
    <row r="765" spans="1:10" s="43" customFormat="1" ht="38.25">
      <c r="A765" s="8" t="s">
        <v>1179</v>
      </c>
      <c r="B765" s="25" t="s">
        <v>1177</v>
      </c>
      <c r="C765" s="1"/>
      <c r="D765" s="9"/>
      <c r="E765" s="9">
        <f>E766</f>
        <v>19707.8</v>
      </c>
      <c r="F765" s="9">
        <f t="shared" ref="F765:H766" si="384">F766</f>
        <v>13010</v>
      </c>
      <c r="G765" s="9">
        <f t="shared" si="384"/>
        <v>13010</v>
      </c>
      <c r="H765" s="9">
        <f t="shared" si="384"/>
        <v>13010</v>
      </c>
      <c r="I765" s="9">
        <f t="shared" si="381"/>
        <v>66.014471427556614</v>
      </c>
      <c r="J765" s="9">
        <f t="shared" si="382"/>
        <v>100</v>
      </c>
    </row>
    <row r="766" spans="1:10" s="43" customFormat="1">
      <c r="A766" s="8" t="s">
        <v>72</v>
      </c>
      <c r="B766" s="25" t="s">
        <v>1177</v>
      </c>
      <c r="C766" s="1" t="s">
        <v>73</v>
      </c>
      <c r="D766" s="9"/>
      <c r="E766" s="9">
        <f>E767</f>
        <v>19707.8</v>
      </c>
      <c r="F766" s="9">
        <f t="shared" si="384"/>
        <v>13010</v>
      </c>
      <c r="G766" s="9">
        <f t="shared" si="384"/>
        <v>13010</v>
      </c>
      <c r="H766" s="9">
        <f t="shared" si="384"/>
        <v>13010</v>
      </c>
      <c r="I766" s="9">
        <f t="shared" si="381"/>
        <v>66.014471427556614</v>
      </c>
      <c r="J766" s="9">
        <f t="shared" si="382"/>
        <v>100</v>
      </c>
    </row>
    <row r="767" spans="1:10" s="43" customFormat="1" ht="38.25">
      <c r="A767" s="8" t="s">
        <v>218</v>
      </c>
      <c r="B767" s="25" t="s">
        <v>1177</v>
      </c>
      <c r="C767" s="1" t="s">
        <v>219</v>
      </c>
      <c r="D767" s="9"/>
      <c r="E767" s="9">
        <f>ведомство!H1185</f>
        <v>19707.8</v>
      </c>
      <c r="F767" s="9">
        <f>ведомство!I1185</f>
        <v>13010</v>
      </c>
      <c r="G767" s="9">
        <f>ведомство!J1185</f>
        <v>13010</v>
      </c>
      <c r="H767" s="9">
        <f>ведомство!K1185</f>
        <v>13010</v>
      </c>
      <c r="I767" s="9">
        <f t="shared" si="381"/>
        <v>66.014471427556614</v>
      </c>
      <c r="J767" s="9">
        <f t="shared" si="382"/>
        <v>100</v>
      </c>
    </row>
    <row r="768" spans="1:10" ht="25.5">
      <c r="A768" s="8" t="s">
        <v>508</v>
      </c>
      <c r="B768" s="1" t="s">
        <v>509</v>
      </c>
      <c r="C768" s="1" t="s">
        <v>0</v>
      </c>
      <c r="D768" s="9">
        <v>29860.3</v>
      </c>
      <c r="E768" s="9">
        <f>E769</f>
        <v>27012</v>
      </c>
      <c r="F768" s="9">
        <f t="shared" ref="F768:H769" si="385">F769</f>
        <v>25640.240000000002</v>
      </c>
      <c r="G768" s="9">
        <f t="shared" si="385"/>
        <v>25640.240000000002</v>
      </c>
      <c r="H768" s="9">
        <f t="shared" si="385"/>
        <v>25640.240000000002</v>
      </c>
      <c r="I768" s="9">
        <f t="shared" si="365"/>
        <v>94.921664445431659</v>
      </c>
      <c r="J768" s="9">
        <f t="shared" si="366"/>
        <v>100</v>
      </c>
    </row>
    <row r="769" spans="1:10">
      <c r="A769" s="8" t="s">
        <v>72</v>
      </c>
      <c r="B769" s="1" t="s">
        <v>509</v>
      </c>
      <c r="C769" s="1" t="s">
        <v>73</v>
      </c>
      <c r="D769" s="9">
        <v>29860.3</v>
      </c>
      <c r="E769" s="9">
        <f>E770</f>
        <v>27012</v>
      </c>
      <c r="F769" s="9">
        <f t="shared" si="385"/>
        <v>25640.240000000002</v>
      </c>
      <c r="G769" s="9">
        <f t="shared" si="385"/>
        <v>25640.240000000002</v>
      </c>
      <c r="H769" s="9">
        <f t="shared" si="385"/>
        <v>25640.240000000002</v>
      </c>
      <c r="I769" s="9">
        <f t="shared" si="365"/>
        <v>94.921664445431659</v>
      </c>
      <c r="J769" s="9">
        <f t="shared" si="366"/>
        <v>100</v>
      </c>
    </row>
    <row r="770" spans="1:10" ht="38.25">
      <c r="A770" s="8" t="s">
        <v>218</v>
      </c>
      <c r="B770" s="1" t="s">
        <v>509</v>
      </c>
      <c r="C770" s="1" t="s">
        <v>219</v>
      </c>
      <c r="D770" s="9">
        <v>29860.3</v>
      </c>
      <c r="E770" s="9">
        <f>ведомство!H1188</f>
        <v>27012</v>
      </c>
      <c r="F770" s="9">
        <f>ведомство!I1188</f>
        <v>25640.240000000002</v>
      </c>
      <c r="G770" s="9">
        <f>ведомство!J1188</f>
        <v>25640.240000000002</v>
      </c>
      <c r="H770" s="9">
        <f>ведомство!K1188</f>
        <v>25640.240000000002</v>
      </c>
      <c r="I770" s="9">
        <f t="shared" si="365"/>
        <v>94.921664445431659</v>
      </c>
      <c r="J770" s="9">
        <f t="shared" si="366"/>
        <v>100</v>
      </c>
    </row>
    <row r="771" spans="1:10" s="43" customFormat="1" ht="51">
      <c r="A771" s="8" t="s">
        <v>1181</v>
      </c>
      <c r="B771" s="25" t="s">
        <v>1180</v>
      </c>
      <c r="C771" s="6" t="s">
        <v>0</v>
      </c>
      <c r="D771" s="9"/>
      <c r="E771" s="9">
        <f>E772</f>
        <v>5510.5</v>
      </c>
      <c r="F771" s="9">
        <f t="shared" ref="F771:H772" si="386">F772</f>
        <v>2173.1959999999999</v>
      </c>
      <c r="G771" s="9">
        <f t="shared" si="386"/>
        <v>2173.1959999999999</v>
      </c>
      <c r="H771" s="9">
        <f t="shared" si="386"/>
        <v>2173.1959999999999</v>
      </c>
      <c r="I771" s="9">
        <f t="shared" ref="I771:I776" si="387">H771/E771*100</f>
        <v>39.437365030396514</v>
      </c>
      <c r="J771" s="9">
        <f t="shared" ref="J771:J776" si="388">H771/F771*100</f>
        <v>100</v>
      </c>
    </row>
    <row r="772" spans="1:10" s="43" customFormat="1">
      <c r="A772" s="8" t="s">
        <v>72</v>
      </c>
      <c r="B772" s="25" t="s">
        <v>1180</v>
      </c>
      <c r="C772" s="1" t="s">
        <v>73</v>
      </c>
      <c r="D772" s="9"/>
      <c r="E772" s="9">
        <f>E773</f>
        <v>5510.5</v>
      </c>
      <c r="F772" s="9">
        <f t="shared" si="386"/>
        <v>2173.1959999999999</v>
      </c>
      <c r="G772" s="9">
        <f t="shared" si="386"/>
        <v>2173.1959999999999</v>
      </c>
      <c r="H772" s="9">
        <f t="shared" si="386"/>
        <v>2173.1959999999999</v>
      </c>
      <c r="I772" s="9">
        <f t="shared" si="387"/>
        <v>39.437365030396514</v>
      </c>
      <c r="J772" s="9">
        <f t="shared" si="388"/>
        <v>100</v>
      </c>
    </row>
    <row r="773" spans="1:10" s="43" customFormat="1" ht="38.25">
      <c r="A773" s="8" t="s">
        <v>218</v>
      </c>
      <c r="B773" s="25" t="s">
        <v>1180</v>
      </c>
      <c r="C773" s="1" t="s">
        <v>219</v>
      </c>
      <c r="D773" s="9"/>
      <c r="E773" s="9">
        <f>ведомство!H1191</f>
        <v>5510.5</v>
      </c>
      <c r="F773" s="9">
        <f>ведомство!I1191</f>
        <v>2173.1959999999999</v>
      </c>
      <c r="G773" s="9">
        <f>ведомство!J1191</f>
        <v>2173.1959999999999</v>
      </c>
      <c r="H773" s="9">
        <f>ведомство!K1191</f>
        <v>2173.1959999999999</v>
      </c>
      <c r="I773" s="9">
        <f t="shared" si="387"/>
        <v>39.437365030396514</v>
      </c>
      <c r="J773" s="9">
        <f t="shared" si="388"/>
        <v>100</v>
      </c>
    </row>
    <row r="774" spans="1:10" s="43" customFormat="1" ht="63.75">
      <c r="A774" s="8" t="s">
        <v>1183</v>
      </c>
      <c r="B774" s="25" t="s">
        <v>1182</v>
      </c>
      <c r="C774" s="1"/>
      <c r="D774" s="9"/>
      <c r="E774" s="9">
        <f>E775</f>
        <v>5693.92</v>
      </c>
      <c r="F774" s="9">
        <f t="shared" ref="F774:H775" si="389">F775</f>
        <v>5693.92</v>
      </c>
      <c r="G774" s="9">
        <f t="shared" si="389"/>
        <v>5693.92</v>
      </c>
      <c r="H774" s="9">
        <f t="shared" si="389"/>
        <v>5693.92</v>
      </c>
      <c r="I774" s="9">
        <f t="shared" si="387"/>
        <v>100</v>
      </c>
      <c r="J774" s="9">
        <f t="shared" si="388"/>
        <v>100</v>
      </c>
    </row>
    <row r="775" spans="1:10" s="43" customFormat="1">
      <c r="A775" s="8" t="s">
        <v>72</v>
      </c>
      <c r="B775" s="25" t="s">
        <v>1182</v>
      </c>
      <c r="C775" s="1">
        <v>800</v>
      </c>
      <c r="D775" s="9"/>
      <c r="E775" s="9">
        <f>E776</f>
        <v>5693.92</v>
      </c>
      <c r="F775" s="9">
        <f t="shared" si="389"/>
        <v>5693.92</v>
      </c>
      <c r="G775" s="9">
        <f t="shared" si="389"/>
        <v>5693.92</v>
      </c>
      <c r="H775" s="9">
        <f t="shared" si="389"/>
        <v>5693.92</v>
      </c>
      <c r="I775" s="9">
        <f t="shared" si="387"/>
        <v>100</v>
      </c>
      <c r="J775" s="9">
        <f t="shared" si="388"/>
        <v>100</v>
      </c>
    </row>
    <row r="776" spans="1:10" s="43" customFormat="1">
      <c r="A776" s="8" t="s">
        <v>74</v>
      </c>
      <c r="B776" s="25" t="s">
        <v>1182</v>
      </c>
      <c r="C776" s="1">
        <v>850</v>
      </c>
      <c r="D776" s="9"/>
      <c r="E776" s="9">
        <f>ведомство!H1194</f>
        <v>5693.92</v>
      </c>
      <c r="F776" s="9">
        <f>ведомство!I1194</f>
        <v>5693.92</v>
      </c>
      <c r="G776" s="9">
        <f>ведомство!J1194</f>
        <v>5693.92</v>
      </c>
      <c r="H776" s="9">
        <f>ведомство!K1194</f>
        <v>5693.92</v>
      </c>
      <c r="I776" s="9">
        <f t="shared" si="387"/>
        <v>100</v>
      </c>
      <c r="J776" s="9">
        <f t="shared" si="388"/>
        <v>100</v>
      </c>
    </row>
    <row r="777" spans="1:10">
      <c r="A777" s="8" t="s">
        <v>510</v>
      </c>
      <c r="B777" s="1" t="s">
        <v>511</v>
      </c>
      <c r="C777" s="1" t="s">
        <v>0</v>
      </c>
      <c r="D777" s="9">
        <v>12000</v>
      </c>
      <c r="E777" s="9">
        <f>E778</f>
        <v>12000</v>
      </c>
      <c r="F777" s="9">
        <f t="shared" ref="F777:H778" si="390">F778</f>
        <v>10472.7942</v>
      </c>
      <c r="G777" s="9">
        <f t="shared" si="390"/>
        <v>10472.79398</v>
      </c>
      <c r="H777" s="9">
        <f t="shared" si="390"/>
        <v>10472.79398</v>
      </c>
      <c r="I777" s="9">
        <f t="shared" si="365"/>
        <v>87.273283166666673</v>
      </c>
      <c r="J777" s="9">
        <f t="shared" si="366"/>
        <v>99.999997899318984</v>
      </c>
    </row>
    <row r="778" spans="1:10">
      <c r="A778" s="8" t="s">
        <v>72</v>
      </c>
      <c r="B778" s="1" t="s">
        <v>511</v>
      </c>
      <c r="C778" s="1" t="s">
        <v>73</v>
      </c>
      <c r="D778" s="9">
        <v>12000</v>
      </c>
      <c r="E778" s="9">
        <f>E779</f>
        <v>12000</v>
      </c>
      <c r="F778" s="9">
        <f t="shared" si="390"/>
        <v>10472.7942</v>
      </c>
      <c r="G778" s="9">
        <f t="shared" si="390"/>
        <v>10472.79398</v>
      </c>
      <c r="H778" s="9">
        <f t="shared" si="390"/>
        <v>10472.79398</v>
      </c>
      <c r="I778" s="9">
        <f t="shared" si="365"/>
        <v>87.273283166666673</v>
      </c>
      <c r="J778" s="9">
        <f t="shared" si="366"/>
        <v>99.999997899318984</v>
      </c>
    </row>
    <row r="779" spans="1:10" ht="38.25">
      <c r="A779" s="8" t="s">
        <v>218</v>
      </c>
      <c r="B779" s="1" t="s">
        <v>511</v>
      </c>
      <c r="C779" s="1" t="s">
        <v>219</v>
      </c>
      <c r="D779" s="9">
        <v>12000</v>
      </c>
      <c r="E779" s="9">
        <f>ведомство!H1197</f>
        <v>12000</v>
      </c>
      <c r="F779" s="9">
        <f>ведомство!I1197</f>
        <v>10472.7942</v>
      </c>
      <c r="G779" s="9">
        <f>ведомство!J1197</f>
        <v>10472.79398</v>
      </c>
      <c r="H779" s="9">
        <f>ведомство!K1197</f>
        <v>10472.79398</v>
      </c>
      <c r="I779" s="9">
        <f t="shared" si="365"/>
        <v>87.273283166666673</v>
      </c>
      <c r="J779" s="9">
        <f t="shared" si="366"/>
        <v>99.999997899318984</v>
      </c>
    </row>
    <row r="780" spans="1:10">
      <c r="A780" s="8" t="s">
        <v>512</v>
      </c>
      <c r="B780" s="1" t="s">
        <v>513</v>
      </c>
      <c r="C780" s="1" t="s">
        <v>0</v>
      </c>
      <c r="D780" s="9">
        <v>4800</v>
      </c>
      <c r="E780" s="9">
        <f>E781+E783</f>
        <v>4800</v>
      </c>
      <c r="F780" s="9">
        <f t="shared" ref="F780:H780" si="391">F781+F783</f>
        <v>2399.4227700000001</v>
      </c>
      <c r="G780" s="9">
        <f t="shared" si="391"/>
        <v>2399.4227700000001</v>
      </c>
      <c r="H780" s="9">
        <f t="shared" si="391"/>
        <v>2399.4227700000001</v>
      </c>
      <c r="I780" s="9">
        <f t="shared" si="365"/>
        <v>49.987974375000007</v>
      </c>
      <c r="J780" s="9">
        <f t="shared" si="366"/>
        <v>100</v>
      </c>
    </row>
    <row r="781" spans="1:10" ht="25.5">
      <c r="A781" s="8" t="s">
        <v>64</v>
      </c>
      <c r="B781" s="1" t="s">
        <v>513</v>
      </c>
      <c r="C781" s="1" t="s">
        <v>65</v>
      </c>
      <c r="D781" s="9">
        <v>1700</v>
      </c>
      <c r="E781" s="9">
        <f>E782</f>
        <v>1700</v>
      </c>
      <c r="F781" s="9">
        <f t="shared" ref="F781:H781" si="392">F782</f>
        <v>598</v>
      </c>
      <c r="G781" s="9">
        <f t="shared" si="392"/>
        <v>598</v>
      </c>
      <c r="H781" s="9">
        <f t="shared" si="392"/>
        <v>598</v>
      </c>
      <c r="I781" s="9">
        <f t="shared" si="365"/>
        <v>35.17647058823529</v>
      </c>
      <c r="J781" s="9">
        <f t="shared" si="366"/>
        <v>100</v>
      </c>
    </row>
    <row r="782" spans="1:10" ht="25.5">
      <c r="A782" s="8" t="s">
        <v>66</v>
      </c>
      <c r="B782" s="1" t="s">
        <v>513</v>
      </c>
      <c r="C782" s="1" t="s">
        <v>67</v>
      </c>
      <c r="D782" s="9">
        <v>1700</v>
      </c>
      <c r="E782" s="9">
        <f>ведомство!H1200</f>
        <v>1700</v>
      </c>
      <c r="F782" s="9">
        <f>ведомство!I1200</f>
        <v>598</v>
      </c>
      <c r="G782" s="9">
        <f>ведомство!J1200</f>
        <v>598</v>
      </c>
      <c r="H782" s="9">
        <f>ведомство!K1200</f>
        <v>598</v>
      </c>
      <c r="I782" s="9">
        <f t="shared" si="365"/>
        <v>35.17647058823529</v>
      </c>
      <c r="J782" s="9">
        <f t="shared" si="366"/>
        <v>100</v>
      </c>
    </row>
    <row r="783" spans="1:10">
      <c r="A783" s="8" t="s">
        <v>72</v>
      </c>
      <c r="B783" s="1" t="s">
        <v>513</v>
      </c>
      <c r="C783" s="1" t="s">
        <v>73</v>
      </c>
      <c r="D783" s="9">
        <v>3100</v>
      </c>
      <c r="E783" s="9">
        <f>E784</f>
        <v>3100</v>
      </c>
      <c r="F783" s="9">
        <f t="shared" ref="F783:H783" si="393">F784</f>
        <v>1801.4227699999999</v>
      </c>
      <c r="G783" s="9">
        <f t="shared" si="393"/>
        <v>1801.4227699999999</v>
      </c>
      <c r="H783" s="9">
        <f t="shared" si="393"/>
        <v>1801.4227699999999</v>
      </c>
      <c r="I783" s="9">
        <f t="shared" si="365"/>
        <v>58.11041193548386</v>
      </c>
      <c r="J783" s="9">
        <f t="shared" si="366"/>
        <v>100</v>
      </c>
    </row>
    <row r="784" spans="1:10" ht="38.25">
      <c r="A784" s="8" t="s">
        <v>218</v>
      </c>
      <c r="B784" s="1" t="s">
        <v>513</v>
      </c>
      <c r="C784" s="1" t="s">
        <v>219</v>
      </c>
      <c r="D784" s="9">
        <v>3100</v>
      </c>
      <c r="E784" s="9">
        <f>ведомство!H1202</f>
        <v>3100</v>
      </c>
      <c r="F784" s="9">
        <f>ведомство!I1202</f>
        <v>1801.4227699999999</v>
      </c>
      <c r="G784" s="9">
        <f>ведомство!J1202</f>
        <v>1801.4227699999999</v>
      </c>
      <c r="H784" s="9">
        <f>ведомство!K1202</f>
        <v>1801.4227699999999</v>
      </c>
      <c r="I784" s="9">
        <f t="shared" si="365"/>
        <v>58.11041193548386</v>
      </c>
      <c r="J784" s="9">
        <f t="shared" si="366"/>
        <v>100</v>
      </c>
    </row>
    <row r="785" spans="1:10">
      <c r="A785" s="8" t="s">
        <v>514</v>
      </c>
      <c r="B785" s="1" t="s">
        <v>515</v>
      </c>
      <c r="C785" s="1" t="s">
        <v>0</v>
      </c>
      <c r="D785" s="9">
        <v>5000</v>
      </c>
      <c r="E785" s="9">
        <f>E786</f>
        <v>5000</v>
      </c>
      <c r="F785" s="9">
        <f t="shared" ref="F785:H786" si="394">F786</f>
        <v>287</v>
      </c>
      <c r="G785" s="9">
        <f t="shared" si="394"/>
        <v>286.84075999999999</v>
      </c>
      <c r="H785" s="9">
        <f t="shared" si="394"/>
        <v>286.84075999999999</v>
      </c>
      <c r="I785" s="9">
        <f t="shared" si="365"/>
        <v>5.7368151999999997</v>
      </c>
      <c r="J785" s="9">
        <f t="shared" si="366"/>
        <v>99.944515679442503</v>
      </c>
    </row>
    <row r="786" spans="1:10">
      <c r="A786" s="8" t="s">
        <v>72</v>
      </c>
      <c r="B786" s="1" t="s">
        <v>515</v>
      </c>
      <c r="C786" s="1" t="s">
        <v>73</v>
      </c>
      <c r="D786" s="9">
        <v>5000</v>
      </c>
      <c r="E786" s="9">
        <f>E787</f>
        <v>5000</v>
      </c>
      <c r="F786" s="9">
        <f t="shared" si="394"/>
        <v>287</v>
      </c>
      <c r="G786" s="9">
        <f t="shared" si="394"/>
        <v>286.84075999999999</v>
      </c>
      <c r="H786" s="9">
        <f t="shared" si="394"/>
        <v>286.84075999999999</v>
      </c>
      <c r="I786" s="9">
        <f t="shared" si="365"/>
        <v>5.7368151999999997</v>
      </c>
      <c r="J786" s="9">
        <f t="shared" si="366"/>
        <v>99.944515679442503</v>
      </c>
    </row>
    <row r="787" spans="1:10" ht="38.25">
      <c r="A787" s="8" t="s">
        <v>218</v>
      </c>
      <c r="B787" s="1" t="s">
        <v>515</v>
      </c>
      <c r="C787" s="1" t="s">
        <v>219</v>
      </c>
      <c r="D787" s="9">
        <v>5000</v>
      </c>
      <c r="E787" s="9">
        <f>ведомство!H1205</f>
        <v>5000</v>
      </c>
      <c r="F787" s="9">
        <f>ведомство!I1205</f>
        <v>287</v>
      </c>
      <c r="G787" s="9">
        <f>ведомство!J1205</f>
        <v>286.84075999999999</v>
      </c>
      <c r="H787" s="9">
        <f>ведомство!K1205</f>
        <v>286.84075999999999</v>
      </c>
      <c r="I787" s="9">
        <f t="shared" si="365"/>
        <v>5.7368151999999997</v>
      </c>
      <c r="J787" s="9">
        <f t="shared" si="366"/>
        <v>99.944515679442503</v>
      </c>
    </row>
    <row r="788" spans="1:10">
      <c r="A788" s="8" t="s">
        <v>516</v>
      </c>
      <c r="B788" s="1" t="s">
        <v>517</v>
      </c>
      <c r="C788" s="1" t="s">
        <v>0</v>
      </c>
      <c r="D788" s="9">
        <v>10750</v>
      </c>
      <c r="E788" s="9">
        <f>E789</f>
        <v>10750</v>
      </c>
      <c r="F788" s="9">
        <f t="shared" ref="F788:H789" si="395">F789</f>
        <v>5300</v>
      </c>
      <c r="G788" s="9">
        <f t="shared" si="395"/>
        <v>5300</v>
      </c>
      <c r="H788" s="9">
        <f t="shared" si="395"/>
        <v>5300</v>
      </c>
      <c r="I788" s="9">
        <f t="shared" si="365"/>
        <v>49.302325581395351</v>
      </c>
      <c r="J788" s="9">
        <f t="shared" si="366"/>
        <v>100</v>
      </c>
    </row>
    <row r="789" spans="1:10">
      <c r="A789" s="8" t="s">
        <v>72</v>
      </c>
      <c r="B789" s="1" t="s">
        <v>517</v>
      </c>
      <c r="C789" s="1" t="s">
        <v>73</v>
      </c>
      <c r="D789" s="9">
        <v>10750</v>
      </c>
      <c r="E789" s="9">
        <f>E790</f>
        <v>10750</v>
      </c>
      <c r="F789" s="9">
        <f t="shared" si="395"/>
        <v>5300</v>
      </c>
      <c r="G789" s="9">
        <f t="shared" si="395"/>
        <v>5300</v>
      </c>
      <c r="H789" s="9">
        <f t="shared" si="395"/>
        <v>5300</v>
      </c>
      <c r="I789" s="9">
        <f t="shared" si="365"/>
        <v>49.302325581395351</v>
      </c>
      <c r="J789" s="9">
        <f t="shared" si="366"/>
        <v>100</v>
      </c>
    </row>
    <row r="790" spans="1:10" ht="38.25">
      <c r="A790" s="8" t="s">
        <v>218</v>
      </c>
      <c r="B790" s="1" t="s">
        <v>517</v>
      </c>
      <c r="C790" s="1" t="s">
        <v>219</v>
      </c>
      <c r="D790" s="9">
        <v>10750</v>
      </c>
      <c r="E790" s="9">
        <f>ведомство!H1208</f>
        <v>10750</v>
      </c>
      <c r="F790" s="9">
        <f>ведомство!I1208</f>
        <v>5300</v>
      </c>
      <c r="G790" s="9">
        <f>ведомство!J1208</f>
        <v>5300</v>
      </c>
      <c r="H790" s="9">
        <f>ведомство!K1208</f>
        <v>5300</v>
      </c>
      <c r="I790" s="9">
        <f t="shared" si="365"/>
        <v>49.302325581395351</v>
      </c>
      <c r="J790" s="9">
        <f t="shared" si="366"/>
        <v>100</v>
      </c>
    </row>
    <row r="791" spans="1:10" ht="38.25">
      <c r="A791" s="8" t="s">
        <v>518</v>
      </c>
      <c r="B791" s="1" t="s">
        <v>519</v>
      </c>
      <c r="C791" s="1" t="s">
        <v>0</v>
      </c>
      <c r="D791" s="9">
        <v>9500</v>
      </c>
      <c r="E791" s="9">
        <f>E792</f>
        <v>9500</v>
      </c>
      <c r="F791" s="9">
        <f t="shared" ref="F791:H792" si="396">F792</f>
        <v>5759.2066000000004</v>
      </c>
      <c r="G791" s="9">
        <f t="shared" si="396"/>
        <v>5759.2066000000004</v>
      </c>
      <c r="H791" s="9">
        <f t="shared" si="396"/>
        <v>5759.2066000000004</v>
      </c>
      <c r="I791" s="9">
        <f t="shared" si="365"/>
        <v>60.623227368421063</v>
      </c>
      <c r="J791" s="9">
        <f t="shared" si="366"/>
        <v>100</v>
      </c>
    </row>
    <row r="792" spans="1:10">
      <c r="A792" s="8" t="s">
        <v>72</v>
      </c>
      <c r="B792" s="1" t="s">
        <v>519</v>
      </c>
      <c r="C792" s="1" t="s">
        <v>73</v>
      </c>
      <c r="D792" s="9">
        <v>9500</v>
      </c>
      <c r="E792" s="9">
        <f>E793</f>
        <v>9500</v>
      </c>
      <c r="F792" s="9">
        <f t="shared" si="396"/>
        <v>5759.2066000000004</v>
      </c>
      <c r="G792" s="9">
        <f t="shared" si="396"/>
        <v>5759.2066000000004</v>
      </c>
      <c r="H792" s="9">
        <f t="shared" si="396"/>
        <v>5759.2066000000004</v>
      </c>
      <c r="I792" s="9">
        <f t="shared" si="365"/>
        <v>60.623227368421063</v>
      </c>
      <c r="J792" s="9">
        <f t="shared" si="366"/>
        <v>100</v>
      </c>
    </row>
    <row r="793" spans="1:10" ht="38.25">
      <c r="A793" s="8" t="s">
        <v>218</v>
      </c>
      <c r="B793" s="1" t="s">
        <v>519</v>
      </c>
      <c r="C793" s="1" t="s">
        <v>219</v>
      </c>
      <c r="D793" s="9">
        <v>9500</v>
      </c>
      <c r="E793" s="9">
        <f>ведомство!H1211</f>
        <v>9500</v>
      </c>
      <c r="F793" s="9">
        <f>ведомство!I1211</f>
        <v>5759.2066000000004</v>
      </c>
      <c r="G793" s="9">
        <f>ведомство!J1211</f>
        <v>5759.2066000000004</v>
      </c>
      <c r="H793" s="9">
        <f>ведомство!K1211</f>
        <v>5759.2066000000004</v>
      </c>
      <c r="I793" s="9">
        <f t="shared" si="365"/>
        <v>60.623227368421063</v>
      </c>
      <c r="J793" s="9">
        <f t="shared" si="366"/>
        <v>100</v>
      </c>
    </row>
    <row r="794" spans="1:10" ht="25.5">
      <c r="A794" s="8" t="s">
        <v>520</v>
      </c>
      <c r="B794" s="1" t="s">
        <v>521</v>
      </c>
      <c r="C794" s="1" t="s">
        <v>0</v>
      </c>
      <c r="D794" s="9">
        <v>500</v>
      </c>
      <c r="E794" s="9">
        <f>E795</f>
        <v>500</v>
      </c>
      <c r="F794" s="9">
        <f t="shared" ref="F794:H795" si="397">F795</f>
        <v>0</v>
      </c>
      <c r="G794" s="9">
        <f t="shared" si="397"/>
        <v>0</v>
      </c>
      <c r="H794" s="9">
        <f t="shared" si="397"/>
        <v>0</v>
      </c>
      <c r="I794" s="9">
        <f t="shared" si="365"/>
        <v>0</v>
      </c>
      <c r="J794" s="9">
        <v>0</v>
      </c>
    </row>
    <row r="795" spans="1:10" ht="25.5">
      <c r="A795" s="8" t="s">
        <v>64</v>
      </c>
      <c r="B795" s="1" t="s">
        <v>521</v>
      </c>
      <c r="C795" s="1" t="s">
        <v>65</v>
      </c>
      <c r="D795" s="9">
        <v>500</v>
      </c>
      <c r="E795" s="9">
        <f>E796</f>
        <v>500</v>
      </c>
      <c r="F795" s="9">
        <f t="shared" si="397"/>
        <v>0</v>
      </c>
      <c r="G795" s="9">
        <f t="shared" si="397"/>
        <v>0</v>
      </c>
      <c r="H795" s="9">
        <f t="shared" si="397"/>
        <v>0</v>
      </c>
      <c r="I795" s="9">
        <f t="shared" si="365"/>
        <v>0</v>
      </c>
      <c r="J795" s="9">
        <v>0</v>
      </c>
    </row>
    <row r="796" spans="1:10" ht="25.5">
      <c r="A796" s="8" t="s">
        <v>66</v>
      </c>
      <c r="B796" s="1" t="s">
        <v>521</v>
      </c>
      <c r="C796" s="1" t="s">
        <v>67</v>
      </c>
      <c r="D796" s="9">
        <v>500</v>
      </c>
      <c r="E796" s="9">
        <f>ведомство!H1214</f>
        <v>500</v>
      </c>
      <c r="F796" s="9">
        <f>ведомство!I1214</f>
        <v>0</v>
      </c>
      <c r="G796" s="9">
        <f>ведомство!J1214</f>
        <v>0</v>
      </c>
      <c r="H796" s="9">
        <f>ведомство!K1214</f>
        <v>0</v>
      </c>
      <c r="I796" s="9">
        <f t="shared" si="365"/>
        <v>0</v>
      </c>
      <c r="J796" s="9">
        <v>0</v>
      </c>
    </row>
    <row r="797" spans="1:10" ht="25.5">
      <c r="A797" s="8" t="s">
        <v>522</v>
      </c>
      <c r="B797" s="1" t="s">
        <v>523</v>
      </c>
      <c r="C797" s="1" t="s">
        <v>0</v>
      </c>
      <c r="D797" s="9">
        <v>16000</v>
      </c>
      <c r="E797" s="9">
        <f>E798</f>
        <v>16000</v>
      </c>
      <c r="F797" s="9">
        <f t="shared" ref="F797:H798" si="398">F798</f>
        <v>0</v>
      </c>
      <c r="G797" s="9">
        <f t="shared" si="398"/>
        <v>0</v>
      </c>
      <c r="H797" s="9">
        <f t="shared" si="398"/>
        <v>0</v>
      </c>
      <c r="I797" s="9">
        <f t="shared" si="365"/>
        <v>0</v>
      </c>
      <c r="J797" s="9">
        <v>0</v>
      </c>
    </row>
    <row r="798" spans="1:10">
      <c r="A798" s="8" t="s">
        <v>72</v>
      </c>
      <c r="B798" s="1" t="s">
        <v>523</v>
      </c>
      <c r="C798" s="1" t="s">
        <v>73</v>
      </c>
      <c r="D798" s="9">
        <v>16000</v>
      </c>
      <c r="E798" s="9">
        <f>E799</f>
        <v>16000</v>
      </c>
      <c r="F798" s="9">
        <f t="shared" si="398"/>
        <v>0</v>
      </c>
      <c r="G798" s="9">
        <f t="shared" si="398"/>
        <v>0</v>
      </c>
      <c r="H798" s="9">
        <f t="shared" si="398"/>
        <v>0</v>
      </c>
      <c r="I798" s="9">
        <f t="shared" si="365"/>
        <v>0</v>
      </c>
      <c r="J798" s="9">
        <v>0</v>
      </c>
    </row>
    <row r="799" spans="1:10" ht="38.25">
      <c r="A799" s="8" t="s">
        <v>218</v>
      </c>
      <c r="B799" s="1" t="s">
        <v>523</v>
      </c>
      <c r="C799" s="1" t="s">
        <v>219</v>
      </c>
      <c r="D799" s="9">
        <v>16000</v>
      </c>
      <c r="E799" s="9">
        <f>ведомство!H1217</f>
        <v>16000</v>
      </c>
      <c r="F799" s="9">
        <f>ведомство!I1217</f>
        <v>0</v>
      </c>
      <c r="G799" s="9">
        <f>ведомство!J1217</f>
        <v>0</v>
      </c>
      <c r="H799" s="9">
        <f>ведомство!K1217</f>
        <v>0</v>
      </c>
      <c r="I799" s="9">
        <f t="shared" si="365"/>
        <v>0</v>
      </c>
      <c r="J799" s="9">
        <v>0</v>
      </c>
    </row>
    <row r="800" spans="1:10" ht="25.5">
      <c r="A800" s="8" t="s">
        <v>524</v>
      </c>
      <c r="B800" s="1" t="s">
        <v>525</v>
      </c>
      <c r="C800" s="1" t="s">
        <v>0</v>
      </c>
      <c r="D800" s="9">
        <v>1000</v>
      </c>
      <c r="E800" s="9">
        <f>E801</f>
        <v>816.08</v>
      </c>
      <c r="F800" s="9">
        <f t="shared" ref="F800:H801" si="399">F801</f>
        <v>0</v>
      </c>
      <c r="G800" s="9">
        <f t="shared" si="399"/>
        <v>0</v>
      </c>
      <c r="H800" s="9">
        <f t="shared" si="399"/>
        <v>0</v>
      </c>
      <c r="I800" s="9">
        <f t="shared" si="365"/>
        <v>0</v>
      </c>
      <c r="J800" s="9">
        <v>0</v>
      </c>
    </row>
    <row r="801" spans="1:10">
      <c r="A801" s="8" t="s">
        <v>72</v>
      </c>
      <c r="B801" s="1" t="s">
        <v>525</v>
      </c>
      <c r="C801" s="1" t="s">
        <v>73</v>
      </c>
      <c r="D801" s="9">
        <v>1000</v>
      </c>
      <c r="E801" s="9">
        <f>E802</f>
        <v>816.08</v>
      </c>
      <c r="F801" s="9">
        <f t="shared" si="399"/>
        <v>0</v>
      </c>
      <c r="G801" s="9">
        <f t="shared" si="399"/>
        <v>0</v>
      </c>
      <c r="H801" s="9">
        <f t="shared" si="399"/>
        <v>0</v>
      </c>
      <c r="I801" s="9">
        <f t="shared" si="365"/>
        <v>0</v>
      </c>
      <c r="J801" s="9">
        <v>0</v>
      </c>
    </row>
    <row r="802" spans="1:10" ht="38.25">
      <c r="A802" s="8" t="s">
        <v>218</v>
      </c>
      <c r="B802" s="1" t="s">
        <v>525</v>
      </c>
      <c r="C802" s="1" t="s">
        <v>219</v>
      </c>
      <c r="D802" s="9">
        <v>1000</v>
      </c>
      <c r="E802" s="9">
        <f>ведомство!H1220</f>
        <v>816.08</v>
      </c>
      <c r="F802" s="9">
        <f>ведомство!I1220</f>
        <v>0</v>
      </c>
      <c r="G802" s="9">
        <f>ведомство!J1220</f>
        <v>0</v>
      </c>
      <c r="H802" s="9">
        <f>ведомство!K1220</f>
        <v>0</v>
      </c>
      <c r="I802" s="9">
        <f t="shared" si="365"/>
        <v>0</v>
      </c>
      <c r="J802" s="9">
        <v>0</v>
      </c>
    </row>
    <row r="803" spans="1:10">
      <c r="A803" s="8" t="s">
        <v>1100</v>
      </c>
      <c r="B803" s="1" t="s">
        <v>1101</v>
      </c>
      <c r="C803" s="1" t="s">
        <v>0</v>
      </c>
      <c r="D803" s="9">
        <v>4000</v>
      </c>
      <c r="E803" s="9">
        <f>E804</f>
        <v>4000</v>
      </c>
      <c r="F803" s="9">
        <f t="shared" ref="F803:H804" si="400">F804</f>
        <v>1640</v>
      </c>
      <c r="G803" s="9">
        <f t="shared" si="400"/>
        <v>1380</v>
      </c>
      <c r="H803" s="9">
        <f t="shared" si="400"/>
        <v>1344.7731699999999</v>
      </c>
      <c r="I803" s="9">
        <f t="shared" si="365"/>
        <v>33.619329249999993</v>
      </c>
      <c r="J803" s="9">
        <f t="shared" si="366"/>
        <v>81.998364024390241</v>
      </c>
    </row>
    <row r="804" spans="1:10" ht="25.5">
      <c r="A804" s="8" t="s">
        <v>64</v>
      </c>
      <c r="B804" s="1" t="s">
        <v>1101</v>
      </c>
      <c r="C804" s="1" t="s">
        <v>65</v>
      </c>
      <c r="D804" s="9">
        <v>4000</v>
      </c>
      <c r="E804" s="9">
        <f>E805</f>
        <v>4000</v>
      </c>
      <c r="F804" s="9">
        <f t="shared" si="400"/>
        <v>1640</v>
      </c>
      <c r="G804" s="9">
        <f t="shared" si="400"/>
        <v>1380</v>
      </c>
      <c r="H804" s="9">
        <f t="shared" si="400"/>
        <v>1344.7731699999999</v>
      </c>
      <c r="I804" s="9">
        <f t="shared" si="365"/>
        <v>33.619329249999993</v>
      </c>
      <c r="J804" s="9">
        <f t="shared" si="366"/>
        <v>81.998364024390241</v>
      </c>
    </row>
    <row r="805" spans="1:10" ht="25.5">
      <c r="A805" s="8" t="s">
        <v>66</v>
      </c>
      <c r="B805" s="1" t="s">
        <v>1101</v>
      </c>
      <c r="C805" s="1" t="s">
        <v>67</v>
      </c>
      <c r="D805" s="9">
        <v>4000</v>
      </c>
      <c r="E805" s="9">
        <f>ведомство!H2722</f>
        <v>4000</v>
      </c>
      <c r="F805" s="9">
        <f>ведомство!I2722</f>
        <v>1640</v>
      </c>
      <c r="G805" s="9">
        <f>ведомство!J2722</f>
        <v>1380</v>
      </c>
      <c r="H805" s="9">
        <f>ведомство!K2722</f>
        <v>1344.7731699999999</v>
      </c>
      <c r="I805" s="9">
        <f t="shared" si="365"/>
        <v>33.619329249999993</v>
      </c>
      <c r="J805" s="9">
        <f t="shared" si="366"/>
        <v>81.998364024390241</v>
      </c>
    </row>
    <row r="806" spans="1:10" ht="25.5">
      <c r="A806" s="8" t="s">
        <v>190</v>
      </c>
      <c r="B806" s="1" t="s">
        <v>191</v>
      </c>
      <c r="C806" s="1" t="s">
        <v>0</v>
      </c>
      <c r="D806" s="9">
        <v>20000</v>
      </c>
      <c r="E806" s="9">
        <f>E807</f>
        <v>20000</v>
      </c>
      <c r="F806" s="9">
        <f t="shared" ref="F806:H807" si="401">F807</f>
        <v>0</v>
      </c>
      <c r="G806" s="9">
        <f t="shared" si="401"/>
        <v>0</v>
      </c>
      <c r="H806" s="9">
        <f t="shared" si="401"/>
        <v>0</v>
      </c>
      <c r="I806" s="9">
        <f t="shared" si="365"/>
        <v>0</v>
      </c>
      <c r="J806" s="9">
        <v>0</v>
      </c>
    </row>
    <row r="807" spans="1:10">
      <c r="A807" s="8" t="s">
        <v>26</v>
      </c>
      <c r="B807" s="1" t="s">
        <v>191</v>
      </c>
      <c r="C807" s="1" t="s">
        <v>27</v>
      </c>
      <c r="D807" s="9">
        <v>20000</v>
      </c>
      <c r="E807" s="9">
        <f>E808</f>
        <v>20000</v>
      </c>
      <c r="F807" s="9">
        <f t="shared" si="401"/>
        <v>0</v>
      </c>
      <c r="G807" s="9">
        <f t="shared" si="401"/>
        <v>0</v>
      </c>
      <c r="H807" s="9">
        <f t="shared" si="401"/>
        <v>0</v>
      </c>
      <c r="I807" s="9">
        <f t="shared" si="365"/>
        <v>0</v>
      </c>
      <c r="J807" s="9">
        <v>0</v>
      </c>
    </row>
    <row r="808" spans="1:10">
      <c r="A808" s="8" t="s">
        <v>56</v>
      </c>
      <c r="B808" s="1" t="s">
        <v>191</v>
      </c>
      <c r="C808" s="1" t="s">
        <v>57</v>
      </c>
      <c r="D808" s="9">
        <v>20000</v>
      </c>
      <c r="E808" s="9">
        <f>ведомство!H244</f>
        <v>20000</v>
      </c>
      <c r="F808" s="9">
        <f>ведомство!I244</f>
        <v>0</v>
      </c>
      <c r="G808" s="9">
        <f>ведомство!J244</f>
        <v>0</v>
      </c>
      <c r="H808" s="9">
        <f>ведомство!K244</f>
        <v>0</v>
      </c>
      <c r="I808" s="9">
        <f t="shared" si="365"/>
        <v>0</v>
      </c>
      <c r="J808" s="9">
        <v>0</v>
      </c>
    </row>
    <row r="809" spans="1:10" ht="25.5">
      <c r="A809" s="8" t="s">
        <v>526</v>
      </c>
      <c r="B809" s="1" t="s">
        <v>527</v>
      </c>
      <c r="C809" s="1" t="s">
        <v>0</v>
      </c>
      <c r="D809" s="9">
        <v>9500</v>
      </c>
      <c r="E809" s="9">
        <f>E810</f>
        <v>9500</v>
      </c>
      <c r="F809" s="9">
        <f t="shared" ref="F809:H810" si="402">F810</f>
        <v>0</v>
      </c>
      <c r="G809" s="9">
        <f t="shared" si="402"/>
        <v>0</v>
      </c>
      <c r="H809" s="9">
        <f t="shared" si="402"/>
        <v>0</v>
      </c>
      <c r="I809" s="9">
        <f t="shared" si="365"/>
        <v>0</v>
      </c>
      <c r="J809" s="9">
        <v>0</v>
      </c>
    </row>
    <row r="810" spans="1:10">
      <c r="A810" s="8" t="s">
        <v>72</v>
      </c>
      <c r="B810" s="1" t="s">
        <v>527</v>
      </c>
      <c r="C810" s="1" t="s">
        <v>73</v>
      </c>
      <c r="D810" s="9">
        <v>9500</v>
      </c>
      <c r="E810" s="9">
        <f>E811</f>
        <v>9500</v>
      </c>
      <c r="F810" s="9">
        <f t="shared" si="402"/>
        <v>0</v>
      </c>
      <c r="G810" s="9">
        <f t="shared" si="402"/>
        <v>0</v>
      </c>
      <c r="H810" s="9">
        <f t="shared" si="402"/>
        <v>0</v>
      </c>
      <c r="I810" s="9">
        <f t="shared" si="365"/>
        <v>0</v>
      </c>
      <c r="J810" s="9">
        <v>0</v>
      </c>
    </row>
    <row r="811" spans="1:10" ht="38.25">
      <c r="A811" s="8" t="s">
        <v>218</v>
      </c>
      <c r="B811" s="1" t="s">
        <v>527</v>
      </c>
      <c r="C811" s="1" t="s">
        <v>219</v>
      </c>
      <c r="D811" s="9">
        <v>9500</v>
      </c>
      <c r="E811" s="9">
        <f>ведомство!H1223</f>
        <v>9500</v>
      </c>
      <c r="F811" s="9">
        <f>ведомство!I1223</f>
        <v>0</v>
      </c>
      <c r="G811" s="9">
        <f>ведомство!J1223</f>
        <v>0</v>
      </c>
      <c r="H811" s="9">
        <f>ведомство!K1223</f>
        <v>0</v>
      </c>
      <c r="I811" s="9">
        <f t="shared" si="365"/>
        <v>0</v>
      </c>
      <c r="J811" s="9">
        <v>0</v>
      </c>
    </row>
    <row r="812" spans="1:10" ht="38.25">
      <c r="A812" s="8" t="s">
        <v>528</v>
      </c>
      <c r="B812" s="1" t="s">
        <v>529</v>
      </c>
      <c r="C812" s="1" t="s">
        <v>0</v>
      </c>
      <c r="D812" s="9">
        <v>5000</v>
      </c>
      <c r="E812" s="9">
        <f>E813</f>
        <v>5000</v>
      </c>
      <c r="F812" s="9">
        <f t="shared" ref="F812:H813" si="403">F813</f>
        <v>3079.8009999999999</v>
      </c>
      <c r="G812" s="9">
        <f t="shared" si="403"/>
        <v>3079.8009999999999</v>
      </c>
      <c r="H812" s="9">
        <f t="shared" si="403"/>
        <v>3079.8009999999999</v>
      </c>
      <c r="I812" s="9">
        <f t="shared" si="365"/>
        <v>61.596019999999996</v>
      </c>
      <c r="J812" s="9">
        <f t="shared" si="366"/>
        <v>100</v>
      </c>
    </row>
    <row r="813" spans="1:10">
      <c r="A813" s="8" t="s">
        <v>72</v>
      </c>
      <c r="B813" s="1" t="s">
        <v>529</v>
      </c>
      <c r="C813" s="1" t="s">
        <v>73</v>
      </c>
      <c r="D813" s="9">
        <v>5000</v>
      </c>
      <c r="E813" s="9">
        <f>E814</f>
        <v>5000</v>
      </c>
      <c r="F813" s="9">
        <f t="shared" si="403"/>
        <v>3079.8009999999999</v>
      </c>
      <c r="G813" s="9">
        <f t="shared" si="403"/>
        <v>3079.8009999999999</v>
      </c>
      <c r="H813" s="9">
        <f t="shared" si="403"/>
        <v>3079.8009999999999</v>
      </c>
      <c r="I813" s="9">
        <f t="shared" si="365"/>
        <v>61.596019999999996</v>
      </c>
      <c r="J813" s="9">
        <f t="shared" si="366"/>
        <v>100</v>
      </c>
    </row>
    <row r="814" spans="1:10" ht="38.25">
      <c r="A814" s="8" t="s">
        <v>218</v>
      </c>
      <c r="B814" s="1" t="s">
        <v>529</v>
      </c>
      <c r="C814" s="1" t="s">
        <v>219</v>
      </c>
      <c r="D814" s="9">
        <v>5000</v>
      </c>
      <c r="E814" s="9">
        <f>ведомство!H1226</f>
        <v>5000</v>
      </c>
      <c r="F814" s="9">
        <f>ведомство!I1226</f>
        <v>3079.8009999999999</v>
      </c>
      <c r="G814" s="9">
        <f>ведомство!J1226</f>
        <v>3079.8009999999999</v>
      </c>
      <c r="H814" s="9">
        <f>ведомство!K1226</f>
        <v>3079.8009999999999</v>
      </c>
      <c r="I814" s="9">
        <f t="shared" si="365"/>
        <v>61.596019999999996</v>
      </c>
      <c r="J814" s="9">
        <f t="shared" si="366"/>
        <v>100</v>
      </c>
    </row>
    <row r="815" spans="1:10" ht="38.25">
      <c r="A815" s="8" t="s">
        <v>530</v>
      </c>
      <c r="B815" s="1" t="s">
        <v>531</v>
      </c>
      <c r="C815" s="1" t="s">
        <v>0</v>
      </c>
      <c r="D815" s="9">
        <v>600</v>
      </c>
      <c r="E815" s="9">
        <f>E816</f>
        <v>600</v>
      </c>
      <c r="F815" s="9">
        <f t="shared" ref="F815:H816" si="404">F816</f>
        <v>249.77799999999999</v>
      </c>
      <c r="G815" s="9">
        <f t="shared" si="404"/>
        <v>249.77799999999999</v>
      </c>
      <c r="H815" s="9">
        <f t="shared" si="404"/>
        <v>249.77799999999999</v>
      </c>
      <c r="I815" s="9">
        <f t="shared" si="365"/>
        <v>41.629666666666665</v>
      </c>
      <c r="J815" s="9">
        <f t="shared" si="366"/>
        <v>100</v>
      </c>
    </row>
    <row r="816" spans="1:10">
      <c r="A816" s="8" t="s">
        <v>72</v>
      </c>
      <c r="B816" s="1" t="s">
        <v>531</v>
      </c>
      <c r="C816" s="1" t="s">
        <v>73</v>
      </c>
      <c r="D816" s="9">
        <v>600</v>
      </c>
      <c r="E816" s="9">
        <f>E817</f>
        <v>600</v>
      </c>
      <c r="F816" s="9">
        <f t="shared" si="404"/>
        <v>249.77799999999999</v>
      </c>
      <c r="G816" s="9">
        <f t="shared" si="404"/>
        <v>249.77799999999999</v>
      </c>
      <c r="H816" s="9">
        <f t="shared" si="404"/>
        <v>249.77799999999999</v>
      </c>
      <c r="I816" s="9">
        <f t="shared" si="365"/>
        <v>41.629666666666665</v>
      </c>
      <c r="J816" s="9">
        <f t="shared" si="366"/>
        <v>100</v>
      </c>
    </row>
    <row r="817" spans="1:10" ht="38.25">
      <c r="A817" s="8" t="s">
        <v>218</v>
      </c>
      <c r="B817" s="1" t="s">
        <v>531</v>
      </c>
      <c r="C817" s="1" t="s">
        <v>219</v>
      </c>
      <c r="D817" s="9">
        <v>600</v>
      </c>
      <c r="E817" s="9">
        <f>ведомство!H1229</f>
        <v>600</v>
      </c>
      <c r="F817" s="9">
        <f>ведомство!I1229</f>
        <v>249.77799999999999</v>
      </c>
      <c r="G817" s="9">
        <f>ведомство!J1229</f>
        <v>249.77799999999999</v>
      </c>
      <c r="H817" s="9">
        <f>ведомство!K1229</f>
        <v>249.77799999999999</v>
      </c>
      <c r="I817" s="9">
        <f t="shared" si="365"/>
        <v>41.629666666666665</v>
      </c>
      <c r="J817" s="9">
        <f t="shared" si="366"/>
        <v>100</v>
      </c>
    </row>
    <row r="818" spans="1:10" ht="51">
      <c r="A818" s="8" t="s">
        <v>532</v>
      </c>
      <c r="B818" s="1" t="s">
        <v>533</v>
      </c>
      <c r="C818" s="1" t="s">
        <v>0</v>
      </c>
      <c r="D818" s="9">
        <v>4100</v>
      </c>
      <c r="E818" s="9">
        <f>E819</f>
        <v>4100</v>
      </c>
      <c r="F818" s="9">
        <f t="shared" ref="F818:H819" si="405">F819</f>
        <v>1474.0229999999999</v>
      </c>
      <c r="G818" s="9">
        <f t="shared" si="405"/>
        <v>1474.0229999999999</v>
      </c>
      <c r="H818" s="9">
        <f t="shared" si="405"/>
        <v>1474.0229999999999</v>
      </c>
      <c r="I818" s="9">
        <f t="shared" si="365"/>
        <v>35.951780487804875</v>
      </c>
      <c r="J818" s="9">
        <f t="shared" si="366"/>
        <v>100</v>
      </c>
    </row>
    <row r="819" spans="1:10">
      <c r="A819" s="8" t="s">
        <v>72</v>
      </c>
      <c r="B819" s="1" t="s">
        <v>533</v>
      </c>
      <c r="C819" s="1" t="s">
        <v>73</v>
      </c>
      <c r="D819" s="9">
        <v>4100</v>
      </c>
      <c r="E819" s="9">
        <f>E820</f>
        <v>4100</v>
      </c>
      <c r="F819" s="9">
        <f t="shared" si="405"/>
        <v>1474.0229999999999</v>
      </c>
      <c r="G819" s="9">
        <f t="shared" si="405"/>
        <v>1474.0229999999999</v>
      </c>
      <c r="H819" s="9">
        <f t="shared" si="405"/>
        <v>1474.0229999999999</v>
      </c>
      <c r="I819" s="9">
        <f t="shared" si="365"/>
        <v>35.951780487804875</v>
      </c>
      <c r="J819" s="9">
        <f t="shared" si="366"/>
        <v>100</v>
      </c>
    </row>
    <row r="820" spans="1:10" ht="38.25">
      <c r="A820" s="8" t="s">
        <v>218</v>
      </c>
      <c r="B820" s="1" t="s">
        <v>533</v>
      </c>
      <c r="C820" s="1" t="s">
        <v>219</v>
      </c>
      <c r="D820" s="9">
        <v>4100</v>
      </c>
      <c r="E820" s="9">
        <f>ведомство!H1232</f>
        <v>4100</v>
      </c>
      <c r="F820" s="9">
        <f>ведомство!I1232</f>
        <v>1474.0229999999999</v>
      </c>
      <c r="G820" s="9">
        <f>ведомство!J1232</f>
        <v>1474.0229999999999</v>
      </c>
      <c r="H820" s="9">
        <f>ведомство!K1232</f>
        <v>1474.0229999999999</v>
      </c>
      <c r="I820" s="9">
        <f t="shared" si="365"/>
        <v>35.951780487804875</v>
      </c>
      <c r="J820" s="9">
        <f t="shared" si="366"/>
        <v>100</v>
      </c>
    </row>
    <row r="821" spans="1:10" ht="51">
      <c r="A821" s="8" t="s">
        <v>534</v>
      </c>
      <c r="B821" s="1" t="s">
        <v>535</v>
      </c>
      <c r="C821" s="1" t="s">
        <v>0</v>
      </c>
      <c r="D821" s="9">
        <v>50</v>
      </c>
      <c r="E821" s="9">
        <f>E822</f>
        <v>50</v>
      </c>
      <c r="F821" s="9">
        <f t="shared" ref="F821:H822" si="406">F822</f>
        <v>0</v>
      </c>
      <c r="G821" s="9">
        <f t="shared" si="406"/>
        <v>0</v>
      </c>
      <c r="H821" s="9">
        <f t="shared" si="406"/>
        <v>0</v>
      </c>
      <c r="I821" s="9">
        <f t="shared" si="365"/>
        <v>0</v>
      </c>
      <c r="J821" s="9">
        <v>0</v>
      </c>
    </row>
    <row r="822" spans="1:10">
      <c r="A822" s="8" t="s">
        <v>72</v>
      </c>
      <c r="B822" s="1" t="s">
        <v>535</v>
      </c>
      <c r="C822" s="1" t="s">
        <v>73</v>
      </c>
      <c r="D822" s="9">
        <v>50</v>
      </c>
      <c r="E822" s="9">
        <f>E823</f>
        <v>50</v>
      </c>
      <c r="F822" s="9">
        <f t="shared" si="406"/>
        <v>0</v>
      </c>
      <c r="G822" s="9">
        <f t="shared" si="406"/>
        <v>0</v>
      </c>
      <c r="H822" s="9">
        <f t="shared" si="406"/>
        <v>0</v>
      </c>
      <c r="I822" s="9">
        <f t="shared" si="365"/>
        <v>0</v>
      </c>
      <c r="J822" s="9">
        <v>0</v>
      </c>
    </row>
    <row r="823" spans="1:10" ht="38.25">
      <c r="A823" s="8" t="s">
        <v>218</v>
      </c>
      <c r="B823" s="1" t="s">
        <v>535</v>
      </c>
      <c r="C823" s="1" t="s">
        <v>219</v>
      </c>
      <c r="D823" s="9">
        <v>50</v>
      </c>
      <c r="E823" s="9">
        <f>ведомство!H1235</f>
        <v>50</v>
      </c>
      <c r="F823" s="9">
        <f>ведомство!I1235</f>
        <v>0</v>
      </c>
      <c r="G823" s="9">
        <f>ведомство!J1235</f>
        <v>0</v>
      </c>
      <c r="H823" s="9">
        <f>ведомство!K1235</f>
        <v>0</v>
      </c>
      <c r="I823" s="9">
        <f t="shared" si="365"/>
        <v>0</v>
      </c>
      <c r="J823" s="9">
        <v>0</v>
      </c>
    </row>
    <row r="824" spans="1:10" ht="38.25">
      <c r="A824" s="8" t="s">
        <v>536</v>
      </c>
      <c r="B824" s="1" t="s">
        <v>537</v>
      </c>
      <c r="C824" s="1" t="s">
        <v>0</v>
      </c>
      <c r="D824" s="9">
        <v>7000</v>
      </c>
      <c r="E824" s="9">
        <f>E825</f>
        <v>7000</v>
      </c>
      <c r="F824" s="9">
        <f t="shared" ref="F824:H825" si="407">F825</f>
        <v>4281.5370000000003</v>
      </c>
      <c r="G824" s="9">
        <f t="shared" si="407"/>
        <v>4281.5370000000003</v>
      </c>
      <c r="H824" s="9">
        <f t="shared" si="407"/>
        <v>4281.5370000000003</v>
      </c>
      <c r="I824" s="9">
        <f t="shared" si="365"/>
        <v>61.164814285714286</v>
      </c>
      <c r="J824" s="9">
        <f t="shared" si="366"/>
        <v>100</v>
      </c>
    </row>
    <row r="825" spans="1:10">
      <c r="A825" s="8" t="s">
        <v>72</v>
      </c>
      <c r="B825" s="1" t="s">
        <v>537</v>
      </c>
      <c r="C825" s="1" t="s">
        <v>73</v>
      </c>
      <c r="D825" s="9">
        <v>7000</v>
      </c>
      <c r="E825" s="9">
        <f>E826</f>
        <v>7000</v>
      </c>
      <c r="F825" s="9">
        <f t="shared" si="407"/>
        <v>4281.5370000000003</v>
      </c>
      <c r="G825" s="9">
        <f t="shared" si="407"/>
        <v>4281.5370000000003</v>
      </c>
      <c r="H825" s="9">
        <f t="shared" si="407"/>
        <v>4281.5370000000003</v>
      </c>
      <c r="I825" s="9">
        <f t="shared" si="365"/>
        <v>61.164814285714286</v>
      </c>
      <c r="J825" s="9">
        <f t="shared" si="366"/>
        <v>100</v>
      </c>
    </row>
    <row r="826" spans="1:10" ht="38.25">
      <c r="A826" s="8" t="s">
        <v>218</v>
      </c>
      <c r="B826" s="1" t="s">
        <v>537</v>
      </c>
      <c r="C826" s="1" t="s">
        <v>219</v>
      </c>
      <c r="D826" s="9">
        <v>7000</v>
      </c>
      <c r="E826" s="9">
        <f>ведомство!H1238</f>
        <v>7000</v>
      </c>
      <c r="F826" s="9">
        <f>ведомство!I1238</f>
        <v>4281.5370000000003</v>
      </c>
      <c r="G826" s="9">
        <f>ведомство!J1238</f>
        <v>4281.5370000000003</v>
      </c>
      <c r="H826" s="9">
        <f>ведомство!K1238</f>
        <v>4281.5370000000003</v>
      </c>
      <c r="I826" s="9">
        <f t="shared" si="365"/>
        <v>61.164814285714286</v>
      </c>
      <c r="J826" s="9">
        <f t="shared" si="366"/>
        <v>100</v>
      </c>
    </row>
    <row r="827" spans="1:10">
      <c r="A827" s="8" t="s">
        <v>538</v>
      </c>
      <c r="B827" s="1" t="s">
        <v>539</v>
      </c>
      <c r="C827" s="1" t="s">
        <v>0</v>
      </c>
      <c r="D827" s="9">
        <v>865</v>
      </c>
      <c r="E827" s="9">
        <f>E828</f>
        <v>865</v>
      </c>
      <c r="F827" s="9">
        <f t="shared" ref="F827:H828" si="408">F828</f>
        <v>722.38419999999996</v>
      </c>
      <c r="G827" s="9">
        <f t="shared" si="408"/>
        <v>209.4</v>
      </c>
      <c r="H827" s="9">
        <f t="shared" si="408"/>
        <v>209.4</v>
      </c>
      <c r="I827" s="9">
        <f t="shared" ref="I827:I890" si="409">H827/E827*100</f>
        <v>24.208092485549134</v>
      </c>
      <c r="J827" s="9">
        <f t="shared" ref="J827:J890" si="410">H827/F827*100</f>
        <v>28.987344961310065</v>
      </c>
    </row>
    <row r="828" spans="1:10">
      <c r="A828" s="8" t="s">
        <v>72</v>
      </c>
      <c r="B828" s="1" t="s">
        <v>539</v>
      </c>
      <c r="C828" s="1" t="s">
        <v>73</v>
      </c>
      <c r="D828" s="9">
        <v>865</v>
      </c>
      <c r="E828" s="9">
        <f>E829</f>
        <v>865</v>
      </c>
      <c r="F828" s="9">
        <f t="shared" si="408"/>
        <v>722.38419999999996</v>
      </c>
      <c r="G828" s="9">
        <f t="shared" si="408"/>
        <v>209.4</v>
      </c>
      <c r="H828" s="9">
        <f t="shared" si="408"/>
        <v>209.4</v>
      </c>
      <c r="I828" s="9">
        <f t="shared" si="409"/>
        <v>24.208092485549134</v>
      </c>
      <c r="J828" s="9">
        <f t="shared" si="410"/>
        <v>28.987344961310065</v>
      </c>
    </row>
    <row r="829" spans="1:10" ht="38.25">
      <c r="A829" s="8" t="s">
        <v>218</v>
      </c>
      <c r="B829" s="1" t="s">
        <v>539</v>
      </c>
      <c r="C829" s="1" t="s">
        <v>219</v>
      </c>
      <c r="D829" s="9">
        <v>865</v>
      </c>
      <c r="E829" s="9">
        <f>ведомство!H1241</f>
        <v>865</v>
      </c>
      <c r="F829" s="9">
        <f>ведомство!I1241</f>
        <v>722.38419999999996</v>
      </c>
      <c r="G829" s="9">
        <f>ведомство!J1241</f>
        <v>209.4</v>
      </c>
      <c r="H829" s="9">
        <f>ведомство!K1241</f>
        <v>209.4</v>
      </c>
      <c r="I829" s="9">
        <f t="shared" si="409"/>
        <v>24.208092485549134</v>
      </c>
      <c r="J829" s="9">
        <f t="shared" si="410"/>
        <v>28.987344961310065</v>
      </c>
    </row>
    <row r="830" spans="1:10" ht="25.5">
      <c r="A830" s="8" t="s">
        <v>540</v>
      </c>
      <c r="B830" s="1" t="s">
        <v>541</v>
      </c>
      <c r="C830" s="1" t="s">
        <v>0</v>
      </c>
      <c r="D830" s="9">
        <v>260000</v>
      </c>
      <c r="E830" s="9">
        <f>E831</f>
        <v>260000</v>
      </c>
      <c r="F830" s="9">
        <f t="shared" ref="F830:H831" si="411">F831</f>
        <v>230112.08100000001</v>
      </c>
      <c r="G830" s="9">
        <f t="shared" si="411"/>
        <v>230104.46520000001</v>
      </c>
      <c r="H830" s="9">
        <f t="shared" si="411"/>
        <v>230104.46520000001</v>
      </c>
      <c r="I830" s="9">
        <f t="shared" si="409"/>
        <v>88.50171738461539</v>
      </c>
      <c r="J830" s="9">
        <f t="shared" si="410"/>
        <v>99.996690395407796</v>
      </c>
    </row>
    <row r="831" spans="1:10">
      <c r="A831" s="8" t="s">
        <v>72</v>
      </c>
      <c r="B831" s="1" t="s">
        <v>541</v>
      </c>
      <c r="C831" s="1" t="s">
        <v>73</v>
      </c>
      <c r="D831" s="9">
        <v>260000</v>
      </c>
      <c r="E831" s="9">
        <f>E832</f>
        <v>260000</v>
      </c>
      <c r="F831" s="9">
        <f t="shared" si="411"/>
        <v>230112.08100000001</v>
      </c>
      <c r="G831" s="9">
        <f t="shared" si="411"/>
        <v>230104.46520000001</v>
      </c>
      <c r="H831" s="9">
        <f t="shared" si="411"/>
        <v>230104.46520000001</v>
      </c>
      <c r="I831" s="9">
        <f t="shared" si="409"/>
        <v>88.50171738461539</v>
      </c>
      <c r="J831" s="9">
        <f t="shared" si="410"/>
        <v>99.996690395407796</v>
      </c>
    </row>
    <row r="832" spans="1:10" ht="38.25">
      <c r="A832" s="8" t="s">
        <v>218</v>
      </c>
      <c r="B832" s="1" t="s">
        <v>541</v>
      </c>
      <c r="C832" s="1" t="s">
        <v>219</v>
      </c>
      <c r="D832" s="9">
        <v>260000</v>
      </c>
      <c r="E832" s="9">
        <f>ведомство!H1244</f>
        <v>260000</v>
      </c>
      <c r="F832" s="9">
        <f>ведомство!I1244</f>
        <v>230112.08100000001</v>
      </c>
      <c r="G832" s="9">
        <f>ведомство!J1244</f>
        <v>230104.46520000001</v>
      </c>
      <c r="H832" s="9">
        <f>ведомство!K1244</f>
        <v>230104.46520000001</v>
      </c>
      <c r="I832" s="9">
        <f t="shared" si="409"/>
        <v>88.50171738461539</v>
      </c>
      <c r="J832" s="9">
        <f t="shared" si="410"/>
        <v>99.996690395407796</v>
      </c>
    </row>
    <row r="833" spans="1:10" ht="25.5">
      <c r="A833" s="8" t="s">
        <v>542</v>
      </c>
      <c r="B833" s="1" t="s">
        <v>543</v>
      </c>
      <c r="C833" s="1" t="s">
        <v>0</v>
      </c>
      <c r="D833" s="9">
        <v>270</v>
      </c>
      <c r="E833" s="9">
        <f>E834</f>
        <v>270</v>
      </c>
      <c r="F833" s="9">
        <f t="shared" ref="F833:H834" si="412">F834</f>
        <v>270</v>
      </c>
      <c r="G833" s="9">
        <f t="shared" si="412"/>
        <v>270</v>
      </c>
      <c r="H833" s="9">
        <f t="shared" si="412"/>
        <v>270</v>
      </c>
      <c r="I833" s="9">
        <f t="shared" si="409"/>
        <v>100</v>
      </c>
      <c r="J833" s="9">
        <f t="shared" si="410"/>
        <v>100</v>
      </c>
    </row>
    <row r="834" spans="1:10">
      <c r="A834" s="8" t="s">
        <v>72</v>
      </c>
      <c r="B834" s="1" t="s">
        <v>543</v>
      </c>
      <c r="C834" s="1" t="s">
        <v>73</v>
      </c>
      <c r="D834" s="9">
        <v>270</v>
      </c>
      <c r="E834" s="9">
        <f>E835</f>
        <v>270</v>
      </c>
      <c r="F834" s="9">
        <f t="shared" si="412"/>
        <v>270</v>
      </c>
      <c r="G834" s="9">
        <f t="shared" si="412"/>
        <v>270</v>
      </c>
      <c r="H834" s="9">
        <f t="shared" si="412"/>
        <v>270</v>
      </c>
      <c r="I834" s="9">
        <f t="shared" si="409"/>
        <v>100</v>
      </c>
      <c r="J834" s="9">
        <f t="shared" si="410"/>
        <v>100</v>
      </c>
    </row>
    <row r="835" spans="1:10" ht="38.25">
      <c r="A835" s="8" t="s">
        <v>218</v>
      </c>
      <c r="B835" s="1" t="s">
        <v>543</v>
      </c>
      <c r="C835" s="1" t="s">
        <v>219</v>
      </c>
      <c r="D835" s="9">
        <v>270</v>
      </c>
      <c r="E835" s="9">
        <f>ведомство!H1247</f>
        <v>270</v>
      </c>
      <c r="F835" s="9">
        <f>ведомство!I1247</f>
        <v>270</v>
      </c>
      <c r="G835" s="9">
        <f>ведомство!J1247</f>
        <v>270</v>
      </c>
      <c r="H835" s="9">
        <f>ведомство!K1247</f>
        <v>270</v>
      </c>
      <c r="I835" s="9">
        <f t="shared" si="409"/>
        <v>100</v>
      </c>
      <c r="J835" s="9">
        <f t="shared" si="410"/>
        <v>100</v>
      </c>
    </row>
    <row r="836" spans="1:10" ht="38.25">
      <c r="A836" s="8" t="s">
        <v>544</v>
      </c>
      <c r="B836" s="1" t="s">
        <v>545</v>
      </c>
      <c r="C836" s="1" t="s">
        <v>0</v>
      </c>
      <c r="D836" s="9">
        <v>1000</v>
      </c>
      <c r="E836" s="9">
        <f>E837</f>
        <v>1000</v>
      </c>
      <c r="F836" s="9">
        <f t="shared" ref="F836:H837" si="413">F837</f>
        <v>0</v>
      </c>
      <c r="G836" s="9">
        <f t="shared" si="413"/>
        <v>0</v>
      </c>
      <c r="H836" s="9">
        <f t="shared" si="413"/>
        <v>0</v>
      </c>
      <c r="I836" s="9">
        <f t="shared" si="409"/>
        <v>0</v>
      </c>
      <c r="J836" s="9">
        <v>0</v>
      </c>
    </row>
    <row r="837" spans="1:10">
      <c r="A837" s="8" t="s">
        <v>72</v>
      </c>
      <c r="B837" s="1" t="s">
        <v>545</v>
      </c>
      <c r="C837" s="1" t="s">
        <v>73</v>
      </c>
      <c r="D837" s="9">
        <v>1000</v>
      </c>
      <c r="E837" s="9">
        <f>E838</f>
        <v>1000</v>
      </c>
      <c r="F837" s="9">
        <f t="shared" si="413"/>
        <v>0</v>
      </c>
      <c r="G837" s="9">
        <f t="shared" si="413"/>
        <v>0</v>
      </c>
      <c r="H837" s="9">
        <f t="shared" si="413"/>
        <v>0</v>
      </c>
      <c r="I837" s="9">
        <f t="shared" si="409"/>
        <v>0</v>
      </c>
      <c r="J837" s="9">
        <v>0</v>
      </c>
    </row>
    <row r="838" spans="1:10" ht="38.25">
      <c r="A838" s="8" t="s">
        <v>218</v>
      </c>
      <c r="B838" s="1" t="s">
        <v>545</v>
      </c>
      <c r="C838" s="1" t="s">
        <v>219</v>
      </c>
      <c r="D838" s="9">
        <v>1000</v>
      </c>
      <c r="E838" s="9">
        <f>ведомство!H1250</f>
        <v>1000</v>
      </c>
      <c r="F838" s="9">
        <f>ведомство!I1250</f>
        <v>0</v>
      </c>
      <c r="G838" s="9">
        <f>ведомство!J1250</f>
        <v>0</v>
      </c>
      <c r="H838" s="9">
        <f>ведомство!K1250</f>
        <v>0</v>
      </c>
      <c r="I838" s="9">
        <f t="shared" si="409"/>
        <v>0</v>
      </c>
      <c r="J838" s="9">
        <v>0</v>
      </c>
    </row>
    <row r="839" spans="1:10" ht="51">
      <c r="A839" s="8" t="s">
        <v>546</v>
      </c>
      <c r="B839" s="1" t="s">
        <v>547</v>
      </c>
      <c r="C839" s="1" t="s">
        <v>0</v>
      </c>
      <c r="D839" s="9">
        <v>10500</v>
      </c>
      <c r="E839" s="9">
        <f>E840</f>
        <v>4990</v>
      </c>
      <c r="F839" s="9">
        <f t="shared" ref="F839:H840" si="414">F840</f>
        <v>2579.00092</v>
      </c>
      <c r="G839" s="9">
        <f t="shared" si="414"/>
        <v>2578.0629199999998</v>
      </c>
      <c r="H839" s="9">
        <f t="shared" si="414"/>
        <v>2578.0629199999998</v>
      </c>
      <c r="I839" s="9">
        <f t="shared" si="409"/>
        <v>51.6645875751503</v>
      </c>
      <c r="J839" s="9">
        <f t="shared" si="410"/>
        <v>99.963629326661888</v>
      </c>
    </row>
    <row r="840" spans="1:10">
      <c r="A840" s="8" t="s">
        <v>72</v>
      </c>
      <c r="B840" s="1" t="s">
        <v>547</v>
      </c>
      <c r="C840" s="1" t="s">
        <v>73</v>
      </c>
      <c r="D840" s="9">
        <v>10500</v>
      </c>
      <c r="E840" s="9">
        <f>E841</f>
        <v>4990</v>
      </c>
      <c r="F840" s="9">
        <f t="shared" si="414"/>
        <v>2579.00092</v>
      </c>
      <c r="G840" s="9">
        <f t="shared" si="414"/>
        <v>2578.0629199999998</v>
      </c>
      <c r="H840" s="9">
        <f t="shared" si="414"/>
        <v>2578.0629199999998</v>
      </c>
      <c r="I840" s="9">
        <f t="shared" si="409"/>
        <v>51.6645875751503</v>
      </c>
      <c r="J840" s="9">
        <f t="shared" si="410"/>
        <v>99.963629326661888</v>
      </c>
    </row>
    <row r="841" spans="1:10" ht="38.25">
      <c r="A841" s="8" t="s">
        <v>218</v>
      </c>
      <c r="B841" s="1" t="s">
        <v>547</v>
      </c>
      <c r="C841" s="1" t="s">
        <v>219</v>
      </c>
      <c r="D841" s="9">
        <v>10500</v>
      </c>
      <c r="E841" s="9">
        <f>ведомство!H1253</f>
        <v>4990</v>
      </c>
      <c r="F841" s="9">
        <f>ведомство!I1253</f>
        <v>2579.00092</v>
      </c>
      <c r="G841" s="9">
        <f>ведомство!J1253</f>
        <v>2578.0629199999998</v>
      </c>
      <c r="H841" s="9">
        <f>ведомство!K1253</f>
        <v>2578.0629199999998</v>
      </c>
      <c r="I841" s="9">
        <f t="shared" si="409"/>
        <v>51.6645875751503</v>
      </c>
      <c r="J841" s="9">
        <f t="shared" si="410"/>
        <v>99.963629326661888</v>
      </c>
    </row>
    <row r="842" spans="1:10" ht="51">
      <c r="A842" s="8" t="s">
        <v>548</v>
      </c>
      <c r="B842" s="1" t="s">
        <v>549</v>
      </c>
      <c r="C842" s="1" t="s">
        <v>0</v>
      </c>
      <c r="D842" s="9">
        <v>50</v>
      </c>
      <c r="E842" s="9">
        <f>E843</f>
        <v>50</v>
      </c>
      <c r="F842" s="9">
        <f t="shared" ref="F842:H843" si="415">F843</f>
        <v>0</v>
      </c>
      <c r="G842" s="9">
        <f t="shared" si="415"/>
        <v>0</v>
      </c>
      <c r="H842" s="9">
        <f t="shared" si="415"/>
        <v>0</v>
      </c>
      <c r="I842" s="9">
        <f t="shared" si="409"/>
        <v>0</v>
      </c>
      <c r="J842" s="9">
        <v>0</v>
      </c>
    </row>
    <row r="843" spans="1:10">
      <c r="A843" s="8" t="s">
        <v>72</v>
      </c>
      <c r="B843" s="1" t="s">
        <v>549</v>
      </c>
      <c r="C843" s="1" t="s">
        <v>73</v>
      </c>
      <c r="D843" s="9">
        <v>50</v>
      </c>
      <c r="E843" s="9">
        <f>E844</f>
        <v>50</v>
      </c>
      <c r="F843" s="9">
        <f t="shared" si="415"/>
        <v>0</v>
      </c>
      <c r="G843" s="9">
        <f t="shared" si="415"/>
        <v>0</v>
      </c>
      <c r="H843" s="9">
        <f t="shared" si="415"/>
        <v>0</v>
      </c>
      <c r="I843" s="9">
        <f t="shared" si="409"/>
        <v>0</v>
      </c>
      <c r="J843" s="9">
        <v>0</v>
      </c>
    </row>
    <row r="844" spans="1:10" ht="38.25">
      <c r="A844" s="8" t="s">
        <v>218</v>
      </c>
      <c r="B844" s="1" t="s">
        <v>549</v>
      </c>
      <c r="C844" s="1" t="s">
        <v>219</v>
      </c>
      <c r="D844" s="9">
        <v>50</v>
      </c>
      <c r="E844" s="9">
        <f>ведомство!H1256</f>
        <v>50</v>
      </c>
      <c r="F844" s="9">
        <f>ведомство!I1256</f>
        <v>0</v>
      </c>
      <c r="G844" s="9">
        <f>ведомство!J1256</f>
        <v>0</v>
      </c>
      <c r="H844" s="9">
        <f>ведомство!K1256</f>
        <v>0</v>
      </c>
      <c r="I844" s="9">
        <f t="shared" si="409"/>
        <v>0</v>
      </c>
      <c r="J844" s="9">
        <v>0</v>
      </c>
    </row>
    <row r="845" spans="1:10" ht="38.25">
      <c r="A845" s="8" t="s">
        <v>550</v>
      </c>
      <c r="B845" s="1" t="s">
        <v>551</v>
      </c>
      <c r="C845" s="1" t="s">
        <v>0</v>
      </c>
      <c r="D845" s="9">
        <v>500</v>
      </c>
      <c r="E845" s="9">
        <f>E846</f>
        <v>500</v>
      </c>
      <c r="F845" s="9">
        <f t="shared" ref="F845:H846" si="416">F846</f>
        <v>156.5</v>
      </c>
      <c r="G845" s="9">
        <f t="shared" si="416"/>
        <v>140.33199999999999</v>
      </c>
      <c r="H845" s="9">
        <f t="shared" si="416"/>
        <v>140.33199999999999</v>
      </c>
      <c r="I845" s="9">
        <f t="shared" si="409"/>
        <v>28.066399999999998</v>
      </c>
      <c r="J845" s="9">
        <f t="shared" si="410"/>
        <v>89.669009584664522</v>
      </c>
    </row>
    <row r="846" spans="1:10">
      <c r="A846" s="8" t="s">
        <v>72</v>
      </c>
      <c r="B846" s="1" t="s">
        <v>551</v>
      </c>
      <c r="C846" s="1" t="s">
        <v>73</v>
      </c>
      <c r="D846" s="9">
        <v>500</v>
      </c>
      <c r="E846" s="9">
        <f>E847</f>
        <v>500</v>
      </c>
      <c r="F846" s="9">
        <f t="shared" si="416"/>
        <v>156.5</v>
      </c>
      <c r="G846" s="9">
        <f t="shared" si="416"/>
        <v>140.33199999999999</v>
      </c>
      <c r="H846" s="9">
        <f t="shared" si="416"/>
        <v>140.33199999999999</v>
      </c>
      <c r="I846" s="9">
        <f t="shared" si="409"/>
        <v>28.066399999999998</v>
      </c>
      <c r="J846" s="9">
        <f t="shared" si="410"/>
        <v>89.669009584664522</v>
      </c>
    </row>
    <row r="847" spans="1:10" ht="38.25">
      <c r="A847" s="8" t="s">
        <v>218</v>
      </c>
      <c r="B847" s="1" t="s">
        <v>551</v>
      </c>
      <c r="C847" s="1" t="s">
        <v>219</v>
      </c>
      <c r="D847" s="9">
        <v>500</v>
      </c>
      <c r="E847" s="9">
        <f>ведомство!H1259</f>
        <v>500</v>
      </c>
      <c r="F847" s="9">
        <f>ведомство!I1259</f>
        <v>156.5</v>
      </c>
      <c r="G847" s="9">
        <f>ведомство!J1259</f>
        <v>140.33199999999999</v>
      </c>
      <c r="H847" s="9">
        <f>ведомство!K1259</f>
        <v>140.33199999999999</v>
      </c>
      <c r="I847" s="9">
        <f t="shared" si="409"/>
        <v>28.066399999999998</v>
      </c>
      <c r="J847" s="9">
        <f t="shared" si="410"/>
        <v>89.669009584664522</v>
      </c>
    </row>
    <row r="848" spans="1:10">
      <c r="A848" s="8" t="s">
        <v>552</v>
      </c>
      <c r="B848" s="1" t="s">
        <v>553</v>
      </c>
      <c r="C848" s="1" t="s">
        <v>0</v>
      </c>
      <c r="D848" s="9">
        <v>6000</v>
      </c>
      <c r="E848" s="9">
        <f>E849</f>
        <v>6000</v>
      </c>
      <c r="F848" s="9">
        <f t="shared" ref="F848:H849" si="417">F849</f>
        <v>6000</v>
      </c>
      <c r="G848" s="9">
        <f t="shared" si="417"/>
        <v>6000</v>
      </c>
      <c r="H848" s="9">
        <f t="shared" si="417"/>
        <v>6000</v>
      </c>
      <c r="I848" s="9">
        <f t="shared" si="409"/>
        <v>100</v>
      </c>
      <c r="J848" s="9">
        <f t="shared" si="410"/>
        <v>100</v>
      </c>
    </row>
    <row r="849" spans="1:10">
      <c r="A849" s="8" t="s">
        <v>72</v>
      </c>
      <c r="B849" s="1" t="s">
        <v>553</v>
      </c>
      <c r="C849" s="1" t="s">
        <v>73</v>
      </c>
      <c r="D849" s="9">
        <v>6000</v>
      </c>
      <c r="E849" s="9">
        <f>E850</f>
        <v>6000</v>
      </c>
      <c r="F849" s="9">
        <f t="shared" si="417"/>
        <v>6000</v>
      </c>
      <c r="G849" s="9">
        <f t="shared" si="417"/>
        <v>6000</v>
      </c>
      <c r="H849" s="9">
        <f t="shared" si="417"/>
        <v>6000</v>
      </c>
      <c r="I849" s="9">
        <f t="shared" si="409"/>
        <v>100</v>
      </c>
      <c r="J849" s="9">
        <f t="shared" si="410"/>
        <v>100</v>
      </c>
    </row>
    <row r="850" spans="1:10" ht="38.25">
      <c r="A850" s="8" t="s">
        <v>218</v>
      </c>
      <c r="B850" s="1" t="s">
        <v>553</v>
      </c>
      <c r="C850" s="1" t="s">
        <v>219</v>
      </c>
      <c r="D850" s="9">
        <v>6000</v>
      </c>
      <c r="E850" s="9">
        <f>ведомство!H1262</f>
        <v>6000</v>
      </c>
      <c r="F850" s="9">
        <f>ведомство!I1262</f>
        <v>6000</v>
      </c>
      <c r="G850" s="9">
        <f>ведомство!J1262</f>
        <v>6000</v>
      </c>
      <c r="H850" s="9">
        <f>ведомство!K1262</f>
        <v>6000</v>
      </c>
      <c r="I850" s="9">
        <f t="shared" si="409"/>
        <v>100</v>
      </c>
      <c r="J850" s="9">
        <f t="shared" si="410"/>
        <v>100</v>
      </c>
    </row>
    <row r="851" spans="1:10">
      <c r="A851" s="8" t="s">
        <v>554</v>
      </c>
      <c r="B851" s="1" t="s">
        <v>555</v>
      </c>
      <c r="C851" s="1" t="s">
        <v>0</v>
      </c>
      <c r="D851" s="9">
        <v>12000</v>
      </c>
      <c r="E851" s="9">
        <f>E852</f>
        <v>12000</v>
      </c>
      <c r="F851" s="9">
        <f t="shared" ref="F851:H852" si="418">F852</f>
        <v>2960.9</v>
      </c>
      <c r="G851" s="9">
        <f t="shared" si="418"/>
        <v>2960.9</v>
      </c>
      <c r="H851" s="9">
        <f t="shared" si="418"/>
        <v>2960.9</v>
      </c>
      <c r="I851" s="9">
        <f t="shared" si="409"/>
        <v>24.674166666666668</v>
      </c>
      <c r="J851" s="9">
        <f t="shared" si="410"/>
        <v>100</v>
      </c>
    </row>
    <row r="852" spans="1:10">
      <c r="A852" s="8" t="s">
        <v>72</v>
      </c>
      <c r="B852" s="1" t="s">
        <v>555</v>
      </c>
      <c r="C852" s="1" t="s">
        <v>73</v>
      </c>
      <c r="D852" s="9">
        <v>12000</v>
      </c>
      <c r="E852" s="9">
        <f>E853</f>
        <v>12000</v>
      </c>
      <c r="F852" s="9">
        <f t="shared" si="418"/>
        <v>2960.9</v>
      </c>
      <c r="G852" s="9">
        <f t="shared" si="418"/>
        <v>2960.9</v>
      </c>
      <c r="H852" s="9">
        <f t="shared" si="418"/>
        <v>2960.9</v>
      </c>
      <c r="I852" s="9">
        <f t="shared" si="409"/>
        <v>24.674166666666668</v>
      </c>
      <c r="J852" s="9">
        <f t="shared" si="410"/>
        <v>100</v>
      </c>
    </row>
    <row r="853" spans="1:10" ht="38.25">
      <c r="A853" s="8" t="s">
        <v>218</v>
      </c>
      <c r="B853" s="1" t="s">
        <v>555</v>
      </c>
      <c r="C853" s="1" t="s">
        <v>219</v>
      </c>
      <c r="D853" s="9">
        <v>12000</v>
      </c>
      <c r="E853" s="9">
        <f>ведомство!H1265</f>
        <v>12000</v>
      </c>
      <c r="F853" s="9">
        <f>ведомство!I1265</f>
        <v>2960.9</v>
      </c>
      <c r="G853" s="9">
        <f>ведомство!J1265</f>
        <v>2960.9</v>
      </c>
      <c r="H853" s="9">
        <f>ведомство!K1265</f>
        <v>2960.9</v>
      </c>
      <c r="I853" s="9">
        <f t="shared" si="409"/>
        <v>24.674166666666668</v>
      </c>
      <c r="J853" s="9">
        <f t="shared" si="410"/>
        <v>100</v>
      </c>
    </row>
    <row r="854" spans="1:10" ht="38.25">
      <c r="A854" s="8" t="s">
        <v>556</v>
      </c>
      <c r="B854" s="1" t="s">
        <v>557</v>
      </c>
      <c r="C854" s="1" t="s">
        <v>0</v>
      </c>
      <c r="D854" s="9">
        <v>150</v>
      </c>
      <c r="E854" s="9">
        <f>E855</f>
        <v>150</v>
      </c>
      <c r="F854" s="9">
        <f t="shared" ref="F854:H855" si="419">F855</f>
        <v>22.102</v>
      </c>
      <c r="G854" s="9">
        <f t="shared" si="419"/>
        <v>21.402000000000001</v>
      </c>
      <c r="H854" s="9">
        <f t="shared" si="419"/>
        <v>21.402000000000001</v>
      </c>
      <c r="I854" s="9">
        <f t="shared" si="409"/>
        <v>14.268000000000001</v>
      </c>
      <c r="J854" s="9">
        <f t="shared" si="410"/>
        <v>96.832865803999653</v>
      </c>
    </row>
    <row r="855" spans="1:10">
      <c r="A855" s="8" t="s">
        <v>72</v>
      </c>
      <c r="B855" s="1" t="s">
        <v>557</v>
      </c>
      <c r="C855" s="1" t="s">
        <v>73</v>
      </c>
      <c r="D855" s="9">
        <v>150</v>
      </c>
      <c r="E855" s="9">
        <f>E856</f>
        <v>150</v>
      </c>
      <c r="F855" s="9">
        <f t="shared" si="419"/>
        <v>22.102</v>
      </c>
      <c r="G855" s="9">
        <f t="shared" si="419"/>
        <v>21.402000000000001</v>
      </c>
      <c r="H855" s="9">
        <f t="shared" si="419"/>
        <v>21.402000000000001</v>
      </c>
      <c r="I855" s="9">
        <f t="shared" si="409"/>
        <v>14.268000000000001</v>
      </c>
      <c r="J855" s="9">
        <f t="shared" si="410"/>
        <v>96.832865803999653</v>
      </c>
    </row>
    <row r="856" spans="1:10" ht="38.25">
      <c r="A856" s="8" t="s">
        <v>218</v>
      </c>
      <c r="B856" s="1" t="s">
        <v>557</v>
      </c>
      <c r="C856" s="1" t="s">
        <v>219</v>
      </c>
      <c r="D856" s="9">
        <v>150</v>
      </c>
      <c r="E856" s="9">
        <f>ведомство!H1268</f>
        <v>150</v>
      </c>
      <c r="F856" s="9">
        <f>ведомство!I1268</f>
        <v>22.102</v>
      </c>
      <c r="G856" s="9">
        <f>ведомство!J1268</f>
        <v>21.402000000000001</v>
      </c>
      <c r="H856" s="9">
        <f>ведомство!K1268</f>
        <v>21.402000000000001</v>
      </c>
      <c r="I856" s="9">
        <f t="shared" si="409"/>
        <v>14.268000000000001</v>
      </c>
      <c r="J856" s="9">
        <f t="shared" si="410"/>
        <v>96.832865803999653</v>
      </c>
    </row>
    <row r="857" spans="1:10" ht="51">
      <c r="A857" s="8" t="s">
        <v>558</v>
      </c>
      <c r="B857" s="1" t="s">
        <v>559</v>
      </c>
      <c r="C857" s="1" t="s">
        <v>0</v>
      </c>
      <c r="D857" s="9">
        <v>100</v>
      </c>
      <c r="E857" s="9">
        <f>E858</f>
        <v>100</v>
      </c>
      <c r="F857" s="9">
        <f t="shared" ref="F857:H858" si="420">F858</f>
        <v>0</v>
      </c>
      <c r="G857" s="9">
        <f t="shared" si="420"/>
        <v>0</v>
      </c>
      <c r="H857" s="9">
        <f t="shared" si="420"/>
        <v>0</v>
      </c>
      <c r="I857" s="9">
        <f t="shared" si="409"/>
        <v>0</v>
      </c>
      <c r="J857" s="9">
        <v>0</v>
      </c>
    </row>
    <row r="858" spans="1:10">
      <c r="A858" s="8" t="s">
        <v>72</v>
      </c>
      <c r="B858" s="1" t="s">
        <v>559</v>
      </c>
      <c r="C858" s="1" t="s">
        <v>73</v>
      </c>
      <c r="D858" s="9">
        <v>100</v>
      </c>
      <c r="E858" s="9">
        <f>E859</f>
        <v>100</v>
      </c>
      <c r="F858" s="9">
        <f t="shared" si="420"/>
        <v>0</v>
      </c>
      <c r="G858" s="9">
        <f t="shared" si="420"/>
        <v>0</v>
      </c>
      <c r="H858" s="9">
        <f t="shared" si="420"/>
        <v>0</v>
      </c>
      <c r="I858" s="9">
        <f t="shared" si="409"/>
        <v>0</v>
      </c>
      <c r="J858" s="9">
        <v>0</v>
      </c>
    </row>
    <row r="859" spans="1:10" ht="38.25">
      <c r="A859" s="8" t="s">
        <v>218</v>
      </c>
      <c r="B859" s="1" t="s">
        <v>559</v>
      </c>
      <c r="C859" s="1" t="s">
        <v>219</v>
      </c>
      <c r="D859" s="9">
        <v>100</v>
      </c>
      <c r="E859" s="9">
        <f>ведомство!H1271</f>
        <v>100</v>
      </c>
      <c r="F859" s="9">
        <f>ведомство!I1271</f>
        <v>0</v>
      </c>
      <c r="G859" s="9">
        <f>ведомство!J1271</f>
        <v>0</v>
      </c>
      <c r="H859" s="9">
        <f>ведомство!K1271</f>
        <v>0</v>
      </c>
      <c r="I859" s="9">
        <f t="shared" si="409"/>
        <v>0</v>
      </c>
      <c r="J859" s="9">
        <v>0</v>
      </c>
    </row>
    <row r="860" spans="1:10" ht="38.25">
      <c r="A860" s="8" t="s">
        <v>560</v>
      </c>
      <c r="B860" s="1" t="s">
        <v>561</v>
      </c>
      <c r="C860" s="1" t="s">
        <v>0</v>
      </c>
      <c r="D860" s="9">
        <v>3000</v>
      </c>
      <c r="E860" s="9">
        <f>E861</f>
        <v>3000</v>
      </c>
      <c r="F860" s="9">
        <f t="shared" ref="F860:H861" si="421">F861</f>
        <v>0</v>
      </c>
      <c r="G860" s="9">
        <f t="shared" si="421"/>
        <v>0</v>
      </c>
      <c r="H860" s="9">
        <f t="shared" si="421"/>
        <v>0</v>
      </c>
      <c r="I860" s="9">
        <f t="shared" si="409"/>
        <v>0</v>
      </c>
      <c r="J860" s="9">
        <v>0</v>
      </c>
    </row>
    <row r="861" spans="1:10">
      <c r="A861" s="8" t="s">
        <v>72</v>
      </c>
      <c r="B861" s="1" t="s">
        <v>561</v>
      </c>
      <c r="C861" s="1" t="s">
        <v>73</v>
      </c>
      <c r="D861" s="9">
        <v>3000</v>
      </c>
      <c r="E861" s="9">
        <f>E862</f>
        <v>3000</v>
      </c>
      <c r="F861" s="9">
        <f t="shared" si="421"/>
        <v>0</v>
      </c>
      <c r="G861" s="9">
        <f t="shared" si="421"/>
        <v>0</v>
      </c>
      <c r="H861" s="9">
        <f t="shared" si="421"/>
        <v>0</v>
      </c>
      <c r="I861" s="9">
        <f t="shared" si="409"/>
        <v>0</v>
      </c>
      <c r="J861" s="9">
        <v>0</v>
      </c>
    </row>
    <row r="862" spans="1:10" ht="38.25">
      <c r="A862" s="8" t="s">
        <v>218</v>
      </c>
      <c r="B862" s="1" t="s">
        <v>561</v>
      </c>
      <c r="C862" s="1" t="s">
        <v>219</v>
      </c>
      <c r="D862" s="9">
        <v>3000</v>
      </c>
      <c r="E862" s="9">
        <f>ведомство!H1274</f>
        <v>3000</v>
      </c>
      <c r="F862" s="9">
        <f>ведомство!I1274</f>
        <v>0</v>
      </c>
      <c r="G862" s="9">
        <f>ведомство!J1274</f>
        <v>0</v>
      </c>
      <c r="H862" s="9">
        <f>ведомство!K1274</f>
        <v>0</v>
      </c>
      <c r="I862" s="9">
        <f t="shared" si="409"/>
        <v>0</v>
      </c>
      <c r="J862" s="9">
        <v>0</v>
      </c>
    </row>
    <row r="863" spans="1:10" ht="38.25">
      <c r="A863" s="8" t="s">
        <v>562</v>
      </c>
      <c r="B863" s="1" t="s">
        <v>563</v>
      </c>
      <c r="C863" s="1" t="s">
        <v>0</v>
      </c>
      <c r="D863" s="9">
        <v>500</v>
      </c>
      <c r="E863" s="9">
        <f>E864</f>
        <v>500</v>
      </c>
      <c r="F863" s="9">
        <f t="shared" ref="F863:H864" si="422">F864</f>
        <v>0</v>
      </c>
      <c r="G863" s="9">
        <f t="shared" si="422"/>
        <v>0</v>
      </c>
      <c r="H863" s="9">
        <f t="shared" si="422"/>
        <v>0</v>
      </c>
      <c r="I863" s="9">
        <f t="shared" si="409"/>
        <v>0</v>
      </c>
      <c r="J863" s="9">
        <v>0</v>
      </c>
    </row>
    <row r="864" spans="1:10">
      <c r="A864" s="8" t="s">
        <v>72</v>
      </c>
      <c r="B864" s="1" t="s">
        <v>563</v>
      </c>
      <c r="C864" s="1" t="s">
        <v>73</v>
      </c>
      <c r="D864" s="9">
        <v>500</v>
      </c>
      <c r="E864" s="9">
        <f>E865</f>
        <v>500</v>
      </c>
      <c r="F864" s="9">
        <f t="shared" si="422"/>
        <v>0</v>
      </c>
      <c r="G864" s="9">
        <f t="shared" si="422"/>
        <v>0</v>
      </c>
      <c r="H864" s="9">
        <f t="shared" si="422"/>
        <v>0</v>
      </c>
      <c r="I864" s="9">
        <f t="shared" si="409"/>
        <v>0</v>
      </c>
      <c r="J864" s="9">
        <v>0</v>
      </c>
    </row>
    <row r="865" spans="1:10" ht="38.25">
      <c r="A865" s="8" t="s">
        <v>218</v>
      </c>
      <c r="B865" s="1" t="s">
        <v>563</v>
      </c>
      <c r="C865" s="1" t="s">
        <v>219</v>
      </c>
      <c r="D865" s="9">
        <v>500</v>
      </c>
      <c r="E865" s="9">
        <f>ведомство!H1277</f>
        <v>500</v>
      </c>
      <c r="F865" s="9">
        <f>ведомство!I1277</f>
        <v>0</v>
      </c>
      <c r="G865" s="9">
        <f>ведомство!J1277</f>
        <v>0</v>
      </c>
      <c r="H865" s="9">
        <f>ведомство!K1277</f>
        <v>0</v>
      </c>
      <c r="I865" s="9">
        <f t="shared" si="409"/>
        <v>0</v>
      </c>
      <c r="J865" s="9">
        <v>0</v>
      </c>
    </row>
    <row r="866" spans="1:10" ht="38.25">
      <c r="A866" s="8" t="s">
        <v>564</v>
      </c>
      <c r="B866" s="1" t="s">
        <v>565</v>
      </c>
      <c r="C866" s="1" t="s">
        <v>0</v>
      </c>
      <c r="D866" s="9">
        <v>5000</v>
      </c>
      <c r="E866" s="9">
        <f>E867</f>
        <v>5000</v>
      </c>
      <c r="F866" s="9">
        <f t="shared" ref="F866:H867" si="423">F867</f>
        <v>1093.8599999999999</v>
      </c>
      <c r="G866" s="9">
        <f t="shared" si="423"/>
        <v>1093.8599999999999</v>
      </c>
      <c r="H866" s="9">
        <f t="shared" si="423"/>
        <v>1093.8599999999999</v>
      </c>
      <c r="I866" s="9">
        <f t="shared" si="409"/>
        <v>21.877199999999995</v>
      </c>
      <c r="J866" s="9">
        <f t="shared" si="410"/>
        <v>100</v>
      </c>
    </row>
    <row r="867" spans="1:10">
      <c r="A867" s="8" t="s">
        <v>72</v>
      </c>
      <c r="B867" s="1" t="s">
        <v>565</v>
      </c>
      <c r="C867" s="1" t="s">
        <v>73</v>
      </c>
      <c r="D867" s="9">
        <v>5000</v>
      </c>
      <c r="E867" s="9">
        <f>E868</f>
        <v>5000</v>
      </c>
      <c r="F867" s="9">
        <f t="shared" si="423"/>
        <v>1093.8599999999999</v>
      </c>
      <c r="G867" s="9">
        <f t="shared" si="423"/>
        <v>1093.8599999999999</v>
      </c>
      <c r="H867" s="9">
        <f t="shared" si="423"/>
        <v>1093.8599999999999</v>
      </c>
      <c r="I867" s="9">
        <f t="shared" si="409"/>
        <v>21.877199999999995</v>
      </c>
      <c r="J867" s="9">
        <f t="shared" si="410"/>
        <v>100</v>
      </c>
    </row>
    <row r="868" spans="1:10" ht="38.25">
      <c r="A868" s="8" t="s">
        <v>218</v>
      </c>
      <c r="B868" s="1" t="s">
        <v>565</v>
      </c>
      <c r="C868" s="1" t="s">
        <v>219</v>
      </c>
      <c r="D868" s="9">
        <v>5000</v>
      </c>
      <c r="E868" s="9">
        <f>ведомство!H1280</f>
        <v>5000</v>
      </c>
      <c r="F868" s="9">
        <f>ведомство!I1280</f>
        <v>1093.8599999999999</v>
      </c>
      <c r="G868" s="9">
        <f>ведомство!J1280</f>
        <v>1093.8599999999999</v>
      </c>
      <c r="H868" s="9">
        <f>ведомство!K1280</f>
        <v>1093.8599999999999</v>
      </c>
      <c r="I868" s="9">
        <f t="shared" si="409"/>
        <v>21.877199999999995</v>
      </c>
      <c r="J868" s="9">
        <f t="shared" si="410"/>
        <v>100</v>
      </c>
    </row>
    <row r="869" spans="1:10" ht="25.5">
      <c r="A869" s="8" t="s">
        <v>566</v>
      </c>
      <c r="B869" s="1" t="s">
        <v>567</v>
      </c>
      <c r="C869" s="1" t="s">
        <v>0</v>
      </c>
      <c r="D869" s="9">
        <v>2100</v>
      </c>
      <c r="E869" s="9">
        <f>E870</f>
        <v>2100</v>
      </c>
      <c r="F869" s="9">
        <f t="shared" ref="F869:H870" si="424">F870</f>
        <v>273.43900000000002</v>
      </c>
      <c r="G869" s="9">
        <f t="shared" si="424"/>
        <v>273.43900000000002</v>
      </c>
      <c r="H869" s="9">
        <f t="shared" si="424"/>
        <v>273.43900000000002</v>
      </c>
      <c r="I869" s="9">
        <f t="shared" si="409"/>
        <v>13.020904761904765</v>
      </c>
      <c r="J869" s="9">
        <f t="shared" si="410"/>
        <v>100</v>
      </c>
    </row>
    <row r="870" spans="1:10">
      <c r="A870" s="8" t="s">
        <v>72</v>
      </c>
      <c r="B870" s="1" t="s">
        <v>567</v>
      </c>
      <c r="C870" s="1" t="s">
        <v>73</v>
      </c>
      <c r="D870" s="9">
        <v>2100</v>
      </c>
      <c r="E870" s="9">
        <f>E871</f>
        <v>2100</v>
      </c>
      <c r="F870" s="9">
        <f t="shared" si="424"/>
        <v>273.43900000000002</v>
      </c>
      <c r="G870" s="9">
        <f t="shared" si="424"/>
        <v>273.43900000000002</v>
      </c>
      <c r="H870" s="9">
        <f t="shared" si="424"/>
        <v>273.43900000000002</v>
      </c>
      <c r="I870" s="9">
        <f t="shared" si="409"/>
        <v>13.020904761904765</v>
      </c>
      <c r="J870" s="9">
        <f t="shared" si="410"/>
        <v>100</v>
      </c>
    </row>
    <row r="871" spans="1:10" ht="38.25">
      <c r="A871" s="8" t="s">
        <v>218</v>
      </c>
      <c r="B871" s="1" t="s">
        <v>567</v>
      </c>
      <c r="C871" s="1" t="s">
        <v>219</v>
      </c>
      <c r="D871" s="9">
        <v>2100</v>
      </c>
      <c r="E871" s="9">
        <f>ведомство!H1283</f>
        <v>2100</v>
      </c>
      <c r="F871" s="9">
        <f>ведомство!I1283</f>
        <v>273.43900000000002</v>
      </c>
      <c r="G871" s="9">
        <f>ведомство!J1283</f>
        <v>273.43900000000002</v>
      </c>
      <c r="H871" s="9">
        <f>ведомство!K1283</f>
        <v>273.43900000000002</v>
      </c>
      <c r="I871" s="9">
        <f t="shared" si="409"/>
        <v>13.020904761904765</v>
      </c>
      <c r="J871" s="9">
        <f t="shared" si="410"/>
        <v>100</v>
      </c>
    </row>
    <row r="872" spans="1:10" ht="38.25">
      <c r="A872" s="8" t="s">
        <v>568</v>
      </c>
      <c r="B872" s="1" t="s">
        <v>569</v>
      </c>
      <c r="C872" s="1" t="s">
        <v>0</v>
      </c>
      <c r="D872" s="9">
        <v>11400</v>
      </c>
      <c r="E872" s="9">
        <f>E873</f>
        <v>11400</v>
      </c>
      <c r="F872" s="9">
        <f t="shared" ref="F872:H873" si="425">F873</f>
        <v>5880.7860000000001</v>
      </c>
      <c r="G872" s="9">
        <f t="shared" si="425"/>
        <v>5880.7860000000001</v>
      </c>
      <c r="H872" s="9">
        <f t="shared" si="425"/>
        <v>5880.7860000000001</v>
      </c>
      <c r="I872" s="9">
        <f t="shared" si="409"/>
        <v>51.585842105263154</v>
      </c>
      <c r="J872" s="9">
        <f t="shared" si="410"/>
        <v>100</v>
      </c>
    </row>
    <row r="873" spans="1:10">
      <c r="A873" s="8" t="s">
        <v>72</v>
      </c>
      <c r="B873" s="1" t="s">
        <v>569</v>
      </c>
      <c r="C873" s="1" t="s">
        <v>73</v>
      </c>
      <c r="D873" s="9">
        <v>11400</v>
      </c>
      <c r="E873" s="9">
        <f>E874</f>
        <v>11400</v>
      </c>
      <c r="F873" s="9">
        <f t="shared" si="425"/>
        <v>5880.7860000000001</v>
      </c>
      <c r="G873" s="9">
        <f t="shared" si="425"/>
        <v>5880.7860000000001</v>
      </c>
      <c r="H873" s="9">
        <f t="shared" si="425"/>
        <v>5880.7860000000001</v>
      </c>
      <c r="I873" s="9">
        <f t="shared" si="409"/>
        <v>51.585842105263154</v>
      </c>
      <c r="J873" s="9">
        <f t="shared" si="410"/>
        <v>100</v>
      </c>
    </row>
    <row r="874" spans="1:10" ht="38.25">
      <c r="A874" s="8" t="s">
        <v>218</v>
      </c>
      <c r="B874" s="1" t="s">
        <v>569</v>
      </c>
      <c r="C874" s="1" t="s">
        <v>219</v>
      </c>
      <c r="D874" s="9">
        <v>11400</v>
      </c>
      <c r="E874" s="9">
        <f>ведомство!H1286</f>
        <v>11400</v>
      </c>
      <c r="F874" s="9">
        <f>ведомство!I1286</f>
        <v>5880.7860000000001</v>
      </c>
      <c r="G874" s="9">
        <f>ведомство!J1286</f>
        <v>5880.7860000000001</v>
      </c>
      <c r="H874" s="9">
        <f>ведомство!K1286</f>
        <v>5880.7860000000001</v>
      </c>
      <c r="I874" s="9">
        <f t="shared" si="409"/>
        <v>51.585842105263154</v>
      </c>
      <c r="J874" s="9">
        <f t="shared" si="410"/>
        <v>100</v>
      </c>
    </row>
    <row r="875" spans="1:10" ht="25.5">
      <c r="A875" s="8" t="s">
        <v>570</v>
      </c>
      <c r="B875" s="1" t="s">
        <v>571</v>
      </c>
      <c r="C875" s="1" t="s">
        <v>0</v>
      </c>
      <c r="D875" s="9">
        <v>51635</v>
      </c>
      <c r="E875" s="9">
        <f>E876</f>
        <v>51635</v>
      </c>
      <c r="F875" s="9">
        <f t="shared" ref="F875:H876" si="426">F876</f>
        <v>25537.379000000001</v>
      </c>
      <c r="G875" s="9">
        <f t="shared" si="426"/>
        <v>25537.379000000001</v>
      </c>
      <c r="H875" s="9">
        <f t="shared" si="426"/>
        <v>25537.379000000001</v>
      </c>
      <c r="I875" s="9">
        <f t="shared" si="409"/>
        <v>49.457497821245283</v>
      </c>
      <c r="J875" s="9">
        <f t="shared" si="410"/>
        <v>100</v>
      </c>
    </row>
    <row r="876" spans="1:10">
      <c r="A876" s="8" t="s">
        <v>72</v>
      </c>
      <c r="B876" s="1" t="s">
        <v>571</v>
      </c>
      <c r="C876" s="1" t="s">
        <v>73</v>
      </c>
      <c r="D876" s="9">
        <v>51635</v>
      </c>
      <c r="E876" s="9">
        <f>E877</f>
        <v>51635</v>
      </c>
      <c r="F876" s="9">
        <f t="shared" si="426"/>
        <v>25537.379000000001</v>
      </c>
      <c r="G876" s="9">
        <f t="shared" si="426"/>
        <v>25537.379000000001</v>
      </c>
      <c r="H876" s="9">
        <f t="shared" si="426"/>
        <v>25537.379000000001</v>
      </c>
      <c r="I876" s="9">
        <f t="shared" si="409"/>
        <v>49.457497821245283</v>
      </c>
      <c r="J876" s="9">
        <f t="shared" si="410"/>
        <v>100</v>
      </c>
    </row>
    <row r="877" spans="1:10" ht="38.25">
      <c r="A877" s="8" t="s">
        <v>218</v>
      </c>
      <c r="B877" s="1" t="s">
        <v>571</v>
      </c>
      <c r="C877" s="1" t="s">
        <v>219</v>
      </c>
      <c r="D877" s="9">
        <v>51635</v>
      </c>
      <c r="E877" s="9">
        <f>ведомство!H1289</f>
        <v>51635</v>
      </c>
      <c r="F877" s="9">
        <f>ведомство!I1289</f>
        <v>25537.379000000001</v>
      </c>
      <c r="G877" s="9">
        <f>ведомство!J1289</f>
        <v>25537.379000000001</v>
      </c>
      <c r="H877" s="9">
        <f>ведомство!K1289</f>
        <v>25537.379000000001</v>
      </c>
      <c r="I877" s="9">
        <f t="shared" si="409"/>
        <v>49.457497821245283</v>
      </c>
      <c r="J877" s="9">
        <f t="shared" si="410"/>
        <v>100</v>
      </c>
    </row>
    <row r="878" spans="1:10" ht="63.75">
      <c r="A878" s="8" t="s">
        <v>572</v>
      </c>
      <c r="B878" s="1" t="s">
        <v>573</v>
      </c>
      <c r="C878" s="1" t="s">
        <v>0</v>
      </c>
      <c r="D878" s="9">
        <v>50</v>
      </c>
      <c r="E878" s="9">
        <f>E879</f>
        <v>50</v>
      </c>
      <c r="F878" s="9">
        <f t="shared" ref="F878:H879" si="427">F879</f>
        <v>0</v>
      </c>
      <c r="G878" s="9">
        <f t="shared" si="427"/>
        <v>0</v>
      </c>
      <c r="H878" s="9">
        <f t="shared" si="427"/>
        <v>0</v>
      </c>
      <c r="I878" s="9">
        <f t="shared" si="409"/>
        <v>0</v>
      </c>
      <c r="J878" s="9">
        <v>0</v>
      </c>
    </row>
    <row r="879" spans="1:10">
      <c r="A879" s="8" t="s">
        <v>72</v>
      </c>
      <c r="B879" s="1" t="s">
        <v>573</v>
      </c>
      <c r="C879" s="1" t="s">
        <v>73</v>
      </c>
      <c r="D879" s="9">
        <v>50</v>
      </c>
      <c r="E879" s="9">
        <f>E880</f>
        <v>50</v>
      </c>
      <c r="F879" s="9">
        <f t="shared" si="427"/>
        <v>0</v>
      </c>
      <c r="G879" s="9">
        <f t="shared" si="427"/>
        <v>0</v>
      </c>
      <c r="H879" s="9">
        <f t="shared" si="427"/>
        <v>0</v>
      </c>
      <c r="I879" s="9">
        <f t="shared" si="409"/>
        <v>0</v>
      </c>
      <c r="J879" s="9">
        <v>0</v>
      </c>
    </row>
    <row r="880" spans="1:10" ht="38.25">
      <c r="A880" s="8" t="s">
        <v>218</v>
      </c>
      <c r="B880" s="1" t="s">
        <v>573</v>
      </c>
      <c r="C880" s="1" t="s">
        <v>219</v>
      </c>
      <c r="D880" s="9">
        <v>50</v>
      </c>
      <c r="E880" s="9">
        <f>ведомство!H1292</f>
        <v>50</v>
      </c>
      <c r="F880" s="9">
        <f>ведомство!I1292</f>
        <v>0</v>
      </c>
      <c r="G880" s="9">
        <f>ведомство!J1292</f>
        <v>0</v>
      </c>
      <c r="H880" s="9">
        <f>ведомство!K1292</f>
        <v>0</v>
      </c>
      <c r="I880" s="9">
        <f t="shared" si="409"/>
        <v>0</v>
      </c>
      <c r="J880" s="9">
        <v>0</v>
      </c>
    </row>
    <row r="881" spans="1:10" ht="38.25">
      <c r="A881" s="8" t="s">
        <v>574</v>
      </c>
      <c r="B881" s="1" t="s">
        <v>575</v>
      </c>
      <c r="C881" s="1" t="s">
        <v>0</v>
      </c>
      <c r="D881" s="9">
        <v>2050</v>
      </c>
      <c r="E881" s="9">
        <f>E882</f>
        <v>2050</v>
      </c>
      <c r="F881" s="9">
        <f t="shared" ref="F881:H882" si="428">F882</f>
        <v>968.36500000000001</v>
      </c>
      <c r="G881" s="9">
        <f t="shared" si="428"/>
        <v>968.36500000000001</v>
      </c>
      <c r="H881" s="9">
        <f t="shared" si="428"/>
        <v>968.36500000000001</v>
      </c>
      <c r="I881" s="9">
        <f t="shared" si="409"/>
        <v>47.237317073170729</v>
      </c>
      <c r="J881" s="9">
        <f t="shared" si="410"/>
        <v>100</v>
      </c>
    </row>
    <row r="882" spans="1:10">
      <c r="A882" s="8" t="s">
        <v>72</v>
      </c>
      <c r="B882" s="1" t="s">
        <v>575</v>
      </c>
      <c r="C882" s="1" t="s">
        <v>73</v>
      </c>
      <c r="D882" s="9">
        <v>2050</v>
      </c>
      <c r="E882" s="9">
        <f>E883</f>
        <v>2050</v>
      </c>
      <c r="F882" s="9">
        <f t="shared" si="428"/>
        <v>968.36500000000001</v>
      </c>
      <c r="G882" s="9">
        <f t="shared" si="428"/>
        <v>968.36500000000001</v>
      </c>
      <c r="H882" s="9">
        <f t="shared" si="428"/>
        <v>968.36500000000001</v>
      </c>
      <c r="I882" s="9">
        <f t="shared" si="409"/>
        <v>47.237317073170729</v>
      </c>
      <c r="J882" s="9">
        <f t="shared" si="410"/>
        <v>100</v>
      </c>
    </row>
    <row r="883" spans="1:10" ht="38.25">
      <c r="A883" s="8" t="s">
        <v>218</v>
      </c>
      <c r="B883" s="1" t="s">
        <v>575</v>
      </c>
      <c r="C883" s="1" t="s">
        <v>219</v>
      </c>
      <c r="D883" s="9">
        <v>2050</v>
      </c>
      <c r="E883" s="9">
        <f>ведомство!H1295</f>
        <v>2050</v>
      </c>
      <c r="F883" s="9">
        <f>ведомство!I1295</f>
        <v>968.36500000000001</v>
      </c>
      <c r="G883" s="9">
        <f>ведомство!J1295</f>
        <v>968.36500000000001</v>
      </c>
      <c r="H883" s="9">
        <f>ведомство!K1295</f>
        <v>968.36500000000001</v>
      </c>
      <c r="I883" s="9">
        <f t="shared" si="409"/>
        <v>47.237317073170729</v>
      </c>
      <c r="J883" s="9">
        <f t="shared" si="410"/>
        <v>100</v>
      </c>
    </row>
    <row r="884" spans="1:10">
      <c r="A884" s="4" t="s">
        <v>0</v>
      </c>
      <c r="B884" s="17" t="s">
        <v>0</v>
      </c>
      <c r="C884" s="5" t="s">
        <v>0</v>
      </c>
      <c r="D884" s="7" t="s">
        <v>0</v>
      </c>
      <c r="E884" s="7" t="s">
        <v>0</v>
      </c>
      <c r="F884" s="7"/>
      <c r="G884" s="7"/>
      <c r="H884" s="7"/>
      <c r="I884" s="7"/>
      <c r="J884" s="7"/>
    </row>
    <row r="885" spans="1:10" ht="25.5">
      <c r="A885" s="4" t="s">
        <v>576</v>
      </c>
      <c r="B885" s="5" t="s">
        <v>577</v>
      </c>
      <c r="C885" s="5" t="s">
        <v>0</v>
      </c>
      <c r="D885" s="7">
        <v>3633.8</v>
      </c>
      <c r="E885" s="7">
        <f>E886+E889+E892+E895</f>
        <v>3633.8</v>
      </c>
      <c r="F885" s="7">
        <f t="shared" ref="F885:H885" si="429">F886+F889+F892+F895</f>
        <v>1000</v>
      </c>
      <c r="G885" s="7">
        <f t="shared" si="429"/>
        <v>1000</v>
      </c>
      <c r="H885" s="7">
        <f t="shared" si="429"/>
        <v>1000</v>
      </c>
      <c r="I885" s="7">
        <f t="shared" si="409"/>
        <v>27.519401177830371</v>
      </c>
      <c r="J885" s="7">
        <f t="shared" si="410"/>
        <v>100</v>
      </c>
    </row>
    <row r="886" spans="1:10" ht="76.5">
      <c r="A886" s="8" t="s">
        <v>578</v>
      </c>
      <c r="B886" s="1" t="s">
        <v>579</v>
      </c>
      <c r="C886" s="1" t="s">
        <v>0</v>
      </c>
      <c r="D886" s="9">
        <v>433.8</v>
      </c>
      <c r="E886" s="9">
        <f>E887</f>
        <v>433.8</v>
      </c>
      <c r="F886" s="9">
        <f t="shared" ref="F886:H887" si="430">F887</f>
        <v>0</v>
      </c>
      <c r="G886" s="9">
        <f t="shared" si="430"/>
        <v>0</v>
      </c>
      <c r="H886" s="9">
        <f t="shared" si="430"/>
        <v>0</v>
      </c>
      <c r="I886" s="9">
        <f t="shared" si="409"/>
        <v>0</v>
      </c>
      <c r="J886" s="9">
        <v>0</v>
      </c>
    </row>
    <row r="887" spans="1:10" ht="25.5">
      <c r="A887" s="8" t="s">
        <v>64</v>
      </c>
      <c r="B887" s="1" t="s">
        <v>579</v>
      </c>
      <c r="C887" s="1" t="s">
        <v>65</v>
      </c>
      <c r="D887" s="9">
        <v>433.8</v>
      </c>
      <c r="E887" s="9">
        <f>E888</f>
        <v>433.8</v>
      </c>
      <c r="F887" s="9">
        <f t="shared" si="430"/>
        <v>0</v>
      </c>
      <c r="G887" s="9">
        <f t="shared" si="430"/>
        <v>0</v>
      </c>
      <c r="H887" s="9">
        <f t="shared" si="430"/>
        <v>0</v>
      </c>
      <c r="I887" s="9">
        <f t="shared" si="409"/>
        <v>0</v>
      </c>
      <c r="J887" s="9">
        <v>0</v>
      </c>
    </row>
    <row r="888" spans="1:10" ht="25.5">
      <c r="A888" s="8" t="s">
        <v>66</v>
      </c>
      <c r="B888" s="1" t="s">
        <v>579</v>
      </c>
      <c r="C888" s="1" t="s">
        <v>67</v>
      </c>
      <c r="D888" s="9">
        <v>433.8</v>
      </c>
      <c r="E888" s="9">
        <f>ведомство!H1299</f>
        <v>433.8</v>
      </c>
      <c r="F888" s="9">
        <f>ведомство!I1299</f>
        <v>0</v>
      </c>
      <c r="G888" s="9">
        <f>ведомство!J1299</f>
        <v>0</v>
      </c>
      <c r="H888" s="9">
        <f>ведомство!K1299</f>
        <v>0</v>
      </c>
      <c r="I888" s="9">
        <f t="shared" si="409"/>
        <v>0</v>
      </c>
      <c r="J888" s="9">
        <v>0</v>
      </c>
    </row>
    <row r="889" spans="1:10" ht="38.25">
      <c r="A889" s="8" t="s">
        <v>580</v>
      </c>
      <c r="B889" s="1" t="s">
        <v>581</v>
      </c>
      <c r="C889" s="1" t="s">
        <v>0</v>
      </c>
      <c r="D889" s="9">
        <v>3000</v>
      </c>
      <c r="E889" s="9">
        <f>E890</f>
        <v>3000</v>
      </c>
      <c r="F889" s="9">
        <f t="shared" ref="F889:H890" si="431">F890</f>
        <v>1000</v>
      </c>
      <c r="G889" s="9">
        <f t="shared" si="431"/>
        <v>1000</v>
      </c>
      <c r="H889" s="9">
        <f t="shared" si="431"/>
        <v>1000</v>
      </c>
      <c r="I889" s="9">
        <f t="shared" si="409"/>
        <v>33.333333333333329</v>
      </c>
      <c r="J889" s="9">
        <f t="shared" si="410"/>
        <v>100</v>
      </c>
    </row>
    <row r="890" spans="1:10">
      <c r="A890" s="8" t="s">
        <v>72</v>
      </c>
      <c r="B890" s="1" t="s">
        <v>581</v>
      </c>
      <c r="C890" s="1" t="s">
        <v>73</v>
      </c>
      <c r="D890" s="9">
        <v>3000</v>
      </c>
      <c r="E890" s="9">
        <f>E891</f>
        <v>3000</v>
      </c>
      <c r="F890" s="9">
        <f t="shared" si="431"/>
        <v>1000</v>
      </c>
      <c r="G890" s="9">
        <f t="shared" si="431"/>
        <v>1000</v>
      </c>
      <c r="H890" s="9">
        <f t="shared" si="431"/>
        <v>1000</v>
      </c>
      <c r="I890" s="9">
        <f t="shared" si="409"/>
        <v>33.333333333333329</v>
      </c>
      <c r="J890" s="9">
        <f t="shared" si="410"/>
        <v>100</v>
      </c>
    </row>
    <row r="891" spans="1:10" ht="38.25">
      <c r="A891" s="8" t="s">
        <v>218</v>
      </c>
      <c r="B891" s="1" t="s">
        <v>581</v>
      </c>
      <c r="C891" s="1" t="s">
        <v>219</v>
      </c>
      <c r="D891" s="9">
        <v>3000</v>
      </c>
      <c r="E891" s="9">
        <f>ведомство!H1302</f>
        <v>3000</v>
      </c>
      <c r="F891" s="9">
        <f>ведомство!I1302</f>
        <v>1000</v>
      </c>
      <c r="G891" s="9">
        <f>ведомство!J1302</f>
        <v>1000</v>
      </c>
      <c r="H891" s="9">
        <f>ведомство!K1302</f>
        <v>1000</v>
      </c>
      <c r="I891" s="9">
        <f t="shared" ref="I891:I962" si="432">H891/E891*100</f>
        <v>33.333333333333329</v>
      </c>
      <c r="J891" s="9">
        <f t="shared" ref="J891:J962" si="433">H891/F891*100</f>
        <v>100</v>
      </c>
    </row>
    <row r="892" spans="1:10" ht="38.25">
      <c r="A892" s="8" t="s">
        <v>582</v>
      </c>
      <c r="B892" s="1" t="s">
        <v>583</v>
      </c>
      <c r="C892" s="1" t="s">
        <v>0</v>
      </c>
      <c r="D892" s="9">
        <v>100</v>
      </c>
      <c r="E892" s="9">
        <f>E893</f>
        <v>100</v>
      </c>
      <c r="F892" s="9">
        <f t="shared" ref="F892:H893" si="434">F893</f>
        <v>0</v>
      </c>
      <c r="G892" s="9">
        <f t="shared" si="434"/>
        <v>0</v>
      </c>
      <c r="H892" s="9">
        <f t="shared" si="434"/>
        <v>0</v>
      </c>
      <c r="I892" s="9">
        <f t="shared" si="432"/>
        <v>0</v>
      </c>
      <c r="J892" s="9">
        <v>0</v>
      </c>
    </row>
    <row r="893" spans="1:10">
      <c r="A893" s="8" t="s">
        <v>72</v>
      </c>
      <c r="B893" s="1" t="s">
        <v>583</v>
      </c>
      <c r="C893" s="1" t="s">
        <v>73</v>
      </c>
      <c r="D893" s="9">
        <v>100</v>
      </c>
      <c r="E893" s="9">
        <f>E894</f>
        <v>100</v>
      </c>
      <c r="F893" s="9">
        <f t="shared" si="434"/>
        <v>0</v>
      </c>
      <c r="G893" s="9">
        <f t="shared" si="434"/>
        <v>0</v>
      </c>
      <c r="H893" s="9">
        <f t="shared" si="434"/>
        <v>0</v>
      </c>
      <c r="I893" s="9">
        <f t="shared" si="432"/>
        <v>0</v>
      </c>
      <c r="J893" s="9">
        <v>0</v>
      </c>
    </row>
    <row r="894" spans="1:10" ht="38.25">
      <c r="A894" s="8" t="s">
        <v>218</v>
      </c>
      <c r="B894" s="1" t="s">
        <v>583</v>
      </c>
      <c r="C894" s="1" t="s">
        <v>219</v>
      </c>
      <c r="D894" s="9">
        <v>100</v>
      </c>
      <c r="E894" s="9">
        <f>ведомство!H1305</f>
        <v>100</v>
      </c>
      <c r="F894" s="9">
        <f>ведомство!I1305</f>
        <v>0</v>
      </c>
      <c r="G894" s="9">
        <f>ведомство!J1305</f>
        <v>0</v>
      </c>
      <c r="H894" s="9">
        <f>ведомство!K1305</f>
        <v>0</v>
      </c>
      <c r="I894" s="9">
        <f t="shared" si="432"/>
        <v>0</v>
      </c>
      <c r="J894" s="9">
        <v>0</v>
      </c>
    </row>
    <row r="895" spans="1:10" ht="89.25">
      <c r="A895" s="8" t="s">
        <v>584</v>
      </c>
      <c r="B895" s="1" t="s">
        <v>585</v>
      </c>
      <c r="C895" s="1" t="s">
        <v>0</v>
      </c>
      <c r="D895" s="9">
        <v>100</v>
      </c>
      <c r="E895" s="9">
        <f>E896</f>
        <v>100</v>
      </c>
      <c r="F895" s="9">
        <f t="shared" ref="F895:H896" si="435">F896</f>
        <v>0</v>
      </c>
      <c r="G895" s="9">
        <f t="shared" si="435"/>
        <v>0</v>
      </c>
      <c r="H895" s="9">
        <f t="shared" si="435"/>
        <v>0</v>
      </c>
      <c r="I895" s="9">
        <f t="shared" si="432"/>
        <v>0</v>
      </c>
      <c r="J895" s="9">
        <v>0</v>
      </c>
    </row>
    <row r="896" spans="1:10">
      <c r="A896" s="8" t="s">
        <v>72</v>
      </c>
      <c r="B896" s="1" t="s">
        <v>585</v>
      </c>
      <c r="C896" s="1" t="s">
        <v>73</v>
      </c>
      <c r="D896" s="9">
        <v>100</v>
      </c>
      <c r="E896" s="9">
        <f>E897</f>
        <v>100</v>
      </c>
      <c r="F896" s="9">
        <f t="shared" si="435"/>
        <v>0</v>
      </c>
      <c r="G896" s="9">
        <f t="shared" si="435"/>
        <v>0</v>
      </c>
      <c r="H896" s="9">
        <f t="shared" si="435"/>
        <v>0</v>
      </c>
      <c r="I896" s="9">
        <f t="shared" si="432"/>
        <v>0</v>
      </c>
      <c r="J896" s="9">
        <v>0</v>
      </c>
    </row>
    <row r="897" spans="1:10" ht="38.25">
      <c r="A897" s="8" t="s">
        <v>218</v>
      </c>
      <c r="B897" s="1" t="s">
        <v>585</v>
      </c>
      <c r="C897" s="1" t="s">
        <v>219</v>
      </c>
      <c r="D897" s="9">
        <v>100</v>
      </c>
      <c r="E897" s="9">
        <f>ведомство!H1308</f>
        <v>100</v>
      </c>
      <c r="F897" s="9">
        <f>ведомство!I1308</f>
        <v>0</v>
      </c>
      <c r="G897" s="9">
        <f>ведомство!J1308</f>
        <v>0</v>
      </c>
      <c r="H897" s="9">
        <f>ведомство!K1308</f>
        <v>0</v>
      </c>
      <c r="I897" s="9">
        <f t="shared" si="432"/>
        <v>0</v>
      </c>
      <c r="J897" s="9">
        <v>0</v>
      </c>
    </row>
    <row r="898" spans="1:10">
      <c r="A898" s="4" t="s">
        <v>0</v>
      </c>
      <c r="B898" s="17" t="s">
        <v>0</v>
      </c>
      <c r="C898" s="5" t="s">
        <v>0</v>
      </c>
      <c r="D898" s="7" t="s">
        <v>0</v>
      </c>
      <c r="E898" s="7" t="s">
        <v>0</v>
      </c>
      <c r="F898" s="7"/>
      <c r="G898" s="7"/>
      <c r="H898" s="7"/>
      <c r="I898" s="7"/>
      <c r="J898" s="7"/>
    </row>
    <row r="899" spans="1:10" ht="25.5">
      <c r="A899" s="4" t="s">
        <v>22</v>
      </c>
      <c r="B899" s="5" t="s">
        <v>486</v>
      </c>
      <c r="C899" s="5" t="s">
        <v>0</v>
      </c>
      <c r="D899" s="7">
        <v>242272.5</v>
      </c>
      <c r="E899" s="7">
        <f>E900+E903+E914</f>
        <v>242272.5</v>
      </c>
      <c r="F899" s="7">
        <f t="shared" ref="F899:H899" si="436">F900+F903+F914</f>
        <v>111186.62228000001</v>
      </c>
      <c r="G899" s="7">
        <f t="shared" si="436"/>
        <v>111060.82228000001</v>
      </c>
      <c r="H899" s="7">
        <f t="shared" si="436"/>
        <v>107817.59577000001</v>
      </c>
      <c r="I899" s="7">
        <f t="shared" si="432"/>
        <v>44.50261411014457</v>
      </c>
      <c r="J899" s="7">
        <f t="shared" si="433"/>
        <v>96.969935374495137</v>
      </c>
    </row>
    <row r="900" spans="1:10" ht="25.5">
      <c r="A900" s="8" t="s">
        <v>487</v>
      </c>
      <c r="B900" s="1" t="s">
        <v>488</v>
      </c>
      <c r="C900" s="1" t="s">
        <v>0</v>
      </c>
      <c r="D900" s="9">
        <v>17116</v>
      </c>
      <c r="E900" s="9">
        <f>E901</f>
        <v>17116</v>
      </c>
      <c r="F900" s="9">
        <f t="shared" ref="F900:H901" si="437">F901</f>
        <v>161.69999999999999</v>
      </c>
      <c r="G900" s="9">
        <f t="shared" si="437"/>
        <v>161.69999999999999</v>
      </c>
      <c r="H900" s="9">
        <f t="shared" si="437"/>
        <v>70.3</v>
      </c>
      <c r="I900" s="9">
        <f t="shared" si="432"/>
        <v>0.41072680532834771</v>
      </c>
      <c r="J900" s="9">
        <f t="shared" si="433"/>
        <v>43.475572047000618</v>
      </c>
    </row>
    <row r="901" spans="1:10">
      <c r="A901" s="8" t="s">
        <v>26</v>
      </c>
      <c r="B901" s="1" t="s">
        <v>488</v>
      </c>
      <c r="C901" s="1" t="s">
        <v>27</v>
      </c>
      <c r="D901" s="9">
        <v>17116</v>
      </c>
      <c r="E901" s="9">
        <f>E902</f>
        <v>17116</v>
      </c>
      <c r="F901" s="9">
        <f t="shared" si="437"/>
        <v>161.69999999999999</v>
      </c>
      <c r="G901" s="9">
        <f t="shared" si="437"/>
        <v>161.69999999999999</v>
      </c>
      <c r="H901" s="9">
        <f t="shared" si="437"/>
        <v>70.3</v>
      </c>
      <c r="I901" s="9">
        <f t="shared" si="432"/>
        <v>0.41072680532834771</v>
      </c>
      <c r="J901" s="9">
        <f t="shared" si="433"/>
        <v>43.475572047000618</v>
      </c>
    </row>
    <row r="902" spans="1:10">
      <c r="A902" s="8" t="s">
        <v>28</v>
      </c>
      <c r="B902" s="1" t="s">
        <v>488</v>
      </c>
      <c r="C902" s="1" t="s">
        <v>29</v>
      </c>
      <c r="D902" s="9">
        <v>17116</v>
      </c>
      <c r="E902" s="9">
        <f>ведомство!H1120</f>
        <v>17116</v>
      </c>
      <c r="F902" s="9">
        <f>ведомство!I1120</f>
        <v>161.69999999999999</v>
      </c>
      <c r="G902" s="9">
        <f>ведомство!J1120</f>
        <v>161.69999999999999</v>
      </c>
      <c r="H902" s="9">
        <f>ведомство!K1120</f>
        <v>70.3</v>
      </c>
      <c r="I902" s="9">
        <f t="shared" si="432"/>
        <v>0.41072680532834771</v>
      </c>
      <c r="J902" s="9">
        <f t="shared" si="433"/>
        <v>43.475572047000618</v>
      </c>
    </row>
    <row r="903" spans="1:10" ht="25.5">
      <c r="A903" s="8" t="s">
        <v>58</v>
      </c>
      <c r="B903" s="1" t="s">
        <v>586</v>
      </c>
      <c r="C903" s="1" t="s">
        <v>0</v>
      </c>
      <c r="D903" s="9">
        <v>57534.7</v>
      </c>
      <c r="E903" s="9">
        <f>E904+E906+E908+E911</f>
        <v>57534.69999999999</v>
      </c>
      <c r="F903" s="9">
        <f t="shared" ref="F903:H903" si="438">F904+F906+F908+F911</f>
        <v>29360.022280000005</v>
      </c>
      <c r="G903" s="9">
        <f t="shared" si="438"/>
        <v>29234.222280000002</v>
      </c>
      <c r="H903" s="9">
        <f t="shared" si="438"/>
        <v>26082.395769999999</v>
      </c>
      <c r="I903" s="9">
        <f t="shared" si="432"/>
        <v>45.333330616132535</v>
      </c>
      <c r="J903" s="9">
        <f t="shared" si="433"/>
        <v>88.836430440201951</v>
      </c>
    </row>
    <row r="904" spans="1:10" ht="51">
      <c r="A904" s="8" t="s">
        <v>60</v>
      </c>
      <c r="B904" s="1" t="s">
        <v>586</v>
      </c>
      <c r="C904" s="1" t="s">
        <v>61</v>
      </c>
      <c r="D904" s="9">
        <v>55450.1</v>
      </c>
      <c r="E904" s="9">
        <f>E905</f>
        <v>55380.188299999994</v>
      </c>
      <c r="F904" s="9">
        <f t="shared" ref="F904:H904" si="439">F905</f>
        <v>28114.688300000002</v>
      </c>
      <c r="G904" s="9">
        <f t="shared" si="439"/>
        <v>28114.688300000002</v>
      </c>
      <c r="H904" s="9">
        <f t="shared" si="439"/>
        <v>25084.061890000001</v>
      </c>
      <c r="I904" s="9">
        <f t="shared" si="432"/>
        <v>45.294287831087068</v>
      </c>
      <c r="J904" s="9">
        <f t="shared" si="433"/>
        <v>89.220487249719923</v>
      </c>
    </row>
    <row r="905" spans="1:10" ht="25.5">
      <c r="A905" s="8" t="s">
        <v>62</v>
      </c>
      <c r="B905" s="1" t="s">
        <v>586</v>
      </c>
      <c r="C905" s="1" t="s">
        <v>63</v>
      </c>
      <c r="D905" s="9">
        <v>55450.1</v>
      </c>
      <c r="E905" s="9">
        <f>ведомство!H1312+ведомство!H2726</f>
        <v>55380.188299999994</v>
      </c>
      <c r="F905" s="9">
        <f>ведомство!I1312+ведомство!I2726</f>
        <v>28114.688300000002</v>
      </c>
      <c r="G905" s="9">
        <f>ведомство!J1312+ведомство!J2726</f>
        <v>28114.688300000002</v>
      </c>
      <c r="H905" s="9">
        <f>ведомство!K1312+ведомство!K2726</f>
        <v>25084.061890000001</v>
      </c>
      <c r="I905" s="9">
        <f t="shared" si="432"/>
        <v>45.294287831087068</v>
      </c>
      <c r="J905" s="9">
        <f t="shared" si="433"/>
        <v>89.220487249719923</v>
      </c>
    </row>
    <row r="906" spans="1:10" ht="25.5">
      <c r="A906" s="8" t="s">
        <v>64</v>
      </c>
      <c r="B906" s="1" t="s">
        <v>586</v>
      </c>
      <c r="C906" s="1" t="s">
        <v>65</v>
      </c>
      <c r="D906" s="9">
        <v>2012.6</v>
      </c>
      <c r="E906" s="9">
        <f>E907</f>
        <v>2012.6000000000001</v>
      </c>
      <c r="F906" s="9">
        <f t="shared" ref="F906:H906" si="440">F907</f>
        <v>1165.3999999999999</v>
      </c>
      <c r="G906" s="9">
        <f t="shared" si="440"/>
        <v>1039.5999999999999</v>
      </c>
      <c r="H906" s="9">
        <f t="shared" si="440"/>
        <v>918.40970000000004</v>
      </c>
      <c r="I906" s="9">
        <f t="shared" si="432"/>
        <v>45.632997118155615</v>
      </c>
      <c r="J906" s="9">
        <f t="shared" si="433"/>
        <v>78.806392654882458</v>
      </c>
    </row>
    <row r="907" spans="1:10" ht="25.5">
      <c r="A907" s="8" t="s">
        <v>66</v>
      </c>
      <c r="B907" s="1" t="s">
        <v>586</v>
      </c>
      <c r="C907" s="1" t="s">
        <v>67</v>
      </c>
      <c r="D907" s="9">
        <v>2012.6</v>
      </c>
      <c r="E907" s="9">
        <f>ведомство!H1314+ведомство!H2728</f>
        <v>2012.6000000000001</v>
      </c>
      <c r="F907" s="9">
        <f>ведомство!I1314+ведомство!I2728</f>
        <v>1165.3999999999999</v>
      </c>
      <c r="G907" s="9">
        <f>ведомство!J1314+ведомство!J2728</f>
        <v>1039.5999999999999</v>
      </c>
      <c r="H907" s="9">
        <f>ведомство!K1314+ведомство!K2728</f>
        <v>918.40970000000004</v>
      </c>
      <c r="I907" s="9">
        <f t="shared" si="432"/>
        <v>45.632997118155615</v>
      </c>
      <c r="J907" s="9">
        <f t="shared" si="433"/>
        <v>78.806392654882458</v>
      </c>
    </row>
    <row r="908" spans="1:10">
      <c r="A908" s="8" t="s">
        <v>68</v>
      </c>
      <c r="B908" s="1" t="s">
        <v>586</v>
      </c>
      <c r="C908" s="1" t="s">
        <v>69</v>
      </c>
      <c r="D908" s="9">
        <v>60</v>
      </c>
      <c r="E908" s="9">
        <f>E910+E909</f>
        <v>129.90438</v>
      </c>
      <c r="F908" s="9">
        <f t="shared" ref="F908:H908" si="441">F910+F909</f>
        <v>69.904380000000003</v>
      </c>
      <c r="G908" s="9">
        <f t="shared" si="441"/>
        <v>69.904380000000003</v>
      </c>
      <c r="H908" s="9">
        <f t="shared" si="441"/>
        <v>69.904380000000003</v>
      </c>
      <c r="I908" s="9">
        <f t="shared" si="432"/>
        <v>53.812180928772378</v>
      </c>
      <c r="J908" s="9">
        <f t="shared" si="433"/>
        <v>100</v>
      </c>
    </row>
    <row r="909" spans="1:10" s="43" customFormat="1" ht="25.5">
      <c r="A909" s="8" t="s">
        <v>151</v>
      </c>
      <c r="B909" s="1" t="s">
        <v>586</v>
      </c>
      <c r="C909" s="1">
        <v>320</v>
      </c>
      <c r="D909" s="9"/>
      <c r="E909" s="9">
        <f>ведомство!H1316</f>
        <v>69.904380000000003</v>
      </c>
      <c r="F909" s="9">
        <f>ведомство!I1316</f>
        <v>69.904380000000003</v>
      </c>
      <c r="G909" s="9">
        <f>ведомство!J1316</f>
        <v>69.904380000000003</v>
      </c>
      <c r="H909" s="9">
        <f>ведомство!K1316</f>
        <v>69.904380000000003</v>
      </c>
      <c r="I909" s="9"/>
      <c r="J909" s="9"/>
    </row>
    <row r="910" spans="1:10">
      <c r="A910" s="8" t="s">
        <v>70</v>
      </c>
      <c r="B910" s="1" t="s">
        <v>586</v>
      </c>
      <c r="C910" s="1" t="s">
        <v>71</v>
      </c>
      <c r="D910" s="9">
        <v>60</v>
      </c>
      <c r="E910" s="9">
        <f>ведомство!H1317</f>
        <v>60</v>
      </c>
      <c r="F910" s="9">
        <f>ведомство!I1317</f>
        <v>0</v>
      </c>
      <c r="G910" s="9">
        <f>ведомство!J1317</f>
        <v>0</v>
      </c>
      <c r="H910" s="9">
        <f>ведомство!K1317</f>
        <v>0</v>
      </c>
      <c r="I910" s="9">
        <f t="shared" si="432"/>
        <v>0</v>
      </c>
      <c r="J910" s="9">
        <v>0</v>
      </c>
    </row>
    <row r="911" spans="1:10">
      <c r="A911" s="8" t="s">
        <v>72</v>
      </c>
      <c r="B911" s="1" t="s">
        <v>586</v>
      </c>
      <c r="C911" s="1" t="s">
        <v>73</v>
      </c>
      <c r="D911" s="9">
        <v>12</v>
      </c>
      <c r="E911" s="9">
        <f>E913+E912</f>
        <v>12.00732</v>
      </c>
      <c r="F911" s="9">
        <f t="shared" ref="F911:H911" si="442">F913+F912</f>
        <v>10.0296</v>
      </c>
      <c r="G911" s="9">
        <f t="shared" si="442"/>
        <v>10.0296</v>
      </c>
      <c r="H911" s="9">
        <f t="shared" si="442"/>
        <v>10.0198</v>
      </c>
      <c r="I911" s="9">
        <f t="shared" si="432"/>
        <v>83.447430400788861</v>
      </c>
      <c r="J911" s="9">
        <f t="shared" si="433"/>
        <v>99.90228922389727</v>
      </c>
    </row>
    <row r="912" spans="1:10" s="43" customFormat="1">
      <c r="A912" s="8"/>
      <c r="B912" s="1"/>
      <c r="C912" s="1">
        <v>830</v>
      </c>
      <c r="D912" s="9"/>
      <c r="E912" s="9">
        <f>ведомство!H1319</f>
        <v>6.00732</v>
      </c>
      <c r="F912" s="9">
        <f>ведомство!I1319</f>
        <v>6.00732</v>
      </c>
      <c r="G912" s="9">
        <f>ведомство!J1319</f>
        <v>6.00732</v>
      </c>
      <c r="H912" s="9">
        <f>ведомство!K1319</f>
        <v>6</v>
      </c>
      <c r="I912" s="9"/>
      <c r="J912" s="9"/>
    </row>
    <row r="913" spans="1:10">
      <c r="A913" s="8" t="s">
        <v>74</v>
      </c>
      <c r="B913" s="1" t="s">
        <v>586</v>
      </c>
      <c r="C913" s="1" t="s">
        <v>75</v>
      </c>
      <c r="D913" s="9">
        <v>12</v>
      </c>
      <c r="E913" s="9">
        <f>ведомство!H1320</f>
        <v>6</v>
      </c>
      <c r="F913" s="9">
        <f>ведомство!I1320</f>
        <v>4.0222800000000003</v>
      </c>
      <c r="G913" s="9">
        <f>ведомство!J1320</f>
        <v>4.0222800000000003</v>
      </c>
      <c r="H913" s="9">
        <f>ведомство!K1320</f>
        <v>4.0198</v>
      </c>
      <c r="I913" s="9">
        <f t="shared" si="432"/>
        <v>66.99666666666667</v>
      </c>
      <c r="J913" s="9">
        <f t="shared" si="433"/>
        <v>99.938343427110993</v>
      </c>
    </row>
    <row r="914" spans="1:10" ht="25.5">
      <c r="A914" s="8" t="s">
        <v>76</v>
      </c>
      <c r="B914" s="1" t="s">
        <v>587</v>
      </c>
      <c r="C914" s="1" t="s">
        <v>0</v>
      </c>
      <c r="D914" s="9">
        <v>167621.79999999999</v>
      </c>
      <c r="E914" s="9">
        <f>E915</f>
        <v>167621.80000000002</v>
      </c>
      <c r="F914" s="9">
        <f t="shared" ref="F914:H915" si="443">F915</f>
        <v>81664.900000000009</v>
      </c>
      <c r="G914" s="9">
        <f t="shared" si="443"/>
        <v>81664.900000000009</v>
      </c>
      <c r="H914" s="9">
        <f t="shared" si="443"/>
        <v>81664.900000000009</v>
      </c>
      <c r="I914" s="9">
        <f t="shared" si="432"/>
        <v>48.719736931592429</v>
      </c>
      <c r="J914" s="9">
        <f t="shared" si="433"/>
        <v>100</v>
      </c>
    </row>
    <row r="915" spans="1:10" ht="25.5">
      <c r="A915" s="8" t="s">
        <v>80</v>
      </c>
      <c r="B915" s="1" t="s">
        <v>587</v>
      </c>
      <c r="C915" s="1" t="s">
        <v>81</v>
      </c>
      <c r="D915" s="9">
        <v>167621.79999999999</v>
      </c>
      <c r="E915" s="9">
        <f>E916</f>
        <v>167621.80000000002</v>
      </c>
      <c r="F915" s="9">
        <f t="shared" si="443"/>
        <v>81664.900000000009</v>
      </c>
      <c r="G915" s="9">
        <f t="shared" si="443"/>
        <v>81664.900000000009</v>
      </c>
      <c r="H915" s="9">
        <f t="shared" si="443"/>
        <v>81664.900000000009</v>
      </c>
      <c r="I915" s="9">
        <f t="shared" si="432"/>
        <v>48.719736931592429</v>
      </c>
      <c r="J915" s="9">
        <f t="shared" si="433"/>
        <v>100</v>
      </c>
    </row>
    <row r="916" spans="1:10">
      <c r="A916" s="8" t="s">
        <v>271</v>
      </c>
      <c r="B916" s="1" t="s">
        <v>587</v>
      </c>
      <c r="C916" s="1" t="s">
        <v>272</v>
      </c>
      <c r="D916" s="9">
        <v>167621.79999999999</v>
      </c>
      <c r="E916" s="9">
        <f>ведомство!H2731+ведомство!H1323</f>
        <v>167621.80000000002</v>
      </c>
      <c r="F916" s="9">
        <f>ведомство!I2731+ведомство!I1323</f>
        <v>81664.900000000009</v>
      </c>
      <c r="G916" s="9">
        <f>ведомство!J2731+ведомство!J1323</f>
        <v>81664.900000000009</v>
      </c>
      <c r="H916" s="9">
        <f>ведомство!K2731+ведомство!K1323</f>
        <v>81664.900000000009</v>
      </c>
      <c r="I916" s="9">
        <f t="shared" si="432"/>
        <v>48.719736931592429</v>
      </c>
      <c r="J916" s="9">
        <f t="shared" si="433"/>
        <v>100</v>
      </c>
    </row>
    <row r="917" spans="1:10">
      <c r="A917" s="4" t="s">
        <v>0</v>
      </c>
      <c r="B917" s="17" t="s">
        <v>0</v>
      </c>
      <c r="C917" s="5" t="s">
        <v>0</v>
      </c>
      <c r="D917" s="7" t="s">
        <v>0</v>
      </c>
      <c r="E917" s="7" t="s">
        <v>0</v>
      </c>
      <c r="F917" s="7"/>
      <c r="G917" s="7"/>
      <c r="H917" s="7"/>
      <c r="I917" s="7"/>
      <c r="J917" s="7"/>
    </row>
    <row r="918" spans="1:10" ht="25.5">
      <c r="A918" s="4" t="s">
        <v>588</v>
      </c>
      <c r="B918" s="5" t="s">
        <v>589</v>
      </c>
      <c r="C918" s="5" t="s">
        <v>0</v>
      </c>
      <c r="D918" s="7">
        <v>5000</v>
      </c>
      <c r="E918" s="7">
        <f>E919+E922</f>
        <v>46341</v>
      </c>
      <c r="F918" s="7">
        <f t="shared" ref="F918:H918" si="444">F919+F922</f>
        <v>0</v>
      </c>
      <c r="G918" s="7">
        <f t="shared" si="444"/>
        <v>0</v>
      </c>
      <c r="H918" s="7">
        <f t="shared" si="444"/>
        <v>0</v>
      </c>
      <c r="I918" s="7">
        <f t="shared" si="432"/>
        <v>0</v>
      </c>
      <c r="J918" s="7">
        <v>0</v>
      </c>
    </row>
    <row r="919" spans="1:10" s="43" customFormat="1" ht="38.25">
      <c r="A919" s="39" t="s">
        <v>1218</v>
      </c>
      <c r="B919" s="38" t="s">
        <v>1217</v>
      </c>
      <c r="C919" s="6"/>
      <c r="D919" s="7"/>
      <c r="E919" s="23">
        <f>E920</f>
        <v>41341</v>
      </c>
      <c r="F919" s="23">
        <f t="shared" ref="F919:H920" si="445">F920</f>
        <v>0</v>
      </c>
      <c r="G919" s="23">
        <f t="shared" si="445"/>
        <v>0</v>
      </c>
      <c r="H919" s="23">
        <f t="shared" si="445"/>
        <v>0</v>
      </c>
      <c r="I919" s="9">
        <f t="shared" ref="I919:I921" si="446">H919/E919*100</f>
        <v>0</v>
      </c>
      <c r="J919" s="9">
        <v>0</v>
      </c>
    </row>
    <row r="920" spans="1:10" s="43" customFormat="1">
      <c r="A920" s="8" t="s">
        <v>72</v>
      </c>
      <c r="B920" s="38" t="s">
        <v>1217</v>
      </c>
      <c r="C920" s="1" t="s">
        <v>73</v>
      </c>
      <c r="D920" s="7"/>
      <c r="E920" s="23">
        <f>E921</f>
        <v>41341</v>
      </c>
      <c r="F920" s="23">
        <f t="shared" si="445"/>
        <v>0</v>
      </c>
      <c r="G920" s="23">
        <f t="shared" si="445"/>
        <v>0</v>
      </c>
      <c r="H920" s="23">
        <f t="shared" si="445"/>
        <v>0</v>
      </c>
      <c r="I920" s="9">
        <f t="shared" si="446"/>
        <v>0</v>
      </c>
      <c r="J920" s="9">
        <v>0</v>
      </c>
    </row>
    <row r="921" spans="1:10" s="43" customFormat="1" ht="38.25">
      <c r="A921" s="8" t="s">
        <v>218</v>
      </c>
      <c r="B921" s="38" t="s">
        <v>1217</v>
      </c>
      <c r="C921" s="1" t="s">
        <v>219</v>
      </c>
      <c r="D921" s="7"/>
      <c r="E921" s="23">
        <f>ведомство!H1327</f>
        <v>41341</v>
      </c>
      <c r="F921" s="23">
        <f>ведомство!I1327</f>
        <v>0</v>
      </c>
      <c r="G921" s="23">
        <f>ведомство!J1327</f>
        <v>0</v>
      </c>
      <c r="H921" s="23">
        <f>ведомство!K1327</f>
        <v>0</v>
      </c>
      <c r="I921" s="9">
        <f t="shared" si="446"/>
        <v>0</v>
      </c>
      <c r="J921" s="9">
        <v>0</v>
      </c>
    </row>
    <row r="922" spans="1:10" ht="38.25">
      <c r="A922" s="8" t="s">
        <v>590</v>
      </c>
      <c r="B922" s="1" t="s">
        <v>591</v>
      </c>
      <c r="C922" s="1" t="s">
        <v>0</v>
      </c>
      <c r="D922" s="9">
        <v>5000</v>
      </c>
      <c r="E922" s="23">
        <f>E923</f>
        <v>5000</v>
      </c>
      <c r="F922" s="23">
        <f t="shared" ref="F922:H923" si="447">F923</f>
        <v>0</v>
      </c>
      <c r="G922" s="23">
        <f t="shared" si="447"/>
        <v>0</v>
      </c>
      <c r="H922" s="23">
        <f t="shared" si="447"/>
        <v>0</v>
      </c>
      <c r="I922" s="9">
        <f t="shared" si="432"/>
        <v>0</v>
      </c>
      <c r="J922" s="9">
        <v>0</v>
      </c>
    </row>
    <row r="923" spans="1:10">
      <c r="A923" s="8" t="s">
        <v>72</v>
      </c>
      <c r="B923" s="1" t="s">
        <v>591</v>
      </c>
      <c r="C923" s="1" t="s">
        <v>73</v>
      </c>
      <c r="D923" s="9">
        <v>5000</v>
      </c>
      <c r="E923" s="9">
        <f>E924</f>
        <v>5000</v>
      </c>
      <c r="F923" s="9">
        <f t="shared" si="447"/>
        <v>0</v>
      </c>
      <c r="G923" s="9">
        <f t="shared" si="447"/>
        <v>0</v>
      </c>
      <c r="H923" s="9">
        <f t="shared" si="447"/>
        <v>0</v>
      </c>
      <c r="I923" s="9">
        <f t="shared" si="432"/>
        <v>0</v>
      </c>
      <c r="J923" s="9">
        <v>0</v>
      </c>
    </row>
    <row r="924" spans="1:10" ht="38.25">
      <c r="A924" s="8" t="s">
        <v>218</v>
      </c>
      <c r="B924" s="1" t="s">
        <v>591</v>
      </c>
      <c r="C924" s="1" t="s">
        <v>219</v>
      </c>
      <c r="D924" s="9">
        <v>5000</v>
      </c>
      <c r="E924" s="9">
        <f>ведомство!H1330</f>
        <v>5000</v>
      </c>
      <c r="F924" s="9">
        <f>ведомство!I1330</f>
        <v>0</v>
      </c>
      <c r="G924" s="9">
        <f>ведомство!J1330</f>
        <v>0</v>
      </c>
      <c r="H924" s="9">
        <f>ведомство!K1330</f>
        <v>0</v>
      </c>
      <c r="I924" s="9">
        <f t="shared" si="432"/>
        <v>0</v>
      </c>
      <c r="J924" s="9">
        <v>0</v>
      </c>
    </row>
    <row r="925" spans="1:10">
      <c r="A925" s="4" t="s">
        <v>0</v>
      </c>
      <c r="B925" s="17" t="s">
        <v>0</v>
      </c>
      <c r="C925" s="5" t="s">
        <v>0</v>
      </c>
      <c r="D925" s="7" t="s">
        <v>0</v>
      </c>
      <c r="E925" s="7" t="s">
        <v>0</v>
      </c>
      <c r="F925" s="7"/>
      <c r="G925" s="7"/>
      <c r="H925" s="7"/>
      <c r="I925" s="7"/>
      <c r="J925" s="7"/>
    </row>
    <row r="926" spans="1:10" ht="51">
      <c r="A926" s="4" t="s">
        <v>20</v>
      </c>
      <c r="B926" s="5" t="s">
        <v>21</v>
      </c>
      <c r="C926" s="5" t="s">
        <v>0</v>
      </c>
      <c r="D926" s="7">
        <v>392775.6</v>
      </c>
      <c r="E926" s="7">
        <f>E927+E946+E957</f>
        <v>496438.24650999997</v>
      </c>
      <c r="F926" s="7">
        <f t="shared" ref="F926:H926" si="448">F927+F946+F957</f>
        <v>274922.75070000003</v>
      </c>
      <c r="G926" s="7">
        <f t="shared" si="448"/>
        <v>175360.36468</v>
      </c>
      <c r="H926" s="7">
        <f t="shared" si="448"/>
        <v>140775.89627999999</v>
      </c>
      <c r="I926" s="7">
        <f t="shared" si="432"/>
        <v>28.357181838761548</v>
      </c>
      <c r="J926" s="7">
        <f t="shared" si="433"/>
        <v>51.205619004451485</v>
      </c>
    </row>
    <row r="927" spans="1:10" ht="25.5">
      <c r="A927" s="4" t="s">
        <v>52</v>
      </c>
      <c r="B927" s="5" t="s">
        <v>53</v>
      </c>
      <c r="C927" s="5" t="s">
        <v>0</v>
      </c>
      <c r="D927" s="7">
        <v>169951.9</v>
      </c>
      <c r="E927" s="7">
        <f>E928+E933+E936+E939+E942</f>
        <v>169951.88499999998</v>
      </c>
      <c r="F927" s="7">
        <f t="shared" ref="F927:H927" si="449">F928+F933+F936+F939+F942</f>
        <v>33297.128530000002</v>
      </c>
      <c r="G927" s="7">
        <f t="shared" si="449"/>
        <v>33297.128530000002</v>
      </c>
      <c r="H927" s="7">
        <f t="shared" si="449"/>
        <v>33297.128530000002</v>
      </c>
      <c r="I927" s="7">
        <f t="shared" si="432"/>
        <v>19.592091332202642</v>
      </c>
      <c r="J927" s="7">
        <f t="shared" si="433"/>
        <v>100</v>
      </c>
    </row>
    <row r="928" spans="1:10" ht="25.5">
      <c r="A928" s="8" t="s">
        <v>95</v>
      </c>
      <c r="B928" s="1" t="s">
        <v>96</v>
      </c>
      <c r="C928" s="1" t="s">
        <v>0</v>
      </c>
      <c r="D928" s="9">
        <v>34243.4</v>
      </c>
      <c r="E928" s="9">
        <f>E929+E931</f>
        <v>34243.4</v>
      </c>
      <c r="F928" s="9">
        <f t="shared" ref="F928:H928" si="450">F929+F931</f>
        <v>5193.3059999999996</v>
      </c>
      <c r="G928" s="9">
        <f t="shared" si="450"/>
        <v>5193.3059999999996</v>
      </c>
      <c r="H928" s="9">
        <f t="shared" si="450"/>
        <v>5193.3059999999996</v>
      </c>
      <c r="I928" s="9">
        <f t="shared" si="432"/>
        <v>15.165859698511245</v>
      </c>
      <c r="J928" s="9">
        <f t="shared" si="433"/>
        <v>100</v>
      </c>
    </row>
    <row r="929" spans="1:10">
      <c r="A929" s="8" t="s">
        <v>68</v>
      </c>
      <c r="B929" s="1" t="s">
        <v>96</v>
      </c>
      <c r="C929" s="1" t="s">
        <v>69</v>
      </c>
      <c r="D929" s="9">
        <v>31243.4</v>
      </c>
      <c r="E929" s="9">
        <f>E930</f>
        <v>31243.4</v>
      </c>
      <c r="F929" s="9">
        <f t="shared" ref="F929:H929" si="451">F930</f>
        <v>5193.3059999999996</v>
      </c>
      <c r="G929" s="9">
        <f t="shared" si="451"/>
        <v>5193.3059999999996</v>
      </c>
      <c r="H929" s="9">
        <f t="shared" si="451"/>
        <v>5193.3059999999996</v>
      </c>
      <c r="I929" s="9">
        <f t="shared" si="432"/>
        <v>16.622089785362668</v>
      </c>
      <c r="J929" s="9">
        <f t="shared" si="433"/>
        <v>100</v>
      </c>
    </row>
    <row r="930" spans="1:10" ht="25.5">
      <c r="A930" s="8" t="s">
        <v>151</v>
      </c>
      <c r="B930" s="1" t="s">
        <v>96</v>
      </c>
      <c r="C930" s="1" t="s">
        <v>152</v>
      </c>
      <c r="D930" s="9">
        <v>31243.4</v>
      </c>
      <c r="E930" s="9">
        <f>ведомство!H192</f>
        <v>31243.4</v>
      </c>
      <c r="F930" s="9">
        <f>ведомство!I192</f>
        <v>5193.3059999999996</v>
      </c>
      <c r="G930" s="9">
        <f>ведомство!J192</f>
        <v>5193.3059999999996</v>
      </c>
      <c r="H930" s="9">
        <f>ведомство!K192</f>
        <v>5193.3059999999996</v>
      </c>
      <c r="I930" s="9">
        <f t="shared" si="432"/>
        <v>16.622089785362668</v>
      </c>
      <c r="J930" s="9">
        <f t="shared" si="433"/>
        <v>100</v>
      </c>
    </row>
    <row r="931" spans="1:10" ht="25.5">
      <c r="A931" s="8" t="s">
        <v>39</v>
      </c>
      <c r="B931" s="1" t="s">
        <v>96</v>
      </c>
      <c r="C931" s="1" t="s">
        <v>40</v>
      </c>
      <c r="D931" s="9">
        <v>3000</v>
      </c>
      <c r="E931" s="9">
        <f>E932</f>
        <v>3000</v>
      </c>
      <c r="F931" s="9">
        <f t="shared" ref="F931:H931" si="452">F932</f>
        <v>0</v>
      </c>
      <c r="G931" s="9">
        <f t="shared" si="452"/>
        <v>0</v>
      </c>
      <c r="H931" s="9">
        <f t="shared" si="452"/>
        <v>0</v>
      </c>
      <c r="I931" s="9">
        <f t="shared" si="432"/>
        <v>0</v>
      </c>
      <c r="J931" s="9">
        <v>0</v>
      </c>
    </row>
    <row r="932" spans="1:10">
      <c r="A932" s="8" t="s">
        <v>41</v>
      </c>
      <c r="B932" s="1" t="s">
        <v>96</v>
      </c>
      <c r="C932" s="1" t="s">
        <v>42</v>
      </c>
      <c r="D932" s="9">
        <v>3000</v>
      </c>
      <c r="E932" s="9">
        <f>ведомство!H82</f>
        <v>3000</v>
      </c>
      <c r="F932" s="9">
        <f>ведомство!I82</f>
        <v>0</v>
      </c>
      <c r="G932" s="9">
        <f>ведомство!J82</f>
        <v>0</v>
      </c>
      <c r="H932" s="9">
        <f>ведомство!K82</f>
        <v>0</v>
      </c>
      <c r="I932" s="9">
        <f t="shared" si="432"/>
        <v>0</v>
      </c>
      <c r="J932" s="9">
        <v>0</v>
      </c>
    </row>
    <row r="933" spans="1:10" ht="38.25">
      <c r="A933" s="8" t="s">
        <v>37</v>
      </c>
      <c r="B933" s="1" t="s">
        <v>97</v>
      </c>
      <c r="C933" s="1" t="s">
        <v>0</v>
      </c>
      <c r="D933" s="9">
        <v>102738.7</v>
      </c>
      <c r="E933" s="9">
        <f>E934</f>
        <v>102738.65</v>
      </c>
      <c r="F933" s="9">
        <f t="shared" ref="F933:H934" si="453">F934</f>
        <v>28103.822530000001</v>
      </c>
      <c r="G933" s="9">
        <f t="shared" si="453"/>
        <v>28103.822530000001</v>
      </c>
      <c r="H933" s="9">
        <f t="shared" si="453"/>
        <v>28103.822530000001</v>
      </c>
      <c r="I933" s="9">
        <f t="shared" si="432"/>
        <v>27.354673757149818</v>
      </c>
      <c r="J933" s="9">
        <f t="shared" si="433"/>
        <v>100</v>
      </c>
    </row>
    <row r="934" spans="1:10" ht="25.5">
      <c r="A934" s="8" t="s">
        <v>39</v>
      </c>
      <c r="B934" s="1" t="s">
        <v>97</v>
      </c>
      <c r="C934" s="1" t="s">
        <v>40</v>
      </c>
      <c r="D934" s="9">
        <v>102738.7</v>
      </c>
      <c r="E934" s="9">
        <f>E935</f>
        <v>102738.65</v>
      </c>
      <c r="F934" s="9">
        <f t="shared" si="453"/>
        <v>28103.822530000001</v>
      </c>
      <c r="G934" s="9">
        <f t="shared" si="453"/>
        <v>28103.822530000001</v>
      </c>
      <c r="H934" s="9">
        <f t="shared" si="453"/>
        <v>28103.822530000001</v>
      </c>
      <c r="I934" s="9">
        <f t="shared" si="432"/>
        <v>27.354673757149818</v>
      </c>
      <c r="J934" s="9">
        <f t="shared" si="433"/>
        <v>100</v>
      </c>
    </row>
    <row r="935" spans="1:10">
      <c r="A935" s="8" t="s">
        <v>41</v>
      </c>
      <c r="B935" s="1" t="s">
        <v>97</v>
      </c>
      <c r="C935" s="1" t="s">
        <v>42</v>
      </c>
      <c r="D935" s="9">
        <v>102738.7</v>
      </c>
      <c r="E935" s="9">
        <f>ведомство!H85+ведомство!H103</f>
        <v>102738.65</v>
      </c>
      <c r="F935" s="9">
        <f>ведомство!I85+ведомство!I103</f>
        <v>28103.822530000001</v>
      </c>
      <c r="G935" s="9">
        <f>ведомство!J85+ведомство!J103</f>
        <v>28103.822530000001</v>
      </c>
      <c r="H935" s="9">
        <f>ведомство!K85+ведомство!K103</f>
        <v>28103.822530000001</v>
      </c>
      <c r="I935" s="9">
        <f t="shared" si="432"/>
        <v>27.354673757149818</v>
      </c>
      <c r="J935" s="9">
        <f t="shared" si="433"/>
        <v>100</v>
      </c>
    </row>
    <row r="936" spans="1:10" ht="25.5">
      <c r="A936" s="8" t="s">
        <v>107</v>
      </c>
      <c r="B936" s="1" t="s">
        <v>108</v>
      </c>
      <c r="C936" s="1" t="s">
        <v>0</v>
      </c>
      <c r="D936" s="9">
        <v>28000</v>
      </c>
      <c r="E936" s="9">
        <f>E937</f>
        <v>28000</v>
      </c>
      <c r="F936" s="9">
        <f t="shared" ref="F936:H937" si="454">F937</f>
        <v>0</v>
      </c>
      <c r="G936" s="9">
        <f t="shared" si="454"/>
        <v>0</v>
      </c>
      <c r="H936" s="9">
        <f t="shared" si="454"/>
        <v>0</v>
      </c>
      <c r="I936" s="9">
        <f t="shared" si="432"/>
        <v>0</v>
      </c>
      <c r="J936" s="9">
        <v>0</v>
      </c>
    </row>
    <row r="937" spans="1:10">
      <c r="A937" s="8" t="s">
        <v>26</v>
      </c>
      <c r="B937" s="1" t="s">
        <v>108</v>
      </c>
      <c r="C937" s="1" t="s">
        <v>27</v>
      </c>
      <c r="D937" s="9">
        <v>28000</v>
      </c>
      <c r="E937" s="9">
        <f>E938</f>
        <v>28000</v>
      </c>
      <c r="F937" s="9">
        <f t="shared" si="454"/>
        <v>0</v>
      </c>
      <c r="G937" s="9">
        <f t="shared" si="454"/>
        <v>0</v>
      </c>
      <c r="H937" s="9">
        <f t="shared" si="454"/>
        <v>0</v>
      </c>
      <c r="I937" s="9">
        <f t="shared" si="432"/>
        <v>0</v>
      </c>
      <c r="J937" s="9">
        <v>0</v>
      </c>
    </row>
    <row r="938" spans="1:10">
      <c r="A938" s="8" t="s">
        <v>56</v>
      </c>
      <c r="B938" s="1" t="s">
        <v>108</v>
      </c>
      <c r="C938" s="1" t="s">
        <v>57</v>
      </c>
      <c r="D938" s="9">
        <v>28000</v>
      </c>
      <c r="E938" s="9">
        <f>ведомство!H106</f>
        <v>28000</v>
      </c>
      <c r="F938" s="9">
        <f>ведомство!I106</f>
        <v>0</v>
      </c>
      <c r="G938" s="9">
        <f>ведомство!J106</f>
        <v>0</v>
      </c>
      <c r="H938" s="9">
        <f>ведомство!K106</f>
        <v>0</v>
      </c>
      <c r="I938" s="9">
        <f t="shared" si="432"/>
        <v>0</v>
      </c>
      <c r="J938" s="9">
        <v>0</v>
      </c>
    </row>
    <row r="939" spans="1:10" ht="38.25">
      <c r="A939" s="8" t="s">
        <v>854</v>
      </c>
      <c r="B939" s="1" t="s">
        <v>855</v>
      </c>
      <c r="C939" s="1" t="s">
        <v>0</v>
      </c>
      <c r="D939" s="9">
        <v>4000</v>
      </c>
      <c r="E939" s="9">
        <f>E940</f>
        <v>4000</v>
      </c>
      <c r="F939" s="9">
        <f t="shared" ref="F939:H940" si="455">F940</f>
        <v>0</v>
      </c>
      <c r="G939" s="9">
        <f t="shared" si="455"/>
        <v>0</v>
      </c>
      <c r="H939" s="9">
        <f t="shared" si="455"/>
        <v>0</v>
      </c>
      <c r="I939" s="9">
        <f t="shared" si="432"/>
        <v>0</v>
      </c>
      <c r="J939" s="9">
        <v>0</v>
      </c>
    </row>
    <row r="940" spans="1:10">
      <c r="A940" s="8" t="s">
        <v>68</v>
      </c>
      <c r="B940" s="1" t="s">
        <v>855</v>
      </c>
      <c r="C940" s="1" t="s">
        <v>69</v>
      </c>
      <c r="D940" s="9">
        <v>4000</v>
      </c>
      <c r="E940" s="9">
        <f>E941</f>
        <v>4000</v>
      </c>
      <c r="F940" s="9">
        <f t="shared" si="455"/>
        <v>0</v>
      </c>
      <c r="G940" s="9">
        <f t="shared" si="455"/>
        <v>0</v>
      </c>
      <c r="H940" s="9">
        <f t="shared" si="455"/>
        <v>0</v>
      </c>
      <c r="I940" s="9">
        <f t="shared" si="432"/>
        <v>0</v>
      </c>
      <c r="J940" s="9">
        <v>0</v>
      </c>
    </row>
    <row r="941" spans="1:10" ht="25.5">
      <c r="A941" s="8" t="s">
        <v>151</v>
      </c>
      <c r="B941" s="1" t="s">
        <v>855</v>
      </c>
      <c r="C941" s="1" t="s">
        <v>152</v>
      </c>
      <c r="D941" s="9">
        <v>4000</v>
      </c>
      <c r="E941" s="9">
        <f>ведомство!H1940</f>
        <v>4000</v>
      </c>
      <c r="F941" s="9">
        <f>ведомство!I1940</f>
        <v>0</v>
      </c>
      <c r="G941" s="9">
        <f>ведомство!J1940</f>
        <v>0</v>
      </c>
      <c r="H941" s="9">
        <f>ведомство!K1940</f>
        <v>0</v>
      </c>
      <c r="I941" s="9">
        <f t="shared" si="432"/>
        <v>0</v>
      </c>
      <c r="J941" s="9">
        <v>0</v>
      </c>
    </row>
    <row r="942" spans="1:10">
      <c r="A942" s="8" t="s">
        <v>54</v>
      </c>
      <c r="B942" s="1" t="s">
        <v>55</v>
      </c>
      <c r="C942" s="1" t="s">
        <v>0</v>
      </c>
      <c r="D942" s="9">
        <v>969.8</v>
      </c>
      <c r="E942" s="9">
        <f>E943</f>
        <v>969.83500000000004</v>
      </c>
      <c r="F942" s="9">
        <f t="shared" ref="F942:H943" si="456">F943</f>
        <v>0</v>
      </c>
      <c r="G942" s="9">
        <f t="shared" si="456"/>
        <v>0</v>
      </c>
      <c r="H942" s="9">
        <f t="shared" si="456"/>
        <v>0</v>
      </c>
      <c r="I942" s="9">
        <f t="shared" si="432"/>
        <v>0</v>
      </c>
      <c r="J942" s="9">
        <v>0</v>
      </c>
    </row>
    <row r="943" spans="1:10">
      <c r="A943" s="8" t="s">
        <v>26</v>
      </c>
      <c r="B943" s="1" t="s">
        <v>55</v>
      </c>
      <c r="C943" s="1" t="s">
        <v>27</v>
      </c>
      <c r="D943" s="9">
        <v>969.8</v>
      </c>
      <c r="E943" s="9">
        <f>E944</f>
        <v>969.83500000000004</v>
      </c>
      <c r="F943" s="9">
        <f t="shared" si="456"/>
        <v>0</v>
      </c>
      <c r="G943" s="9">
        <f t="shared" si="456"/>
        <v>0</v>
      </c>
      <c r="H943" s="9">
        <f t="shared" si="456"/>
        <v>0</v>
      </c>
      <c r="I943" s="9">
        <f t="shared" si="432"/>
        <v>0</v>
      </c>
      <c r="J943" s="9">
        <v>0</v>
      </c>
    </row>
    <row r="944" spans="1:10">
      <c r="A944" s="8" t="s">
        <v>56</v>
      </c>
      <c r="B944" s="1" t="s">
        <v>55</v>
      </c>
      <c r="C944" s="1" t="s">
        <v>57</v>
      </c>
      <c r="D944" s="9">
        <v>969.8</v>
      </c>
      <c r="E944" s="9">
        <f>ведомство!H44</f>
        <v>969.83500000000004</v>
      </c>
      <c r="F944" s="9">
        <f>ведомство!I44</f>
        <v>0</v>
      </c>
      <c r="G944" s="9">
        <f>ведомство!J44</f>
        <v>0</v>
      </c>
      <c r="H944" s="9">
        <f>ведомство!K44</f>
        <v>0</v>
      </c>
      <c r="I944" s="9">
        <f t="shared" si="432"/>
        <v>0</v>
      </c>
      <c r="J944" s="9">
        <v>0</v>
      </c>
    </row>
    <row r="945" spans="1:10">
      <c r="A945" s="4" t="s">
        <v>0</v>
      </c>
      <c r="B945" s="17" t="s">
        <v>0</v>
      </c>
      <c r="C945" s="5" t="s">
        <v>0</v>
      </c>
      <c r="D945" s="7" t="s">
        <v>0</v>
      </c>
      <c r="E945" s="7" t="s">
        <v>0</v>
      </c>
      <c r="F945" s="7" t="s">
        <v>0</v>
      </c>
      <c r="G945" s="7" t="s">
        <v>0</v>
      </c>
      <c r="H945" s="7" t="s">
        <v>0</v>
      </c>
      <c r="I945" s="7"/>
      <c r="J945" s="7"/>
    </row>
    <row r="946" spans="1:10">
      <c r="A946" s="4" t="s">
        <v>995</v>
      </c>
      <c r="B946" s="5" t="s">
        <v>996</v>
      </c>
      <c r="C946" s="5" t="s">
        <v>0</v>
      </c>
      <c r="D946" s="7">
        <v>82412.899999999994</v>
      </c>
      <c r="E946" s="7">
        <f>E950+E953+E947</f>
        <v>189622.14867</v>
      </c>
      <c r="F946" s="7">
        <f t="shared" ref="F946:H946" si="457">F950+F953+F947</f>
        <v>172072.14867</v>
      </c>
      <c r="G946" s="7">
        <f t="shared" si="457"/>
        <v>72526.853650000005</v>
      </c>
      <c r="H946" s="7">
        <f t="shared" si="457"/>
        <v>47348.335510000004</v>
      </c>
      <c r="I946" s="7">
        <f t="shared" si="432"/>
        <v>24.969833873362788</v>
      </c>
      <c r="J946" s="7">
        <f t="shared" si="433"/>
        <v>27.516559696598346</v>
      </c>
    </row>
    <row r="947" spans="1:10" s="43" customFormat="1" ht="38.25">
      <c r="A947" s="8" t="s">
        <v>1213</v>
      </c>
      <c r="B947" s="25" t="s">
        <v>1212</v>
      </c>
      <c r="C947" s="6"/>
      <c r="D947" s="7"/>
      <c r="E947" s="23">
        <f>E948</f>
        <v>107209.29496</v>
      </c>
      <c r="F947" s="23">
        <f t="shared" ref="F947:H948" si="458">F948</f>
        <v>107209.29496</v>
      </c>
      <c r="G947" s="23">
        <f t="shared" si="458"/>
        <v>40397.714959999998</v>
      </c>
      <c r="H947" s="23">
        <f t="shared" si="458"/>
        <v>25876.035019999999</v>
      </c>
      <c r="I947" s="23">
        <f t="shared" ref="I947:I949" si="459">H947/E947*100</f>
        <v>24.135999616128807</v>
      </c>
      <c r="J947" s="23">
        <f t="shared" ref="J947:J949" si="460">H947/F947*100</f>
        <v>24.135999616128807</v>
      </c>
    </row>
    <row r="948" spans="1:10" s="43" customFormat="1">
      <c r="A948" s="8" t="s">
        <v>26</v>
      </c>
      <c r="B948" s="25" t="s">
        <v>1212</v>
      </c>
      <c r="C948" s="6">
        <v>500</v>
      </c>
      <c r="D948" s="7"/>
      <c r="E948" s="23">
        <f>E949</f>
        <v>107209.29496</v>
      </c>
      <c r="F948" s="23">
        <f t="shared" si="458"/>
        <v>107209.29496</v>
      </c>
      <c r="G948" s="23">
        <f t="shared" si="458"/>
        <v>40397.714959999998</v>
      </c>
      <c r="H948" s="23">
        <f t="shared" si="458"/>
        <v>25876.035019999999</v>
      </c>
      <c r="I948" s="23">
        <f t="shared" si="459"/>
        <v>24.135999616128807</v>
      </c>
      <c r="J948" s="23">
        <f t="shared" si="460"/>
        <v>24.135999616128807</v>
      </c>
    </row>
    <row r="949" spans="1:10" s="43" customFormat="1">
      <c r="A949" s="8" t="s">
        <v>56</v>
      </c>
      <c r="B949" s="25" t="s">
        <v>1212</v>
      </c>
      <c r="C949" s="6">
        <v>520</v>
      </c>
      <c r="D949" s="7"/>
      <c r="E949" s="23">
        <f>ведомство!H2396</f>
        <v>107209.29496</v>
      </c>
      <c r="F949" s="23">
        <f>ведомство!I2396</f>
        <v>107209.29496</v>
      </c>
      <c r="G949" s="23">
        <f>ведомство!J2396</f>
        <v>40397.714959999998</v>
      </c>
      <c r="H949" s="23">
        <f>ведомство!K2396</f>
        <v>25876.035019999999</v>
      </c>
      <c r="I949" s="23">
        <f t="shared" si="459"/>
        <v>24.135999616128807</v>
      </c>
      <c r="J949" s="23">
        <f t="shared" si="460"/>
        <v>24.135999616128807</v>
      </c>
    </row>
    <row r="950" spans="1:10" ht="25.5">
      <c r="A950" s="8" t="s">
        <v>774</v>
      </c>
      <c r="B950" s="1" t="s">
        <v>999</v>
      </c>
      <c r="C950" s="1" t="s">
        <v>0</v>
      </c>
      <c r="D950" s="9">
        <v>80</v>
      </c>
      <c r="E950" s="9">
        <f>E951</f>
        <v>80</v>
      </c>
      <c r="F950" s="9">
        <f t="shared" ref="F950:H951" si="461">F951</f>
        <v>0</v>
      </c>
      <c r="G950" s="9">
        <f t="shared" si="461"/>
        <v>0</v>
      </c>
      <c r="H950" s="9">
        <f t="shared" si="461"/>
        <v>0</v>
      </c>
      <c r="I950" s="9">
        <f t="shared" si="432"/>
        <v>0</v>
      </c>
      <c r="J950" s="9">
        <v>0</v>
      </c>
    </row>
    <row r="951" spans="1:10" ht="25.5">
      <c r="A951" s="8" t="s">
        <v>64</v>
      </c>
      <c r="B951" s="1" t="s">
        <v>999</v>
      </c>
      <c r="C951" s="1" t="s">
        <v>65</v>
      </c>
      <c r="D951" s="9">
        <v>80</v>
      </c>
      <c r="E951" s="9">
        <f>E952</f>
        <v>80</v>
      </c>
      <c r="F951" s="9">
        <f t="shared" si="461"/>
        <v>0</v>
      </c>
      <c r="G951" s="9">
        <f t="shared" si="461"/>
        <v>0</v>
      </c>
      <c r="H951" s="9">
        <f t="shared" si="461"/>
        <v>0</v>
      </c>
      <c r="I951" s="9">
        <f t="shared" si="432"/>
        <v>0</v>
      </c>
      <c r="J951" s="9">
        <v>0</v>
      </c>
    </row>
    <row r="952" spans="1:10" ht="25.5">
      <c r="A952" s="8" t="s">
        <v>66</v>
      </c>
      <c r="B952" s="1" t="s">
        <v>999</v>
      </c>
      <c r="C952" s="1" t="s">
        <v>67</v>
      </c>
      <c r="D952" s="9">
        <v>80</v>
      </c>
      <c r="E952" s="9">
        <f>ведомство!H2405</f>
        <v>80</v>
      </c>
      <c r="F952" s="9">
        <f>ведомство!I2405</f>
        <v>0</v>
      </c>
      <c r="G952" s="9">
        <f>ведомство!J2405</f>
        <v>0</v>
      </c>
      <c r="H952" s="9">
        <f>ведомство!K2405</f>
        <v>0</v>
      </c>
      <c r="I952" s="9">
        <f t="shared" si="432"/>
        <v>0</v>
      </c>
      <c r="J952" s="9">
        <v>0</v>
      </c>
    </row>
    <row r="953" spans="1:10" ht="38.25">
      <c r="A953" s="8" t="s">
        <v>997</v>
      </c>
      <c r="B953" s="1" t="s">
        <v>998</v>
      </c>
      <c r="C953" s="1" t="s">
        <v>0</v>
      </c>
      <c r="D953" s="9">
        <v>82332.899999999994</v>
      </c>
      <c r="E953" s="9">
        <f>E954</f>
        <v>82332.853709999996</v>
      </c>
      <c r="F953" s="9">
        <f t="shared" ref="F953:H954" si="462">F954</f>
        <v>64862.853710000003</v>
      </c>
      <c r="G953" s="9">
        <f t="shared" si="462"/>
        <v>32129.13869</v>
      </c>
      <c r="H953" s="9">
        <f t="shared" si="462"/>
        <v>21472.300490000001</v>
      </c>
      <c r="I953" s="9">
        <f t="shared" si="432"/>
        <v>26.079869119600328</v>
      </c>
      <c r="J953" s="9">
        <f t="shared" si="433"/>
        <v>33.104156326519416</v>
      </c>
    </row>
    <row r="954" spans="1:10">
      <c r="A954" s="8" t="s">
        <v>26</v>
      </c>
      <c r="B954" s="1" t="s">
        <v>998</v>
      </c>
      <c r="C954" s="1" t="s">
        <v>27</v>
      </c>
      <c r="D954" s="9">
        <v>82332.899999999994</v>
      </c>
      <c r="E954" s="9">
        <f>E955</f>
        <v>82332.853709999996</v>
      </c>
      <c r="F954" s="9">
        <f t="shared" si="462"/>
        <v>64862.853710000003</v>
      </c>
      <c r="G954" s="9">
        <f t="shared" si="462"/>
        <v>32129.13869</v>
      </c>
      <c r="H954" s="9">
        <f t="shared" si="462"/>
        <v>21472.300490000001</v>
      </c>
      <c r="I954" s="9">
        <f t="shared" si="432"/>
        <v>26.079869119600328</v>
      </c>
      <c r="J954" s="9">
        <f t="shared" si="433"/>
        <v>33.104156326519416</v>
      </c>
    </row>
    <row r="955" spans="1:10">
      <c r="A955" s="8" t="s">
        <v>56</v>
      </c>
      <c r="B955" s="1" t="s">
        <v>998</v>
      </c>
      <c r="C955" s="1" t="s">
        <v>57</v>
      </c>
      <c r="D955" s="9">
        <v>82332.899999999994</v>
      </c>
      <c r="E955" s="9">
        <f>ведомство!H2399</f>
        <v>82332.853709999996</v>
      </c>
      <c r="F955" s="9">
        <f>ведомство!I2399</f>
        <v>64862.853710000003</v>
      </c>
      <c r="G955" s="9">
        <f>ведомство!J2399</f>
        <v>32129.13869</v>
      </c>
      <c r="H955" s="9">
        <f>ведомство!K2399</f>
        <v>21472.300490000001</v>
      </c>
      <c r="I955" s="9">
        <f t="shared" si="432"/>
        <v>26.079869119600328</v>
      </c>
      <c r="J955" s="9">
        <f t="shared" si="433"/>
        <v>33.104156326519416</v>
      </c>
    </row>
    <row r="956" spans="1:10">
      <c r="A956" s="4" t="s">
        <v>0</v>
      </c>
      <c r="B956" s="17" t="s">
        <v>0</v>
      </c>
      <c r="C956" s="5" t="s">
        <v>0</v>
      </c>
      <c r="D956" s="7" t="s">
        <v>0</v>
      </c>
      <c r="E956" s="7" t="s">
        <v>0</v>
      </c>
      <c r="F956" s="7"/>
      <c r="G956" s="7"/>
      <c r="H956" s="7"/>
      <c r="I956" s="7"/>
      <c r="J956" s="7"/>
    </row>
    <row r="957" spans="1:10" ht="25.5">
      <c r="A957" s="4" t="s">
        <v>22</v>
      </c>
      <c r="B957" s="5" t="s">
        <v>23</v>
      </c>
      <c r="C957" s="5" t="s">
        <v>0</v>
      </c>
      <c r="D957" s="7">
        <v>140410.79999999999</v>
      </c>
      <c r="E957" s="7">
        <f>E958+E967+E979</f>
        <v>136864.21283999999</v>
      </c>
      <c r="F957" s="7">
        <f>F958+F967+F979</f>
        <v>69553.473500000007</v>
      </c>
      <c r="G957" s="7">
        <f t="shared" ref="G957:H957" si="463">G958+G967+G979</f>
        <v>69536.382500000007</v>
      </c>
      <c r="H957" s="7">
        <f t="shared" si="463"/>
        <v>60130.432239999995</v>
      </c>
      <c r="I957" s="7">
        <f t="shared" si="432"/>
        <v>43.934371880175128</v>
      </c>
      <c r="J957" s="7">
        <f t="shared" si="433"/>
        <v>86.452091051929983</v>
      </c>
    </row>
    <row r="958" spans="1:10" ht="25.5">
      <c r="A958" s="8" t="s">
        <v>58</v>
      </c>
      <c r="B958" s="1" t="s">
        <v>59</v>
      </c>
      <c r="C958" s="1" t="s">
        <v>0</v>
      </c>
      <c r="D958" s="9">
        <v>81841</v>
      </c>
      <c r="E958" s="9">
        <f>E959+E961+E963+E965</f>
        <v>78294.442999999985</v>
      </c>
      <c r="F958" s="9">
        <f>F959+F961+F963+F965</f>
        <v>39887.067000000003</v>
      </c>
      <c r="G958" s="9">
        <f t="shared" ref="G958:H958" si="464">G959+G961+G963+G965</f>
        <v>39887.067000000003</v>
      </c>
      <c r="H958" s="9">
        <f t="shared" si="464"/>
        <v>35226.645229999995</v>
      </c>
      <c r="I958" s="9">
        <f t="shared" si="432"/>
        <v>44.992522943167245</v>
      </c>
      <c r="J958" s="9">
        <f t="shared" si="433"/>
        <v>88.315957726347719</v>
      </c>
    </row>
    <row r="959" spans="1:10" ht="51">
      <c r="A959" s="8" t="s">
        <v>60</v>
      </c>
      <c r="B959" s="1" t="s">
        <v>59</v>
      </c>
      <c r="C959" s="1" t="s">
        <v>61</v>
      </c>
      <c r="D959" s="9">
        <v>76779.7</v>
      </c>
      <c r="E959" s="9">
        <f>E960</f>
        <v>73233.122999999992</v>
      </c>
      <c r="F959" s="9">
        <f>F960</f>
        <v>37322.957000000002</v>
      </c>
      <c r="G959" s="9">
        <f t="shared" ref="G959:H959" si="465">G960</f>
        <v>37322.957000000002</v>
      </c>
      <c r="H959" s="9">
        <f t="shared" si="465"/>
        <v>32845.781129999996</v>
      </c>
      <c r="I959" s="9">
        <f t="shared" si="432"/>
        <v>44.850990623464192</v>
      </c>
      <c r="J959" s="9">
        <f t="shared" si="433"/>
        <v>88.004230559759762</v>
      </c>
    </row>
    <row r="960" spans="1:10" ht="25.5">
      <c r="A960" s="8" t="s">
        <v>62</v>
      </c>
      <c r="B960" s="1" t="s">
        <v>59</v>
      </c>
      <c r="C960" s="1" t="s">
        <v>63</v>
      </c>
      <c r="D960" s="9">
        <v>76779.7</v>
      </c>
      <c r="E960" s="9">
        <f>ведомство!H48+ведомство!H2682</f>
        <v>73233.122999999992</v>
      </c>
      <c r="F960" s="9">
        <f>ведомство!I48+ведомство!I2682</f>
        <v>37322.957000000002</v>
      </c>
      <c r="G960" s="9">
        <f>ведомство!J48+ведомство!J2682</f>
        <v>37322.957000000002</v>
      </c>
      <c r="H960" s="9">
        <f>ведомство!K48+ведомство!K2682</f>
        <v>32845.781129999996</v>
      </c>
      <c r="I960" s="9">
        <f t="shared" si="432"/>
        <v>44.850990623464192</v>
      </c>
      <c r="J960" s="9">
        <f t="shared" si="433"/>
        <v>88.004230559759762</v>
      </c>
    </row>
    <row r="961" spans="1:10" ht="25.5">
      <c r="A961" s="8" t="s">
        <v>64</v>
      </c>
      <c r="B961" s="1" t="s">
        <v>59</v>
      </c>
      <c r="C961" s="1" t="s">
        <v>65</v>
      </c>
      <c r="D961" s="9">
        <v>4931.7</v>
      </c>
      <c r="E961" s="9">
        <f>E962</f>
        <v>4931.7</v>
      </c>
      <c r="F961" s="9">
        <f>F962</f>
        <v>2499</v>
      </c>
      <c r="G961" s="9">
        <f t="shared" ref="G961:H961" si="466">G962</f>
        <v>2499</v>
      </c>
      <c r="H961" s="9">
        <f t="shared" si="466"/>
        <v>2379.9151000000002</v>
      </c>
      <c r="I961" s="9">
        <f t="shared" si="432"/>
        <v>48.257499442382958</v>
      </c>
      <c r="J961" s="9">
        <f t="shared" si="433"/>
        <v>95.234697879151668</v>
      </c>
    </row>
    <row r="962" spans="1:10" ht="25.5">
      <c r="A962" s="8" t="s">
        <v>66</v>
      </c>
      <c r="B962" s="1" t="s">
        <v>59</v>
      </c>
      <c r="C962" s="1" t="s">
        <v>67</v>
      </c>
      <c r="D962" s="9">
        <v>4931.7</v>
      </c>
      <c r="E962" s="9">
        <f>ведомство!H50+ведомство!H2684</f>
        <v>4931.7</v>
      </c>
      <c r="F962" s="9">
        <f>ведомство!I50+ведомство!I2684</f>
        <v>2499</v>
      </c>
      <c r="G962" s="9">
        <f>ведомство!J50+ведомство!J2684</f>
        <v>2499</v>
      </c>
      <c r="H962" s="9">
        <f>ведомство!K50+ведомство!K2684</f>
        <v>2379.9151000000002</v>
      </c>
      <c r="I962" s="9">
        <f t="shared" si="432"/>
        <v>48.257499442382958</v>
      </c>
      <c r="J962" s="9">
        <f t="shared" si="433"/>
        <v>95.234697879151668</v>
      </c>
    </row>
    <row r="963" spans="1:10">
      <c r="A963" s="8" t="s">
        <v>68</v>
      </c>
      <c r="B963" s="1" t="s">
        <v>59</v>
      </c>
      <c r="C963" s="1" t="s">
        <v>69</v>
      </c>
      <c r="D963" s="9">
        <v>120</v>
      </c>
      <c r="E963" s="9">
        <f>E964</f>
        <v>120</v>
      </c>
      <c r="F963" s="9">
        <f>F964</f>
        <v>60</v>
      </c>
      <c r="G963" s="9">
        <f t="shared" ref="G963:H963" si="467">G964</f>
        <v>60</v>
      </c>
      <c r="H963" s="9">
        <f t="shared" si="467"/>
        <v>0</v>
      </c>
      <c r="I963" s="9">
        <f t="shared" ref="I963:I1030" si="468">H963/E963*100</f>
        <v>0</v>
      </c>
      <c r="J963" s="9">
        <f t="shared" ref="J963:J1028" si="469">H963/F963*100</f>
        <v>0</v>
      </c>
    </row>
    <row r="964" spans="1:10">
      <c r="A964" s="8" t="s">
        <v>70</v>
      </c>
      <c r="B964" s="1" t="s">
        <v>59</v>
      </c>
      <c r="C964" s="1" t="s">
        <v>71</v>
      </c>
      <c r="D964" s="9">
        <v>120</v>
      </c>
      <c r="E964" s="9">
        <f>ведомство!H52</f>
        <v>120</v>
      </c>
      <c r="F964" s="9">
        <f>ведомство!I52</f>
        <v>60</v>
      </c>
      <c r="G964" s="9">
        <f>ведомство!J52</f>
        <v>60</v>
      </c>
      <c r="H964" s="9">
        <f>ведомство!K52</f>
        <v>0</v>
      </c>
      <c r="I964" s="9">
        <f t="shared" si="468"/>
        <v>0</v>
      </c>
      <c r="J964" s="9">
        <f t="shared" si="469"/>
        <v>0</v>
      </c>
    </row>
    <row r="965" spans="1:10">
      <c r="A965" s="8" t="s">
        <v>72</v>
      </c>
      <c r="B965" s="1" t="s">
        <v>59</v>
      </c>
      <c r="C965" s="1" t="s">
        <v>73</v>
      </c>
      <c r="D965" s="9">
        <v>9.6</v>
      </c>
      <c r="E965" s="9">
        <f>E966</f>
        <v>9.620000000000001</v>
      </c>
      <c r="F965" s="9">
        <f>F966</f>
        <v>5.1100000000000003</v>
      </c>
      <c r="G965" s="9">
        <f t="shared" ref="G965:H965" si="470">G966</f>
        <v>5.1100000000000003</v>
      </c>
      <c r="H965" s="9">
        <f t="shared" si="470"/>
        <v>0.94899999999999995</v>
      </c>
      <c r="I965" s="9">
        <f t="shared" si="468"/>
        <v>9.8648648648648631</v>
      </c>
      <c r="J965" s="9">
        <f t="shared" si="469"/>
        <v>18.571428571428569</v>
      </c>
    </row>
    <row r="966" spans="1:10">
      <c r="A966" s="8" t="s">
        <v>74</v>
      </c>
      <c r="B966" s="1" t="s">
        <v>59</v>
      </c>
      <c r="C966" s="1" t="s">
        <v>75</v>
      </c>
      <c r="D966" s="9">
        <v>9.6</v>
      </c>
      <c r="E966" s="9">
        <f>ведомство!H54+ведомство!H2686</f>
        <v>9.620000000000001</v>
      </c>
      <c r="F966" s="9">
        <f>ведомство!I54+ведомство!I2686</f>
        <v>5.1100000000000003</v>
      </c>
      <c r="G966" s="9">
        <f>ведомство!J54+ведомство!J2686</f>
        <v>5.1100000000000003</v>
      </c>
      <c r="H966" s="9">
        <f>ведомство!K54+ведомство!K2686</f>
        <v>0.94899999999999995</v>
      </c>
      <c r="I966" s="9">
        <f t="shared" si="468"/>
        <v>9.8648648648648631</v>
      </c>
      <c r="J966" s="9">
        <f t="shared" si="469"/>
        <v>18.571428571428569</v>
      </c>
    </row>
    <row r="967" spans="1:10" ht="25.5">
      <c r="A967" s="8" t="s">
        <v>76</v>
      </c>
      <c r="B967" s="1" t="s">
        <v>77</v>
      </c>
      <c r="C967" s="1" t="s">
        <v>0</v>
      </c>
      <c r="D967" s="9">
        <v>58319.8</v>
      </c>
      <c r="E967" s="9">
        <f>E968+E970+E974+E976+E972</f>
        <v>58319.769840000001</v>
      </c>
      <c r="F967" s="9">
        <f>F968+F970+F974+F976+F972</f>
        <v>29416.406500000001</v>
      </c>
      <c r="G967" s="9">
        <f t="shared" ref="G967:H967" si="471">G968+G970+G974+G976+G972</f>
        <v>29399.315500000001</v>
      </c>
      <c r="H967" s="9">
        <f t="shared" si="471"/>
        <v>24653.78701</v>
      </c>
      <c r="I967" s="9">
        <f t="shared" si="468"/>
        <v>42.273464174563003</v>
      </c>
      <c r="J967" s="9">
        <f t="shared" si="469"/>
        <v>83.809648911399151</v>
      </c>
    </row>
    <row r="968" spans="1:10" ht="51">
      <c r="A968" s="8" t="s">
        <v>60</v>
      </c>
      <c r="B968" s="1" t="s">
        <v>77</v>
      </c>
      <c r="C968" s="1" t="s">
        <v>61</v>
      </c>
      <c r="D968" s="9">
        <v>41057.1</v>
      </c>
      <c r="E968" s="9">
        <f>E969</f>
        <v>40513.934939999999</v>
      </c>
      <c r="F968" s="9">
        <f>F969</f>
        <v>20367.605</v>
      </c>
      <c r="G968" s="9">
        <f t="shared" ref="G968:H968" si="472">G969</f>
        <v>20367.605</v>
      </c>
      <c r="H968" s="9">
        <f t="shared" si="472"/>
        <v>16456.432700000001</v>
      </c>
      <c r="I968" s="9">
        <f t="shared" si="468"/>
        <v>40.619191210065168</v>
      </c>
      <c r="J968" s="9">
        <f t="shared" si="469"/>
        <v>80.797092736234831</v>
      </c>
    </row>
    <row r="969" spans="1:10">
      <c r="A969" s="8" t="s">
        <v>78</v>
      </c>
      <c r="B969" s="1" t="s">
        <v>77</v>
      </c>
      <c r="C969" s="1" t="s">
        <v>79</v>
      </c>
      <c r="D969" s="9">
        <v>41057.1</v>
      </c>
      <c r="E969" s="9">
        <f>ведомство!H57</f>
        <v>40513.934939999999</v>
      </c>
      <c r="F969" s="9">
        <f>ведомство!I57</f>
        <v>20367.605</v>
      </c>
      <c r="G969" s="9">
        <f>ведомство!J57</f>
        <v>20367.605</v>
      </c>
      <c r="H969" s="9">
        <f>ведомство!K57</f>
        <v>16456.432700000001</v>
      </c>
      <c r="I969" s="9">
        <f t="shared" si="468"/>
        <v>40.619191210065168</v>
      </c>
      <c r="J969" s="9">
        <f t="shared" si="469"/>
        <v>80.797092736234831</v>
      </c>
    </row>
    <row r="970" spans="1:10" ht="25.5">
      <c r="A970" s="8" t="s">
        <v>64</v>
      </c>
      <c r="B970" s="1" t="s">
        <v>77</v>
      </c>
      <c r="C970" s="1" t="s">
        <v>65</v>
      </c>
      <c r="D970" s="9">
        <v>4051.5</v>
      </c>
      <c r="E970" s="9">
        <f>E971</f>
        <v>4051.4763699999999</v>
      </c>
      <c r="F970" s="9">
        <f>F971</f>
        <v>2338.299</v>
      </c>
      <c r="G970" s="9">
        <f t="shared" ref="G970:H970" si="473">G971</f>
        <v>2321.2109999999998</v>
      </c>
      <c r="H970" s="9">
        <f t="shared" si="473"/>
        <v>2318.98083</v>
      </c>
      <c r="I970" s="9">
        <f t="shared" si="468"/>
        <v>57.237920654588436</v>
      </c>
      <c r="J970" s="9">
        <f t="shared" si="469"/>
        <v>99.173836622262584</v>
      </c>
    </row>
    <row r="971" spans="1:10" ht="25.5">
      <c r="A971" s="8" t="s">
        <v>66</v>
      </c>
      <c r="B971" s="1" t="s">
        <v>77</v>
      </c>
      <c r="C971" s="1" t="s">
        <v>67</v>
      </c>
      <c r="D971" s="9">
        <v>4051.5</v>
      </c>
      <c r="E971" s="9">
        <f>ведомство!H89+ведомство!H59</f>
        <v>4051.4763699999999</v>
      </c>
      <c r="F971" s="9">
        <f>ведомство!I89+ведомство!I59</f>
        <v>2338.299</v>
      </c>
      <c r="G971" s="9">
        <f>ведомство!J89+ведомство!J59</f>
        <v>2321.2109999999998</v>
      </c>
      <c r="H971" s="9">
        <f>ведомство!K89+ведомство!K59</f>
        <v>2318.98083</v>
      </c>
      <c r="I971" s="9">
        <f t="shared" si="468"/>
        <v>57.237920654588436</v>
      </c>
      <c r="J971" s="9">
        <f t="shared" si="469"/>
        <v>99.173836622262584</v>
      </c>
    </row>
    <row r="972" spans="1:10" s="43" customFormat="1">
      <c r="A972" s="8" t="s">
        <v>68</v>
      </c>
      <c r="B972" s="1" t="s">
        <v>77</v>
      </c>
      <c r="C972" s="1">
        <v>300</v>
      </c>
      <c r="D972" s="9"/>
      <c r="E972" s="9">
        <f>E973</f>
        <v>543.18600000000004</v>
      </c>
      <c r="F972" s="9">
        <f>F973</f>
        <v>543.18600000000004</v>
      </c>
      <c r="G972" s="9">
        <f t="shared" ref="G972:H972" si="474">G973</f>
        <v>543.18299999999999</v>
      </c>
      <c r="H972" s="9">
        <f t="shared" si="474"/>
        <v>206.928</v>
      </c>
      <c r="I972" s="9"/>
      <c r="J972" s="9"/>
    </row>
    <row r="973" spans="1:10" s="43" customFormat="1" ht="25.5">
      <c r="A973" s="8" t="s">
        <v>151</v>
      </c>
      <c r="B973" s="1" t="s">
        <v>77</v>
      </c>
      <c r="C973" s="1">
        <v>320</v>
      </c>
      <c r="D973" s="9"/>
      <c r="E973" s="9">
        <f>ведомство!H61</f>
        <v>543.18600000000004</v>
      </c>
      <c r="F973" s="9">
        <f>ведомство!I61</f>
        <v>543.18600000000004</v>
      </c>
      <c r="G973" s="9">
        <f>ведомство!J61</f>
        <v>543.18299999999999</v>
      </c>
      <c r="H973" s="9">
        <f>ведомство!K61</f>
        <v>206.928</v>
      </c>
      <c r="I973" s="9"/>
      <c r="J973" s="9"/>
    </row>
    <row r="974" spans="1:10" ht="25.5">
      <c r="A974" s="8" t="s">
        <v>80</v>
      </c>
      <c r="B974" s="1" t="s">
        <v>77</v>
      </c>
      <c r="C974" s="1" t="s">
        <v>81</v>
      </c>
      <c r="D974" s="9">
        <v>12591.8</v>
      </c>
      <c r="E974" s="9">
        <f>E975</f>
        <v>12591.8</v>
      </c>
      <c r="F974" s="9">
        <f>F975</f>
        <v>5760</v>
      </c>
      <c r="G974" s="9">
        <f t="shared" ref="G974:H974" si="475">G975</f>
        <v>5760</v>
      </c>
      <c r="H974" s="9">
        <f t="shared" si="475"/>
        <v>5546</v>
      </c>
      <c r="I974" s="9">
        <f t="shared" si="468"/>
        <v>44.044536920853254</v>
      </c>
      <c r="J974" s="9">
        <f t="shared" si="469"/>
        <v>96.284722222222214</v>
      </c>
    </row>
    <row r="975" spans="1:10">
      <c r="A975" s="8" t="s">
        <v>82</v>
      </c>
      <c r="B975" s="1" t="s">
        <v>77</v>
      </c>
      <c r="C975" s="1" t="s">
        <v>83</v>
      </c>
      <c r="D975" s="9">
        <v>12591.8</v>
      </c>
      <c r="E975" s="9">
        <f>ведомство!H63</f>
        <v>12591.8</v>
      </c>
      <c r="F975" s="9">
        <f>ведомство!I63</f>
        <v>5760</v>
      </c>
      <c r="G975" s="9">
        <f>ведомство!J63</f>
        <v>5760</v>
      </c>
      <c r="H975" s="9">
        <f>ведомство!K63</f>
        <v>5546</v>
      </c>
      <c r="I975" s="9">
        <f t="shared" si="468"/>
        <v>44.044536920853254</v>
      </c>
      <c r="J975" s="9">
        <f t="shared" si="469"/>
        <v>96.284722222222214</v>
      </c>
    </row>
    <row r="976" spans="1:10">
      <c r="A976" s="8" t="s">
        <v>72</v>
      </c>
      <c r="B976" s="1" t="s">
        <v>77</v>
      </c>
      <c r="C976" s="1" t="s">
        <v>73</v>
      </c>
      <c r="D976" s="9">
        <v>619.4</v>
      </c>
      <c r="E976" s="9">
        <f>E977+E978</f>
        <v>619.37252999999998</v>
      </c>
      <c r="F976" s="9">
        <f>F977+F978</f>
        <v>407.31650000000002</v>
      </c>
      <c r="G976" s="9">
        <f t="shared" ref="G976:H976" si="476">G977+G978</f>
        <v>407.31650000000002</v>
      </c>
      <c r="H976" s="9">
        <f t="shared" si="476"/>
        <v>125.44548</v>
      </c>
      <c r="I976" s="9">
        <f t="shared" si="468"/>
        <v>20.253639598772651</v>
      </c>
      <c r="J976" s="9">
        <f t="shared" si="469"/>
        <v>30.798035434361239</v>
      </c>
    </row>
    <row r="977" spans="1:10">
      <c r="A977" s="8" t="s">
        <v>84</v>
      </c>
      <c r="B977" s="1" t="s">
        <v>77</v>
      </c>
      <c r="C977" s="1" t="s">
        <v>85</v>
      </c>
      <c r="D977" s="9">
        <v>217.3</v>
      </c>
      <c r="E977" s="9">
        <f>ведомство!H65</f>
        <v>220.29326</v>
      </c>
      <c r="F977" s="9">
        <f>ведомство!I65</f>
        <v>220.29326</v>
      </c>
      <c r="G977" s="9">
        <f>ведомство!J65</f>
        <v>220.29326</v>
      </c>
      <c r="H977" s="9">
        <f>ведомство!K65</f>
        <v>0</v>
      </c>
      <c r="I977" s="9">
        <f t="shared" si="468"/>
        <v>0</v>
      </c>
      <c r="J977" s="9">
        <f t="shared" si="469"/>
        <v>0</v>
      </c>
    </row>
    <row r="978" spans="1:10">
      <c r="A978" s="8" t="s">
        <v>74</v>
      </c>
      <c r="B978" s="1" t="s">
        <v>77</v>
      </c>
      <c r="C978" s="1" t="s">
        <v>75</v>
      </c>
      <c r="D978" s="9">
        <v>402.1</v>
      </c>
      <c r="E978" s="9">
        <f>ведомство!H66</f>
        <v>399.07927000000001</v>
      </c>
      <c r="F978" s="9">
        <f>ведомство!I66</f>
        <v>187.02324000000002</v>
      </c>
      <c r="G978" s="9">
        <f>ведомство!J66</f>
        <v>187.02324000000002</v>
      </c>
      <c r="H978" s="9">
        <f>ведомство!K66</f>
        <v>125.44548</v>
      </c>
      <c r="I978" s="9">
        <f t="shared" si="468"/>
        <v>31.433724933895967</v>
      </c>
      <c r="J978" s="9">
        <f t="shared" si="469"/>
        <v>67.074808456959673</v>
      </c>
    </row>
    <row r="979" spans="1:10" ht="51">
      <c r="A979" s="8" t="s">
        <v>24</v>
      </c>
      <c r="B979" s="1" t="s">
        <v>25</v>
      </c>
      <c r="C979" s="1" t="s">
        <v>0</v>
      </c>
      <c r="D979" s="9">
        <v>250</v>
      </c>
      <c r="E979" s="9">
        <f>E980</f>
        <v>250</v>
      </c>
      <c r="F979" s="9">
        <f>F980</f>
        <v>250</v>
      </c>
      <c r="G979" s="9">
        <f t="shared" ref="G979:H980" si="477">G980</f>
        <v>250</v>
      </c>
      <c r="H979" s="9">
        <f t="shared" si="477"/>
        <v>250</v>
      </c>
      <c r="I979" s="9">
        <f t="shared" si="468"/>
        <v>100</v>
      </c>
      <c r="J979" s="9">
        <f t="shared" si="469"/>
        <v>100</v>
      </c>
    </row>
    <row r="980" spans="1:10">
      <c r="A980" s="8" t="s">
        <v>26</v>
      </c>
      <c r="B980" s="1" t="s">
        <v>25</v>
      </c>
      <c r="C980" s="1" t="s">
        <v>27</v>
      </c>
      <c r="D980" s="9">
        <v>250</v>
      </c>
      <c r="E980" s="9">
        <f>E981</f>
        <v>250</v>
      </c>
      <c r="F980" s="9">
        <f>F981</f>
        <v>250</v>
      </c>
      <c r="G980" s="9">
        <f t="shared" si="477"/>
        <v>250</v>
      </c>
      <c r="H980" s="9">
        <f t="shared" si="477"/>
        <v>250</v>
      </c>
      <c r="I980" s="9">
        <f t="shared" si="468"/>
        <v>100</v>
      </c>
      <c r="J980" s="9">
        <f t="shared" si="469"/>
        <v>100</v>
      </c>
    </row>
    <row r="981" spans="1:10">
      <c r="A981" s="8" t="s">
        <v>28</v>
      </c>
      <c r="B981" s="1" t="s">
        <v>25</v>
      </c>
      <c r="C981" s="1" t="s">
        <v>29</v>
      </c>
      <c r="D981" s="9">
        <v>250</v>
      </c>
      <c r="E981" s="9">
        <f>ведомство!H15</f>
        <v>250</v>
      </c>
      <c r="F981" s="9">
        <f>ведомство!I15</f>
        <v>250</v>
      </c>
      <c r="G981" s="9">
        <f>ведомство!J15</f>
        <v>250</v>
      </c>
      <c r="H981" s="9">
        <f>ведомство!K15</f>
        <v>250</v>
      </c>
      <c r="I981" s="9">
        <f t="shared" si="468"/>
        <v>100</v>
      </c>
      <c r="J981" s="9">
        <f t="shared" si="469"/>
        <v>100</v>
      </c>
    </row>
    <row r="982" spans="1:10">
      <c r="A982" s="4" t="s">
        <v>0</v>
      </c>
      <c r="B982" s="17" t="s">
        <v>0</v>
      </c>
      <c r="C982" s="5" t="s">
        <v>0</v>
      </c>
      <c r="D982" s="7" t="s">
        <v>0</v>
      </c>
      <c r="E982" s="7" t="s">
        <v>0</v>
      </c>
      <c r="F982" s="7"/>
      <c r="G982" s="7"/>
      <c r="H982" s="7"/>
      <c r="I982" s="7"/>
      <c r="J982" s="7"/>
    </row>
    <row r="983" spans="1:10" ht="38.25">
      <c r="A983" s="4" t="s">
        <v>742</v>
      </c>
      <c r="B983" s="5" t="s">
        <v>743</v>
      </c>
      <c r="C983" s="5" t="s">
        <v>0</v>
      </c>
      <c r="D983" s="7">
        <v>902621.6</v>
      </c>
      <c r="E983" s="7">
        <f>E984+E1025+E1030+E1038</f>
        <v>918670.09487000015</v>
      </c>
      <c r="F983" s="7">
        <f t="shared" ref="F983:H983" si="478">F984+F1025+F1030+F1038</f>
        <v>449078.80132999999</v>
      </c>
      <c r="G983" s="7">
        <f t="shared" si="478"/>
        <v>449078.80132999999</v>
      </c>
      <c r="H983" s="7">
        <f t="shared" si="478"/>
        <v>418386.22217999998</v>
      </c>
      <c r="I983" s="7">
        <f t="shared" si="468"/>
        <v>45.542597338950635</v>
      </c>
      <c r="J983" s="7">
        <f t="shared" si="469"/>
        <v>93.165435763367071</v>
      </c>
    </row>
    <row r="984" spans="1:10" ht="25.5">
      <c r="A984" s="4" t="s">
        <v>750</v>
      </c>
      <c r="B984" s="5" t="s">
        <v>751</v>
      </c>
      <c r="C984" s="5" t="s">
        <v>0</v>
      </c>
      <c r="D984" s="7">
        <v>874405.8</v>
      </c>
      <c r="E984" s="7">
        <f>E985+E993+E1003+E1006+E1016</f>
        <v>874405.8</v>
      </c>
      <c r="F984" s="7">
        <f t="shared" ref="F984:H984" si="479">F985+F993+F1003+F1006+F1016</f>
        <v>444153.20133000001</v>
      </c>
      <c r="G984" s="7">
        <f t="shared" si="479"/>
        <v>444153.20133000001</v>
      </c>
      <c r="H984" s="7">
        <f t="shared" si="479"/>
        <v>414324.19696999999</v>
      </c>
      <c r="I984" s="7">
        <f t="shared" si="468"/>
        <v>47.383514264200898</v>
      </c>
      <c r="J984" s="7">
        <f t="shared" si="469"/>
        <v>93.284073092194717</v>
      </c>
    </row>
    <row r="985" spans="1:10" ht="38.25">
      <c r="A985" s="8" t="s">
        <v>856</v>
      </c>
      <c r="B985" s="1" t="s">
        <v>857</v>
      </c>
      <c r="C985" s="1" t="s">
        <v>0</v>
      </c>
      <c r="D985" s="9">
        <v>435487.8</v>
      </c>
      <c r="E985" s="9">
        <f>E986+E988+E991</f>
        <v>435487.8</v>
      </c>
      <c r="F985" s="9">
        <f t="shared" ref="F985:H985" si="480">F986+F988+F991</f>
        <v>225541.19733</v>
      </c>
      <c r="G985" s="9">
        <f t="shared" si="480"/>
        <v>225541.19733</v>
      </c>
      <c r="H985" s="9">
        <f t="shared" si="480"/>
        <v>220950.01105</v>
      </c>
      <c r="I985" s="9">
        <f t="shared" si="468"/>
        <v>50.736211450699656</v>
      </c>
      <c r="J985" s="9">
        <f t="shared" si="469"/>
        <v>97.96436911111968</v>
      </c>
    </row>
    <row r="986" spans="1:10" ht="25.5">
      <c r="A986" s="8" t="s">
        <v>64</v>
      </c>
      <c r="B986" s="1" t="s">
        <v>857</v>
      </c>
      <c r="C986" s="1" t="s">
        <v>65</v>
      </c>
      <c r="D986" s="9">
        <v>9338.4</v>
      </c>
      <c r="E986" s="9">
        <f>E987</f>
        <v>9338.4</v>
      </c>
      <c r="F986" s="9">
        <f t="shared" ref="F986:H986" si="481">F987</f>
        <v>3515.20874</v>
      </c>
      <c r="G986" s="9">
        <f t="shared" si="481"/>
        <v>3515.20874</v>
      </c>
      <c r="H986" s="9">
        <f t="shared" si="481"/>
        <v>3233.8234200000002</v>
      </c>
      <c r="I986" s="9">
        <f t="shared" si="468"/>
        <v>34.629309303520948</v>
      </c>
      <c r="J986" s="9">
        <f t="shared" si="469"/>
        <v>91.995203107056454</v>
      </c>
    </row>
    <row r="987" spans="1:10" ht="25.5">
      <c r="A987" s="8" t="s">
        <v>66</v>
      </c>
      <c r="B987" s="1" t="s">
        <v>857</v>
      </c>
      <c r="C987" s="1" t="s">
        <v>67</v>
      </c>
      <c r="D987" s="9">
        <v>9338.4</v>
      </c>
      <c r="E987" s="9">
        <f>ведомство!H1945</f>
        <v>9338.4</v>
      </c>
      <c r="F987" s="9">
        <f>ведомство!I1945</f>
        <v>3515.20874</v>
      </c>
      <c r="G987" s="9">
        <f>ведомство!J1945</f>
        <v>3515.20874</v>
      </c>
      <c r="H987" s="9">
        <f>ведомство!K1945</f>
        <v>3233.8234200000002</v>
      </c>
      <c r="I987" s="9">
        <f t="shared" si="468"/>
        <v>34.629309303520948</v>
      </c>
      <c r="J987" s="9">
        <f t="shared" si="469"/>
        <v>91.995203107056454</v>
      </c>
    </row>
    <row r="988" spans="1:10">
      <c r="A988" s="8" t="s">
        <v>68</v>
      </c>
      <c r="B988" s="1" t="s">
        <v>857</v>
      </c>
      <c r="C988" s="1" t="s">
        <v>69</v>
      </c>
      <c r="D988" s="9">
        <v>387224.4</v>
      </c>
      <c r="E988" s="9">
        <f>E989+E990</f>
        <v>387224.39999999997</v>
      </c>
      <c r="F988" s="9">
        <f t="shared" ref="F988:H988" si="482">F989+F990</f>
        <v>209106.59699999998</v>
      </c>
      <c r="G988" s="9">
        <f t="shared" si="482"/>
        <v>209106.59699999998</v>
      </c>
      <c r="H988" s="9">
        <f t="shared" si="482"/>
        <v>205196.96664999999</v>
      </c>
      <c r="I988" s="9">
        <f t="shared" si="468"/>
        <v>52.991745006254774</v>
      </c>
      <c r="J988" s="9">
        <f t="shared" si="469"/>
        <v>98.130317069814879</v>
      </c>
    </row>
    <row r="989" spans="1:10" ht="25.5">
      <c r="A989" s="8" t="s">
        <v>151</v>
      </c>
      <c r="B989" s="1" t="s">
        <v>857</v>
      </c>
      <c r="C989" s="1" t="s">
        <v>152</v>
      </c>
      <c r="D989" s="9">
        <v>371255.8</v>
      </c>
      <c r="E989" s="9">
        <f>ведомство!H1947</f>
        <v>371255.8</v>
      </c>
      <c r="F989" s="9">
        <f>ведомство!I1947</f>
        <v>202133.98947999999</v>
      </c>
      <c r="G989" s="9">
        <f>ведомство!J1947</f>
        <v>202133.98947999999</v>
      </c>
      <c r="H989" s="9">
        <f>ведомство!K1947</f>
        <v>198273.65552</v>
      </c>
      <c r="I989" s="9">
        <f t="shared" si="468"/>
        <v>53.406210898253981</v>
      </c>
      <c r="J989" s="9">
        <f t="shared" si="469"/>
        <v>98.090210374845469</v>
      </c>
    </row>
    <row r="990" spans="1:10">
      <c r="A990" s="8" t="s">
        <v>858</v>
      </c>
      <c r="B990" s="1" t="s">
        <v>857</v>
      </c>
      <c r="C990" s="1" t="s">
        <v>859</v>
      </c>
      <c r="D990" s="9">
        <v>15968.6</v>
      </c>
      <c r="E990" s="9">
        <f>ведомство!H1948</f>
        <v>15968.6</v>
      </c>
      <c r="F990" s="9">
        <f>ведомство!I1948</f>
        <v>6972.6075199999996</v>
      </c>
      <c r="G990" s="9">
        <f>ведомство!J1948</f>
        <v>6972.6075199999996</v>
      </c>
      <c r="H990" s="9">
        <f>ведомство!K1948</f>
        <v>6923.31113</v>
      </c>
      <c r="I990" s="9">
        <f t="shared" si="468"/>
        <v>43.355780281302053</v>
      </c>
      <c r="J990" s="9">
        <f t="shared" si="469"/>
        <v>99.29299921358546</v>
      </c>
    </row>
    <row r="991" spans="1:10">
      <c r="A991" s="8" t="s">
        <v>26</v>
      </c>
      <c r="B991" s="1" t="s">
        <v>857</v>
      </c>
      <c r="C991" s="1" t="s">
        <v>27</v>
      </c>
      <c r="D991" s="9">
        <v>38925</v>
      </c>
      <c r="E991" s="9">
        <f>E992</f>
        <v>38925</v>
      </c>
      <c r="F991" s="9">
        <f t="shared" ref="F991:H991" si="483">F992</f>
        <v>12919.391589999999</v>
      </c>
      <c r="G991" s="9">
        <f t="shared" si="483"/>
        <v>12919.391589999999</v>
      </c>
      <c r="H991" s="9">
        <f t="shared" si="483"/>
        <v>12519.22098</v>
      </c>
      <c r="I991" s="9">
        <f t="shared" si="468"/>
        <v>32.162417418111758</v>
      </c>
      <c r="J991" s="9">
        <f t="shared" si="469"/>
        <v>96.902558396714724</v>
      </c>
    </row>
    <row r="992" spans="1:10" ht="25.5">
      <c r="A992" s="8" t="s">
        <v>890</v>
      </c>
      <c r="B992" s="1" t="s">
        <v>857</v>
      </c>
      <c r="C992" s="1" t="s">
        <v>891</v>
      </c>
      <c r="D992" s="9">
        <v>38925</v>
      </c>
      <c r="E992" s="9">
        <f>ведомство!H2033</f>
        <v>38925</v>
      </c>
      <c r="F992" s="9">
        <f>ведомство!I2033</f>
        <v>12919.391589999999</v>
      </c>
      <c r="G992" s="9">
        <f>ведомство!J2033</f>
        <v>12919.391589999999</v>
      </c>
      <c r="H992" s="9">
        <f>ведомство!K2033</f>
        <v>12519.22098</v>
      </c>
      <c r="I992" s="9">
        <f t="shared" si="468"/>
        <v>32.162417418111758</v>
      </c>
      <c r="J992" s="9">
        <f t="shared" si="469"/>
        <v>96.902558396714724</v>
      </c>
    </row>
    <row r="993" spans="1:10" ht="25.5">
      <c r="A993" s="8" t="s">
        <v>58</v>
      </c>
      <c r="B993" s="1" t="s">
        <v>752</v>
      </c>
      <c r="C993" s="1" t="s">
        <v>0</v>
      </c>
      <c r="D993" s="9">
        <v>105968.2</v>
      </c>
      <c r="E993" s="9">
        <f>E994+E996+E998+E1000</f>
        <v>105968.2</v>
      </c>
      <c r="F993" s="9">
        <f t="shared" ref="F993:H993" si="484">F994+F996+F998+F1000</f>
        <v>52551.829999999994</v>
      </c>
      <c r="G993" s="9">
        <f t="shared" si="484"/>
        <v>52551.829999999994</v>
      </c>
      <c r="H993" s="9">
        <f t="shared" si="484"/>
        <v>46400.251259999997</v>
      </c>
      <c r="I993" s="9">
        <f t="shared" si="468"/>
        <v>43.786958030805465</v>
      </c>
      <c r="J993" s="9">
        <f t="shared" si="469"/>
        <v>88.294263510899626</v>
      </c>
    </row>
    <row r="994" spans="1:10" ht="51">
      <c r="A994" s="8" t="s">
        <v>60</v>
      </c>
      <c r="B994" s="1" t="s">
        <v>752</v>
      </c>
      <c r="C994" s="1" t="s">
        <v>61</v>
      </c>
      <c r="D994" s="9">
        <v>100609.5</v>
      </c>
      <c r="E994" s="9">
        <f>E995</f>
        <v>100609.5</v>
      </c>
      <c r="F994" s="9">
        <f t="shared" ref="F994:H994" si="485">F995</f>
        <v>50391.899999999994</v>
      </c>
      <c r="G994" s="9">
        <f t="shared" si="485"/>
        <v>50391.899999999994</v>
      </c>
      <c r="H994" s="9">
        <f t="shared" si="485"/>
        <v>45395.093560000001</v>
      </c>
      <c r="I994" s="9">
        <f t="shared" si="468"/>
        <v>45.120086631978097</v>
      </c>
      <c r="J994" s="9">
        <f t="shared" si="469"/>
        <v>90.084107882417612</v>
      </c>
    </row>
    <row r="995" spans="1:10" ht="25.5">
      <c r="A995" s="8" t="s">
        <v>62</v>
      </c>
      <c r="B995" s="1" t="s">
        <v>752</v>
      </c>
      <c r="C995" s="1" t="s">
        <v>63</v>
      </c>
      <c r="D995" s="9">
        <v>100609.5</v>
      </c>
      <c r="E995" s="9">
        <f>ведомство!H1661</f>
        <v>100609.5</v>
      </c>
      <c r="F995" s="9">
        <f>ведомство!I1661</f>
        <v>50391.899999999994</v>
      </c>
      <c r="G995" s="9">
        <f>ведомство!J1661</f>
        <v>50391.899999999994</v>
      </c>
      <c r="H995" s="9">
        <f>ведомство!K1661</f>
        <v>45395.093560000001</v>
      </c>
      <c r="I995" s="9">
        <f t="shared" si="468"/>
        <v>45.120086631978097</v>
      </c>
      <c r="J995" s="9">
        <f t="shared" si="469"/>
        <v>90.084107882417612</v>
      </c>
    </row>
    <row r="996" spans="1:10" ht="25.5">
      <c r="A996" s="8" t="s">
        <v>64</v>
      </c>
      <c r="B996" s="1" t="s">
        <v>752</v>
      </c>
      <c r="C996" s="1" t="s">
        <v>65</v>
      </c>
      <c r="D996" s="9">
        <v>5278.9</v>
      </c>
      <c r="E996" s="9">
        <f>E997</f>
        <v>5278.9</v>
      </c>
      <c r="F996" s="9">
        <f t="shared" ref="F996:H996" si="486">F997</f>
        <v>2109.5</v>
      </c>
      <c r="G996" s="9">
        <f t="shared" si="486"/>
        <v>2109.5</v>
      </c>
      <c r="H996" s="9">
        <f t="shared" si="486"/>
        <v>1001.44435</v>
      </c>
      <c r="I996" s="9">
        <f t="shared" si="468"/>
        <v>18.970701282464152</v>
      </c>
      <c r="J996" s="9">
        <f t="shared" si="469"/>
        <v>47.473067077506521</v>
      </c>
    </row>
    <row r="997" spans="1:10" ht="25.5">
      <c r="A997" s="8" t="s">
        <v>66</v>
      </c>
      <c r="B997" s="1" t="s">
        <v>752</v>
      </c>
      <c r="C997" s="1" t="s">
        <v>67</v>
      </c>
      <c r="D997" s="9">
        <v>5278.9</v>
      </c>
      <c r="E997" s="9">
        <f>ведомство!H1663</f>
        <v>5278.9</v>
      </c>
      <c r="F997" s="9">
        <f>ведомство!I1663</f>
        <v>2109.5</v>
      </c>
      <c r="G997" s="9">
        <f>ведомство!J1663</f>
        <v>2109.5</v>
      </c>
      <c r="H997" s="9">
        <f>ведомство!K1663</f>
        <v>1001.44435</v>
      </c>
      <c r="I997" s="9">
        <f t="shared" si="468"/>
        <v>18.970701282464152</v>
      </c>
      <c r="J997" s="9">
        <f t="shared" si="469"/>
        <v>47.473067077506521</v>
      </c>
    </row>
    <row r="998" spans="1:10">
      <c r="A998" s="8" t="s">
        <v>68</v>
      </c>
      <c r="B998" s="1" t="s">
        <v>752</v>
      </c>
      <c r="C998" s="1" t="s">
        <v>69</v>
      </c>
      <c r="D998" s="9">
        <v>30</v>
      </c>
      <c r="E998" s="9">
        <f>E999</f>
        <v>30</v>
      </c>
      <c r="F998" s="9">
        <f t="shared" ref="F998:H998" si="487">F999</f>
        <v>30</v>
      </c>
      <c r="G998" s="9">
        <f t="shared" si="487"/>
        <v>30</v>
      </c>
      <c r="H998" s="9">
        <f t="shared" si="487"/>
        <v>0</v>
      </c>
      <c r="I998" s="9">
        <f t="shared" si="468"/>
        <v>0</v>
      </c>
      <c r="J998" s="9">
        <f t="shared" si="469"/>
        <v>0</v>
      </c>
    </row>
    <row r="999" spans="1:10">
      <c r="A999" s="8" t="s">
        <v>70</v>
      </c>
      <c r="B999" s="1" t="s">
        <v>752</v>
      </c>
      <c r="C999" s="1" t="s">
        <v>71</v>
      </c>
      <c r="D999" s="9">
        <v>30</v>
      </c>
      <c r="E999" s="9">
        <f>ведомство!H1665</f>
        <v>30</v>
      </c>
      <c r="F999" s="9">
        <f>ведомство!I1665</f>
        <v>30</v>
      </c>
      <c r="G999" s="9">
        <f>ведомство!J1665</f>
        <v>30</v>
      </c>
      <c r="H999" s="9">
        <f>ведомство!K1665</f>
        <v>0</v>
      </c>
      <c r="I999" s="9">
        <f t="shared" si="468"/>
        <v>0</v>
      </c>
      <c r="J999" s="9">
        <f t="shared" si="469"/>
        <v>0</v>
      </c>
    </row>
    <row r="1000" spans="1:10">
      <c r="A1000" s="8" t="s">
        <v>72</v>
      </c>
      <c r="B1000" s="1" t="s">
        <v>752</v>
      </c>
      <c r="C1000" s="1" t="s">
        <v>73</v>
      </c>
      <c r="D1000" s="9">
        <v>49.8</v>
      </c>
      <c r="E1000" s="9">
        <f>E1001+E1002</f>
        <v>49.8</v>
      </c>
      <c r="F1000" s="9">
        <f t="shared" ref="F1000:H1000" si="488">F1001+F1002</f>
        <v>20.43</v>
      </c>
      <c r="G1000" s="9">
        <f t="shared" si="488"/>
        <v>20.43</v>
      </c>
      <c r="H1000" s="9">
        <f t="shared" si="488"/>
        <v>3.7133499999999997</v>
      </c>
      <c r="I1000" s="9">
        <f t="shared" si="468"/>
        <v>7.4565261044176712</v>
      </c>
      <c r="J1000" s="9">
        <f t="shared" si="469"/>
        <v>18.17596671561429</v>
      </c>
    </row>
    <row r="1001" spans="1:10">
      <c r="A1001" s="8" t="s">
        <v>84</v>
      </c>
      <c r="B1001" s="1" t="s">
        <v>752</v>
      </c>
      <c r="C1001" s="1" t="s">
        <v>85</v>
      </c>
      <c r="D1001" s="9">
        <v>5</v>
      </c>
      <c r="E1001" s="9">
        <f>ведомство!H1667</f>
        <v>5</v>
      </c>
      <c r="F1001" s="9">
        <f>ведомство!I1667</f>
        <v>5</v>
      </c>
      <c r="G1001" s="9">
        <f>ведомство!J1667</f>
        <v>5</v>
      </c>
      <c r="H1001" s="9">
        <f>ведомство!K1667</f>
        <v>0.3</v>
      </c>
      <c r="I1001" s="9">
        <f t="shared" si="468"/>
        <v>6</v>
      </c>
      <c r="J1001" s="9">
        <f t="shared" si="469"/>
        <v>6</v>
      </c>
    </row>
    <row r="1002" spans="1:10">
      <c r="A1002" s="8" t="s">
        <v>74</v>
      </c>
      <c r="B1002" s="1" t="s">
        <v>752</v>
      </c>
      <c r="C1002" s="1" t="s">
        <v>75</v>
      </c>
      <c r="D1002" s="9">
        <v>44.8</v>
      </c>
      <c r="E1002" s="9">
        <f>ведомство!H1668</f>
        <v>44.8</v>
      </c>
      <c r="F1002" s="9">
        <f>ведомство!I1668</f>
        <v>15.43</v>
      </c>
      <c r="G1002" s="9">
        <f>ведомство!J1668</f>
        <v>15.43</v>
      </c>
      <c r="H1002" s="9">
        <f>ведомство!K1668</f>
        <v>3.4133499999999999</v>
      </c>
      <c r="I1002" s="9">
        <f t="shared" si="468"/>
        <v>7.6190848214285722</v>
      </c>
      <c r="J1002" s="9">
        <f t="shared" si="469"/>
        <v>22.121516526247571</v>
      </c>
    </row>
    <row r="1003" spans="1:10">
      <c r="A1003" s="8" t="s">
        <v>609</v>
      </c>
      <c r="B1003" s="1" t="s">
        <v>753</v>
      </c>
      <c r="C1003" s="1" t="s">
        <v>0</v>
      </c>
      <c r="D1003" s="9">
        <v>7623.5</v>
      </c>
      <c r="E1003" s="9">
        <f>E1004</f>
        <v>7623.5</v>
      </c>
      <c r="F1003" s="9">
        <f t="shared" ref="F1003:H1004" si="489">F1004</f>
        <v>4766</v>
      </c>
      <c r="G1003" s="9">
        <f t="shared" si="489"/>
        <v>4766</v>
      </c>
      <c r="H1003" s="9">
        <f t="shared" si="489"/>
        <v>4597.5</v>
      </c>
      <c r="I1003" s="9">
        <f t="shared" si="468"/>
        <v>60.306945628648258</v>
      </c>
      <c r="J1003" s="9">
        <f t="shared" si="469"/>
        <v>96.464540495174148</v>
      </c>
    </row>
    <row r="1004" spans="1:10" ht="25.5">
      <c r="A1004" s="8" t="s">
        <v>64</v>
      </c>
      <c r="B1004" s="1" t="s">
        <v>753</v>
      </c>
      <c r="C1004" s="1" t="s">
        <v>65</v>
      </c>
      <c r="D1004" s="9">
        <v>7623.5</v>
      </c>
      <c r="E1004" s="9">
        <f>E1005</f>
        <v>7623.5</v>
      </c>
      <c r="F1004" s="9">
        <f t="shared" si="489"/>
        <v>4766</v>
      </c>
      <c r="G1004" s="9">
        <f t="shared" si="489"/>
        <v>4766</v>
      </c>
      <c r="H1004" s="9">
        <f t="shared" si="489"/>
        <v>4597.5</v>
      </c>
      <c r="I1004" s="9">
        <f t="shared" si="468"/>
        <v>60.306945628648258</v>
      </c>
      <c r="J1004" s="9">
        <f t="shared" si="469"/>
        <v>96.464540495174148</v>
      </c>
    </row>
    <row r="1005" spans="1:10" ht="25.5">
      <c r="A1005" s="8" t="s">
        <v>66</v>
      </c>
      <c r="B1005" s="1" t="s">
        <v>753</v>
      </c>
      <c r="C1005" s="1" t="s">
        <v>67</v>
      </c>
      <c r="D1005" s="9">
        <v>7623.5</v>
      </c>
      <c r="E1005" s="9">
        <f>ведомство!H1671</f>
        <v>7623.5</v>
      </c>
      <c r="F1005" s="9">
        <f>ведомство!I1671</f>
        <v>4766</v>
      </c>
      <c r="G1005" s="9">
        <f>ведомство!J1671</f>
        <v>4766</v>
      </c>
      <c r="H1005" s="9">
        <f>ведомство!K1671</f>
        <v>4597.5</v>
      </c>
      <c r="I1005" s="9">
        <f t="shared" si="468"/>
        <v>60.306945628648258</v>
      </c>
      <c r="J1005" s="9">
        <f t="shared" si="469"/>
        <v>96.464540495174148</v>
      </c>
    </row>
    <row r="1006" spans="1:10" ht="25.5">
      <c r="A1006" s="8" t="s">
        <v>76</v>
      </c>
      <c r="B1006" s="1" t="s">
        <v>754</v>
      </c>
      <c r="C1006" s="1" t="s">
        <v>0</v>
      </c>
      <c r="D1006" s="9">
        <v>259271.8</v>
      </c>
      <c r="E1006" s="9">
        <f>E1007+E1009+E1013+E1011</f>
        <v>259271.8</v>
      </c>
      <c r="F1006" s="9">
        <f t="shared" ref="F1006:H1006" si="490">F1007+F1009+F1013+F1011</f>
        <v>129623.162</v>
      </c>
      <c r="G1006" s="9">
        <f t="shared" si="490"/>
        <v>129623.162</v>
      </c>
      <c r="H1006" s="9">
        <f t="shared" si="490"/>
        <v>111468.07792999998</v>
      </c>
      <c r="I1006" s="9">
        <f t="shared" si="468"/>
        <v>42.992750437957383</v>
      </c>
      <c r="J1006" s="9">
        <f t="shared" si="469"/>
        <v>85.993950625891983</v>
      </c>
    </row>
    <row r="1007" spans="1:10" ht="51">
      <c r="A1007" s="8" t="s">
        <v>60</v>
      </c>
      <c r="B1007" s="1" t="s">
        <v>754</v>
      </c>
      <c r="C1007" s="1" t="s">
        <v>61</v>
      </c>
      <c r="D1007" s="9">
        <v>235914</v>
      </c>
      <c r="E1007" s="9">
        <f>E1008</f>
        <v>235586.74799999999</v>
      </c>
      <c r="F1007" s="9">
        <f t="shared" ref="F1007:H1007" si="491">F1008</f>
        <v>117907.978</v>
      </c>
      <c r="G1007" s="9">
        <f t="shared" si="491"/>
        <v>117907.978</v>
      </c>
      <c r="H1007" s="9">
        <f t="shared" si="491"/>
        <v>100466.23914999999</v>
      </c>
      <c r="I1007" s="9">
        <f t="shared" si="468"/>
        <v>42.645114805014408</v>
      </c>
      <c r="J1007" s="9">
        <f t="shared" si="469"/>
        <v>85.207329354761725</v>
      </c>
    </row>
    <row r="1008" spans="1:10">
      <c r="A1008" s="8" t="s">
        <v>78</v>
      </c>
      <c r="B1008" s="1" t="s">
        <v>754</v>
      </c>
      <c r="C1008" s="1" t="s">
        <v>79</v>
      </c>
      <c r="D1008" s="9">
        <v>235914</v>
      </c>
      <c r="E1008" s="9">
        <f>ведомство!H1674</f>
        <v>235586.74799999999</v>
      </c>
      <c r="F1008" s="9">
        <f>ведомство!I1674</f>
        <v>117907.978</v>
      </c>
      <c r="G1008" s="9">
        <f>ведомство!J1674</f>
        <v>117907.978</v>
      </c>
      <c r="H1008" s="9">
        <f>ведомство!K1674</f>
        <v>100466.23914999999</v>
      </c>
      <c r="I1008" s="9">
        <f t="shared" si="468"/>
        <v>42.645114805014408</v>
      </c>
      <c r="J1008" s="9">
        <f t="shared" si="469"/>
        <v>85.207329354761725</v>
      </c>
    </row>
    <row r="1009" spans="1:10" ht="25.5">
      <c r="A1009" s="8" t="s">
        <v>64</v>
      </c>
      <c r="B1009" s="1" t="s">
        <v>754</v>
      </c>
      <c r="C1009" s="1" t="s">
        <v>65</v>
      </c>
      <c r="D1009" s="9">
        <v>22184.799999999999</v>
      </c>
      <c r="E1009" s="9">
        <f>E1010</f>
        <v>22184.799999999999</v>
      </c>
      <c r="F1009" s="9">
        <f t="shared" ref="F1009:H1009" si="492">F1010</f>
        <v>11010</v>
      </c>
      <c r="G1009" s="9">
        <f t="shared" si="492"/>
        <v>11010</v>
      </c>
      <c r="H1009" s="9">
        <f t="shared" si="492"/>
        <v>10459.662270000001</v>
      </c>
      <c r="I1009" s="9">
        <f t="shared" si="468"/>
        <v>47.147877240272621</v>
      </c>
      <c r="J1009" s="9">
        <f t="shared" si="469"/>
        <v>95.001473841961854</v>
      </c>
    </row>
    <row r="1010" spans="1:10" ht="25.5">
      <c r="A1010" s="8" t="s">
        <v>66</v>
      </c>
      <c r="B1010" s="1" t="s">
        <v>754</v>
      </c>
      <c r="C1010" s="1" t="s">
        <v>67</v>
      </c>
      <c r="D1010" s="9">
        <v>22184.799999999999</v>
      </c>
      <c r="E1010" s="9">
        <f>ведомство!H1676</f>
        <v>22184.799999999999</v>
      </c>
      <c r="F1010" s="9">
        <f>ведомство!I1676</f>
        <v>11010</v>
      </c>
      <c r="G1010" s="9">
        <f>ведомство!J1676</f>
        <v>11010</v>
      </c>
      <c r="H1010" s="9">
        <f>ведомство!K1676</f>
        <v>10459.662270000001</v>
      </c>
      <c r="I1010" s="9">
        <f t="shared" si="468"/>
        <v>47.147877240272621</v>
      </c>
      <c r="J1010" s="9">
        <f t="shared" si="469"/>
        <v>95.001473841961854</v>
      </c>
    </row>
    <row r="1011" spans="1:10" s="43" customFormat="1">
      <c r="A1011" s="8" t="s">
        <v>68</v>
      </c>
      <c r="B1011" s="1" t="s">
        <v>754</v>
      </c>
      <c r="C1011" s="1">
        <v>300</v>
      </c>
      <c r="D1011" s="9"/>
      <c r="E1011" s="9">
        <f>E1012</f>
        <v>327.25200000000001</v>
      </c>
      <c r="F1011" s="9">
        <f t="shared" ref="F1011:H1011" si="493">F1012</f>
        <v>218.48400000000001</v>
      </c>
      <c r="G1011" s="9">
        <f t="shared" si="493"/>
        <v>218.48400000000001</v>
      </c>
      <c r="H1011" s="9">
        <f t="shared" si="493"/>
        <v>202.54722000000001</v>
      </c>
      <c r="I1011" s="9"/>
      <c r="J1011" s="9"/>
    </row>
    <row r="1012" spans="1:10" s="43" customFormat="1" ht="25.5">
      <c r="A1012" s="8" t="s">
        <v>151</v>
      </c>
      <c r="B1012" s="1" t="s">
        <v>754</v>
      </c>
      <c r="C1012" s="1">
        <v>320</v>
      </c>
      <c r="D1012" s="9"/>
      <c r="E1012" s="9">
        <f>ведомство!H1678</f>
        <v>327.25200000000001</v>
      </c>
      <c r="F1012" s="9">
        <f>ведомство!I1678</f>
        <v>218.48400000000001</v>
      </c>
      <c r="G1012" s="9">
        <f>ведомство!J1678</f>
        <v>218.48400000000001</v>
      </c>
      <c r="H1012" s="9">
        <f>ведомство!K1678</f>
        <v>202.54722000000001</v>
      </c>
      <c r="I1012" s="9"/>
      <c r="J1012" s="9"/>
    </row>
    <row r="1013" spans="1:10">
      <c r="A1013" s="8" t="s">
        <v>72</v>
      </c>
      <c r="B1013" s="1" t="s">
        <v>754</v>
      </c>
      <c r="C1013" s="1" t="s">
        <v>73</v>
      </c>
      <c r="D1013" s="9">
        <v>1173</v>
      </c>
      <c r="E1013" s="9">
        <f>E1014+E1015</f>
        <v>1173</v>
      </c>
      <c r="F1013" s="9">
        <f t="shared" ref="F1013:H1013" si="494">F1014+F1015</f>
        <v>486.7</v>
      </c>
      <c r="G1013" s="9">
        <f t="shared" si="494"/>
        <v>486.7</v>
      </c>
      <c r="H1013" s="9">
        <f t="shared" si="494"/>
        <v>339.62929000000003</v>
      </c>
      <c r="I1013" s="9">
        <f t="shared" si="468"/>
        <v>28.953903665814153</v>
      </c>
      <c r="J1013" s="9">
        <f t="shared" si="469"/>
        <v>69.78206081775221</v>
      </c>
    </row>
    <row r="1014" spans="1:10">
      <c r="A1014" s="8" t="s">
        <v>84</v>
      </c>
      <c r="B1014" s="1" t="s">
        <v>754</v>
      </c>
      <c r="C1014" s="1" t="s">
        <v>85</v>
      </c>
      <c r="D1014" s="9">
        <v>0.3</v>
      </c>
      <c r="E1014" s="9">
        <f>ведомство!H1680</f>
        <v>0.3</v>
      </c>
      <c r="F1014" s="9">
        <f>ведомство!I1680</f>
        <v>0</v>
      </c>
      <c r="G1014" s="9">
        <f>ведомство!J1680</f>
        <v>0</v>
      </c>
      <c r="H1014" s="9">
        <f>ведомство!K1680</f>
        <v>0</v>
      </c>
      <c r="I1014" s="9">
        <f t="shared" si="468"/>
        <v>0</v>
      </c>
      <c r="J1014" s="9">
        <v>0</v>
      </c>
    </row>
    <row r="1015" spans="1:10">
      <c r="A1015" s="8" t="s">
        <v>74</v>
      </c>
      <c r="B1015" s="1" t="s">
        <v>754</v>
      </c>
      <c r="C1015" s="1" t="s">
        <v>75</v>
      </c>
      <c r="D1015" s="9">
        <v>1172.7</v>
      </c>
      <c r="E1015" s="9">
        <f>ведомство!H1681</f>
        <v>1172.7</v>
      </c>
      <c r="F1015" s="9">
        <f>ведомство!I1681</f>
        <v>486.7</v>
      </c>
      <c r="G1015" s="9">
        <f>ведомство!J1681</f>
        <v>486.7</v>
      </c>
      <c r="H1015" s="9">
        <f>ведомство!K1681</f>
        <v>339.62929000000003</v>
      </c>
      <c r="I1015" s="9">
        <f t="shared" si="468"/>
        <v>28.961310650635287</v>
      </c>
      <c r="J1015" s="9">
        <f t="shared" si="469"/>
        <v>69.78206081775221</v>
      </c>
    </row>
    <row r="1016" spans="1:10" ht="25.5">
      <c r="A1016" s="8" t="s">
        <v>755</v>
      </c>
      <c r="B1016" s="1" t="s">
        <v>756</v>
      </c>
      <c r="C1016" s="1" t="s">
        <v>0</v>
      </c>
      <c r="D1016" s="9">
        <v>66054.5</v>
      </c>
      <c r="E1016" s="9">
        <f>E1017+E1019+E1022</f>
        <v>66054.5</v>
      </c>
      <c r="F1016" s="9">
        <f t="shared" ref="F1016:H1016" si="495">F1017+F1019+F1022</f>
        <v>31671.011999999999</v>
      </c>
      <c r="G1016" s="9">
        <f t="shared" si="495"/>
        <v>31671.011999999999</v>
      </c>
      <c r="H1016" s="9">
        <f t="shared" si="495"/>
        <v>30908.35673</v>
      </c>
      <c r="I1016" s="9">
        <f t="shared" si="468"/>
        <v>46.792204512940074</v>
      </c>
      <c r="J1016" s="9">
        <f t="shared" si="469"/>
        <v>97.591945372632864</v>
      </c>
    </row>
    <row r="1017" spans="1:10" ht="25.5">
      <c r="A1017" s="8" t="s">
        <v>64</v>
      </c>
      <c r="B1017" s="1" t="s">
        <v>756</v>
      </c>
      <c r="C1017" s="1" t="s">
        <v>65</v>
      </c>
      <c r="D1017" s="9">
        <v>33303.199999999997</v>
      </c>
      <c r="E1017" s="9">
        <f>E1018</f>
        <v>33303.199999999997</v>
      </c>
      <c r="F1017" s="9">
        <f t="shared" ref="F1017:H1017" si="496">F1018</f>
        <v>14834.706</v>
      </c>
      <c r="G1017" s="9">
        <f t="shared" si="496"/>
        <v>14834.706</v>
      </c>
      <c r="H1017" s="9">
        <f t="shared" si="496"/>
        <v>14648.211300000001</v>
      </c>
      <c r="I1017" s="9">
        <f t="shared" si="468"/>
        <v>43.984395793797596</v>
      </c>
      <c r="J1017" s="9">
        <f t="shared" si="469"/>
        <v>98.742848695484767</v>
      </c>
    </row>
    <row r="1018" spans="1:10" ht="25.5">
      <c r="A1018" s="8" t="s">
        <v>66</v>
      </c>
      <c r="B1018" s="1" t="s">
        <v>756</v>
      </c>
      <c r="C1018" s="1" t="s">
        <v>67</v>
      </c>
      <c r="D1018" s="9">
        <v>33303.199999999997</v>
      </c>
      <c r="E1018" s="9">
        <f>ведомство!H1684</f>
        <v>33303.199999999997</v>
      </c>
      <c r="F1018" s="9">
        <f>ведомство!I1684</f>
        <v>14834.706</v>
      </c>
      <c r="G1018" s="9">
        <f>ведомство!J1684</f>
        <v>14834.706</v>
      </c>
      <c r="H1018" s="9">
        <f>ведомство!K1684</f>
        <v>14648.211300000001</v>
      </c>
      <c r="I1018" s="9">
        <f t="shared" si="468"/>
        <v>43.984395793797596</v>
      </c>
      <c r="J1018" s="9">
        <f t="shared" si="469"/>
        <v>98.742848695484767</v>
      </c>
    </row>
    <row r="1019" spans="1:10">
      <c r="A1019" s="8" t="s">
        <v>68</v>
      </c>
      <c r="B1019" s="1" t="s">
        <v>756</v>
      </c>
      <c r="C1019" s="1" t="s">
        <v>69</v>
      </c>
      <c r="D1019" s="9">
        <v>32125.4</v>
      </c>
      <c r="E1019" s="9">
        <f>E1020+E1021</f>
        <v>32125.4</v>
      </c>
      <c r="F1019" s="9">
        <f t="shared" ref="F1019:H1019" si="497">F1020+F1021</f>
        <v>16572.925999999999</v>
      </c>
      <c r="G1019" s="9">
        <f t="shared" si="497"/>
        <v>16572.925999999999</v>
      </c>
      <c r="H1019" s="9">
        <f t="shared" si="497"/>
        <v>16011.80443</v>
      </c>
      <c r="I1019" s="9">
        <f t="shared" si="468"/>
        <v>49.841572182758817</v>
      </c>
      <c r="J1019" s="9">
        <f t="shared" si="469"/>
        <v>96.614227505752453</v>
      </c>
    </row>
    <row r="1020" spans="1:10" ht="25.5">
      <c r="A1020" s="8" t="s">
        <v>151</v>
      </c>
      <c r="B1020" s="1" t="s">
        <v>756</v>
      </c>
      <c r="C1020" s="1" t="s">
        <v>152</v>
      </c>
      <c r="D1020" s="9">
        <v>15988.4</v>
      </c>
      <c r="E1020" s="9">
        <f>ведомство!H1686</f>
        <v>15988.4</v>
      </c>
      <c r="F1020" s="9">
        <f>ведомство!I1686</f>
        <v>10080.986000000001</v>
      </c>
      <c r="G1020" s="9">
        <f>ведомство!J1686</f>
        <v>10080.986000000001</v>
      </c>
      <c r="H1020" s="9">
        <f>ведомство!K1686</f>
        <v>9902.2838000000011</v>
      </c>
      <c r="I1020" s="9">
        <f t="shared" si="468"/>
        <v>61.934176027620033</v>
      </c>
      <c r="J1020" s="9">
        <f t="shared" si="469"/>
        <v>98.227334111960872</v>
      </c>
    </row>
    <row r="1021" spans="1:10">
      <c r="A1021" s="8" t="s">
        <v>70</v>
      </c>
      <c r="B1021" s="1" t="s">
        <v>756</v>
      </c>
      <c r="C1021" s="1" t="s">
        <v>71</v>
      </c>
      <c r="D1021" s="9">
        <v>16137</v>
      </c>
      <c r="E1021" s="9">
        <f>ведомство!H1687</f>
        <v>16137</v>
      </c>
      <c r="F1021" s="9">
        <f>ведомство!I1687</f>
        <v>6491.94</v>
      </c>
      <c r="G1021" s="9">
        <f>ведомство!J1687</f>
        <v>6491.94</v>
      </c>
      <c r="H1021" s="9">
        <f>ведомство!K1687</f>
        <v>6109.52063</v>
      </c>
      <c r="I1021" s="9">
        <f t="shared" si="468"/>
        <v>37.860324905496682</v>
      </c>
      <c r="J1021" s="9">
        <f t="shared" si="469"/>
        <v>94.109320634509871</v>
      </c>
    </row>
    <row r="1022" spans="1:10">
      <c r="A1022" s="8" t="s">
        <v>72</v>
      </c>
      <c r="B1022" s="1" t="s">
        <v>756</v>
      </c>
      <c r="C1022" s="1" t="s">
        <v>73</v>
      </c>
      <c r="D1022" s="9">
        <v>625.9</v>
      </c>
      <c r="E1022" s="9">
        <f>E1023</f>
        <v>625.9</v>
      </c>
      <c r="F1022" s="9">
        <f t="shared" ref="F1022:H1022" si="498">F1023</f>
        <v>263.38</v>
      </c>
      <c r="G1022" s="9">
        <f t="shared" si="498"/>
        <v>263.38</v>
      </c>
      <c r="H1022" s="9">
        <f t="shared" si="498"/>
        <v>248.34100000000001</v>
      </c>
      <c r="I1022" s="9">
        <f t="shared" si="468"/>
        <v>39.677424508707468</v>
      </c>
      <c r="J1022" s="9">
        <f t="shared" si="469"/>
        <v>94.28999924064091</v>
      </c>
    </row>
    <row r="1023" spans="1:10" ht="38.25">
      <c r="A1023" s="8" t="s">
        <v>218</v>
      </c>
      <c r="B1023" s="1" t="s">
        <v>756</v>
      </c>
      <c r="C1023" s="1" t="s">
        <v>219</v>
      </c>
      <c r="D1023" s="9">
        <v>625.9</v>
      </c>
      <c r="E1023" s="9">
        <f>ведомство!H1689</f>
        <v>625.9</v>
      </c>
      <c r="F1023" s="9">
        <f>ведомство!I1689</f>
        <v>263.38</v>
      </c>
      <c r="G1023" s="9">
        <f>ведомство!J1689</f>
        <v>263.38</v>
      </c>
      <c r="H1023" s="9">
        <f>ведомство!K1689</f>
        <v>248.34100000000001</v>
      </c>
      <c r="I1023" s="9">
        <f t="shared" si="468"/>
        <v>39.677424508707468</v>
      </c>
      <c r="J1023" s="9">
        <f t="shared" si="469"/>
        <v>94.28999924064091</v>
      </c>
    </row>
    <row r="1024" spans="1:10">
      <c r="A1024" s="4" t="s">
        <v>0</v>
      </c>
      <c r="B1024" s="17" t="s">
        <v>0</v>
      </c>
      <c r="C1024" s="5" t="s">
        <v>0</v>
      </c>
      <c r="D1024" s="7" t="s">
        <v>0</v>
      </c>
      <c r="E1024" s="7" t="s">
        <v>0</v>
      </c>
      <c r="F1024" s="7" t="s">
        <v>0</v>
      </c>
      <c r="G1024" s="7" t="s">
        <v>0</v>
      </c>
      <c r="H1024" s="7" t="s">
        <v>0</v>
      </c>
      <c r="I1024" s="7"/>
      <c r="J1024" s="7"/>
    </row>
    <row r="1025" spans="1:10" ht="25.5">
      <c r="A1025" s="4" t="s">
        <v>744</v>
      </c>
      <c r="B1025" s="5" t="s">
        <v>745</v>
      </c>
      <c r="C1025" s="5" t="s">
        <v>0</v>
      </c>
      <c r="D1025" s="7">
        <v>9848.7999999999993</v>
      </c>
      <c r="E1025" s="7">
        <f>E1026</f>
        <v>9848.7999999999993</v>
      </c>
      <c r="F1025" s="7">
        <f t="shared" ref="F1025:H1027" si="499">F1026</f>
        <v>4925.6000000000004</v>
      </c>
      <c r="G1025" s="7">
        <f t="shared" si="499"/>
        <v>4925.6000000000004</v>
      </c>
      <c r="H1025" s="7">
        <f t="shared" si="499"/>
        <v>4062.0252099999998</v>
      </c>
      <c r="I1025" s="7">
        <f t="shared" si="468"/>
        <v>41.243859251888551</v>
      </c>
      <c r="J1025" s="7">
        <f t="shared" si="469"/>
        <v>82.467622421633905</v>
      </c>
    </row>
    <row r="1026" spans="1:10" ht="25.5">
      <c r="A1026" s="8" t="s">
        <v>746</v>
      </c>
      <c r="B1026" s="1" t="s">
        <v>747</v>
      </c>
      <c r="C1026" s="1" t="s">
        <v>0</v>
      </c>
      <c r="D1026" s="9">
        <v>9848.7999999999993</v>
      </c>
      <c r="E1026" s="9">
        <f>E1027</f>
        <v>9848.7999999999993</v>
      </c>
      <c r="F1026" s="9">
        <f t="shared" si="499"/>
        <v>4925.6000000000004</v>
      </c>
      <c r="G1026" s="9">
        <f t="shared" si="499"/>
        <v>4925.6000000000004</v>
      </c>
      <c r="H1026" s="9">
        <f t="shared" si="499"/>
        <v>4062.0252099999998</v>
      </c>
      <c r="I1026" s="9">
        <f t="shared" si="468"/>
        <v>41.243859251888551</v>
      </c>
      <c r="J1026" s="9">
        <f t="shared" si="469"/>
        <v>82.467622421633905</v>
      </c>
    </row>
    <row r="1027" spans="1:10">
      <c r="A1027" s="8" t="s">
        <v>26</v>
      </c>
      <c r="B1027" s="1" t="s">
        <v>747</v>
      </c>
      <c r="C1027" s="1" t="s">
        <v>27</v>
      </c>
      <c r="D1027" s="9">
        <v>9848.7999999999993</v>
      </c>
      <c r="E1027" s="9">
        <f>E1028</f>
        <v>9848.7999999999993</v>
      </c>
      <c r="F1027" s="9">
        <f t="shared" si="499"/>
        <v>4925.6000000000004</v>
      </c>
      <c r="G1027" s="9">
        <f t="shared" si="499"/>
        <v>4925.6000000000004</v>
      </c>
      <c r="H1027" s="9">
        <f t="shared" si="499"/>
        <v>4062.0252099999998</v>
      </c>
      <c r="I1027" s="9">
        <f t="shared" si="468"/>
        <v>41.243859251888551</v>
      </c>
      <c r="J1027" s="9">
        <f t="shared" si="469"/>
        <v>82.467622421633905</v>
      </c>
    </row>
    <row r="1028" spans="1:10">
      <c r="A1028" s="8" t="s">
        <v>28</v>
      </c>
      <c r="B1028" s="1" t="s">
        <v>747</v>
      </c>
      <c r="C1028" s="1" t="s">
        <v>29</v>
      </c>
      <c r="D1028" s="9">
        <v>9848.7999999999993</v>
      </c>
      <c r="E1028" s="9">
        <f>ведомство!H1643</f>
        <v>9848.7999999999993</v>
      </c>
      <c r="F1028" s="9">
        <f>ведомство!I1643</f>
        <v>4925.6000000000004</v>
      </c>
      <c r="G1028" s="9">
        <f>ведомство!J1643</f>
        <v>4925.6000000000004</v>
      </c>
      <c r="H1028" s="9">
        <f>ведомство!K1643</f>
        <v>4062.0252099999998</v>
      </c>
      <c r="I1028" s="9">
        <f t="shared" si="468"/>
        <v>41.243859251888551</v>
      </c>
      <c r="J1028" s="9">
        <f t="shared" si="469"/>
        <v>82.467622421633905</v>
      </c>
    </row>
    <row r="1029" spans="1:10">
      <c r="A1029" s="4" t="s">
        <v>0</v>
      </c>
      <c r="B1029" s="17" t="s">
        <v>0</v>
      </c>
      <c r="C1029" s="5" t="s">
        <v>0</v>
      </c>
      <c r="D1029" s="7" t="s">
        <v>0</v>
      </c>
      <c r="E1029" s="7" t="s">
        <v>0</v>
      </c>
      <c r="F1029" s="7" t="s">
        <v>0</v>
      </c>
      <c r="G1029" s="7" t="s">
        <v>0</v>
      </c>
      <c r="H1029" s="7" t="s">
        <v>0</v>
      </c>
      <c r="I1029" s="7"/>
      <c r="J1029" s="7"/>
    </row>
    <row r="1030" spans="1:10" ht="25.5">
      <c r="A1030" s="4" t="s">
        <v>757</v>
      </c>
      <c r="B1030" s="5" t="s">
        <v>758</v>
      </c>
      <c r="C1030" s="5" t="s">
        <v>0</v>
      </c>
      <c r="D1030" s="7">
        <v>18007</v>
      </c>
      <c r="E1030" s="7">
        <f>E1034+E1031</f>
        <v>34055.494869999995</v>
      </c>
      <c r="F1030" s="7">
        <f t="shared" ref="F1030:H1030" si="500">F1034+F1031</f>
        <v>0</v>
      </c>
      <c r="G1030" s="7">
        <f t="shared" si="500"/>
        <v>0</v>
      </c>
      <c r="H1030" s="7">
        <f t="shared" si="500"/>
        <v>0</v>
      </c>
      <c r="I1030" s="7">
        <f t="shared" si="468"/>
        <v>0</v>
      </c>
      <c r="J1030" s="7">
        <v>0</v>
      </c>
    </row>
    <row r="1031" spans="1:10" s="43" customFormat="1" ht="25.5">
      <c r="A1031" s="8" t="s">
        <v>1190</v>
      </c>
      <c r="B1031" s="25" t="s">
        <v>1189</v>
      </c>
      <c r="C1031" s="6"/>
      <c r="D1031" s="7"/>
      <c r="E1031" s="23">
        <f>E1032</f>
        <v>16048.5</v>
      </c>
      <c r="F1031" s="23">
        <f t="shared" ref="F1031:H1032" si="501">F1032</f>
        <v>0</v>
      </c>
      <c r="G1031" s="23">
        <f t="shared" si="501"/>
        <v>0</v>
      </c>
      <c r="H1031" s="23">
        <f t="shared" si="501"/>
        <v>0</v>
      </c>
      <c r="I1031" s="23">
        <f t="shared" ref="I1031:I1033" si="502">H1031/E1031*100</f>
        <v>0</v>
      </c>
      <c r="J1031" s="23">
        <v>0</v>
      </c>
    </row>
    <row r="1032" spans="1:10" s="43" customFormat="1">
      <c r="A1032" s="8" t="s">
        <v>72</v>
      </c>
      <c r="B1032" s="25" t="s">
        <v>1189</v>
      </c>
      <c r="C1032" s="1" t="s">
        <v>73</v>
      </c>
      <c r="D1032" s="7"/>
      <c r="E1032" s="23">
        <f>E1033</f>
        <v>16048.5</v>
      </c>
      <c r="F1032" s="23">
        <f t="shared" si="501"/>
        <v>0</v>
      </c>
      <c r="G1032" s="23">
        <f t="shared" si="501"/>
        <v>0</v>
      </c>
      <c r="H1032" s="23">
        <f t="shared" si="501"/>
        <v>0</v>
      </c>
      <c r="I1032" s="23">
        <f t="shared" si="502"/>
        <v>0</v>
      </c>
      <c r="J1032" s="23">
        <v>0</v>
      </c>
    </row>
    <row r="1033" spans="1:10" s="43" customFormat="1" ht="38.25">
      <c r="A1033" s="8" t="s">
        <v>218</v>
      </c>
      <c r="B1033" s="25" t="s">
        <v>1189</v>
      </c>
      <c r="C1033" s="1" t="s">
        <v>219</v>
      </c>
      <c r="D1033" s="7"/>
      <c r="E1033" s="23">
        <f>ведомство!H1693</f>
        <v>16048.5</v>
      </c>
      <c r="F1033" s="23">
        <f>ведомство!I1693</f>
        <v>0</v>
      </c>
      <c r="G1033" s="23">
        <f>ведомство!J1693</f>
        <v>0</v>
      </c>
      <c r="H1033" s="23">
        <f>ведомство!K1693</f>
        <v>0</v>
      </c>
      <c r="I1033" s="23">
        <f t="shared" si="502"/>
        <v>0</v>
      </c>
      <c r="J1033" s="23">
        <v>0</v>
      </c>
    </row>
    <row r="1034" spans="1:10" ht="25.5">
      <c r="A1034" s="8" t="s">
        <v>759</v>
      </c>
      <c r="B1034" s="1" t="s">
        <v>760</v>
      </c>
      <c r="C1034" s="1" t="s">
        <v>0</v>
      </c>
      <c r="D1034" s="9">
        <v>18007</v>
      </c>
      <c r="E1034" s="9">
        <f>E1035</f>
        <v>18006.994869999999</v>
      </c>
      <c r="F1034" s="9">
        <f t="shared" ref="F1034:H1035" si="503">F1035</f>
        <v>0</v>
      </c>
      <c r="G1034" s="9">
        <f t="shared" si="503"/>
        <v>0</v>
      </c>
      <c r="H1034" s="9">
        <f t="shared" si="503"/>
        <v>0</v>
      </c>
      <c r="I1034" s="9">
        <f t="shared" ref="I1034:I1098" si="504">H1034/E1034*100</f>
        <v>0</v>
      </c>
      <c r="J1034" s="9">
        <v>0</v>
      </c>
    </row>
    <row r="1035" spans="1:10">
      <c r="A1035" s="8" t="s">
        <v>72</v>
      </c>
      <c r="B1035" s="1" t="s">
        <v>760</v>
      </c>
      <c r="C1035" s="1" t="s">
        <v>73</v>
      </c>
      <c r="D1035" s="9">
        <v>18007</v>
      </c>
      <c r="E1035" s="9">
        <f>E1036</f>
        <v>18006.994869999999</v>
      </c>
      <c r="F1035" s="9">
        <f t="shared" si="503"/>
        <v>0</v>
      </c>
      <c r="G1035" s="9">
        <f t="shared" si="503"/>
        <v>0</v>
      </c>
      <c r="H1035" s="9">
        <f t="shared" si="503"/>
        <v>0</v>
      </c>
      <c r="I1035" s="9">
        <f t="shared" si="504"/>
        <v>0</v>
      </c>
      <c r="J1035" s="9">
        <v>0</v>
      </c>
    </row>
    <row r="1036" spans="1:10" ht="38.25">
      <c r="A1036" s="8" t="s">
        <v>218</v>
      </c>
      <c r="B1036" s="1" t="s">
        <v>760</v>
      </c>
      <c r="C1036" s="1" t="s">
        <v>219</v>
      </c>
      <c r="D1036" s="9">
        <v>18007</v>
      </c>
      <c r="E1036" s="9">
        <f>ведомство!H1696</f>
        <v>18006.994869999999</v>
      </c>
      <c r="F1036" s="9">
        <f>ведомство!I1696</f>
        <v>0</v>
      </c>
      <c r="G1036" s="9">
        <f>ведомство!J1696</f>
        <v>0</v>
      </c>
      <c r="H1036" s="9">
        <f>ведомство!K1696</f>
        <v>0</v>
      </c>
      <c r="I1036" s="9">
        <f t="shared" si="504"/>
        <v>0</v>
      </c>
      <c r="J1036" s="9">
        <v>0</v>
      </c>
    </row>
    <row r="1037" spans="1:10">
      <c r="A1037" s="4" t="s">
        <v>0</v>
      </c>
      <c r="B1037" s="17" t="s">
        <v>0</v>
      </c>
      <c r="C1037" s="5" t="s">
        <v>0</v>
      </c>
      <c r="D1037" s="7" t="s">
        <v>0</v>
      </c>
      <c r="E1037" s="7" t="s">
        <v>0</v>
      </c>
      <c r="F1037" s="7" t="s">
        <v>0</v>
      </c>
      <c r="G1037" s="7" t="s">
        <v>0</v>
      </c>
      <c r="H1037" s="7" t="s">
        <v>0</v>
      </c>
      <c r="I1037" s="7"/>
      <c r="J1037" s="7"/>
    </row>
    <row r="1038" spans="1:10" ht="38.25">
      <c r="A1038" s="4" t="s">
        <v>892</v>
      </c>
      <c r="B1038" s="5" t="s">
        <v>893</v>
      </c>
      <c r="C1038" s="5" t="s">
        <v>0</v>
      </c>
      <c r="D1038" s="7">
        <v>360</v>
      </c>
      <c r="E1038" s="7">
        <f>E1039</f>
        <v>360</v>
      </c>
      <c r="F1038" s="7">
        <f t="shared" ref="F1038:H1040" si="505">F1039</f>
        <v>0</v>
      </c>
      <c r="G1038" s="7">
        <f t="shared" si="505"/>
        <v>0</v>
      </c>
      <c r="H1038" s="7">
        <f t="shared" si="505"/>
        <v>0</v>
      </c>
      <c r="I1038" s="7">
        <f t="shared" si="504"/>
        <v>0</v>
      </c>
      <c r="J1038" s="7">
        <v>0</v>
      </c>
    </row>
    <row r="1039" spans="1:10" ht="63.75">
      <c r="A1039" s="8" t="s">
        <v>894</v>
      </c>
      <c r="B1039" s="1" t="s">
        <v>895</v>
      </c>
      <c r="C1039" s="1" t="s">
        <v>0</v>
      </c>
      <c r="D1039" s="9">
        <v>360</v>
      </c>
      <c r="E1039" s="9">
        <f>E1040</f>
        <v>360</v>
      </c>
      <c r="F1039" s="9">
        <f t="shared" si="505"/>
        <v>0</v>
      </c>
      <c r="G1039" s="9">
        <f t="shared" si="505"/>
        <v>0</v>
      </c>
      <c r="H1039" s="9">
        <f t="shared" si="505"/>
        <v>0</v>
      </c>
      <c r="I1039" s="9">
        <f t="shared" si="504"/>
        <v>0</v>
      </c>
      <c r="J1039" s="9">
        <v>0</v>
      </c>
    </row>
    <row r="1040" spans="1:10">
      <c r="A1040" s="8" t="s">
        <v>68</v>
      </c>
      <c r="B1040" s="1" t="s">
        <v>895</v>
      </c>
      <c r="C1040" s="1" t="s">
        <v>69</v>
      </c>
      <c r="D1040" s="9">
        <v>360</v>
      </c>
      <c r="E1040" s="9">
        <f>E1041</f>
        <v>360</v>
      </c>
      <c r="F1040" s="9">
        <f t="shared" si="505"/>
        <v>0</v>
      </c>
      <c r="G1040" s="9">
        <f t="shared" si="505"/>
        <v>0</v>
      </c>
      <c r="H1040" s="9">
        <f t="shared" si="505"/>
        <v>0</v>
      </c>
      <c r="I1040" s="9">
        <f t="shared" si="504"/>
        <v>0</v>
      </c>
      <c r="J1040" s="9">
        <v>0</v>
      </c>
    </row>
    <row r="1041" spans="1:10">
      <c r="A1041" s="8" t="s">
        <v>70</v>
      </c>
      <c r="B1041" s="1" t="s">
        <v>895</v>
      </c>
      <c r="C1041" s="1" t="s">
        <v>71</v>
      </c>
      <c r="D1041" s="9">
        <v>360</v>
      </c>
      <c r="E1041" s="9">
        <f>ведомство!H2037</f>
        <v>360</v>
      </c>
      <c r="F1041" s="9">
        <f>ведомство!I2037</f>
        <v>0</v>
      </c>
      <c r="G1041" s="9">
        <f>ведомство!J2037</f>
        <v>0</v>
      </c>
      <c r="H1041" s="9">
        <f>ведомство!K2037</f>
        <v>0</v>
      </c>
      <c r="I1041" s="9">
        <f t="shared" si="504"/>
        <v>0</v>
      </c>
      <c r="J1041" s="9">
        <v>0</v>
      </c>
    </row>
    <row r="1042" spans="1:10">
      <c r="A1042" s="4" t="s">
        <v>0</v>
      </c>
      <c r="B1042" s="17" t="s">
        <v>0</v>
      </c>
      <c r="C1042" s="5" t="s">
        <v>0</v>
      </c>
      <c r="D1042" s="7" t="s">
        <v>0</v>
      </c>
      <c r="E1042" s="7" t="s">
        <v>0</v>
      </c>
      <c r="F1042" s="7"/>
      <c r="G1042" s="7"/>
      <c r="H1042" s="7"/>
      <c r="I1042" s="7"/>
      <c r="J1042" s="7"/>
    </row>
    <row r="1043" spans="1:10" ht="63.75">
      <c r="A1043" s="4" t="s">
        <v>86</v>
      </c>
      <c r="B1043" s="5" t="s">
        <v>87</v>
      </c>
      <c r="C1043" s="5" t="s">
        <v>0</v>
      </c>
      <c r="D1043" s="7">
        <v>9578.5</v>
      </c>
      <c r="E1043" s="7">
        <f>E1044+E1057+E1074</f>
        <v>9578.5439999999999</v>
      </c>
      <c r="F1043" s="7">
        <f t="shared" ref="F1043:H1043" si="506">F1044+F1057+F1074</f>
        <v>1676.2829999999999</v>
      </c>
      <c r="G1043" s="7">
        <f t="shared" si="506"/>
        <v>1638.3148799999999</v>
      </c>
      <c r="H1043" s="7">
        <f t="shared" si="506"/>
        <v>1638.2368799999999</v>
      </c>
      <c r="I1043" s="7">
        <f t="shared" si="504"/>
        <v>17.103193136660437</v>
      </c>
      <c r="J1043" s="7">
        <f t="shared" ref="J1043:J1098" si="507">H1043/F1043*100</f>
        <v>97.730328351477652</v>
      </c>
    </row>
    <row r="1044" spans="1:10" ht="51">
      <c r="A1044" s="4" t="s">
        <v>443</v>
      </c>
      <c r="B1044" s="5" t="s">
        <v>444</v>
      </c>
      <c r="C1044" s="5" t="s">
        <v>0</v>
      </c>
      <c r="D1044" s="7">
        <v>1212</v>
      </c>
      <c r="E1044" s="7">
        <f>E1045+E1050+E1053</f>
        <v>1212</v>
      </c>
      <c r="F1044" s="7">
        <f t="shared" ref="F1044:H1044" si="508">F1045+F1050+F1053</f>
        <v>714.41300000000001</v>
      </c>
      <c r="G1044" s="7">
        <f t="shared" si="508"/>
        <v>714.41300000000001</v>
      </c>
      <c r="H1044" s="7">
        <f t="shared" si="508"/>
        <v>714.41300000000001</v>
      </c>
      <c r="I1044" s="7">
        <f t="shared" si="504"/>
        <v>58.944966996699662</v>
      </c>
      <c r="J1044" s="7">
        <f t="shared" si="507"/>
        <v>100</v>
      </c>
    </row>
    <row r="1045" spans="1:10" ht="25.5">
      <c r="A1045" s="8" t="s">
        <v>983</v>
      </c>
      <c r="B1045" s="1" t="s">
        <v>984</v>
      </c>
      <c r="C1045" s="1" t="s">
        <v>0</v>
      </c>
      <c r="D1045" s="9">
        <v>162</v>
      </c>
      <c r="E1045" s="9">
        <f>E1046+E1048</f>
        <v>162</v>
      </c>
      <c r="F1045" s="9">
        <f t="shared" ref="F1045:H1045" si="509">F1046+F1048</f>
        <v>112</v>
      </c>
      <c r="G1045" s="9">
        <f t="shared" si="509"/>
        <v>112</v>
      </c>
      <c r="H1045" s="9">
        <f t="shared" si="509"/>
        <v>112</v>
      </c>
      <c r="I1045" s="9">
        <f t="shared" si="504"/>
        <v>69.135802469135797</v>
      </c>
      <c r="J1045" s="9">
        <f t="shared" si="507"/>
        <v>100</v>
      </c>
    </row>
    <row r="1046" spans="1:10">
      <c r="A1046" s="8" t="s">
        <v>68</v>
      </c>
      <c r="B1046" s="1" t="s">
        <v>984</v>
      </c>
      <c r="C1046" s="1" t="s">
        <v>69</v>
      </c>
      <c r="D1046" s="9">
        <v>50</v>
      </c>
      <c r="E1046" s="9">
        <f>E1047</f>
        <v>50</v>
      </c>
      <c r="F1046" s="9">
        <f t="shared" ref="F1046:H1046" si="510">F1047</f>
        <v>0</v>
      </c>
      <c r="G1046" s="9">
        <f t="shared" si="510"/>
        <v>0</v>
      </c>
      <c r="H1046" s="9">
        <f t="shared" si="510"/>
        <v>0</v>
      </c>
      <c r="I1046" s="9">
        <f t="shared" si="504"/>
        <v>0</v>
      </c>
      <c r="J1046" s="9">
        <v>0</v>
      </c>
    </row>
    <row r="1047" spans="1:10">
      <c r="A1047" s="8" t="s">
        <v>373</v>
      </c>
      <c r="B1047" s="1" t="s">
        <v>984</v>
      </c>
      <c r="C1047" s="1" t="s">
        <v>374</v>
      </c>
      <c r="D1047" s="9">
        <v>50</v>
      </c>
      <c r="E1047" s="9">
        <f>ведомство!H2359</f>
        <v>50</v>
      </c>
      <c r="F1047" s="9">
        <f>ведомство!I2359</f>
        <v>0</v>
      </c>
      <c r="G1047" s="9">
        <f>ведомство!J2359</f>
        <v>0</v>
      </c>
      <c r="H1047" s="9">
        <f>ведомство!K2359</f>
        <v>0</v>
      </c>
      <c r="I1047" s="9">
        <f t="shared" si="504"/>
        <v>0</v>
      </c>
      <c r="J1047" s="9">
        <v>0</v>
      </c>
    </row>
    <row r="1048" spans="1:10" ht="25.5">
      <c r="A1048" s="8" t="s">
        <v>80</v>
      </c>
      <c r="B1048" s="1" t="s">
        <v>984</v>
      </c>
      <c r="C1048" s="1" t="s">
        <v>81</v>
      </c>
      <c r="D1048" s="9">
        <v>112</v>
      </c>
      <c r="E1048" s="9">
        <f>E1049</f>
        <v>112</v>
      </c>
      <c r="F1048" s="9">
        <f t="shared" ref="F1048:H1048" si="511">F1049</f>
        <v>112</v>
      </c>
      <c r="G1048" s="9">
        <f t="shared" si="511"/>
        <v>112</v>
      </c>
      <c r="H1048" s="9">
        <f t="shared" si="511"/>
        <v>112</v>
      </c>
      <c r="I1048" s="9">
        <f t="shared" si="504"/>
        <v>100</v>
      </c>
      <c r="J1048" s="9">
        <f t="shared" si="507"/>
        <v>100</v>
      </c>
    </row>
    <row r="1049" spans="1:10">
      <c r="A1049" s="8" t="s">
        <v>82</v>
      </c>
      <c r="B1049" s="1" t="s">
        <v>984</v>
      </c>
      <c r="C1049" s="1" t="s">
        <v>83</v>
      </c>
      <c r="D1049" s="9">
        <v>112</v>
      </c>
      <c r="E1049" s="9">
        <f>ведомство!H2361</f>
        <v>112</v>
      </c>
      <c r="F1049" s="9">
        <f>ведомство!I2361</f>
        <v>112</v>
      </c>
      <c r="G1049" s="9">
        <f>ведомство!J2361</f>
        <v>112</v>
      </c>
      <c r="H1049" s="9">
        <f>ведомство!K2361</f>
        <v>112</v>
      </c>
      <c r="I1049" s="9">
        <f t="shared" si="504"/>
        <v>100</v>
      </c>
      <c r="J1049" s="9">
        <f t="shared" si="507"/>
        <v>100</v>
      </c>
    </row>
    <row r="1050" spans="1:10">
      <c r="A1050" s="8" t="s">
        <v>424</v>
      </c>
      <c r="B1050" s="1" t="s">
        <v>445</v>
      </c>
      <c r="C1050" s="1" t="s">
        <v>0</v>
      </c>
      <c r="D1050" s="9">
        <v>750</v>
      </c>
      <c r="E1050" s="9">
        <f>E1051</f>
        <v>750</v>
      </c>
      <c r="F1050" s="9">
        <f t="shared" ref="F1050:H1051" si="512">F1051</f>
        <v>302.41300000000001</v>
      </c>
      <c r="G1050" s="9">
        <f t="shared" si="512"/>
        <v>302.41300000000001</v>
      </c>
      <c r="H1050" s="9">
        <f t="shared" si="512"/>
        <v>302.41300000000001</v>
      </c>
      <c r="I1050" s="9">
        <f t="shared" si="504"/>
        <v>40.321733333333334</v>
      </c>
      <c r="J1050" s="9">
        <f t="shared" si="507"/>
        <v>100</v>
      </c>
    </row>
    <row r="1051" spans="1:10" ht="25.5">
      <c r="A1051" s="8" t="s">
        <v>80</v>
      </c>
      <c r="B1051" s="1" t="s">
        <v>445</v>
      </c>
      <c r="C1051" s="1" t="s">
        <v>81</v>
      </c>
      <c r="D1051" s="9">
        <v>750</v>
      </c>
      <c r="E1051" s="9">
        <f>E1052</f>
        <v>750</v>
      </c>
      <c r="F1051" s="9">
        <f t="shared" si="512"/>
        <v>302.41300000000001</v>
      </c>
      <c r="G1051" s="9">
        <f t="shared" si="512"/>
        <v>302.41300000000001</v>
      </c>
      <c r="H1051" s="9">
        <f t="shared" si="512"/>
        <v>302.41300000000001</v>
      </c>
      <c r="I1051" s="9">
        <f t="shared" si="504"/>
        <v>40.321733333333334</v>
      </c>
      <c r="J1051" s="9">
        <f t="shared" si="507"/>
        <v>100</v>
      </c>
    </row>
    <row r="1052" spans="1:10">
      <c r="A1052" s="8" t="s">
        <v>271</v>
      </c>
      <c r="B1052" s="1" t="s">
        <v>445</v>
      </c>
      <c r="C1052" s="1" t="s">
        <v>272</v>
      </c>
      <c r="D1052" s="9">
        <v>750</v>
      </c>
      <c r="E1052" s="9">
        <f>ведомство!H1037</f>
        <v>750</v>
      </c>
      <c r="F1052" s="9">
        <f>ведомство!I1037</f>
        <v>302.41300000000001</v>
      </c>
      <c r="G1052" s="9">
        <f>ведомство!J1037</f>
        <v>302.41300000000001</v>
      </c>
      <c r="H1052" s="9">
        <f>ведомство!K1037</f>
        <v>302.41300000000001</v>
      </c>
      <c r="I1052" s="9">
        <f t="shared" si="504"/>
        <v>40.321733333333334</v>
      </c>
      <c r="J1052" s="9">
        <f t="shared" si="507"/>
        <v>100</v>
      </c>
    </row>
    <row r="1053" spans="1:10" ht="25.5">
      <c r="A1053" s="8" t="s">
        <v>748</v>
      </c>
      <c r="B1053" s="1" t="s">
        <v>951</v>
      </c>
      <c r="C1053" s="1" t="s">
        <v>0</v>
      </c>
      <c r="D1053" s="9">
        <v>300</v>
      </c>
      <c r="E1053" s="9">
        <f>E1054</f>
        <v>300</v>
      </c>
      <c r="F1053" s="9">
        <f t="shared" ref="F1053:H1054" si="513">F1054</f>
        <v>300</v>
      </c>
      <c r="G1053" s="9">
        <f t="shared" si="513"/>
        <v>300</v>
      </c>
      <c r="H1053" s="9">
        <f t="shared" si="513"/>
        <v>300</v>
      </c>
      <c r="I1053" s="9">
        <f t="shared" si="504"/>
        <v>100</v>
      </c>
      <c r="J1053" s="9">
        <f t="shared" si="507"/>
        <v>100</v>
      </c>
    </row>
    <row r="1054" spans="1:10" ht="25.5">
      <c r="A1054" s="8" t="s">
        <v>80</v>
      </c>
      <c r="B1054" s="1" t="s">
        <v>951</v>
      </c>
      <c r="C1054" s="1" t="s">
        <v>81</v>
      </c>
      <c r="D1054" s="9">
        <v>300</v>
      </c>
      <c r="E1054" s="9">
        <f>E1055</f>
        <v>300</v>
      </c>
      <c r="F1054" s="9">
        <f t="shared" si="513"/>
        <v>300</v>
      </c>
      <c r="G1054" s="9">
        <f t="shared" si="513"/>
        <v>300</v>
      </c>
      <c r="H1054" s="9">
        <f t="shared" si="513"/>
        <v>300</v>
      </c>
      <c r="I1054" s="9">
        <f t="shared" si="504"/>
        <v>100</v>
      </c>
      <c r="J1054" s="9">
        <f t="shared" si="507"/>
        <v>100</v>
      </c>
    </row>
    <row r="1055" spans="1:10">
      <c r="A1055" s="8" t="s">
        <v>82</v>
      </c>
      <c r="B1055" s="1" t="s">
        <v>951</v>
      </c>
      <c r="C1055" s="1" t="s">
        <v>83</v>
      </c>
      <c r="D1055" s="9">
        <v>300</v>
      </c>
      <c r="E1055" s="9">
        <f>ведомство!H2263</f>
        <v>300</v>
      </c>
      <c r="F1055" s="9">
        <f>ведомство!I2263</f>
        <v>300</v>
      </c>
      <c r="G1055" s="9">
        <f>ведомство!J2263</f>
        <v>300</v>
      </c>
      <c r="H1055" s="9">
        <f>ведомство!K2263</f>
        <v>300</v>
      </c>
      <c r="I1055" s="9">
        <f t="shared" si="504"/>
        <v>100</v>
      </c>
      <c r="J1055" s="9">
        <f t="shared" si="507"/>
        <v>100</v>
      </c>
    </row>
    <row r="1056" spans="1:10">
      <c r="A1056" s="4" t="s">
        <v>0</v>
      </c>
      <c r="B1056" s="17" t="s">
        <v>0</v>
      </c>
      <c r="C1056" s="5" t="s">
        <v>0</v>
      </c>
      <c r="D1056" s="7" t="s">
        <v>0</v>
      </c>
      <c r="E1056" s="7" t="s">
        <v>0</v>
      </c>
      <c r="F1056" s="7"/>
      <c r="G1056" s="7"/>
      <c r="H1056" s="7"/>
      <c r="I1056" s="7"/>
      <c r="J1056" s="7"/>
    </row>
    <row r="1057" spans="1:10" ht="25.5">
      <c r="A1057" s="4" t="s">
        <v>88</v>
      </c>
      <c r="B1057" s="5" t="s">
        <v>89</v>
      </c>
      <c r="C1057" s="5" t="s">
        <v>0</v>
      </c>
      <c r="D1057" s="7">
        <v>5866.5</v>
      </c>
      <c r="E1057" s="7">
        <f>E1058+E1061+E1064+E1067+E1070</f>
        <v>5866.5439999999999</v>
      </c>
      <c r="F1057" s="7">
        <f t="shared" ref="F1057:H1057" si="514">F1058+F1061+F1064+F1067+F1070</f>
        <v>961.87</v>
      </c>
      <c r="G1057" s="7">
        <f t="shared" si="514"/>
        <v>923.90188000000001</v>
      </c>
      <c r="H1057" s="7">
        <f t="shared" si="514"/>
        <v>923.82388000000003</v>
      </c>
      <c r="I1057" s="7">
        <f t="shared" si="504"/>
        <v>15.747327216841809</v>
      </c>
      <c r="J1057" s="7">
        <f t="shared" si="507"/>
        <v>96.044567353176618</v>
      </c>
    </row>
    <row r="1058" spans="1:10" ht="25.5">
      <c r="A1058" s="8" t="s">
        <v>76</v>
      </c>
      <c r="B1058" s="1" t="s">
        <v>90</v>
      </c>
      <c r="C1058" s="1" t="s">
        <v>0</v>
      </c>
      <c r="D1058" s="9">
        <v>383.5</v>
      </c>
      <c r="E1058" s="9">
        <f>E1059</f>
        <v>383.54399999999998</v>
      </c>
      <c r="F1058" s="9">
        <f t="shared" ref="F1058:H1059" si="515">F1059</f>
        <v>322.78399999999999</v>
      </c>
      <c r="G1058" s="9">
        <f t="shared" si="515"/>
        <v>284.81587999999999</v>
      </c>
      <c r="H1058" s="9">
        <f t="shared" si="515"/>
        <v>284.81587999999999</v>
      </c>
      <c r="I1058" s="9">
        <f t="shared" si="504"/>
        <v>74.258984627578585</v>
      </c>
      <c r="J1058" s="9">
        <f t="shared" si="507"/>
        <v>88.237298007336179</v>
      </c>
    </row>
    <row r="1059" spans="1:10" ht="25.5">
      <c r="A1059" s="8" t="s">
        <v>64</v>
      </c>
      <c r="B1059" s="1" t="s">
        <v>90</v>
      </c>
      <c r="C1059" s="1" t="s">
        <v>65</v>
      </c>
      <c r="D1059" s="9">
        <v>383.5</v>
      </c>
      <c r="E1059" s="9">
        <f>E1060</f>
        <v>383.54399999999998</v>
      </c>
      <c r="F1059" s="9">
        <f t="shared" si="515"/>
        <v>322.78399999999999</v>
      </c>
      <c r="G1059" s="9">
        <f t="shared" si="515"/>
        <v>284.81587999999999</v>
      </c>
      <c r="H1059" s="9">
        <f t="shared" si="515"/>
        <v>284.81587999999999</v>
      </c>
      <c r="I1059" s="9">
        <f t="shared" si="504"/>
        <v>74.258984627578585</v>
      </c>
      <c r="J1059" s="9">
        <f t="shared" si="507"/>
        <v>88.237298007336179</v>
      </c>
    </row>
    <row r="1060" spans="1:10" ht="25.5">
      <c r="A1060" s="8" t="s">
        <v>66</v>
      </c>
      <c r="B1060" s="1" t="s">
        <v>90</v>
      </c>
      <c r="C1060" s="1" t="s">
        <v>67</v>
      </c>
      <c r="D1060" s="9">
        <v>383.5</v>
      </c>
      <c r="E1060" s="9">
        <f>ведомство!H71</f>
        <v>383.54399999999998</v>
      </c>
      <c r="F1060" s="9">
        <f>ведомство!I71</f>
        <v>322.78399999999999</v>
      </c>
      <c r="G1060" s="9">
        <f>ведомство!J71</f>
        <v>284.81587999999999</v>
      </c>
      <c r="H1060" s="9">
        <f>ведомство!K71</f>
        <v>284.81587999999999</v>
      </c>
      <c r="I1060" s="9">
        <f t="shared" si="504"/>
        <v>74.258984627578585</v>
      </c>
      <c r="J1060" s="9">
        <f t="shared" si="507"/>
        <v>88.237298007336179</v>
      </c>
    </row>
    <row r="1061" spans="1:10" ht="38.25">
      <c r="A1061" s="8" t="s">
        <v>37</v>
      </c>
      <c r="B1061" s="1" t="s">
        <v>91</v>
      </c>
      <c r="C1061" s="1" t="s">
        <v>0</v>
      </c>
      <c r="D1061" s="9">
        <v>3800</v>
      </c>
      <c r="E1061" s="9">
        <f>E1062</f>
        <v>3800</v>
      </c>
      <c r="F1061" s="9">
        <f t="shared" ref="F1061:H1062" si="516">F1062</f>
        <v>9.0860000000000003</v>
      </c>
      <c r="G1061" s="9">
        <f t="shared" si="516"/>
        <v>9.0860000000000003</v>
      </c>
      <c r="H1061" s="9">
        <f t="shared" si="516"/>
        <v>9.0860000000000003</v>
      </c>
      <c r="I1061" s="9">
        <f t="shared" si="504"/>
        <v>0.23910526315789474</v>
      </c>
      <c r="J1061" s="9">
        <f t="shared" si="507"/>
        <v>100</v>
      </c>
    </row>
    <row r="1062" spans="1:10" ht="25.5">
      <c r="A1062" s="8" t="s">
        <v>39</v>
      </c>
      <c r="B1062" s="1" t="s">
        <v>91</v>
      </c>
      <c r="C1062" s="1" t="s">
        <v>40</v>
      </c>
      <c r="D1062" s="9">
        <v>3800</v>
      </c>
      <c r="E1062" s="9">
        <f>E1063</f>
        <v>3800</v>
      </c>
      <c r="F1062" s="9">
        <f t="shared" si="516"/>
        <v>9.0860000000000003</v>
      </c>
      <c r="G1062" s="9">
        <f t="shared" si="516"/>
        <v>9.0860000000000003</v>
      </c>
      <c r="H1062" s="9">
        <f t="shared" si="516"/>
        <v>9.0860000000000003</v>
      </c>
      <c r="I1062" s="9">
        <f t="shared" si="504"/>
        <v>0.23910526315789474</v>
      </c>
      <c r="J1062" s="9">
        <f t="shared" si="507"/>
        <v>100</v>
      </c>
    </row>
    <row r="1063" spans="1:10">
      <c r="A1063" s="8" t="s">
        <v>41</v>
      </c>
      <c r="B1063" s="1" t="s">
        <v>91</v>
      </c>
      <c r="C1063" s="1" t="s">
        <v>42</v>
      </c>
      <c r="D1063" s="9">
        <v>3800</v>
      </c>
      <c r="E1063" s="9">
        <f>ведомство!H74</f>
        <v>3800</v>
      </c>
      <c r="F1063" s="9">
        <f>ведомство!I74</f>
        <v>9.0860000000000003</v>
      </c>
      <c r="G1063" s="9">
        <f>ведомство!J74</f>
        <v>9.0860000000000003</v>
      </c>
      <c r="H1063" s="9">
        <f>ведомство!K74</f>
        <v>9.0860000000000003</v>
      </c>
      <c r="I1063" s="9">
        <f t="shared" si="504"/>
        <v>0.23910526315789474</v>
      </c>
      <c r="J1063" s="9">
        <f t="shared" si="507"/>
        <v>100</v>
      </c>
    </row>
    <row r="1064" spans="1:10">
      <c r="A1064" s="8" t="s">
        <v>424</v>
      </c>
      <c r="B1064" s="1" t="s">
        <v>446</v>
      </c>
      <c r="C1064" s="1" t="s">
        <v>0</v>
      </c>
      <c r="D1064" s="9">
        <v>150</v>
      </c>
      <c r="E1064" s="9">
        <f>E1065</f>
        <v>150</v>
      </c>
      <c r="F1064" s="9">
        <f t="shared" ref="F1064:H1065" si="517">F1065</f>
        <v>150</v>
      </c>
      <c r="G1064" s="9">
        <f t="shared" si="517"/>
        <v>150</v>
      </c>
      <c r="H1064" s="9">
        <f t="shared" si="517"/>
        <v>150</v>
      </c>
      <c r="I1064" s="9">
        <f t="shared" si="504"/>
        <v>100</v>
      </c>
      <c r="J1064" s="9">
        <f t="shared" si="507"/>
        <v>100</v>
      </c>
    </row>
    <row r="1065" spans="1:10" ht="25.5">
      <c r="A1065" s="8" t="s">
        <v>80</v>
      </c>
      <c r="B1065" s="1" t="s">
        <v>446</v>
      </c>
      <c r="C1065" s="1" t="s">
        <v>81</v>
      </c>
      <c r="D1065" s="9">
        <v>150</v>
      </c>
      <c r="E1065" s="9">
        <f>E1066</f>
        <v>150</v>
      </c>
      <c r="F1065" s="9">
        <f t="shared" si="517"/>
        <v>150</v>
      </c>
      <c r="G1065" s="9">
        <f t="shared" si="517"/>
        <v>150</v>
      </c>
      <c r="H1065" s="9">
        <f t="shared" si="517"/>
        <v>150</v>
      </c>
      <c r="I1065" s="9">
        <f t="shared" si="504"/>
        <v>100</v>
      </c>
      <c r="J1065" s="9">
        <f t="shared" si="507"/>
        <v>100</v>
      </c>
    </row>
    <row r="1066" spans="1:10">
      <c r="A1066" s="8" t="s">
        <v>271</v>
      </c>
      <c r="B1066" s="1" t="s">
        <v>446</v>
      </c>
      <c r="C1066" s="1" t="s">
        <v>272</v>
      </c>
      <c r="D1066" s="9">
        <v>150</v>
      </c>
      <c r="E1066" s="9">
        <f>ведомство!H1041</f>
        <v>150</v>
      </c>
      <c r="F1066" s="9">
        <f>ведомство!I1041</f>
        <v>150</v>
      </c>
      <c r="G1066" s="9">
        <f>ведомство!J1041</f>
        <v>150</v>
      </c>
      <c r="H1066" s="9">
        <f>ведомство!K1041</f>
        <v>150</v>
      </c>
      <c r="I1066" s="9">
        <f t="shared" si="504"/>
        <v>100</v>
      </c>
      <c r="J1066" s="9">
        <f t="shared" si="507"/>
        <v>100</v>
      </c>
    </row>
    <row r="1067" spans="1:10">
      <c r="A1067" s="8" t="s">
        <v>1074</v>
      </c>
      <c r="B1067" s="1" t="s">
        <v>1076</v>
      </c>
      <c r="C1067" s="1" t="s">
        <v>0</v>
      </c>
      <c r="D1067" s="9">
        <v>1233</v>
      </c>
      <c r="E1067" s="9">
        <f>E1068</f>
        <v>1233</v>
      </c>
      <c r="F1067" s="9">
        <f t="shared" ref="F1067:H1068" si="518">F1068</f>
        <v>180</v>
      </c>
      <c r="G1067" s="9">
        <f t="shared" si="518"/>
        <v>180</v>
      </c>
      <c r="H1067" s="9">
        <f t="shared" si="518"/>
        <v>180</v>
      </c>
      <c r="I1067" s="9">
        <f t="shared" si="504"/>
        <v>14.5985401459854</v>
      </c>
      <c r="J1067" s="9">
        <f t="shared" si="507"/>
        <v>100</v>
      </c>
    </row>
    <row r="1068" spans="1:10" ht="25.5">
      <c r="A1068" s="8" t="s">
        <v>64</v>
      </c>
      <c r="B1068" s="1" t="s">
        <v>1076</v>
      </c>
      <c r="C1068" s="1" t="s">
        <v>65</v>
      </c>
      <c r="D1068" s="9">
        <v>1233</v>
      </c>
      <c r="E1068" s="9">
        <f>E1069</f>
        <v>1233</v>
      </c>
      <c r="F1068" s="9">
        <f t="shared" si="518"/>
        <v>180</v>
      </c>
      <c r="G1068" s="9">
        <f t="shared" si="518"/>
        <v>180</v>
      </c>
      <c r="H1068" s="9">
        <f t="shared" si="518"/>
        <v>180</v>
      </c>
      <c r="I1068" s="9">
        <f t="shared" si="504"/>
        <v>14.5985401459854</v>
      </c>
      <c r="J1068" s="9">
        <f t="shared" si="507"/>
        <v>100</v>
      </c>
    </row>
    <row r="1069" spans="1:10" ht="25.5">
      <c r="A1069" s="8" t="s">
        <v>66</v>
      </c>
      <c r="B1069" s="1" t="s">
        <v>1076</v>
      </c>
      <c r="C1069" s="1" t="s">
        <v>67</v>
      </c>
      <c r="D1069" s="9">
        <v>1233</v>
      </c>
      <c r="E1069" s="9">
        <f>ведомство!H2619</f>
        <v>1233</v>
      </c>
      <c r="F1069" s="9">
        <f>ведомство!I2619</f>
        <v>180</v>
      </c>
      <c r="G1069" s="9">
        <f>ведомство!J2619</f>
        <v>180</v>
      </c>
      <c r="H1069" s="9">
        <f>ведомство!K2619</f>
        <v>180</v>
      </c>
      <c r="I1069" s="9">
        <f t="shared" si="504"/>
        <v>14.5985401459854</v>
      </c>
      <c r="J1069" s="9">
        <f t="shared" si="507"/>
        <v>100</v>
      </c>
    </row>
    <row r="1070" spans="1:10" ht="25.5">
      <c r="A1070" s="8" t="s">
        <v>266</v>
      </c>
      <c r="B1070" s="1" t="s">
        <v>267</v>
      </c>
      <c r="C1070" s="1" t="s">
        <v>0</v>
      </c>
      <c r="D1070" s="9">
        <v>300</v>
      </c>
      <c r="E1070" s="9">
        <f>E1071</f>
        <v>300</v>
      </c>
      <c r="F1070" s="9">
        <f t="shared" ref="F1070:H1071" si="519">F1071</f>
        <v>300</v>
      </c>
      <c r="G1070" s="9">
        <f t="shared" si="519"/>
        <v>300</v>
      </c>
      <c r="H1070" s="9">
        <f t="shared" si="519"/>
        <v>299.92200000000003</v>
      </c>
      <c r="I1070" s="9">
        <f t="shared" si="504"/>
        <v>99.974000000000004</v>
      </c>
      <c r="J1070" s="9">
        <f t="shared" si="507"/>
        <v>99.974000000000004</v>
      </c>
    </row>
    <row r="1071" spans="1:10">
      <c r="A1071" s="8" t="s">
        <v>68</v>
      </c>
      <c r="B1071" s="1" t="s">
        <v>267</v>
      </c>
      <c r="C1071" s="1" t="s">
        <v>69</v>
      </c>
      <c r="D1071" s="9">
        <v>300</v>
      </c>
      <c r="E1071" s="9">
        <f>E1072</f>
        <v>300</v>
      </c>
      <c r="F1071" s="9">
        <f t="shared" si="519"/>
        <v>300</v>
      </c>
      <c r="G1071" s="9">
        <f t="shared" si="519"/>
        <v>300</v>
      </c>
      <c r="H1071" s="9">
        <f t="shared" si="519"/>
        <v>299.92200000000003</v>
      </c>
      <c r="I1071" s="9">
        <f t="shared" si="504"/>
        <v>99.974000000000004</v>
      </c>
      <c r="J1071" s="9">
        <f t="shared" si="507"/>
        <v>99.974000000000004</v>
      </c>
    </row>
    <row r="1072" spans="1:10">
      <c r="A1072" s="8" t="s">
        <v>70</v>
      </c>
      <c r="B1072" s="1" t="s">
        <v>267</v>
      </c>
      <c r="C1072" s="1" t="s">
        <v>71</v>
      </c>
      <c r="D1072" s="9">
        <v>300</v>
      </c>
      <c r="E1072" s="9">
        <f>ведомство!H438</f>
        <v>300</v>
      </c>
      <c r="F1072" s="9">
        <f>ведомство!I438</f>
        <v>300</v>
      </c>
      <c r="G1072" s="9">
        <f>ведомство!J438</f>
        <v>300</v>
      </c>
      <c r="H1072" s="9">
        <f>ведомство!K438</f>
        <v>299.92200000000003</v>
      </c>
      <c r="I1072" s="9">
        <f t="shared" si="504"/>
        <v>99.974000000000004</v>
      </c>
      <c r="J1072" s="9">
        <f t="shared" si="507"/>
        <v>99.974000000000004</v>
      </c>
    </row>
    <row r="1073" spans="1:10">
      <c r="A1073" s="4" t="s">
        <v>0</v>
      </c>
      <c r="B1073" s="17" t="s">
        <v>0</v>
      </c>
      <c r="C1073" s="5" t="s">
        <v>0</v>
      </c>
      <c r="D1073" s="7" t="s">
        <v>0</v>
      </c>
      <c r="E1073" s="7" t="s">
        <v>0</v>
      </c>
      <c r="F1073" s="7"/>
      <c r="G1073" s="7"/>
      <c r="H1073" s="7"/>
      <c r="I1073" s="7"/>
      <c r="J1073" s="7"/>
    </row>
    <row r="1074" spans="1:10" ht="25.5">
      <c r="A1074" s="4" t="s">
        <v>447</v>
      </c>
      <c r="B1074" s="5" t="s">
        <v>448</v>
      </c>
      <c r="C1074" s="5" t="s">
        <v>0</v>
      </c>
      <c r="D1074" s="7">
        <v>2500</v>
      </c>
      <c r="E1074" s="7">
        <f>E1075</f>
        <v>2500</v>
      </c>
      <c r="F1074" s="7">
        <f t="shared" ref="F1074:H1076" si="520">F1075</f>
        <v>0</v>
      </c>
      <c r="G1074" s="7">
        <f t="shared" si="520"/>
        <v>0</v>
      </c>
      <c r="H1074" s="7">
        <f t="shared" si="520"/>
        <v>0</v>
      </c>
      <c r="I1074" s="7">
        <f t="shared" si="504"/>
        <v>0</v>
      </c>
      <c r="J1074" s="7">
        <v>0</v>
      </c>
    </row>
    <row r="1075" spans="1:10" ht="25.5">
      <c r="A1075" s="8" t="s">
        <v>76</v>
      </c>
      <c r="B1075" s="1" t="s">
        <v>449</v>
      </c>
      <c r="C1075" s="1" t="s">
        <v>0</v>
      </c>
      <c r="D1075" s="9">
        <v>2500</v>
      </c>
      <c r="E1075" s="9">
        <f>E1076</f>
        <v>2500</v>
      </c>
      <c r="F1075" s="9">
        <f t="shared" si="520"/>
        <v>0</v>
      </c>
      <c r="G1075" s="9">
        <f t="shared" si="520"/>
        <v>0</v>
      </c>
      <c r="H1075" s="9">
        <f t="shared" si="520"/>
        <v>0</v>
      </c>
      <c r="I1075" s="9">
        <f t="shared" si="504"/>
        <v>0</v>
      </c>
      <c r="J1075" s="9">
        <v>0</v>
      </c>
    </row>
    <row r="1076" spans="1:10" ht="25.5">
      <c r="A1076" s="8" t="s">
        <v>80</v>
      </c>
      <c r="B1076" s="1" t="s">
        <v>449</v>
      </c>
      <c r="C1076" s="1" t="s">
        <v>81</v>
      </c>
      <c r="D1076" s="9">
        <v>2500</v>
      </c>
      <c r="E1076" s="9">
        <f>E1077</f>
        <v>2500</v>
      </c>
      <c r="F1076" s="9">
        <f t="shared" si="520"/>
        <v>0</v>
      </c>
      <c r="G1076" s="9">
        <f t="shared" si="520"/>
        <v>0</v>
      </c>
      <c r="H1076" s="9">
        <f t="shared" si="520"/>
        <v>0</v>
      </c>
      <c r="I1076" s="9">
        <f t="shared" si="504"/>
        <v>0</v>
      </c>
      <c r="J1076" s="9">
        <v>0</v>
      </c>
    </row>
    <row r="1077" spans="1:10">
      <c r="A1077" s="8" t="s">
        <v>271</v>
      </c>
      <c r="B1077" s="1" t="s">
        <v>449</v>
      </c>
      <c r="C1077" s="1" t="s">
        <v>272</v>
      </c>
      <c r="D1077" s="9">
        <v>2500</v>
      </c>
      <c r="E1077" s="9">
        <f>ведомство!H1045</f>
        <v>2500</v>
      </c>
      <c r="F1077" s="9">
        <f>ведомство!I1045</f>
        <v>0</v>
      </c>
      <c r="G1077" s="9">
        <f>ведомство!J1045</f>
        <v>0</v>
      </c>
      <c r="H1077" s="9">
        <f>ведомство!K1045</f>
        <v>0</v>
      </c>
      <c r="I1077" s="9">
        <f t="shared" si="504"/>
        <v>0</v>
      </c>
      <c r="J1077" s="9">
        <v>0</v>
      </c>
    </row>
    <row r="1078" spans="1:10">
      <c r="A1078" s="4" t="s">
        <v>0</v>
      </c>
      <c r="B1078" s="17" t="s">
        <v>0</v>
      </c>
      <c r="C1078" s="5" t="s">
        <v>0</v>
      </c>
      <c r="D1078" s="7" t="s">
        <v>0</v>
      </c>
      <c r="E1078" s="7" t="s">
        <v>0</v>
      </c>
      <c r="F1078" s="7"/>
      <c r="G1078" s="7"/>
      <c r="H1078" s="7"/>
      <c r="I1078" s="7"/>
      <c r="J1078" s="7"/>
    </row>
    <row r="1079" spans="1:10" ht="51">
      <c r="A1079" s="35" t="s">
        <v>166</v>
      </c>
      <c r="B1079" s="5" t="s">
        <v>167</v>
      </c>
      <c r="C1079" s="5" t="s">
        <v>0</v>
      </c>
      <c r="D1079" s="7">
        <v>1116994.3999999999</v>
      </c>
      <c r="E1079" s="7">
        <f>E1080+E1095+E1118+E1128</f>
        <v>1116994.3999999999</v>
      </c>
      <c r="F1079" s="7">
        <f t="shared" ref="F1079:H1079" si="521">F1080+F1095+F1118+F1128</f>
        <v>547065.35887999984</v>
      </c>
      <c r="G1079" s="7">
        <f t="shared" si="521"/>
        <v>544133.35887999984</v>
      </c>
      <c r="H1079" s="7">
        <f t="shared" si="521"/>
        <v>538177.1887099999</v>
      </c>
      <c r="I1079" s="7">
        <f t="shared" si="504"/>
        <v>48.180831408823529</v>
      </c>
      <c r="J1079" s="7">
        <f t="shared" si="507"/>
        <v>98.375300130829601</v>
      </c>
    </row>
    <row r="1080" spans="1:10" ht="25.5">
      <c r="A1080" s="4" t="s">
        <v>915</v>
      </c>
      <c r="B1080" s="5" t="s">
        <v>916</v>
      </c>
      <c r="C1080" s="5" t="s">
        <v>0</v>
      </c>
      <c r="D1080" s="7">
        <v>874390.4</v>
      </c>
      <c r="E1080" s="7">
        <f>E1081+E1091</f>
        <v>874268.97470999986</v>
      </c>
      <c r="F1080" s="7">
        <f t="shared" ref="F1080:H1080" si="522">F1081+F1091</f>
        <v>436411.02699999994</v>
      </c>
      <c r="G1080" s="7">
        <f t="shared" si="522"/>
        <v>436411.02699999994</v>
      </c>
      <c r="H1080" s="7">
        <f t="shared" si="522"/>
        <v>431049.54690000002</v>
      </c>
      <c r="I1080" s="7">
        <f t="shared" si="504"/>
        <v>49.303996752599126</v>
      </c>
      <c r="J1080" s="7">
        <f t="shared" si="507"/>
        <v>98.77146090078061</v>
      </c>
    </row>
    <row r="1081" spans="1:10" ht="25.5">
      <c r="A1081" s="8" t="s">
        <v>76</v>
      </c>
      <c r="B1081" s="1" t="s">
        <v>917</v>
      </c>
      <c r="C1081" s="1" t="s">
        <v>0</v>
      </c>
      <c r="D1081" s="9">
        <v>866372.9</v>
      </c>
      <c r="E1081" s="9">
        <f>E1082+E1084+E1086+E1088</f>
        <v>866251.47470999986</v>
      </c>
      <c r="F1081" s="9">
        <f t="shared" ref="F1081:H1081" si="523">F1082+F1084+F1086+F1088</f>
        <v>431311.02699999994</v>
      </c>
      <c r="G1081" s="9">
        <f t="shared" si="523"/>
        <v>431311.02699999994</v>
      </c>
      <c r="H1081" s="9">
        <f t="shared" si="523"/>
        <v>425949.54690000002</v>
      </c>
      <c r="I1081" s="9">
        <f t="shared" si="504"/>
        <v>49.171581155760535</v>
      </c>
      <c r="J1081" s="9">
        <f t="shared" si="507"/>
        <v>98.756934146272144</v>
      </c>
    </row>
    <row r="1082" spans="1:10" ht="51">
      <c r="A1082" s="8" t="s">
        <v>60</v>
      </c>
      <c r="B1082" s="1" t="s">
        <v>917</v>
      </c>
      <c r="C1082" s="1" t="s">
        <v>61</v>
      </c>
      <c r="D1082" s="9">
        <v>719202</v>
      </c>
      <c r="E1082" s="9">
        <f>E1083</f>
        <v>719080.57470999996</v>
      </c>
      <c r="F1082" s="9">
        <f t="shared" ref="F1082:H1082" si="524">F1083</f>
        <v>352630.74199999997</v>
      </c>
      <c r="G1082" s="9">
        <f t="shared" si="524"/>
        <v>352630.74199999997</v>
      </c>
      <c r="H1082" s="9">
        <f t="shared" si="524"/>
        <v>347731.79879000003</v>
      </c>
      <c r="I1082" s="9">
        <f t="shared" si="504"/>
        <v>48.35783513276489</v>
      </c>
      <c r="J1082" s="9">
        <f t="shared" si="507"/>
        <v>98.610744150605015</v>
      </c>
    </row>
    <row r="1083" spans="1:10">
      <c r="A1083" s="8" t="s">
        <v>78</v>
      </c>
      <c r="B1083" s="1" t="s">
        <v>917</v>
      </c>
      <c r="C1083" s="1" t="s">
        <v>79</v>
      </c>
      <c r="D1083" s="9">
        <v>719202</v>
      </c>
      <c r="E1083" s="9">
        <f>ведомство!H2104</f>
        <v>719080.57470999996</v>
      </c>
      <c r="F1083" s="9">
        <f>ведомство!I2104</f>
        <v>352630.74199999997</v>
      </c>
      <c r="G1083" s="9">
        <f>ведомство!J2104</f>
        <v>352630.74199999997</v>
      </c>
      <c r="H1083" s="9">
        <f>ведомство!K2104</f>
        <v>347731.79879000003</v>
      </c>
      <c r="I1083" s="9">
        <f t="shared" si="504"/>
        <v>48.35783513276489</v>
      </c>
      <c r="J1083" s="9">
        <f t="shared" si="507"/>
        <v>98.610744150605015</v>
      </c>
    </row>
    <row r="1084" spans="1:10" ht="25.5">
      <c r="A1084" s="8" t="s">
        <v>64</v>
      </c>
      <c r="B1084" s="1" t="s">
        <v>917</v>
      </c>
      <c r="C1084" s="1" t="s">
        <v>65</v>
      </c>
      <c r="D1084" s="9">
        <v>62401</v>
      </c>
      <c r="E1084" s="9">
        <f>E1085</f>
        <v>62401</v>
      </c>
      <c r="F1084" s="9">
        <f t="shared" ref="F1084:H1084" si="525">F1085</f>
        <v>31748.175999999999</v>
      </c>
      <c r="G1084" s="9">
        <f t="shared" si="525"/>
        <v>31748.175999999999</v>
      </c>
      <c r="H1084" s="9">
        <f t="shared" si="525"/>
        <v>31315.719239999999</v>
      </c>
      <c r="I1084" s="9">
        <f t="shared" si="504"/>
        <v>50.184643258922137</v>
      </c>
      <c r="J1084" s="9">
        <f t="shared" si="507"/>
        <v>98.637853210842721</v>
      </c>
    </row>
    <row r="1085" spans="1:10" ht="25.5">
      <c r="A1085" s="8" t="s">
        <v>66</v>
      </c>
      <c r="B1085" s="1" t="s">
        <v>917</v>
      </c>
      <c r="C1085" s="1" t="s">
        <v>67</v>
      </c>
      <c r="D1085" s="9">
        <v>62401</v>
      </c>
      <c r="E1085" s="9">
        <f>ведомство!H2106</f>
        <v>62401</v>
      </c>
      <c r="F1085" s="9">
        <f>ведомство!I2106</f>
        <v>31748.175999999999</v>
      </c>
      <c r="G1085" s="9">
        <f>ведомство!J2106</f>
        <v>31748.175999999999</v>
      </c>
      <c r="H1085" s="9">
        <f>ведомство!K2106</f>
        <v>31315.719239999999</v>
      </c>
      <c r="I1085" s="9">
        <f t="shared" si="504"/>
        <v>50.184643258922137</v>
      </c>
      <c r="J1085" s="9">
        <f t="shared" si="507"/>
        <v>98.637853210842721</v>
      </c>
    </row>
    <row r="1086" spans="1:10" ht="25.5">
      <c r="A1086" s="8" t="s">
        <v>80</v>
      </c>
      <c r="B1086" s="1" t="s">
        <v>917</v>
      </c>
      <c r="C1086" s="1" t="s">
        <v>81</v>
      </c>
      <c r="D1086" s="9">
        <v>78263.199999999997</v>
      </c>
      <c r="E1086" s="9">
        <f>E1087</f>
        <v>78263.199999999997</v>
      </c>
      <c r="F1086" s="9">
        <f t="shared" ref="F1086:H1086" si="526">F1087</f>
        <v>43300</v>
      </c>
      <c r="G1086" s="9">
        <f t="shared" si="526"/>
        <v>43300</v>
      </c>
      <c r="H1086" s="9">
        <f t="shared" si="526"/>
        <v>43300</v>
      </c>
      <c r="I1086" s="9">
        <f t="shared" si="504"/>
        <v>55.326130288564748</v>
      </c>
      <c r="J1086" s="9">
        <f t="shared" si="507"/>
        <v>100</v>
      </c>
    </row>
    <row r="1087" spans="1:10">
      <c r="A1087" s="8" t="s">
        <v>271</v>
      </c>
      <c r="B1087" s="1" t="s">
        <v>917</v>
      </c>
      <c r="C1087" s="1" t="s">
        <v>272</v>
      </c>
      <c r="D1087" s="9">
        <v>78263.199999999997</v>
      </c>
      <c r="E1087" s="9">
        <f>ведомство!H2108</f>
        <v>78263.199999999997</v>
      </c>
      <c r="F1087" s="9">
        <f>ведомство!I2108</f>
        <v>43300</v>
      </c>
      <c r="G1087" s="9">
        <f>ведомство!J2108</f>
        <v>43300</v>
      </c>
      <c r="H1087" s="9">
        <f>ведомство!K2108</f>
        <v>43300</v>
      </c>
      <c r="I1087" s="9">
        <f t="shared" si="504"/>
        <v>55.326130288564748</v>
      </c>
      <c r="J1087" s="9">
        <f t="shared" si="507"/>
        <v>100</v>
      </c>
    </row>
    <row r="1088" spans="1:10">
      <c r="A1088" s="8" t="s">
        <v>72</v>
      </c>
      <c r="B1088" s="1" t="s">
        <v>917</v>
      </c>
      <c r="C1088" s="1" t="s">
        <v>73</v>
      </c>
      <c r="D1088" s="9">
        <v>6506.7</v>
      </c>
      <c r="E1088" s="9">
        <f>E1089+E1090</f>
        <v>6506.7</v>
      </c>
      <c r="F1088" s="9">
        <f t="shared" ref="F1088:H1088" si="527">F1089+F1090</f>
        <v>3632.1090000000004</v>
      </c>
      <c r="G1088" s="9">
        <f t="shared" si="527"/>
        <v>3632.1090000000004</v>
      </c>
      <c r="H1088" s="9">
        <f t="shared" si="527"/>
        <v>3602.0288700000001</v>
      </c>
      <c r="I1088" s="9">
        <f t="shared" si="504"/>
        <v>55.358766655908532</v>
      </c>
      <c r="J1088" s="9">
        <f t="shared" si="507"/>
        <v>99.171827442403298</v>
      </c>
    </row>
    <row r="1089" spans="1:10" s="43" customFormat="1">
      <c r="A1089" s="26" t="s">
        <v>84</v>
      </c>
      <c r="B1089" s="1" t="s">
        <v>917</v>
      </c>
      <c r="C1089" s="1">
        <v>830</v>
      </c>
      <c r="D1089" s="9"/>
      <c r="E1089" s="9">
        <f>ведомство!H2110</f>
        <v>14.808999999999999</v>
      </c>
      <c r="F1089" s="9">
        <f>ведомство!I2110</f>
        <v>14.808999999999999</v>
      </c>
      <c r="G1089" s="9">
        <f>ведомство!J2110</f>
        <v>14.808999999999999</v>
      </c>
      <c r="H1089" s="9">
        <f>ведомство!K2110</f>
        <v>14.808999999999999</v>
      </c>
      <c r="I1089" s="9"/>
      <c r="J1089" s="9"/>
    </row>
    <row r="1090" spans="1:10">
      <c r="A1090" s="8" t="s">
        <v>74</v>
      </c>
      <c r="B1090" s="1" t="s">
        <v>917</v>
      </c>
      <c r="C1090" s="1" t="s">
        <v>75</v>
      </c>
      <c r="D1090" s="9">
        <v>6506.7</v>
      </c>
      <c r="E1090" s="9">
        <f>ведомство!H2111</f>
        <v>6491.8909999999996</v>
      </c>
      <c r="F1090" s="9">
        <f>ведомство!I2111</f>
        <v>3617.3</v>
      </c>
      <c r="G1090" s="9">
        <f>ведомство!J2111</f>
        <v>3617.3</v>
      </c>
      <c r="H1090" s="9">
        <f>ведомство!K2111</f>
        <v>3587.2198699999999</v>
      </c>
      <c r="I1090" s="9">
        <f t="shared" si="504"/>
        <v>55.256933149370504</v>
      </c>
      <c r="J1090" s="9">
        <f t="shared" si="507"/>
        <v>99.168436955740461</v>
      </c>
    </row>
    <row r="1091" spans="1:10">
      <c r="A1091" s="8" t="s">
        <v>918</v>
      </c>
      <c r="B1091" s="1" t="s">
        <v>919</v>
      </c>
      <c r="C1091" s="1" t="s">
        <v>0</v>
      </c>
      <c r="D1091" s="9">
        <v>8017.5</v>
      </c>
      <c r="E1091" s="9">
        <f>E1092</f>
        <v>8017.5</v>
      </c>
      <c r="F1091" s="9">
        <f t="shared" ref="F1091:H1092" si="528">F1092</f>
        <v>5100</v>
      </c>
      <c r="G1091" s="9">
        <f t="shared" si="528"/>
        <v>5100</v>
      </c>
      <c r="H1091" s="9">
        <f t="shared" si="528"/>
        <v>5100</v>
      </c>
      <c r="I1091" s="9">
        <f t="shared" si="504"/>
        <v>63.610851262862489</v>
      </c>
      <c r="J1091" s="9">
        <f t="shared" si="507"/>
        <v>100</v>
      </c>
    </row>
    <row r="1092" spans="1:10" ht="25.5">
      <c r="A1092" s="8" t="s">
        <v>80</v>
      </c>
      <c r="B1092" s="1" t="s">
        <v>919</v>
      </c>
      <c r="C1092" s="1" t="s">
        <v>81</v>
      </c>
      <c r="D1092" s="9">
        <v>8017.5</v>
      </c>
      <c r="E1092" s="9">
        <f>E1093</f>
        <v>8017.5</v>
      </c>
      <c r="F1092" s="9">
        <f t="shared" si="528"/>
        <v>5100</v>
      </c>
      <c r="G1092" s="9">
        <f t="shared" si="528"/>
        <v>5100</v>
      </c>
      <c r="H1092" s="9">
        <f t="shared" si="528"/>
        <v>5100</v>
      </c>
      <c r="I1092" s="9">
        <f t="shared" si="504"/>
        <v>63.610851262862489</v>
      </c>
      <c r="J1092" s="9">
        <f t="shared" si="507"/>
        <v>100</v>
      </c>
    </row>
    <row r="1093" spans="1:10" ht="25.5">
      <c r="A1093" s="8" t="s">
        <v>195</v>
      </c>
      <c r="B1093" s="1" t="s">
        <v>919</v>
      </c>
      <c r="C1093" s="1" t="s">
        <v>196</v>
      </c>
      <c r="D1093" s="9">
        <v>8017.5</v>
      </c>
      <c r="E1093" s="9">
        <f>ведомство!H2114</f>
        <v>8017.5</v>
      </c>
      <c r="F1093" s="9">
        <f>ведомство!I2114</f>
        <v>5100</v>
      </c>
      <c r="G1093" s="9">
        <f>ведомство!J2114</f>
        <v>5100</v>
      </c>
      <c r="H1093" s="9">
        <f>ведомство!K2114</f>
        <v>5100</v>
      </c>
      <c r="I1093" s="9">
        <f t="shared" si="504"/>
        <v>63.610851262862489</v>
      </c>
      <c r="J1093" s="9">
        <f t="shared" si="507"/>
        <v>100</v>
      </c>
    </row>
    <row r="1094" spans="1:10">
      <c r="A1094" s="4" t="s">
        <v>0</v>
      </c>
      <c r="B1094" s="17" t="s">
        <v>0</v>
      </c>
      <c r="C1094" s="5" t="s">
        <v>0</v>
      </c>
      <c r="D1094" s="7" t="s">
        <v>0</v>
      </c>
      <c r="E1094" s="7" t="s">
        <v>0</v>
      </c>
      <c r="F1094" s="7" t="s">
        <v>0</v>
      </c>
      <c r="G1094" s="7" t="s">
        <v>0</v>
      </c>
      <c r="H1094" s="7" t="s">
        <v>0</v>
      </c>
      <c r="I1094" s="7"/>
      <c r="J1094" s="7"/>
    </row>
    <row r="1095" spans="1:10" ht="51">
      <c r="A1095" s="4" t="s">
        <v>168</v>
      </c>
      <c r="B1095" s="5" t="s">
        <v>169</v>
      </c>
      <c r="C1095" s="5" t="s">
        <v>0</v>
      </c>
      <c r="D1095" s="7">
        <v>178479.2</v>
      </c>
      <c r="E1095" s="7">
        <f>E1096+E1107+E1110</f>
        <v>178479.19999999998</v>
      </c>
      <c r="F1095" s="7">
        <f t="shared" ref="F1095:H1095" si="529">F1096+F1107+F1110</f>
        <v>92636.075609999985</v>
      </c>
      <c r="G1095" s="7">
        <f t="shared" si="529"/>
        <v>92636.075609999985</v>
      </c>
      <c r="H1095" s="7">
        <f t="shared" si="529"/>
        <v>92206.960399999996</v>
      </c>
      <c r="I1095" s="7">
        <f t="shared" si="504"/>
        <v>51.662580513583656</v>
      </c>
      <c r="J1095" s="7">
        <f t="shared" si="507"/>
        <v>99.53677311223052</v>
      </c>
    </row>
    <row r="1096" spans="1:10" ht="25.5">
      <c r="A1096" s="8" t="s">
        <v>76</v>
      </c>
      <c r="B1096" s="1" t="s">
        <v>904</v>
      </c>
      <c r="C1096" s="1" t="s">
        <v>0</v>
      </c>
      <c r="D1096" s="9">
        <v>164186.6</v>
      </c>
      <c r="E1096" s="9">
        <f>E1097+E1099+E1101+E1103+E1105</f>
        <v>164186.59999999998</v>
      </c>
      <c r="F1096" s="9">
        <f t="shared" ref="F1096:H1096" si="530">F1097+F1099+F1101+F1103+F1105</f>
        <v>81879.599999999991</v>
      </c>
      <c r="G1096" s="9">
        <f t="shared" si="530"/>
        <v>81879.599999999991</v>
      </c>
      <c r="H1096" s="9">
        <f t="shared" si="530"/>
        <v>81800.169259999995</v>
      </c>
      <c r="I1096" s="9">
        <f t="shared" si="504"/>
        <v>49.821464882030568</v>
      </c>
      <c r="J1096" s="9">
        <f t="shared" si="507"/>
        <v>99.902990806012738</v>
      </c>
    </row>
    <row r="1097" spans="1:10" ht="51">
      <c r="A1097" s="8" t="s">
        <v>60</v>
      </c>
      <c r="B1097" s="1" t="s">
        <v>904</v>
      </c>
      <c r="C1097" s="1" t="s">
        <v>61</v>
      </c>
      <c r="D1097" s="9">
        <v>51838.9</v>
      </c>
      <c r="E1097" s="9">
        <f>E1098</f>
        <v>51838.9</v>
      </c>
      <c r="F1097" s="9">
        <f t="shared" ref="F1097:H1097" si="531">F1098</f>
        <v>26435.200000000001</v>
      </c>
      <c r="G1097" s="9">
        <f t="shared" si="531"/>
        <v>26435.200000000001</v>
      </c>
      <c r="H1097" s="9">
        <f t="shared" si="531"/>
        <v>26381.52219</v>
      </c>
      <c r="I1097" s="9">
        <f t="shared" si="504"/>
        <v>50.891361873033567</v>
      </c>
      <c r="J1097" s="9">
        <f t="shared" si="507"/>
        <v>99.796945701186289</v>
      </c>
    </row>
    <row r="1098" spans="1:10">
      <c r="A1098" s="8" t="s">
        <v>78</v>
      </c>
      <c r="B1098" s="1" t="s">
        <v>904</v>
      </c>
      <c r="C1098" s="1" t="s">
        <v>79</v>
      </c>
      <c r="D1098" s="9">
        <v>51838.9</v>
      </c>
      <c r="E1098" s="9">
        <f>ведомство!H2066</f>
        <v>51838.9</v>
      </c>
      <c r="F1098" s="9">
        <f>ведомство!I2066</f>
        <v>26435.200000000001</v>
      </c>
      <c r="G1098" s="9">
        <f>ведомство!J2066</f>
        <v>26435.200000000001</v>
      </c>
      <c r="H1098" s="9">
        <f>ведомство!K2066</f>
        <v>26381.52219</v>
      </c>
      <c r="I1098" s="9">
        <f t="shared" si="504"/>
        <v>50.891361873033567</v>
      </c>
      <c r="J1098" s="9">
        <f t="shared" si="507"/>
        <v>99.796945701186289</v>
      </c>
    </row>
    <row r="1099" spans="1:10" ht="25.5">
      <c r="A1099" s="8" t="s">
        <v>64</v>
      </c>
      <c r="B1099" s="1" t="s">
        <v>904</v>
      </c>
      <c r="C1099" s="1" t="s">
        <v>65</v>
      </c>
      <c r="D1099" s="9">
        <v>23956.1</v>
      </c>
      <c r="E1099" s="9">
        <f>E1100</f>
        <v>23833.467000000001</v>
      </c>
      <c r="F1099" s="9">
        <f t="shared" ref="F1099:H1099" si="532">F1100</f>
        <v>10055.166999999999</v>
      </c>
      <c r="G1099" s="9">
        <f t="shared" si="532"/>
        <v>10055.166999999999</v>
      </c>
      <c r="H1099" s="9">
        <f t="shared" si="532"/>
        <v>10055.166999999999</v>
      </c>
      <c r="I1099" s="9">
        <f t="shared" ref="I1099:I1169" si="533">H1099/E1099*100</f>
        <v>42.189275274134474</v>
      </c>
      <c r="J1099" s="9">
        <f t="shared" ref="J1099:J1158" si="534">H1099/F1099*100</f>
        <v>100</v>
      </c>
    </row>
    <row r="1100" spans="1:10" ht="25.5">
      <c r="A1100" s="8" t="s">
        <v>66</v>
      </c>
      <c r="B1100" s="1" t="s">
        <v>904</v>
      </c>
      <c r="C1100" s="1" t="s">
        <v>67</v>
      </c>
      <c r="D1100" s="9">
        <v>23956.1</v>
      </c>
      <c r="E1100" s="9">
        <f>ведомство!H2068</f>
        <v>23833.467000000001</v>
      </c>
      <c r="F1100" s="9">
        <f>ведомство!I2068</f>
        <v>10055.166999999999</v>
      </c>
      <c r="G1100" s="9">
        <f>ведомство!J2068</f>
        <v>10055.166999999999</v>
      </c>
      <c r="H1100" s="9">
        <f>ведомство!K2068</f>
        <v>10055.166999999999</v>
      </c>
      <c r="I1100" s="9">
        <f t="shared" si="533"/>
        <v>42.189275274134474</v>
      </c>
      <c r="J1100" s="9">
        <f t="shared" si="534"/>
        <v>100</v>
      </c>
    </row>
    <row r="1101" spans="1:10" s="43" customFormat="1">
      <c r="A1101" s="8" t="s">
        <v>68</v>
      </c>
      <c r="B1101" s="1" t="s">
        <v>904</v>
      </c>
      <c r="C1101" s="1">
        <v>300</v>
      </c>
      <c r="D1101" s="9"/>
      <c r="E1101" s="9">
        <f>E1102</f>
        <v>122.633</v>
      </c>
      <c r="F1101" s="9">
        <f t="shared" ref="F1101:H1101" si="535">F1102</f>
        <v>122.633</v>
      </c>
      <c r="G1101" s="9">
        <f t="shared" si="535"/>
        <v>122.633</v>
      </c>
      <c r="H1101" s="9">
        <f t="shared" si="535"/>
        <v>96.880070000000003</v>
      </c>
      <c r="I1101" s="9">
        <f t="shared" ref="I1101:I1102" si="536">H1101/E1101*100</f>
        <v>79</v>
      </c>
      <c r="J1101" s="9">
        <f t="shared" ref="J1101:J1102" si="537">H1101/F1101*100</f>
        <v>79</v>
      </c>
    </row>
    <row r="1102" spans="1:10" s="43" customFormat="1" ht="25.5">
      <c r="A1102" s="8" t="s">
        <v>151</v>
      </c>
      <c r="B1102" s="1" t="s">
        <v>904</v>
      </c>
      <c r="C1102" s="1">
        <v>320</v>
      </c>
      <c r="D1102" s="9"/>
      <c r="E1102" s="9">
        <f>ведомство!H2070</f>
        <v>122.633</v>
      </c>
      <c r="F1102" s="9">
        <f>ведомство!I2070</f>
        <v>122.633</v>
      </c>
      <c r="G1102" s="9">
        <f>ведомство!J2070</f>
        <v>122.633</v>
      </c>
      <c r="H1102" s="9">
        <f>ведомство!K2070</f>
        <v>96.880070000000003</v>
      </c>
      <c r="I1102" s="9">
        <f t="shared" si="536"/>
        <v>79</v>
      </c>
      <c r="J1102" s="9">
        <f t="shared" si="537"/>
        <v>79</v>
      </c>
    </row>
    <row r="1103" spans="1:10" ht="25.5">
      <c r="A1103" s="8" t="s">
        <v>80</v>
      </c>
      <c r="B1103" s="1" t="s">
        <v>904</v>
      </c>
      <c r="C1103" s="1" t="s">
        <v>81</v>
      </c>
      <c r="D1103" s="9">
        <v>86717.3</v>
      </c>
      <c r="E1103" s="9">
        <f>E1104</f>
        <v>86717.3</v>
      </c>
      <c r="F1103" s="9">
        <f t="shared" ref="F1103:H1103" si="538">F1104</f>
        <v>44429.4</v>
      </c>
      <c r="G1103" s="9">
        <f t="shared" si="538"/>
        <v>44429.4</v>
      </c>
      <c r="H1103" s="9">
        <f t="shared" si="538"/>
        <v>44429.4</v>
      </c>
      <c r="I1103" s="9">
        <f t="shared" si="533"/>
        <v>51.234759384805571</v>
      </c>
      <c r="J1103" s="9">
        <f t="shared" si="534"/>
        <v>100</v>
      </c>
    </row>
    <row r="1104" spans="1:10">
      <c r="A1104" s="8" t="s">
        <v>271</v>
      </c>
      <c r="B1104" s="1" t="s">
        <v>904</v>
      </c>
      <c r="C1104" s="1" t="s">
        <v>272</v>
      </c>
      <c r="D1104" s="9">
        <v>86717.3</v>
      </c>
      <c r="E1104" s="9">
        <f>ведомство!H2072+ведомство!H2126</f>
        <v>86717.3</v>
      </c>
      <c r="F1104" s="9">
        <f>ведомство!I2072+ведомство!I2126</f>
        <v>44429.4</v>
      </c>
      <c r="G1104" s="9">
        <f>ведомство!J2072+ведомство!J2126</f>
        <v>44429.4</v>
      </c>
      <c r="H1104" s="9">
        <f>ведомство!K2072+ведомство!K2126</f>
        <v>44429.4</v>
      </c>
      <c r="I1104" s="9">
        <f t="shared" si="533"/>
        <v>51.234759384805571</v>
      </c>
      <c r="J1104" s="9">
        <f t="shared" si="534"/>
        <v>100</v>
      </c>
    </row>
    <row r="1105" spans="1:10">
      <c r="A1105" s="8" t="s">
        <v>72</v>
      </c>
      <c r="B1105" s="1" t="s">
        <v>904</v>
      </c>
      <c r="C1105" s="1" t="s">
        <v>73</v>
      </c>
      <c r="D1105" s="9">
        <v>1674.3</v>
      </c>
      <c r="E1105" s="9">
        <f>E1106</f>
        <v>1674.3</v>
      </c>
      <c r="F1105" s="9">
        <f t="shared" ref="F1105:H1105" si="539">F1106</f>
        <v>837.2</v>
      </c>
      <c r="G1105" s="9">
        <f t="shared" si="539"/>
        <v>837.2</v>
      </c>
      <c r="H1105" s="9">
        <f t="shared" si="539"/>
        <v>837.2</v>
      </c>
      <c r="I1105" s="9">
        <f t="shared" si="533"/>
        <v>50.002986322642307</v>
      </c>
      <c r="J1105" s="9">
        <f t="shared" si="534"/>
        <v>100</v>
      </c>
    </row>
    <row r="1106" spans="1:10">
      <c r="A1106" s="8" t="s">
        <v>74</v>
      </c>
      <c r="B1106" s="1" t="s">
        <v>904</v>
      </c>
      <c r="C1106" s="1" t="s">
        <v>75</v>
      </c>
      <c r="D1106" s="9">
        <v>1674.3</v>
      </c>
      <c r="E1106" s="9">
        <f>ведомство!H2074</f>
        <v>1674.3</v>
      </c>
      <c r="F1106" s="9">
        <f>ведомство!I2074</f>
        <v>837.2</v>
      </c>
      <c r="G1106" s="9">
        <f>ведомство!J2074</f>
        <v>837.2</v>
      </c>
      <c r="H1106" s="9">
        <f>ведомство!K2074</f>
        <v>837.2</v>
      </c>
      <c r="I1106" s="9">
        <f t="shared" si="533"/>
        <v>50.002986322642307</v>
      </c>
      <c r="J1106" s="9">
        <f t="shared" si="534"/>
        <v>100</v>
      </c>
    </row>
    <row r="1107" spans="1:10" ht="38.25">
      <c r="A1107" s="8" t="s">
        <v>170</v>
      </c>
      <c r="B1107" s="1" t="s">
        <v>171</v>
      </c>
      <c r="C1107" s="1" t="s">
        <v>0</v>
      </c>
      <c r="D1107" s="9">
        <v>292.60000000000002</v>
      </c>
      <c r="E1107" s="9">
        <f>E1108</f>
        <v>292.60000000000002</v>
      </c>
      <c r="F1107" s="9">
        <f t="shared" ref="F1107:H1108" si="540">F1108</f>
        <v>88.075609999999998</v>
      </c>
      <c r="G1107" s="9">
        <f t="shared" si="540"/>
        <v>88.075609999999998</v>
      </c>
      <c r="H1107" s="9">
        <f t="shared" si="540"/>
        <v>66.266199999999998</v>
      </c>
      <c r="I1107" s="9">
        <f t="shared" si="533"/>
        <v>22.647368421052629</v>
      </c>
      <c r="J1107" s="9">
        <f t="shared" si="534"/>
        <v>75.237855292742225</v>
      </c>
    </row>
    <row r="1108" spans="1:10" ht="25.5">
      <c r="A1108" s="8" t="s">
        <v>64</v>
      </c>
      <c r="B1108" s="1" t="s">
        <v>171</v>
      </c>
      <c r="C1108" s="1" t="s">
        <v>65</v>
      </c>
      <c r="D1108" s="9">
        <v>292.60000000000002</v>
      </c>
      <c r="E1108" s="9">
        <f>E1109</f>
        <v>292.60000000000002</v>
      </c>
      <c r="F1108" s="9">
        <f t="shared" si="540"/>
        <v>88.075609999999998</v>
      </c>
      <c r="G1108" s="9">
        <f t="shared" si="540"/>
        <v>88.075609999999998</v>
      </c>
      <c r="H1108" s="9">
        <f t="shared" si="540"/>
        <v>66.266199999999998</v>
      </c>
      <c r="I1108" s="9">
        <f t="shared" si="533"/>
        <v>22.647368421052629</v>
      </c>
      <c r="J1108" s="9">
        <f t="shared" si="534"/>
        <v>75.237855292742225</v>
      </c>
    </row>
    <row r="1109" spans="1:10" ht="25.5">
      <c r="A1109" s="8" t="s">
        <v>172</v>
      </c>
      <c r="B1109" s="1" t="s">
        <v>171</v>
      </c>
      <c r="C1109" s="1" t="s">
        <v>173</v>
      </c>
      <c r="D1109" s="9">
        <v>292.60000000000002</v>
      </c>
      <c r="E1109" s="9">
        <f>ведомство!H212</f>
        <v>292.60000000000002</v>
      </c>
      <c r="F1109" s="9">
        <f>ведомство!I212</f>
        <v>88.075609999999998</v>
      </c>
      <c r="G1109" s="9">
        <f>ведомство!J212</f>
        <v>88.075609999999998</v>
      </c>
      <c r="H1109" s="9">
        <f>ведомство!K212</f>
        <v>66.266199999999998</v>
      </c>
      <c r="I1109" s="9">
        <f t="shared" si="533"/>
        <v>22.647368421052629</v>
      </c>
      <c r="J1109" s="9">
        <f t="shared" si="534"/>
        <v>75.237855292742225</v>
      </c>
    </row>
    <row r="1110" spans="1:10" ht="38.25">
      <c r="A1110" s="8" t="s">
        <v>905</v>
      </c>
      <c r="B1110" s="1" t="s">
        <v>906</v>
      </c>
      <c r="C1110" s="1" t="s">
        <v>0</v>
      </c>
      <c r="D1110" s="9">
        <v>14000</v>
      </c>
      <c r="E1110" s="9">
        <f>E1111+E1113+E1115</f>
        <v>14000</v>
      </c>
      <c r="F1110" s="9">
        <f t="shared" ref="F1110:H1110" si="541">F1111+F1113+F1115</f>
        <v>10668.4</v>
      </c>
      <c r="G1110" s="9">
        <f t="shared" si="541"/>
        <v>10668.4</v>
      </c>
      <c r="H1110" s="9">
        <f t="shared" si="541"/>
        <v>10340.524939999999</v>
      </c>
      <c r="I1110" s="9">
        <f t="shared" si="533"/>
        <v>73.860892428571418</v>
      </c>
      <c r="J1110" s="9">
        <f t="shared" si="534"/>
        <v>96.926670728506608</v>
      </c>
    </row>
    <row r="1111" spans="1:10" s="43" customFormat="1" ht="51">
      <c r="A1111" s="8" t="s">
        <v>60</v>
      </c>
      <c r="B1111" s="1" t="s">
        <v>906</v>
      </c>
      <c r="C1111" s="1">
        <v>100</v>
      </c>
      <c r="D1111" s="9"/>
      <c r="E1111" s="9">
        <f>E1112</f>
        <v>385</v>
      </c>
      <c r="F1111" s="9">
        <f t="shared" ref="F1111:H1111" si="542">F1112</f>
        <v>385</v>
      </c>
      <c r="G1111" s="9">
        <f t="shared" si="542"/>
        <v>385</v>
      </c>
      <c r="H1111" s="9">
        <f t="shared" si="542"/>
        <v>385</v>
      </c>
      <c r="I1111" s="9">
        <f t="shared" ref="I1111:I1114" si="543">H1111/E1111*100</f>
        <v>100</v>
      </c>
      <c r="J1111" s="9">
        <f t="shared" ref="J1111:J1114" si="544">H1111/F1111*100</f>
        <v>100</v>
      </c>
    </row>
    <row r="1112" spans="1:10" s="43" customFormat="1">
      <c r="A1112" s="8" t="s">
        <v>78</v>
      </c>
      <c r="B1112" s="1" t="s">
        <v>906</v>
      </c>
      <c r="C1112" s="1">
        <v>110</v>
      </c>
      <c r="D1112" s="9"/>
      <c r="E1112" s="9">
        <f>ведомство!H2077</f>
        <v>385</v>
      </c>
      <c r="F1112" s="9">
        <f>ведомство!I2077</f>
        <v>385</v>
      </c>
      <c r="G1112" s="9">
        <f>ведомство!J2077</f>
        <v>385</v>
      </c>
      <c r="H1112" s="9">
        <f>ведомство!K2077</f>
        <v>385</v>
      </c>
      <c r="I1112" s="9">
        <f t="shared" si="543"/>
        <v>100</v>
      </c>
      <c r="J1112" s="9">
        <f t="shared" si="544"/>
        <v>100</v>
      </c>
    </row>
    <row r="1113" spans="1:10" s="43" customFormat="1" ht="25.5">
      <c r="A1113" s="8" t="s">
        <v>64</v>
      </c>
      <c r="B1113" s="1" t="s">
        <v>906</v>
      </c>
      <c r="C1113" s="1">
        <v>200</v>
      </c>
      <c r="D1113" s="9"/>
      <c r="E1113" s="9">
        <f>E1114</f>
        <v>10283.4</v>
      </c>
      <c r="F1113" s="9">
        <f t="shared" ref="F1113:H1113" si="545">F1114</f>
        <v>10283.4</v>
      </c>
      <c r="G1113" s="9">
        <f t="shared" si="545"/>
        <v>10283.4</v>
      </c>
      <c r="H1113" s="9">
        <f t="shared" si="545"/>
        <v>9955.5249399999993</v>
      </c>
      <c r="I1113" s="9">
        <f t="shared" si="543"/>
        <v>96.811608417449477</v>
      </c>
      <c r="J1113" s="9">
        <f t="shared" si="544"/>
        <v>96.811608417449477</v>
      </c>
    </row>
    <row r="1114" spans="1:10" s="43" customFormat="1" ht="25.5">
      <c r="A1114" s="8" t="s">
        <v>66</v>
      </c>
      <c r="B1114" s="1" t="s">
        <v>906</v>
      </c>
      <c r="C1114" s="1">
        <v>240</v>
      </c>
      <c r="D1114" s="9"/>
      <c r="E1114" s="9">
        <f>ведомство!H2079</f>
        <v>10283.4</v>
      </c>
      <c r="F1114" s="9">
        <f>ведомство!I2079</f>
        <v>10283.4</v>
      </c>
      <c r="G1114" s="9">
        <f>ведомство!J2079</f>
        <v>10283.4</v>
      </c>
      <c r="H1114" s="9">
        <f>ведомство!K2079</f>
        <v>9955.5249399999993</v>
      </c>
      <c r="I1114" s="9">
        <f t="shared" si="543"/>
        <v>96.811608417449477</v>
      </c>
      <c r="J1114" s="9">
        <f t="shared" si="544"/>
        <v>96.811608417449477</v>
      </c>
    </row>
    <row r="1115" spans="1:10">
      <c r="A1115" s="8" t="s">
        <v>72</v>
      </c>
      <c r="B1115" s="1" t="s">
        <v>906</v>
      </c>
      <c r="C1115" s="1" t="s">
        <v>73</v>
      </c>
      <c r="D1115" s="9">
        <v>14000</v>
      </c>
      <c r="E1115" s="9">
        <f>E1116</f>
        <v>3331.6</v>
      </c>
      <c r="F1115" s="9">
        <f t="shared" ref="F1115:H1115" si="546">F1116</f>
        <v>0</v>
      </c>
      <c r="G1115" s="9">
        <f t="shared" si="546"/>
        <v>0</v>
      </c>
      <c r="H1115" s="9">
        <f t="shared" si="546"/>
        <v>0</v>
      </c>
      <c r="I1115" s="9">
        <f t="shared" si="533"/>
        <v>0</v>
      </c>
      <c r="J1115" s="9">
        <v>0</v>
      </c>
    </row>
    <row r="1116" spans="1:10">
      <c r="A1116" s="8" t="s">
        <v>369</v>
      </c>
      <c r="B1116" s="1" t="s">
        <v>906</v>
      </c>
      <c r="C1116" s="1" t="s">
        <v>370</v>
      </c>
      <c r="D1116" s="9">
        <v>14000</v>
      </c>
      <c r="E1116" s="9">
        <f>ведомство!H2081</f>
        <v>3331.6</v>
      </c>
      <c r="F1116" s="9">
        <f>ведомство!I2081</f>
        <v>0</v>
      </c>
      <c r="G1116" s="9">
        <f>ведомство!J2081</f>
        <v>0</v>
      </c>
      <c r="H1116" s="9">
        <f>ведомство!K2081</f>
        <v>0</v>
      </c>
      <c r="I1116" s="9">
        <f t="shared" si="533"/>
        <v>0</v>
      </c>
      <c r="J1116" s="9">
        <v>0</v>
      </c>
    </row>
    <row r="1117" spans="1:10">
      <c r="A1117" s="4" t="s">
        <v>0</v>
      </c>
      <c r="B1117" s="17" t="s">
        <v>0</v>
      </c>
      <c r="C1117" s="5" t="s">
        <v>0</v>
      </c>
      <c r="D1117" s="7" t="s">
        <v>0</v>
      </c>
      <c r="E1117" s="7" t="s">
        <v>0</v>
      </c>
      <c r="F1117" s="7" t="s">
        <v>0</v>
      </c>
      <c r="G1117" s="7" t="s">
        <v>0</v>
      </c>
      <c r="H1117" s="7" t="s">
        <v>0</v>
      </c>
      <c r="I1117" s="7"/>
      <c r="J1117" s="7"/>
    </row>
    <row r="1118" spans="1:10" ht="25.5">
      <c r="A1118" s="4" t="s">
        <v>907</v>
      </c>
      <c r="B1118" s="5" t="s">
        <v>908</v>
      </c>
      <c r="C1118" s="5" t="s">
        <v>0</v>
      </c>
      <c r="D1118" s="7">
        <v>18490.8</v>
      </c>
      <c r="E1118" s="7">
        <f>E1119</f>
        <v>18612.225289999998</v>
      </c>
      <c r="F1118" s="7">
        <f t="shared" ref="F1118:H1118" si="547">F1119</f>
        <v>7149.8252899999998</v>
      </c>
      <c r="G1118" s="7">
        <f t="shared" si="547"/>
        <v>7149.8252899999998</v>
      </c>
      <c r="H1118" s="7">
        <f t="shared" si="547"/>
        <v>6984.2504300000001</v>
      </c>
      <c r="I1118" s="7">
        <f t="shared" si="533"/>
        <v>37.525069255165896</v>
      </c>
      <c r="J1118" s="7">
        <f t="shared" si="534"/>
        <v>97.684211106087048</v>
      </c>
    </row>
    <row r="1119" spans="1:10" ht="25.5">
      <c r="A1119" s="8" t="s">
        <v>58</v>
      </c>
      <c r="B1119" s="1" t="s">
        <v>909</v>
      </c>
      <c r="C1119" s="1" t="s">
        <v>0</v>
      </c>
      <c r="D1119" s="9">
        <v>18490.8</v>
      </c>
      <c r="E1119" s="9">
        <f>E1120+E1122+E1124</f>
        <v>18612.225289999998</v>
      </c>
      <c r="F1119" s="9">
        <f t="shared" ref="F1119:H1119" si="548">F1120+F1122+F1124</f>
        <v>7149.8252899999998</v>
      </c>
      <c r="G1119" s="9">
        <f t="shared" si="548"/>
        <v>7149.8252899999998</v>
      </c>
      <c r="H1119" s="9">
        <f t="shared" si="548"/>
        <v>6984.2504300000001</v>
      </c>
      <c r="I1119" s="9">
        <f t="shared" si="533"/>
        <v>37.525069255165896</v>
      </c>
      <c r="J1119" s="9">
        <f t="shared" si="534"/>
        <v>97.684211106087048</v>
      </c>
    </row>
    <row r="1120" spans="1:10" ht="51">
      <c r="A1120" s="8" t="s">
        <v>60</v>
      </c>
      <c r="B1120" s="1" t="s">
        <v>909</v>
      </c>
      <c r="C1120" s="1" t="s">
        <v>61</v>
      </c>
      <c r="D1120" s="9">
        <v>16221.8</v>
      </c>
      <c r="E1120" s="9">
        <f>E1121</f>
        <v>16221.8</v>
      </c>
      <c r="F1120" s="9">
        <f t="shared" ref="F1120:H1120" si="549">F1121</f>
        <v>5810</v>
      </c>
      <c r="G1120" s="9">
        <f t="shared" si="549"/>
        <v>5810</v>
      </c>
      <c r="H1120" s="9">
        <f t="shared" si="549"/>
        <v>5650.6476199999997</v>
      </c>
      <c r="I1120" s="9">
        <f t="shared" si="533"/>
        <v>34.833665931031085</v>
      </c>
      <c r="J1120" s="9">
        <f t="shared" si="534"/>
        <v>97.257274010327023</v>
      </c>
    </row>
    <row r="1121" spans="1:10" ht="25.5">
      <c r="A1121" s="8" t="s">
        <v>62</v>
      </c>
      <c r="B1121" s="1" t="s">
        <v>909</v>
      </c>
      <c r="C1121" s="1" t="s">
        <v>63</v>
      </c>
      <c r="D1121" s="9">
        <v>16221.8</v>
      </c>
      <c r="E1121" s="9">
        <f>ведомство!H2085</f>
        <v>16221.8</v>
      </c>
      <c r="F1121" s="9">
        <f>ведомство!I2085</f>
        <v>5810</v>
      </c>
      <c r="G1121" s="9">
        <f>ведомство!J2085</f>
        <v>5810</v>
      </c>
      <c r="H1121" s="9">
        <f>ведомство!K2085</f>
        <v>5650.6476199999997</v>
      </c>
      <c r="I1121" s="9">
        <f t="shared" si="533"/>
        <v>34.833665931031085</v>
      </c>
      <c r="J1121" s="9">
        <f t="shared" si="534"/>
        <v>97.257274010327023</v>
      </c>
    </row>
    <row r="1122" spans="1:10" ht="25.5">
      <c r="A1122" s="8" t="s">
        <v>64</v>
      </c>
      <c r="B1122" s="1" t="s">
        <v>909</v>
      </c>
      <c r="C1122" s="1" t="s">
        <v>65</v>
      </c>
      <c r="D1122" s="9">
        <v>2233.5</v>
      </c>
      <c r="E1122" s="9">
        <f>E1123</f>
        <v>2233.5</v>
      </c>
      <c r="F1122" s="9">
        <f t="shared" ref="F1122:H1122" si="550">F1123</f>
        <v>1200</v>
      </c>
      <c r="G1122" s="9">
        <f t="shared" si="550"/>
        <v>1200</v>
      </c>
      <c r="H1122" s="9">
        <f t="shared" si="550"/>
        <v>1196.22552</v>
      </c>
      <c r="I1122" s="9">
        <f t="shared" si="533"/>
        <v>53.558339825386156</v>
      </c>
      <c r="J1122" s="9">
        <f t="shared" si="534"/>
        <v>99.685459999999992</v>
      </c>
    </row>
    <row r="1123" spans="1:10" ht="25.5">
      <c r="A1123" s="8" t="s">
        <v>66</v>
      </c>
      <c r="B1123" s="1" t="s">
        <v>909</v>
      </c>
      <c r="C1123" s="1" t="s">
        <v>67</v>
      </c>
      <c r="D1123" s="9">
        <v>2233.5</v>
      </c>
      <c r="E1123" s="9">
        <f>ведомство!H2087</f>
        <v>2233.5</v>
      </c>
      <c r="F1123" s="9">
        <f>ведомство!I2087</f>
        <v>1200</v>
      </c>
      <c r="G1123" s="9">
        <f>ведомство!J2087</f>
        <v>1200</v>
      </c>
      <c r="H1123" s="9">
        <f>ведомство!K2087</f>
        <v>1196.22552</v>
      </c>
      <c r="I1123" s="9">
        <f t="shared" si="533"/>
        <v>53.558339825386156</v>
      </c>
      <c r="J1123" s="9">
        <f t="shared" si="534"/>
        <v>99.685459999999992</v>
      </c>
    </row>
    <row r="1124" spans="1:10">
      <c r="A1124" s="8" t="s">
        <v>72</v>
      </c>
      <c r="B1124" s="1" t="s">
        <v>909</v>
      </c>
      <c r="C1124" s="1" t="s">
        <v>73</v>
      </c>
      <c r="D1124" s="9">
        <v>35.5</v>
      </c>
      <c r="E1124" s="9">
        <f>E1125+E1126</f>
        <v>156.92529000000002</v>
      </c>
      <c r="F1124" s="9">
        <f t="shared" ref="F1124:H1124" si="551">F1125+F1126</f>
        <v>139.82529</v>
      </c>
      <c r="G1124" s="9">
        <f t="shared" si="551"/>
        <v>139.82529</v>
      </c>
      <c r="H1124" s="9">
        <f t="shared" si="551"/>
        <v>137.37729000000002</v>
      </c>
      <c r="I1124" s="9">
        <f t="shared" si="533"/>
        <v>87.543116855160818</v>
      </c>
      <c r="J1124" s="9">
        <f t="shared" si="534"/>
        <v>98.249243752685956</v>
      </c>
    </row>
    <row r="1125" spans="1:10" s="43" customFormat="1">
      <c r="A1125" s="26" t="s">
        <v>84</v>
      </c>
      <c r="B1125" s="1" t="s">
        <v>909</v>
      </c>
      <c r="C1125" s="1">
        <v>830</v>
      </c>
      <c r="D1125" s="9"/>
      <c r="E1125" s="9">
        <f>ведомство!H2089</f>
        <v>121.42529</v>
      </c>
      <c r="F1125" s="9">
        <f>ведомство!I2089</f>
        <v>121.42529</v>
      </c>
      <c r="G1125" s="9">
        <f>ведомство!J2089</f>
        <v>121.42529</v>
      </c>
      <c r="H1125" s="9">
        <f>ведомство!K2089</f>
        <v>121.42529</v>
      </c>
      <c r="I1125" s="9"/>
      <c r="J1125" s="9"/>
    </row>
    <row r="1126" spans="1:10">
      <c r="A1126" s="8" t="s">
        <v>74</v>
      </c>
      <c r="B1126" s="1" t="s">
        <v>909</v>
      </c>
      <c r="C1126" s="1" t="s">
        <v>75</v>
      </c>
      <c r="D1126" s="9">
        <v>35.5</v>
      </c>
      <c r="E1126" s="9">
        <f>ведомство!H2090</f>
        <v>35.5</v>
      </c>
      <c r="F1126" s="9">
        <f>ведомство!I2090</f>
        <v>18.399999999999999</v>
      </c>
      <c r="G1126" s="9">
        <f>ведомство!J2090</f>
        <v>18.399999999999999</v>
      </c>
      <c r="H1126" s="9">
        <f>ведомство!K2090</f>
        <v>15.952</v>
      </c>
      <c r="I1126" s="9">
        <f t="shared" si="533"/>
        <v>44.935211267605638</v>
      </c>
      <c r="J1126" s="9">
        <f t="shared" si="534"/>
        <v>86.695652173913047</v>
      </c>
    </row>
    <row r="1127" spans="1:10">
      <c r="A1127" s="4" t="s">
        <v>0</v>
      </c>
      <c r="B1127" s="17" t="s">
        <v>0</v>
      </c>
      <c r="C1127" s="5" t="s">
        <v>0</v>
      </c>
      <c r="D1127" s="7" t="s">
        <v>0</v>
      </c>
      <c r="E1127" s="7" t="s">
        <v>0</v>
      </c>
      <c r="F1127" s="7" t="s">
        <v>0</v>
      </c>
      <c r="G1127" s="7" t="s">
        <v>0</v>
      </c>
      <c r="H1127" s="7" t="s">
        <v>0</v>
      </c>
      <c r="I1127" s="7"/>
      <c r="J1127" s="7"/>
    </row>
    <row r="1128" spans="1:10" ht="38.25">
      <c r="A1128" s="35" t="s">
        <v>910</v>
      </c>
      <c r="B1128" s="5" t="s">
        <v>911</v>
      </c>
      <c r="C1128" s="5" t="s">
        <v>0</v>
      </c>
      <c r="D1128" s="7">
        <v>45634</v>
      </c>
      <c r="E1128" s="7">
        <f>E1129+E1132</f>
        <v>45634</v>
      </c>
      <c r="F1128" s="7">
        <f t="shared" ref="F1128:H1128" si="552">F1129+F1132</f>
        <v>10868.430979999999</v>
      </c>
      <c r="G1128" s="7">
        <f t="shared" si="552"/>
        <v>7936.4309800000001</v>
      </c>
      <c r="H1128" s="7">
        <f t="shared" si="552"/>
        <v>7936.4309800000001</v>
      </c>
      <c r="I1128" s="7">
        <f t="shared" si="533"/>
        <v>17.39148656703335</v>
      </c>
      <c r="J1128" s="7">
        <f t="shared" si="534"/>
        <v>73.022784931924008</v>
      </c>
    </row>
    <row r="1129" spans="1:10" ht="25.5">
      <c r="A1129" s="26" t="s">
        <v>748</v>
      </c>
      <c r="B1129" s="1" t="s">
        <v>952</v>
      </c>
      <c r="C1129" s="1" t="s">
        <v>0</v>
      </c>
      <c r="D1129" s="9">
        <v>28634</v>
      </c>
      <c r="E1129" s="9">
        <f>E1130</f>
        <v>28634</v>
      </c>
      <c r="F1129" s="9">
        <f t="shared" ref="F1129:H1130" si="553">F1130</f>
        <v>10868.4</v>
      </c>
      <c r="G1129" s="9">
        <f t="shared" si="553"/>
        <v>7936.4</v>
      </c>
      <c r="H1129" s="9">
        <f t="shared" si="553"/>
        <v>7936.4</v>
      </c>
      <c r="I1129" s="9">
        <f t="shared" si="533"/>
        <v>27.716700426066915</v>
      </c>
      <c r="J1129" s="9">
        <f t="shared" si="534"/>
        <v>73.022708034301274</v>
      </c>
    </row>
    <row r="1130" spans="1:10" ht="25.5">
      <c r="A1130" s="8" t="s">
        <v>80</v>
      </c>
      <c r="B1130" s="1" t="s">
        <v>952</v>
      </c>
      <c r="C1130" s="1" t="s">
        <v>81</v>
      </c>
      <c r="D1130" s="9">
        <v>28634</v>
      </c>
      <c r="E1130" s="9">
        <f>E1131</f>
        <v>28634</v>
      </c>
      <c r="F1130" s="9">
        <f t="shared" si="553"/>
        <v>10868.4</v>
      </c>
      <c r="G1130" s="9">
        <f t="shared" si="553"/>
        <v>7936.4</v>
      </c>
      <c r="H1130" s="9">
        <f t="shared" si="553"/>
        <v>7936.4</v>
      </c>
      <c r="I1130" s="9">
        <f t="shared" si="533"/>
        <v>27.716700426066915</v>
      </c>
      <c r="J1130" s="9">
        <f t="shared" si="534"/>
        <v>73.022708034301274</v>
      </c>
    </row>
    <row r="1131" spans="1:10">
      <c r="A1131" s="8" t="s">
        <v>82</v>
      </c>
      <c r="B1131" s="1" t="s">
        <v>952</v>
      </c>
      <c r="C1131" s="1" t="s">
        <v>83</v>
      </c>
      <c r="D1131" s="9">
        <v>28634</v>
      </c>
      <c r="E1131" s="9">
        <f>ведомство!H804</f>
        <v>28634</v>
      </c>
      <c r="F1131" s="9">
        <f>ведомство!I804</f>
        <v>10868.4</v>
      </c>
      <c r="G1131" s="9">
        <f>ведомство!J804</f>
        <v>7936.4</v>
      </c>
      <c r="H1131" s="9">
        <f>ведомство!K804</f>
        <v>7936.4</v>
      </c>
      <c r="I1131" s="9">
        <f t="shared" si="533"/>
        <v>27.716700426066915</v>
      </c>
      <c r="J1131" s="9">
        <f t="shared" si="534"/>
        <v>73.022708034301274</v>
      </c>
    </row>
    <row r="1132" spans="1:10" ht="38.25">
      <c r="A1132" s="8" t="s">
        <v>912</v>
      </c>
      <c r="B1132" s="1" t="s">
        <v>913</v>
      </c>
      <c r="C1132" s="1" t="s">
        <v>0</v>
      </c>
      <c r="D1132" s="9">
        <v>17000</v>
      </c>
      <c r="E1132" s="9">
        <f>E1133</f>
        <v>17000</v>
      </c>
      <c r="F1132" s="9">
        <f t="shared" ref="F1132:H1133" si="554">F1133</f>
        <v>3.0980000000000001E-2</v>
      </c>
      <c r="G1132" s="9">
        <f t="shared" si="554"/>
        <v>3.0980000000000001E-2</v>
      </c>
      <c r="H1132" s="9">
        <f t="shared" si="554"/>
        <v>3.0980000000000001E-2</v>
      </c>
      <c r="I1132" s="9">
        <f t="shared" si="533"/>
        <v>1.8223529411764706E-4</v>
      </c>
      <c r="J1132" s="9">
        <f t="shared" si="534"/>
        <v>100</v>
      </c>
    </row>
    <row r="1133" spans="1:10" ht="25.5">
      <c r="A1133" s="8" t="s">
        <v>64</v>
      </c>
      <c r="B1133" s="1" t="s">
        <v>913</v>
      </c>
      <c r="C1133" s="1" t="s">
        <v>65</v>
      </c>
      <c r="D1133" s="9">
        <v>17000</v>
      </c>
      <c r="E1133" s="9">
        <f>E1134</f>
        <v>17000</v>
      </c>
      <c r="F1133" s="9">
        <f t="shared" si="554"/>
        <v>3.0980000000000001E-2</v>
      </c>
      <c r="G1133" s="9">
        <f t="shared" si="554"/>
        <v>3.0980000000000001E-2</v>
      </c>
      <c r="H1133" s="9">
        <f t="shared" si="554"/>
        <v>3.0980000000000001E-2</v>
      </c>
      <c r="I1133" s="9">
        <f t="shared" si="533"/>
        <v>1.8223529411764706E-4</v>
      </c>
      <c r="J1133" s="9">
        <f t="shared" si="534"/>
        <v>100</v>
      </c>
    </row>
    <row r="1134" spans="1:10" ht="25.5">
      <c r="A1134" s="8" t="s">
        <v>66</v>
      </c>
      <c r="B1134" s="1" t="s">
        <v>913</v>
      </c>
      <c r="C1134" s="1" t="s">
        <v>67</v>
      </c>
      <c r="D1134" s="9">
        <v>17000</v>
      </c>
      <c r="E1134" s="9">
        <f>ведомство!H2094</f>
        <v>17000</v>
      </c>
      <c r="F1134" s="9">
        <f>ведомство!I2094</f>
        <v>3.0980000000000001E-2</v>
      </c>
      <c r="G1134" s="9">
        <f>ведомство!J2094</f>
        <v>3.0980000000000001E-2</v>
      </c>
      <c r="H1134" s="9">
        <f>ведомство!K2094</f>
        <v>3.0980000000000001E-2</v>
      </c>
      <c r="I1134" s="9">
        <f t="shared" si="533"/>
        <v>1.8223529411764706E-4</v>
      </c>
      <c r="J1134" s="9">
        <f t="shared" si="534"/>
        <v>100</v>
      </c>
    </row>
    <row r="1135" spans="1:10">
      <c r="A1135" s="4" t="s">
        <v>0</v>
      </c>
      <c r="B1135" s="17" t="s">
        <v>0</v>
      </c>
      <c r="C1135" s="5" t="s">
        <v>0</v>
      </c>
      <c r="D1135" s="7" t="s">
        <v>0</v>
      </c>
      <c r="E1135" s="7" t="s">
        <v>0</v>
      </c>
      <c r="F1135" s="7"/>
      <c r="G1135" s="7"/>
      <c r="H1135" s="7"/>
      <c r="I1135" s="7"/>
      <c r="J1135" s="7"/>
    </row>
    <row r="1136" spans="1:10" ht="38.25">
      <c r="A1136" s="4" t="s">
        <v>33</v>
      </c>
      <c r="B1136" s="5" t="s">
        <v>34</v>
      </c>
      <c r="C1136" s="5" t="s">
        <v>0</v>
      </c>
      <c r="D1136" s="7">
        <v>89899.6</v>
      </c>
      <c r="E1136" s="7">
        <f>E1137+E1148+E1160</f>
        <v>148269.20000000001</v>
      </c>
      <c r="F1136" s="7">
        <f t="shared" ref="F1136:H1136" si="555">F1137+F1148+F1160</f>
        <v>25185.149999999998</v>
      </c>
      <c r="G1136" s="7">
        <f t="shared" si="555"/>
        <v>25185.149999999998</v>
      </c>
      <c r="H1136" s="7">
        <f t="shared" si="555"/>
        <v>23962.522649999999</v>
      </c>
      <c r="I1136" s="7">
        <f t="shared" si="533"/>
        <v>16.161497229363885</v>
      </c>
      <c r="J1136" s="7">
        <f t="shared" si="534"/>
        <v>95.145443445840115</v>
      </c>
    </row>
    <row r="1137" spans="1:10" ht="25.5">
      <c r="A1137" s="4" t="s">
        <v>268</v>
      </c>
      <c r="B1137" s="5" t="s">
        <v>269</v>
      </c>
      <c r="C1137" s="5" t="s">
        <v>0</v>
      </c>
      <c r="D1137" s="7">
        <v>41260.800000000003</v>
      </c>
      <c r="E1137" s="7">
        <f>E1138+E1141+E1144</f>
        <v>41260.800000000003</v>
      </c>
      <c r="F1137" s="7">
        <f t="shared" ref="F1137:H1137" si="556">F1138+F1141+F1144</f>
        <v>14630.4</v>
      </c>
      <c r="G1137" s="7">
        <f t="shared" si="556"/>
        <v>14630.4</v>
      </c>
      <c r="H1137" s="7">
        <f t="shared" si="556"/>
        <v>14630.4</v>
      </c>
      <c r="I1137" s="7">
        <f t="shared" si="533"/>
        <v>35.458352722196366</v>
      </c>
      <c r="J1137" s="7">
        <f t="shared" si="534"/>
        <v>100</v>
      </c>
    </row>
    <row r="1138" spans="1:10" ht="25.5">
      <c r="A1138" s="8" t="s">
        <v>76</v>
      </c>
      <c r="B1138" s="1" t="s">
        <v>270</v>
      </c>
      <c r="C1138" s="1" t="s">
        <v>0</v>
      </c>
      <c r="D1138" s="9">
        <v>28810.799999999999</v>
      </c>
      <c r="E1138" s="9">
        <f>E1139</f>
        <v>28810.799999999999</v>
      </c>
      <c r="F1138" s="9">
        <f t="shared" ref="F1138:H1139" si="557">F1139</f>
        <v>14630.4</v>
      </c>
      <c r="G1138" s="9">
        <f t="shared" si="557"/>
        <v>14630.4</v>
      </c>
      <c r="H1138" s="9">
        <f t="shared" si="557"/>
        <v>14630.4</v>
      </c>
      <c r="I1138" s="9">
        <f t="shared" si="533"/>
        <v>50.780957141072101</v>
      </c>
      <c r="J1138" s="9">
        <f t="shared" si="534"/>
        <v>100</v>
      </c>
    </row>
    <row r="1139" spans="1:10" ht="25.5">
      <c r="A1139" s="8" t="s">
        <v>80</v>
      </c>
      <c r="B1139" s="1" t="s">
        <v>270</v>
      </c>
      <c r="C1139" s="1" t="s">
        <v>81</v>
      </c>
      <c r="D1139" s="9">
        <v>28810.799999999999</v>
      </c>
      <c r="E1139" s="9">
        <f>E1140</f>
        <v>28810.799999999999</v>
      </c>
      <c r="F1139" s="9">
        <f t="shared" si="557"/>
        <v>14630.4</v>
      </c>
      <c r="G1139" s="9">
        <f t="shared" si="557"/>
        <v>14630.4</v>
      </c>
      <c r="H1139" s="9">
        <f t="shared" si="557"/>
        <v>14630.4</v>
      </c>
      <c r="I1139" s="9">
        <f t="shared" si="533"/>
        <v>50.780957141072101</v>
      </c>
      <c r="J1139" s="9">
        <f t="shared" si="534"/>
        <v>100</v>
      </c>
    </row>
    <row r="1140" spans="1:10">
      <c r="A1140" s="8" t="s">
        <v>271</v>
      </c>
      <c r="B1140" s="1" t="s">
        <v>270</v>
      </c>
      <c r="C1140" s="1" t="s">
        <v>272</v>
      </c>
      <c r="D1140" s="9">
        <v>28810.799999999999</v>
      </c>
      <c r="E1140" s="9">
        <f>ведомство!H443</f>
        <v>28810.799999999999</v>
      </c>
      <c r="F1140" s="9">
        <f>ведомство!I443</f>
        <v>14630.4</v>
      </c>
      <c r="G1140" s="9">
        <f>ведомство!J443</f>
        <v>14630.4</v>
      </c>
      <c r="H1140" s="9">
        <f>ведомство!K443</f>
        <v>14630.4</v>
      </c>
      <c r="I1140" s="9">
        <f t="shared" si="533"/>
        <v>50.780957141072101</v>
      </c>
      <c r="J1140" s="9">
        <f t="shared" si="534"/>
        <v>100</v>
      </c>
    </row>
    <row r="1141" spans="1:10" ht="25.5">
      <c r="A1141" s="8" t="s">
        <v>273</v>
      </c>
      <c r="B1141" s="1" t="s">
        <v>274</v>
      </c>
      <c r="C1141" s="1" t="s">
        <v>0</v>
      </c>
      <c r="D1141" s="9">
        <v>450</v>
      </c>
      <c r="E1141" s="9">
        <f>E1142</f>
        <v>450</v>
      </c>
      <c r="F1141" s="9">
        <f t="shared" ref="F1141:H1142" si="558">F1142</f>
        <v>0</v>
      </c>
      <c r="G1141" s="9">
        <f t="shared" si="558"/>
        <v>0</v>
      </c>
      <c r="H1141" s="9">
        <f t="shared" si="558"/>
        <v>0</v>
      </c>
      <c r="I1141" s="9">
        <f t="shared" si="533"/>
        <v>0</v>
      </c>
      <c r="J1141" s="9">
        <v>0</v>
      </c>
    </row>
    <row r="1142" spans="1:10" ht="25.5">
      <c r="A1142" s="8" t="s">
        <v>80</v>
      </c>
      <c r="B1142" s="1" t="s">
        <v>274</v>
      </c>
      <c r="C1142" s="1" t="s">
        <v>81</v>
      </c>
      <c r="D1142" s="9">
        <v>450</v>
      </c>
      <c r="E1142" s="9">
        <f>E1143</f>
        <v>450</v>
      </c>
      <c r="F1142" s="9">
        <f t="shared" si="558"/>
        <v>0</v>
      </c>
      <c r="G1142" s="9">
        <f t="shared" si="558"/>
        <v>0</v>
      </c>
      <c r="H1142" s="9">
        <f t="shared" si="558"/>
        <v>0</v>
      </c>
      <c r="I1142" s="9">
        <f t="shared" si="533"/>
        <v>0</v>
      </c>
      <c r="J1142" s="9">
        <v>0</v>
      </c>
    </row>
    <row r="1143" spans="1:10">
      <c r="A1143" s="8" t="s">
        <v>271</v>
      </c>
      <c r="B1143" s="1" t="s">
        <v>274</v>
      </c>
      <c r="C1143" s="1" t="s">
        <v>272</v>
      </c>
      <c r="D1143" s="9">
        <v>450</v>
      </c>
      <c r="E1143" s="9">
        <f>ведомство!H446</f>
        <v>450</v>
      </c>
      <c r="F1143" s="9">
        <f>ведомство!I446</f>
        <v>0</v>
      </c>
      <c r="G1143" s="9">
        <f>ведомство!J446</f>
        <v>0</v>
      </c>
      <c r="H1143" s="9">
        <f>ведомство!K446</f>
        <v>0</v>
      </c>
      <c r="I1143" s="9">
        <f t="shared" si="533"/>
        <v>0</v>
      </c>
      <c r="J1143" s="9">
        <v>0</v>
      </c>
    </row>
    <row r="1144" spans="1:10" ht="25.5">
      <c r="A1144" s="8" t="s">
        <v>266</v>
      </c>
      <c r="B1144" s="1" t="s">
        <v>275</v>
      </c>
      <c r="C1144" s="1" t="s">
        <v>0</v>
      </c>
      <c r="D1144" s="9">
        <v>12000</v>
      </c>
      <c r="E1144" s="9">
        <f>E1145</f>
        <v>12000</v>
      </c>
      <c r="F1144" s="9">
        <f t="shared" ref="F1144:H1145" si="559">F1145</f>
        <v>0</v>
      </c>
      <c r="G1144" s="9">
        <f t="shared" si="559"/>
        <v>0</v>
      </c>
      <c r="H1144" s="9">
        <f t="shared" si="559"/>
        <v>0</v>
      </c>
      <c r="I1144" s="9">
        <f t="shared" si="533"/>
        <v>0</v>
      </c>
      <c r="J1144" s="9">
        <v>0</v>
      </c>
    </row>
    <row r="1145" spans="1:10" ht="25.5">
      <c r="A1145" s="8" t="s">
        <v>64</v>
      </c>
      <c r="B1145" s="1" t="s">
        <v>275</v>
      </c>
      <c r="C1145" s="1" t="s">
        <v>65</v>
      </c>
      <c r="D1145" s="9">
        <v>12000</v>
      </c>
      <c r="E1145" s="9">
        <f>E1146</f>
        <v>12000</v>
      </c>
      <c r="F1145" s="9">
        <f t="shared" si="559"/>
        <v>0</v>
      </c>
      <c r="G1145" s="9">
        <f t="shared" si="559"/>
        <v>0</v>
      </c>
      <c r="H1145" s="9">
        <f t="shared" si="559"/>
        <v>0</v>
      </c>
      <c r="I1145" s="9">
        <f t="shared" si="533"/>
        <v>0</v>
      </c>
      <c r="J1145" s="9">
        <v>0</v>
      </c>
    </row>
    <row r="1146" spans="1:10" ht="25.5">
      <c r="A1146" s="8" t="s">
        <v>66</v>
      </c>
      <c r="B1146" s="1" t="s">
        <v>275</v>
      </c>
      <c r="C1146" s="1" t="s">
        <v>67</v>
      </c>
      <c r="D1146" s="9">
        <v>12000</v>
      </c>
      <c r="E1146" s="9">
        <f>ведомство!H449</f>
        <v>12000</v>
      </c>
      <c r="F1146" s="9">
        <f>ведомство!I449</f>
        <v>0</v>
      </c>
      <c r="G1146" s="9">
        <f>ведомство!J449</f>
        <v>0</v>
      </c>
      <c r="H1146" s="9">
        <f>ведомство!K449</f>
        <v>0</v>
      </c>
      <c r="I1146" s="9">
        <f t="shared" si="533"/>
        <v>0</v>
      </c>
      <c r="J1146" s="9">
        <v>0</v>
      </c>
    </row>
    <row r="1147" spans="1:10">
      <c r="A1147" s="4" t="s">
        <v>0</v>
      </c>
      <c r="B1147" s="17" t="s">
        <v>0</v>
      </c>
      <c r="C1147" s="5" t="s">
        <v>0</v>
      </c>
      <c r="D1147" s="7" t="s">
        <v>0</v>
      </c>
      <c r="E1147" s="7" t="s">
        <v>0</v>
      </c>
      <c r="F1147" s="7" t="s">
        <v>0</v>
      </c>
      <c r="G1147" s="7" t="s">
        <v>0</v>
      </c>
      <c r="H1147" s="7" t="s">
        <v>0</v>
      </c>
      <c r="I1147" s="7"/>
      <c r="J1147" s="7"/>
    </row>
    <row r="1148" spans="1:10" ht="25.5">
      <c r="A1148" s="4" t="s">
        <v>276</v>
      </c>
      <c r="B1148" s="5" t="s">
        <v>277</v>
      </c>
      <c r="C1148" s="5" t="s">
        <v>0</v>
      </c>
      <c r="D1148" s="7">
        <v>21134.400000000001</v>
      </c>
      <c r="E1148" s="7">
        <f>E1149+E1152</f>
        <v>21134.400000000001</v>
      </c>
      <c r="F1148" s="7">
        <f t="shared" ref="F1148:H1148" si="560">F1149+F1152</f>
        <v>10554.749999999998</v>
      </c>
      <c r="G1148" s="7">
        <f t="shared" si="560"/>
        <v>10554.749999999998</v>
      </c>
      <c r="H1148" s="7">
        <f t="shared" si="560"/>
        <v>9332.1226500000012</v>
      </c>
      <c r="I1148" s="7">
        <f t="shared" si="533"/>
        <v>44.156080371337723</v>
      </c>
      <c r="J1148" s="7">
        <f t="shared" si="534"/>
        <v>88.416330562069234</v>
      </c>
    </row>
    <row r="1149" spans="1:10" ht="89.25">
      <c r="A1149" s="8" t="s">
        <v>278</v>
      </c>
      <c r="B1149" s="1" t="s">
        <v>279</v>
      </c>
      <c r="C1149" s="1" t="s">
        <v>0</v>
      </c>
      <c r="D1149" s="9">
        <v>80.3</v>
      </c>
      <c r="E1149" s="9">
        <f>E1150</f>
        <v>80.3</v>
      </c>
      <c r="F1149" s="9">
        <f t="shared" ref="F1149:H1150" si="561">F1150</f>
        <v>0</v>
      </c>
      <c r="G1149" s="9">
        <f t="shared" si="561"/>
        <v>0</v>
      </c>
      <c r="H1149" s="9">
        <f t="shared" si="561"/>
        <v>0</v>
      </c>
      <c r="I1149" s="9">
        <f t="shared" si="533"/>
        <v>0</v>
      </c>
      <c r="J1149" s="9">
        <v>0</v>
      </c>
    </row>
    <row r="1150" spans="1:10" ht="25.5">
      <c r="A1150" s="8" t="s">
        <v>64</v>
      </c>
      <c r="B1150" s="1" t="s">
        <v>279</v>
      </c>
      <c r="C1150" s="1" t="s">
        <v>65</v>
      </c>
      <c r="D1150" s="9">
        <v>80.3</v>
      </c>
      <c r="E1150" s="9">
        <f>E1151</f>
        <v>80.3</v>
      </c>
      <c r="F1150" s="9">
        <f t="shared" si="561"/>
        <v>0</v>
      </c>
      <c r="G1150" s="9">
        <f t="shared" si="561"/>
        <v>0</v>
      </c>
      <c r="H1150" s="9">
        <f t="shared" si="561"/>
        <v>0</v>
      </c>
      <c r="I1150" s="9">
        <f t="shared" si="533"/>
        <v>0</v>
      </c>
      <c r="J1150" s="9">
        <v>0</v>
      </c>
    </row>
    <row r="1151" spans="1:10" ht="25.5">
      <c r="A1151" s="8" t="s">
        <v>66</v>
      </c>
      <c r="B1151" s="1" t="s">
        <v>279</v>
      </c>
      <c r="C1151" s="1" t="s">
        <v>67</v>
      </c>
      <c r="D1151" s="9">
        <v>80.3</v>
      </c>
      <c r="E1151" s="9">
        <f>ведомство!H453</f>
        <v>80.3</v>
      </c>
      <c r="F1151" s="9">
        <f>ведомство!I453</f>
        <v>0</v>
      </c>
      <c r="G1151" s="9">
        <f>ведомство!J453</f>
        <v>0</v>
      </c>
      <c r="H1151" s="9">
        <f>ведомство!K453</f>
        <v>0</v>
      </c>
      <c r="I1151" s="9">
        <f t="shared" si="533"/>
        <v>0</v>
      </c>
      <c r="J1151" s="9">
        <v>0</v>
      </c>
    </row>
    <row r="1152" spans="1:10" ht="89.25">
      <c r="A1152" s="8" t="s">
        <v>280</v>
      </c>
      <c r="B1152" s="1" t="s">
        <v>281</v>
      </c>
      <c r="C1152" s="1" t="s">
        <v>0</v>
      </c>
      <c r="D1152" s="9">
        <v>21054.1</v>
      </c>
      <c r="E1152" s="9">
        <f>E1153+E1155+E1157</f>
        <v>21054.100000000002</v>
      </c>
      <c r="F1152" s="9">
        <f t="shared" ref="F1152:H1152" si="562">F1153+F1155+F1157</f>
        <v>10554.749999999998</v>
      </c>
      <c r="G1152" s="9">
        <f t="shared" si="562"/>
        <v>10554.749999999998</v>
      </c>
      <c r="H1152" s="9">
        <f t="shared" si="562"/>
        <v>9332.1226500000012</v>
      </c>
      <c r="I1152" s="9">
        <f t="shared" si="533"/>
        <v>44.324490954255943</v>
      </c>
      <c r="J1152" s="9">
        <f t="shared" si="534"/>
        <v>88.416330562069234</v>
      </c>
    </row>
    <row r="1153" spans="1:10" ht="51">
      <c r="A1153" s="8" t="s">
        <v>60</v>
      </c>
      <c r="B1153" s="1" t="s">
        <v>281</v>
      </c>
      <c r="C1153" s="1" t="s">
        <v>61</v>
      </c>
      <c r="D1153" s="9">
        <v>17386.3</v>
      </c>
      <c r="E1153" s="9">
        <f>E1154</f>
        <v>17386.3</v>
      </c>
      <c r="F1153" s="9">
        <f t="shared" ref="F1153:H1153" si="563">F1154</f>
        <v>8822.6999999999989</v>
      </c>
      <c r="G1153" s="9">
        <f t="shared" si="563"/>
        <v>8822.6999999999989</v>
      </c>
      <c r="H1153" s="9">
        <f t="shared" si="563"/>
        <v>8025.7809999999999</v>
      </c>
      <c r="I1153" s="9">
        <f t="shared" si="533"/>
        <v>46.161523728452863</v>
      </c>
      <c r="J1153" s="9">
        <f t="shared" si="534"/>
        <v>90.967402269146646</v>
      </c>
    </row>
    <row r="1154" spans="1:10" ht="25.5">
      <c r="A1154" s="8" t="s">
        <v>62</v>
      </c>
      <c r="B1154" s="1" t="s">
        <v>281</v>
      </c>
      <c r="C1154" s="1" t="s">
        <v>63</v>
      </c>
      <c r="D1154" s="9">
        <v>17386.3</v>
      </c>
      <c r="E1154" s="9">
        <f>ведомство!H456</f>
        <v>17386.3</v>
      </c>
      <c r="F1154" s="9">
        <f>ведомство!I456</f>
        <v>8822.6999999999989</v>
      </c>
      <c r="G1154" s="9">
        <f>ведомство!J456</f>
        <v>8822.6999999999989</v>
      </c>
      <c r="H1154" s="9">
        <f>ведомство!K456</f>
        <v>8025.7809999999999</v>
      </c>
      <c r="I1154" s="9">
        <f t="shared" si="533"/>
        <v>46.161523728452863</v>
      </c>
      <c r="J1154" s="9">
        <f t="shared" si="534"/>
        <v>90.967402269146646</v>
      </c>
    </row>
    <row r="1155" spans="1:10" ht="25.5">
      <c r="A1155" s="8" t="s">
        <v>64</v>
      </c>
      <c r="B1155" s="1" t="s">
        <v>281</v>
      </c>
      <c r="C1155" s="1" t="s">
        <v>65</v>
      </c>
      <c r="D1155" s="9">
        <v>3599.9</v>
      </c>
      <c r="E1155" s="9">
        <f>E1156</f>
        <v>3599.9</v>
      </c>
      <c r="F1155" s="9">
        <f t="shared" ref="F1155:H1155" si="564">F1156</f>
        <v>1691.55</v>
      </c>
      <c r="G1155" s="9">
        <f t="shared" si="564"/>
        <v>1691.55</v>
      </c>
      <c r="H1155" s="9">
        <f t="shared" si="564"/>
        <v>1289.1553100000001</v>
      </c>
      <c r="I1155" s="9">
        <f t="shared" si="533"/>
        <v>35.81086446845746</v>
      </c>
      <c r="J1155" s="9">
        <f t="shared" si="534"/>
        <v>76.211481185894598</v>
      </c>
    </row>
    <row r="1156" spans="1:10" ht="25.5">
      <c r="A1156" s="8" t="s">
        <v>66</v>
      </c>
      <c r="B1156" s="1" t="s">
        <v>281</v>
      </c>
      <c r="C1156" s="1" t="s">
        <v>67</v>
      </c>
      <c r="D1156" s="9">
        <v>3599.9</v>
      </c>
      <c r="E1156" s="9">
        <f>ведомство!H458</f>
        <v>3599.9</v>
      </c>
      <c r="F1156" s="9">
        <f>ведомство!I458</f>
        <v>1691.55</v>
      </c>
      <c r="G1156" s="9">
        <f>ведомство!J458</f>
        <v>1691.55</v>
      </c>
      <c r="H1156" s="9">
        <f>ведомство!K458</f>
        <v>1289.1553100000001</v>
      </c>
      <c r="I1156" s="9">
        <f t="shared" si="533"/>
        <v>35.81086446845746</v>
      </c>
      <c r="J1156" s="9">
        <f t="shared" si="534"/>
        <v>76.211481185894598</v>
      </c>
    </row>
    <row r="1157" spans="1:10">
      <c r="A1157" s="8" t="s">
        <v>72</v>
      </c>
      <c r="B1157" s="1" t="s">
        <v>281</v>
      </c>
      <c r="C1157" s="1" t="s">
        <v>73</v>
      </c>
      <c r="D1157" s="9">
        <v>67.900000000000006</v>
      </c>
      <c r="E1157" s="9">
        <f>E1158</f>
        <v>67.900000000000006</v>
      </c>
      <c r="F1157" s="9">
        <f t="shared" ref="F1157:H1157" si="565">F1158</f>
        <v>40.5</v>
      </c>
      <c r="G1157" s="9">
        <f t="shared" si="565"/>
        <v>40.5</v>
      </c>
      <c r="H1157" s="9">
        <f t="shared" si="565"/>
        <v>17.186340000000001</v>
      </c>
      <c r="I1157" s="9">
        <f t="shared" si="533"/>
        <v>25.31125184094256</v>
      </c>
      <c r="J1157" s="9">
        <f t="shared" si="534"/>
        <v>42.435407407407411</v>
      </c>
    </row>
    <row r="1158" spans="1:10">
      <c r="A1158" s="8" t="s">
        <v>74</v>
      </c>
      <c r="B1158" s="1" t="s">
        <v>281</v>
      </c>
      <c r="C1158" s="1" t="s">
        <v>75</v>
      </c>
      <c r="D1158" s="9">
        <v>67.900000000000006</v>
      </c>
      <c r="E1158" s="9">
        <f>ведомство!H460</f>
        <v>67.900000000000006</v>
      </c>
      <c r="F1158" s="9">
        <f>ведомство!I460</f>
        <v>40.5</v>
      </c>
      <c r="G1158" s="9">
        <f>ведомство!J460</f>
        <v>40.5</v>
      </c>
      <c r="H1158" s="9">
        <f>ведомство!K460</f>
        <v>17.186340000000001</v>
      </c>
      <c r="I1158" s="9">
        <f t="shared" si="533"/>
        <v>25.31125184094256</v>
      </c>
      <c r="J1158" s="9">
        <f t="shared" si="534"/>
        <v>42.435407407407411</v>
      </c>
    </row>
    <row r="1159" spans="1:10">
      <c r="A1159" s="4" t="s">
        <v>0</v>
      </c>
      <c r="B1159" s="17" t="s">
        <v>0</v>
      </c>
      <c r="C1159" s="5" t="s">
        <v>0</v>
      </c>
      <c r="D1159" s="7" t="s">
        <v>0</v>
      </c>
      <c r="E1159" s="7" t="s">
        <v>0</v>
      </c>
      <c r="F1159" s="7" t="s">
        <v>0</v>
      </c>
      <c r="G1159" s="7" t="s">
        <v>0</v>
      </c>
      <c r="H1159" s="7" t="s">
        <v>0</v>
      </c>
      <c r="I1159" s="7"/>
      <c r="J1159" s="7"/>
    </row>
    <row r="1160" spans="1:10" ht="25.5">
      <c r="A1160" s="4" t="s">
        <v>35</v>
      </c>
      <c r="B1160" s="5" t="s">
        <v>36</v>
      </c>
      <c r="C1160" s="5" t="s">
        <v>0</v>
      </c>
      <c r="D1160" s="7">
        <v>27504.400000000001</v>
      </c>
      <c r="E1160" s="7">
        <f>E1161+E1164+E1167+E1170+E1173+E1176</f>
        <v>85874</v>
      </c>
      <c r="F1160" s="7">
        <f t="shared" ref="F1160:H1160" si="566">F1161+F1164+F1167+F1170+F1173+F1176</f>
        <v>0</v>
      </c>
      <c r="G1160" s="7">
        <f t="shared" si="566"/>
        <v>0</v>
      </c>
      <c r="H1160" s="7">
        <f t="shared" si="566"/>
        <v>0</v>
      </c>
      <c r="I1160" s="7">
        <f t="shared" si="533"/>
        <v>0</v>
      </c>
      <c r="J1160" s="7">
        <v>0</v>
      </c>
    </row>
    <row r="1161" spans="1:10" ht="38.25">
      <c r="A1161" s="8" t="s">
        <v>1119</v>
      </c>
      <c r="B1161" s="25" t="s">
        <v>1118</v>
      </c>
      <c r="C1161" s="5"/>
      <c r="D1161" s="7"/>
      <c r="E1161" s="23">
        <f>E1162</f>
        <v>59864.9</v>
      </c>
      <c r="F1161" s="23">
        <f t="shared" ref="F1161:H1162" si="567">F1162</f>
        <v>0</v>
      </c>
      <c r="G1161" s="23">
        <f t="shared" si="567"/>
        <v>0</v>
      </c>
      <c r="H1161" s="23">
        <f t="shared" si="567"/>
        <v>0</v>
      </c>
      <c r="I1161" s="23">
        <f t="shared" si="533"/>
        <v>0</v>
      </c>
      <c r="J1161" s="23">
        <v>0</v>
      </c>
    </row>
    <row r="1162" spans="1:10" ht="25.5">
      <c r="A1162" s="8" t="s">
        <v>39</v>
      </c>
      <c r="B1162" s="25" t="s">
        <v>1118</v>
      </c>
      <c r="C1162" s="1" t="s">
        <v>40</v>
      </c>
      <c r="D1162" s="7"/>
      <c r="E1162" s="23">
        <f>E1163</f>
        <v>59864.9</v>
      </c>
      <c r="F1162" s="23">
        <f t="shared" si="567"/>
        <v>0</v>
      </c>
      <c r="G1162" s="23">
        <f t="shared" si="567"/>
        <v>0</v>
      </c>
      <c r="H1162" s="23">
        <f t="shared" si="567"/>
        <v>0</v>
      </c>
      <c r="I1162" s="23">
        <f t="shared" si="533"/>
        <v>0</v>
      </c>
      <c r="J1162" s="23">
        <v>0</v>
      </c>
    </row>
    <row r="1163" spans="1:10">
      <c r="A1163" s="8" t="s">
        <v>41</v>
      </c>
      <c r="B1163" s="25" t="s">
        <v>1118</v>
      </c>
      <c r="C1163" s="1" t="s">
        <v>42</v>
      </c>
      <c r="D1163" s="7"/>
      <c r="E1163" s="23">
        <f>ведомство!H23</f>
        <v>59864.9</v>
      </c>
      <c r="F1163" s="23">
        <f>ведомство!I23</f>
        <v>0</v>
      </c>
      <c r="G1163" s="23">
        <f>ведомство!J23</f>
        <v>0</v>
      </c>
      <c r="H1163" s="23">
        <f>ведомство!K23</f>
        <v>0</v>
      </c>
      <c r="I1163" s="23">
        <f t="shared" si="533"/>
        <v>0</v>
      </c>
      <c r="J1163" s="23">
        <v>0</v>
      </c>
    </row>
    <row r="1164" spans="1:10" ht="25.5">
      <c r="A1164" s="8" t="s">
        <v>236</v>
      </c>
      <c r="B1164" s="1" t="s">
        <v>237</v>
      </c>
      <c r="C1164" s="1" t="s">
        <v>0</v>
      </c>
      <c r="D1164" s="9">
        <v>14952.7</v>
      </c>
      <c r="E1164" s="9">
        <f>E1165</f>
        <v>13457.4</v>
      </c>
      <c r="F1164" s="9">
        <f t="shared" ref="F1164:H1165" si="568">F1165</f>
        <v>0</v>
      </c>
      <c r="G1164" s="9">
        <f t="shared" si="568"/>
        <v>0</v>
      </c>
      <c r="H1164" s="9">
        <f t="shared" si="568"/>
        <v>0</v>
      </c>
      <c r="I1164" s="9">
        <f t="shared" si="533"/>
        <v>0</v>
      </c>
      <c r="J1164" s="9">
        <v>0</v>
      </c>
    </row>
    <row r="1165" spans="1:10" ht="25.5">
      <c r="A1165" s="8" t="s">
        <v>64</v>
      </c>
      <c r="B1165" s="1" t="s">
        <v>237</v>
      </c>
      <c r="C1165" s="1" t="s">
        <v>65</v>
      </c>
      <c r="D1165" s="9">
        <v>14952.7</v>
      </c>
      <c r="E1165" s="9">
        <f>E1166</f>
        <v>13457.4</v>
      </c>
      <c r="F1165" s="9">
        <f t="shared" si="568"/>
        <v>0</v>
      </c>
      <c r="G1165" s="9">
        <f t="shared" si="568"/>
        <v>0</v>
      </c>
      <c r="H1165" s="9">
        <f t="shared" si="568"/>
        <v>0</v>
      </c>
      <c r="I1165" s="9">
        <f t="shared" si="533"/>
        <v>0</v>
      </c>
      <c r="J1165" s="9">
        <v>0</v>
      </c>
    </row>
    <row r="1166" spans="1:10" ht="25.5">
      <c r="A1166" s="8" t="s">
        <v>66</v>
      </c>
      <c r="B1166" s="1" t="s">
        <v>237</v>
      </c>
      <c r="C1166" s="1" t="s">
        <v>67</v>
      </c>
      <c r="D1166" s="9">
        <v>14952.7</v>
      </c>
      <c r="E1166" s="9">
        <f>ведомство!H376</f>
        <v>13457.4</v>
      </c>
      <c r="F1166" s="9">
        <f>ведомство!I376</f>
        <v>0</v>
      </c>
      <c r="G1166" s="9">
        <f>ведомство!J376</f>
        <v>0</v>
      </c>
      <c r="H1166" s="9">
        <f>ведомство!K376</f>
        <v>0</v>
      </c>
      <c r="I1166" s="9">
        <f t="shared" si="533"/>
        <v>0</v>
      </c>
      <c r="J1166" s="9">
        <v>0</v>
      </c>
    </row>
    <row r="1167" spans="1:10" ht="38.25">
      <c r="A1167" s="8" t="s">
        <v>37</v>
      </c>
      <c r="B1167" s="1" t="s">
        <v>38</v>
      </c>
      <c r="C1167" s="1" t="s">
        <v>0</v>
      </c>
      <c r="D1167" s="9">
        <v>1000</v>
      </c>
      <c r="E1167" s="9">
        <f>E1168</f>
        <v>1000</v>
      </c>
      <c r="F1167" s="9">
        <f t="shared" ref="F1167:H1168" si="569">F1168</f>
        <v>0</v>
      </c>
      <c r="G1167" s="9">
        <f t="shared" si="569"/>
        <v>0</v>
      </c>
      <c r="H1167" s="9">
        <f t="shared" si="569"/>
        <v>0</v>
      </c>
      <c r="I1167" s="9">
        <f t="shared" si="533"/>
        <v>0</v>
      </c>
      <c r="J1167" s="9">
        <v>0</v>
      </c>
    </row>
    <row r="1168" spans="1:10" ht="25.5">
      <c r="A1168" s="8" t="s">
        <v>39</v>
      </c>
      <c r="B1168" s="1" t="s">
        <v>38</v>
      </c>
      <c r="C1168" s="1" t="s">
        <v>40</v>
      </c>
      <c r="D1168" s="9">
        <v>1000</v>
      </c>
      <c r="E1168" s="9">
        <f>E1169</f>
        <v>1000</v>
      </c>
      <c r="F1168" s="9">
        <f t="shared" si="569"/>
        <v>0</v>
      </c>
      <c r="G1168" s="9">
        <f t="shared" si="569"/>
        <v>0</v>
      </c>
      <c r="H1168" s="9">
        <f t="shared" si="569"/>
        <v>0</v>
      </c>
      <c r="I1168" s="9">
        <f t="shared" si="533"/>
        <v>0</v>
      </c>
      <c r="J1168" s="9">
        <v>0</v>
      </c>
    </row>
    <row r="1169" spans="1:10">
      <c r="A1169" s="8" t="s">
        <v>41</v>
      </c>
      <c r="B1169" s="1" t="s">
        <v>38</v>
      </c>
      <c r="C1169" s="1" t="s">
        <v>42</v>
      </c>
      <c r="D1169" s="9">
        <v>1000</v>
      </c>
      <c r="E1169" s="9">
        <f>ведомство!H26</f>
        <v>1000</v>
      </c>
      <c r="F1169" s="9">
        <f>ведомство!I26</f>
        <v>0</v>
      </c>
      <c r="G1169" s="9">
        <f>ведомство!J26</f>
        <v>0</v>
      </c>
      <c r="H1169" s="9">
        <f>ведомство!K26</f>
        <v>0</v>
      </c>
      <c r="I1169" s="9">
        <f t="shared" si="533"/>
        <v>0</v>
      </c>
      <c r="J1169" s="9">
        <v>0</v>
      </c>
    </row>
    <row r="1170" spans="1:10">
      <c r="A1170" s="8" t="s">
        <v>238</v>
      </c>
      <c r="B1170" s="1" t="s">
        <v>239</v>
      </c>
      <c r="C1170" s="1" t="s">
        <v>0</v>
      </c>
      <c r="D1170" s="9">
        <v>3900</v>
      </c>
      <c r="E1170" s="9">
        <f>E1171</f>
        <v>3900</v>
      </c>
      <c r="F1170" s="9">
        <f t="shared" ref="F1170:H1171" si="570">F1171</f>
        <v>0</v>
      </c>
      <c r="G1170" s="9">
        <f t="shared" si="570"/>
        <v>0</v>
      </c>
      <c r="H1170" s="9">
        <f t="shared" si="570"/>
        <v>0</v>
      </c>
      <c r="I1170" s="9">
        <f t="shared" ref="I1170:I1251" si="571">H1170/E1170*100</f>
        <v>0</v>
      </c>
      <c r="J1170" s="9">
        <v>0</v>
      </c>
    </row>
    <row r="1171" spans="1:10" ht="25.5">
      <c r="A1171" s="8" t="s">
        <v>64</v>
      </c>
      <c r="B1171" s="1" t="s">
        <v>239</v>
      </c>
      <c r="C1171" s="1" t="s">
        <v>65</v>
      </c>
      <c r="D1171" s="9">
        <v>3900</v>
      </c>
      <c r="E1171" s="9">
        <f>E1172</f>
        <v>3900</v>
      </c>
      <c r="F1171" s="9">
        <f t="shared" si="570"/>
        <v>0</v>
      </c>
      <c r="G1171" s="9">
        <f t="shared" si="570"/>
        <v>0</v>
      </c>
      <c r="H1171" s="9">
        <f t="shared" si="570"/>
        <v>0</v>
      </c>
      <c r="I1171" s="9">
        <f t="shared" si="571"/>
        <v>0</v>
      </c>
      <c r="J1171" s="9">
        <v>0</v>
      </c>
    </row>
    <row r="1172" spans="1:10" ht="25.5">
      <c r="A1172" s="8" t="s">
        <v>66</v>
      </c>
      <c r="B1172" s="1" t="s">
        <v>239</v>
      </c>
      <c r="C1172" s="1" t="s">
        <v>67</v>
      </c>
      <c r="D1172" s="9">
        <v>3900</v>
      </c>
      <c r="E1172" s="9">
        <f>ведомство!H379</f>
        <v>3900</v>
      </c>
      <c r="F1172" s="9">
        <f>ведомство!I379</f>
        <v>0</v>
      </c>
      <c r="G1172" s="9">
        <f>ведомство!J379</f>
        <v>0</v>
      </c>
      <c r="H1172" s="9">
        <f>ведомство!K379</f>
        <v>0</v>
      </c>
      <c r="I1172" s="9">
        <f t="shared" si="571"/>
        <v>0</v>
      </c>
      <c r="J1172" s="9">
        <v>0</v>
      </c>
    </row>
    <row r="1173" spans="1:10">
      <c r="A1173" s="8" t="s">
        <v>240</v>
      </c>
      <c r="B1173" s="1" t="s">
        <v>241</v>
      </c>
      <c r="C1173" s="1" t="s">
        <v>0</v>
      </c>
      <c r="D1173" s="9">
        <v>1000</v>
      </c>
      <c r="E1173" s="9">
        <f>E1174</f>
        <v>1000</v>
      </c>
      <c r="F1173" s="9">
        <f t="shared" ref="F1173:H1174" si="572">F1174</f>
        <v>0</v>
      </c>
      <c r="G1173" s="9">
        <f t="shared" si="572"/>
        <v>0</v>
      </c>
      <c r="H1173" s="9">
        <f t="shared" si="572"/>
        <v>0</v>
      </c>
      <c r="I1173" s="9">
        <f t="shared" si="571"/>
        <v>0</v>
      </c>
      <c r="J1173" s="9">
        <v>0</v>
      </c>
    </row>
    <row r="1174" spans="1:10">
      <c r="A1174" s="8" t="s">
        <v>26</v>
      </c>
      <c r="B1174" s="1" t="s">
        <v>241</v>
      </c>
      <c r="C1174" s="1" t="s">
        <v>27</v>
      </c>
      <c r="D1174" s="9">
        <v>1000</v>
      </c>
      <c r="E1174" s="9">
        <f>E1175</f>
        <v>1000</v>
      </c>
      <c r="F1174" s="9">
        <f t="shared" si="572"/>
        <v>0</v>
      </c>
      <c r="G1174" s="9">
        <f t="shared" si="572"/>
        <v>0</v>
      </c>
      <c r="H1174" s="9">
        <f t="shared" si="572"/>
        <v>0</v>
      </c>
      <c r="I1174" s="9">
        <f t="shared" si="571"/>
        <v>0</v>
      </c>
      <c r="J1174" s="9">
        <v>0</v>
      </c>
    </row>
    <row r="1175" spans="1:10">
      <c r="A1175" s="8" t="s">
        <v>56</v>
      </c>
      <c r="B1175" s="1" t="s">
        <v>241</v>
      </c>
      <c r="C1175" s="1" t="s">
        <v>57</v>
      </c>
      <c r="D1175" s="9">
        <v>1000</v>
      </c>
      <c r="E1175" s="9">
        <f>ведомство!H382</f>
        <v>1000</v>
      </c>
      <c r="F1175" s="9">
        <f>ведомство!I382</f>
        <v>0</v>
      </c>
      <c r="G1175" s="9">
        <f>ведомство!J382</f>
        <v>0</v>
      </c>
      <c r="H1175" s="9">
        <f>ведомство!K382</f>
        <v>0</v>
      </c>
      <c r="I1175" s="9">
        <f t="shared" si="571"/>
        <v>0</v>
      </c>
      <c r="J1175" s="9">
        <v>0</v>
      </c>
    </row>
    <row r="1176" spans="1:10" ht="38.25">
      <c r="A1176" s="8" t="s">
        <v>43</v>
      </c>
      <c r="B1176" s="1" t="s">
        <v>44</v>
      </c>
      <c r="C1176" s="1" t="s">
        <v>0</v>
      </c>
      <c r="D1176" s="9">
        <v>6651.7</v>
      </c>
      <c r="E1176" s="9">
        <f>E1177</f>
        <v>6651.7</v>
      </c>
      <c r="F1176" s="9">
        <f t="shared" ref="F1176:H1177" si="573">F1177</f>
        <v>0</v>
      </c>
      <c r="G1176" s="9">
        <f t="shared" si="573"/>
        <v>0</v>
      </c>
      <c r="H1176" s="9">
        <f t="shared" si="573"/>
        <v>0</v>
      </c>
      <c r="I1176" s="9">
        <f t="shared" si="571"/>
        <v>0</v>
      </c>
      <c r="J1176" s="9">
        <v>0</v>
      </c>
    </row>
    <row r="1177" spans="1:10" ht="25.5">
      <c r="A1177" s="8" t="s">
        <v>39</v>
      </c>
      <c r="B1177" s="1" t="s">
        <v>44</v>
      </c>
      <c r="C1177" s="1" t="s">
        <v>40</v>
      </c>
      <c r="D1177" s="9">
        <v>6651.7</v>
      </c>
      <c r="E1177" s="9">
        <f>E1178</f>
        <v>6651.7</v>
      </c>
      <c r="F1177" s="9">
        <f t="shared" si="573"/>
        <v>0</v>
      </c>
      <c r="G1177" s="9">
        <f t="shared" si="573"/>
        <v>0</v>
      </c>
      <c r="H1177" s="9">
        <f t="shared" si="573"/>
        <v>0</v>
      </c>
      <c r="I1177" s="9">
        <f t="shared" si="571"/>
        <v>0</v>
      </c>
      <c r="J1177" s="9">
        <v>0</v>
      </c>
    </row>
    <row r="1178" spans="1:10">
      <c r="A1178" s="8" t="s">
        <v>41</v>
      </c>
      <c r="B1178" s="1" t="s">
        <v>44</v>
      </c>
      <c r="C1178" s="1" t="s">
        <v>42</v>
      </c>
      <c r="D1178" s="9">
        <v>6651.7</v>
      </c>
      <c r="E1178" s="9">
        <f>ведомство!H29</f>
        <v>6651.7</v>
      </c>
      <c r="F1178" s="9">
        <f>ведомство!I29</f>
        <v>0</v>
      </c>
      <c r="G1178" s="9">
        <f>ведомство!J29</f>
        <v>0</v>
      </c>
      <c r="H1178" s="9">
        <f>ведомство!K29</f>
        <v>0</v>
      </c>
      <c r="I1178" s="9">
        <f t="shared" si="571"/>
        <v>0</v>
      </c>
      <c r="J1178" s="9">
        <v>0</v>
      </c>
    </row>
    <row r="1179" spans="1:10">
      <c r="A1179" s="4" t="s">
        <v>0</v>
      </c>
      <c r="B1179" s="17" t="s">
        <v>0</v>
      </c>
      <c r="C1179" s="5" t="s">
        <v>0</v>
      </c>
      <c r="D1179" s="7" t="s">
        <v>0</v>
      </c>
      <c r="E1179" s="7" t="s">
        <v>0</v>
      </c>
      <c r="F1179" s="7"/>
      <c r="G1179" s="7"/>
      <c r="H1179" s="7"/>
      <c r="I1179" s="7"/>
      <c r="J1179" s="7"/>
    </row>
    <row r="1180" spans="1:10" ht="63.75">
      <c r="A1180" s="4" t="s">
        <v>156</v>
      </c>
      <c r="B1180" s="5" t="s">
        <v>157</v>
      </c>
      <c r="C1180" s="5" t="s">
        <v>0</v>
      </c>
      <c r="D1180" s="7">
        <v>598120.19999999995</v>
      </c>
      <c r="E1180" s="7">
        <f>E1181+E1228+E1241+E1255</f>
        <v>611993.67377999995</v>
      </c>
      <c r="F1180" s="7">
        <f t="shared" ref="F1180:H1180" si="574">F1181+F1228+F1241+F1255</f>
        <v>343479.07796000002</v>
      </c>
      <c r="G1180" s="7">
        <f t="shared" si="574"/>
        <v>343269.07796000002</v>
      </c>
      <c r="H1180" s="7">
        <f t="shared" si="574"/>
        <v>323502.46964000002</v>
      </c>
      <c r="I1180" s="7">
        <f t="shared" si="571"/>
        <v>52.86042707629246</v>
      </c>
      <c r="J1180" s="7">
        <f t="shared" ref="J1180:J1251" si="575">H1180/F1180*100</f>
        <v>94.184039261242461</v>
      </c>
    </row>
    <row r="1181" spans="1:10">
      <c r="A1181" s="4" t="s">
        <v>158</v>
      </c>
      <c r="B1181" s="5" t="s">
        <v>159</v>
      </c>
      <c r="C1181" s="5" t="s">
        <v>0</v>
      </c>
      <c r="D1181" s="7">
        <v>464517.7</v>
      </c>
      <c r="E1181" s="7">
        <f>E1182+E1185+E1191+E1194+E1197+E1200+E1209+E1212+E1215+E1218+E1221+E1224+E1188</f>
        <v>484875.16369999998</v>
      </c>
      <c r="F1181" s="7">
        <f t="shared" ref="F1181:H1181" si="576">F1182+F1185+F1191+F1194+F1197+F1200+F1209+F1212+F1215+F1218+F1221+F1224+F1188</f>
        <v>261672.77796000004</v>
      </c>
      <c r="G1181" s="7">
        <f t="shared" si="576"/>
        <v>261672.77796000004</v>
      </c>
      <c r="H1181" s="7">
        <f t="shared" si="576"/>
        <v>246531.97796000005</v>
      </c>
      <c r="I1181" s="7">
        <f t="shared" si="571"/>
        <v>50.844422733215787</v>
      </c>
      <c r="J1181" s="7">
        <f t="shared" si="575"/>
        <v>94.213842143597205</v>
      </c>
    </row>
    <row r="1182" spans="1:10" ht="38.25">
      <c r="A1182" s="8" t="s">
        <v>932</v>
      </c>
      <c r="B1182" s="1" t="s">
        <v>933</v>
      </c>
      <c r="C1182" s="1" t="s">
        <v>0</v>
      </c>
      <c r="D1182" s="9">
        <v>6286.2</v>
      </c>
      <c r="E1182" s="9">
        <f>E1183</f>
        <v>6286.2</v>
      </c>
      <c r="F1182" s="9">
        <f t="shared" ref="F1182:H1183" si="577">F1183</f>
        <v>6286.2</v>
      </c>
      <c r="G1182" s="9">
        <f t="shared" si="577"/>
        <v>6286.2</v>
      </c>
      <c r="H1182" s="9">
        <f t="shared" si="577"/>
        <v>6286.2</v>
      </c>
      <c r="I1182" s="9">
        <f t="shared" si="571"/>
        <v>100</v>
      </c>
      <c r="J1182" s="9">
        <f t="shared" si="575"/>
        <v>100</v>
      </c>
    </row>
    <row r="1183" spans="1:10" ht="25.5">
      <c r="A1183" s="8" t="s">
        <v>80</v>
      </c>
      <c r="B1183" s="1" t="s">
        <v>933</v>
      </c>
      <c r="C1183" s="1" t="s">
        <v>81</v>
      </c>
      <c r="D1183" s="9">
        <v>6286.2</v>
      </c>
      <c r="E1183" s="9">
        <f>E1184</f>
        <v>6286.2</v>
      </c>
      <c r="F1183" s="9">
        <f t="shared" si="577"/>
        <v>6286.2</v>
      </c>
      <c r="G1183" s="9">
        <f t="shared" si="577"/>
        <v>6286.2</v>
      </c>
      <c r="H1183" s="9">
        <f t="shared" si="577"/>
        <v>6286.2</v>
      </c>
      <c r="I1183" s="9">
        <f t="shared" si="571"/>
        <v>100</v>
      </c>
      <c r="J1183" s="9">
        <f t="shared" si="575"/>
        <v>100</v>
      </c>
    </row>
    <row r="1184" spans="1:10">
      <c r="A1184" s="8" t="s">
        <v>82</v>
      </c>
      <c r="B1184" s="1" t="s">
        <v>933</v>
      </c>
      <c r="C1184" s="1" t="s">
        <v>83</v>
      </c>
      <c r="D1184" s="9">
        <v>6286.2</v>
      </c>
      <c r="E1184" s="9">
        <f>ведомство!H2189</f>
        <v>6286.2</v>
      </c>
      <c r="F1184" s="9">
        <f>ведомство!I2189</f>
        <v>6286.2</v>
      </c>
      <c r="G1184" s="9">
        <f>ведомство!J2189</f>
        <v>6286.2</v>
      </c>
      <c r="H1184" s="9">
        <f>ведомство!K2189</f>
        <v>6286.2</v>
      </c>
      <c r="I1184" s="9">
        <f t="shared" si="571"/>
        <v>100</v>
      </c>
      <c r="J1184" s="9">
        <f t="shared" si="575"/>
        <v>100</v>
      </c>
    </row>
    <row r="1185" spans="1:10" ht="38.25">
      <c r="A1185" s="8" t="s">
        <v>926</v>
      </c>
      <c r="B1185" s="1" t="s">
        <v>927</v>
      </c>
      <c r="C1185" s="1" t="s">
        <v>0</v>
      </c>
      <c r="D1185" s="9">
        <v>1680.1</v>
      </c>
      <c r="E1185" s="9">
        <f>E1186</f>
        <v>1680.1</v>
      </c>
      <c r="F1185" s="9">
        <f t="shared" ref="F1185:H1186" si="578">F1186</f>
        <v>0</v>
      </c>
      <c r="G1185" s="9">
        <f t="shared" si="578"/>
        <v>0</v>
      </c>
      <c r="H1185" s="9">
        <f t="shared" si="578"/>
        <v>0</v>
      </c>
      <c r="I1185" s="9">
        <f t="shared" si="571"/>
        <v>0</v>
      </c>
      <c r="J1185" s="9">
        <v>0</v>
      </c>
    </row>
    <row r="1186" spans="1:10" ht="25.5">
      <c r="A1186" s="8" t="s">
        <v>80</v>
      </c>
      <c r="B1186" s="1" t="s">
        <v>927</v>
      </c>
      <c r="C1186" s="1" t="s">
        <v>81</v>
      </c>
      <c r="D1186" s="9">
        <v>1680.1</v>
      </c>
      <c r="E1186" s="9">
        <f>E1187</f>
        <v>1680.1</v>
      </c>
      <c r="F1186" s="9">
        <f t="shared" si="578"/>
        <v>0</v>
      </c>
      <c r="G1186" s="9">
        <f t="shared" si="578"/>
        <v>0</v>
      </c>
      <c r="H1186" s="9">
        <f t="shared" si="578"/>
        <v>0</v>
      </c>
      <c r="I1186" s="9">
        <f t="shared" si="571"/>
        <v>0</v>
      </c>
      <c r="J1186" s="9">
        <v>0</v>
      </c>
    </row>
    <row r="1187" spans="1:10">
      <c r="A1187" s="8" t="s">
        <v>82</v>
      </c>
      <c r="B1187" s="1" t="s">
        <v>927</v>
      </c>
      <c r="C1187" s="1" t="s">
        <v>83</v>
      </c>
      <c r="D1187" s="9">
        <v>1680.1</v>
      </c>
      <c r="E1187" s="9">
        <f>ведомство!H2156</f>
        <v>1680.1</v>
      </c>
      <c r="F1187" s="9">
        <f>ведомство!I2156</f>
        <v>0</v>
      </c>
      <c r="G1187" s="9">
        <f>ведомство!J2156</f>
        <v>0</v>
      </c>
      <c r="H1187" s="9">
        <f>ведомство!K2156</f>
        <v>0</v>
      </c>
      <c r="I1187" s="9">
        <f t="shared" si="571"/>
        <v>0</v>
      </c>
      <c r="J1187" s="9">
        <v>0</v>
      </c>
    </row>
    <row r="1188" spans="1:10" s="43" customFormat="1" ht="38.25">
      <c r="A1188" s="26" t="s">
        <v>1194</v>
      </c>
      <c r="B1188" s="25" t="s">
        <v>1193</v>
      </c>
      <c r="C1188" s="1"/>
      <c r="D1188" s="9"/>
      <c r="E1188" s="9">
        <f>E1189</f>
        <v>20357.5</v>
      </c>
      <c r="F1188" s="9">
        <f t="shared" ref="F1188:H1189" si="579">F1189</f>
        <v>0</v>
      </c>
      <c r="G1188" s="9">
        <f t="shared" si="579"/>
        <v>0</v>
      </c>
      <c r="H1188" s="9">
        <f t="shared" si="579"/>
        <v>0</v>
      </c>
      <c r="I1188" s="9">
        <f t="shared" ref="I1188:I1190" si="580">H1188/E1188*100</f>
        <v>0</v>
      </c>
      <c r="J1188" s="9">
        <v>0</v>
      </c>
    </row>
    <row r="1189" spans="1:10" s="43" customFormat="1">
      <c r="A1189" s="26" t="s">
        <v>26</v>
      </c>
      <c r="B1189" s="25" t="s">
        <v>1193</v>
      </c>
      <c r="C1189" s="1">
        <v>500</v>
      </c>
      <c r="D1189" s="9"/>
      <c r="E1189" s="9">
        <f>E1190</f>
        <v>20357.5</v>
      </c>
      <c r="F1189" s="9">
        <f t="shared" si="579"/>
        <v>0</v>
      </c>
      <c r="G1189" s="9">
        <f t="shared" si="579"/>
        <v>0</v>
      </c>
      <c r="H1189" s="9">
        <f t="shared" si="579"/>
        <v>0</v>
      </c>
      <c r="I1189" s="9">
        <f t="shared" si="580"/>
        <v>0</v>
      </c>
      <c r="J1189" s="9">
        <v>0</v>
      </c>
    </row>
    <row r="1190" spans="1:10" s="43" customFormat="1">
      <c r="A1190" s="26" t="s">
        <v>56</v>
      </c>
      <c r="B1190" s="25" t="s">
        <v>1193</v>
      </c>
      <c r="C1190" s="1">
        <v>520</v>
      </c>
      <c r="D1190" s="9"/>
      <c r="E1190" s="9">
        <f>ведомство!H2159</f>
        <v>20357.5</v>
      </c>
      <c r="F1190" s="9">
        <f>ведомство!I2159</f>
        <v>0</v>
      </c>
      <c r="G1190" s="9">
        <f>ведомство!J2159</f>
        <v>0</v>
      </c>
      <c r="H1190" s="9">
        <f>ведомство!K2159</f>
        <v>0</v>
      </c>
      <c r="I1190" s="9">
        <f t="shared" si="580"/>
        <v>0</v>
      </c>
      <c r="J1190" s="9">
        <v>0</v>
      </c>
    </row>
    <row r="1191" spans="1:10" ht="25.5">
      <c r="A1191" s="8" t="s">
        <v>76</v>
      </c>
      <c r="B1191" s="1" t="s">
        <v>934</v>
      </c>
      <c r="C1191" s="1" t="s">
        <v>0</v>
      </c>
      <c r="D1191" s="9">
        <v>310761.40000000002</v>
      </c>
      <c r="E1191" s="9">
        <f>E1192</f>
        <v>301347.40000000002</v>
      </c>
      <c r="F1191" s="9">
        <f t="shared" ref="F1191:H1192" si="581">F1192</f>
        <v>162636</v>
      </c>
      <c r="G1191" s="9">
        <f t="shared" si="581"/>
        <v>162636</v>
      </c>
      <c r="H1191" s="9">
        <f t="shared" si="581"/>
        <v>162636</v>
      </c>
      <c r="I1191" s="9">
        <f t="shared" si="571"/>
        <v>53.969604516249348</v>
      </c>
      <c r="J1191" s="9">
        <f t="shared" si="575"/>
        <v>100</v>
      </c>
    </row>
    <row r="1192" spans="1:10" ht="25.5">
      <c r="A1192" s="8" t="s">
        <v>80</v>
      </c>
      <c r="B1192" s="1" t="s">
        <v>934</v>
      </c>
      <c r="C1192" s="1" t="s">
        <v>81</v>
      </c>
      <c r="D1192" s="9">
        <v>310761.40000000002</v>
      </c>
      <c r="E1192" s="9">
        <f>E1193</f>
        <v>301347.40000000002</v>
      </c>
      <c r="F1192" s="9">
        <f t="shared" si="581"/>
        <v>162636</v>
      </c>
      <c r="G1192" s="9">
        <f t="shared" si="581"/>
        <v>162636</v>
      </c>
      <c r="H1192" s="9">
        <f t="shared" si="581"/>
        <v>162636</v>
      </c>
      <c r="I1192" s="9">
        <f t="shared" si="571"/>
        <v>53.969604516249348</v>
      </c>
      <c r="J1192" s="9">
        <f t="shared" si="575"/>
        <v>100</v>
      </c>
    </row>
    <row r="1193" spans="1:10">
      <c r="A1193" s="8" t="s">
        <v>82</v>
      </c>
      <c r="B1193" s="1" t="s">
        <v>934</v>
      </c>
      <c r="C1193" s="1" t="s">
        <v>83</v>
      </c>
      <c r="D1193" s="9">
        <v>310761.40000000002</v>
      </c>
      <c r="E1193" s="9">
        <f>ведомство!H2192</f>
        <v>301347.40000000002</v>
      </c>
      <c r="F1193" s="9">
        <f>ведомство!I2192</f>
        <v>162636</v>
      </c>
      <c r="G1193" s="9">
        <f>ведомство!J2192</f>
        <v>162636</v>
      </c>
      <c r="H1193" s="9">
        <f>ведомство!K2192</f>
        <v>162636</v>
      </c>
      <c r="I1193" s="9">
        <f t="shared" si="571"/>
        <v>53.969604516249348</v>
      </c>
      <c r="J1193" s="9">
        <f t="shared" si="575"/>
        <v>100</v>
      </c>
    </row>
    <row r="1194" spans="1:10" ht="38.25">
      <c r="A1194" s="8" t="s">
        <v>37</v>
      </c>
      <c r="B1194" s="1" t="s">
        <v>160</v>
      </c>
      <c r="C1194" s="1" t="s">
        <v>0</v>
      </c>
      <c r="D1194" s="9">
        <v>40000</v>
      </c>
      <c r="E1194" s="9">
        <f>E1195</f>
        <v>40000</v>
      </c>
      <c r="F1194" s="9">
        <f t="shared" ref="F1194:H1195" si="582">F1195</f>
        <v>5000.0617099999999</v>
      </c>
      <c r="G1194" s="9">
        <f t="shared" si="582"/>
        <v>5000.0617099999999</v>
      </c>
      <c r="H1194" s="9">
        <f t="shared" si="582"/>
        <v>5000.0617099999999</v>
      </c>
      <c r="I1194" s="9">
        <f t="shared" si="571"/>
        <v>12.500154275</v>
      </c>
      <c r="J1194" s="9">
        <f t="shared" si="575"/>
        <v>100</v>
      </c>
    </row>
    <row r="1195" spans="1:10" ht="25.5">
      <c r="A1195" s="8" t="s">
        <v>39</v>
      </c>
      <c r="B1195" s="1" t="s">
        <v>160</v>
      </c>
      <c r="C1195" s="1" t="s">
        <v>40</v>
      </c>
      <c r="D1195" s="9">
        <v>40000</v>
      </c>
      <c r="E1195" s="9">
        <f>E1196</f>
        <v>40000</v>
      </c>
      <c r="F1195" s="9">
        <f t="shared" si="582"/>
        <v>5000.0617099999999</v>
      </c>
      <c r="G1195" s="9">
        <f t="shared" si="582"/>
        <v>5000.0617099999999</v>
      </c>
      <c r="H1195" s="9">
        <f t="shared" si="582"/>
        <v>5000.0617099999999</v>
      </c>
      <c r="I1195" s="9">
        <f t="shared" si="571"/>
        <v>12.500154275</v>
      </c>
      <c r="J1195" s="9">
        <f t="shared" si="575"/>
        <v>100</v>
      </c>
    </row>
    <row r="1196" spans="1:10">
      <c r="A1196" s="8" t="s">
        <v>41</v>
      </c>
      <c r="B1196" s="1" t="s">
        <v>160</v>
      </c>
      <c r="C1196" s="1" t="s">
        <v>42</v>
      </c>
      <c r="D1196" s="9">
        <v>40000</v>
      </c>
      <c r="E1196" s="9">
        <f>ведомство!H200</f>
        <v>40000</v>
      </c>
      <c r="F1196" s="9">
        <f>ведомство!I200</f>
        <v>5000.0617099999999</v>
      </c>
      <c r="G1196" s="9">
        <f>ведомство!J200</f>
        <v>5000.0617099999999</v>
      </c>
      <c r="H1196" s="9">
        <f>ведомство!K200</f>
        <v>5000.0617099999999</v>
      </c>
      <c r="I1196" s="9">
        <f t="shared" si="571"/>
        <v>12.500154275</v>
      </c>
      <c r="J1196" s="9">
        <f t="shared" si="575"/>
        <v>100</v>
      </c>
    </row>
    <row r="1197" spans="1:10" ht="25.5">
      <c r="A1197" s="8" t="s">
        <v>107</v>
      </c>
      <c r="B1197" s="1" t="s">
        <v>161</v>
      </c>
      <c r="C1197" s="1" t="s">
        <v>0</v>
      </c>
      <c r="D1197" s="9">
        <v>16122.9</v>
      </c>
      <c r="E1197" s="9">
        <f>E1198</f>
        <v>16122.8637</v>
      </c>
      <c r="F1197" s="9">
        <f t="shared" ref="F1197:H1198" si="583">F1198</f>
        <v>11942.685960000001</v>
      </c>
      <c r="G1197" s="9">
        <f t="shared" si="583"/>
        <v>11942.685960000001</v>
      </c>
      <c r="H1197" s="9">
        <f t="shared" si="583"/>
        <v>11942.685960000001</v>
      </c>
      <c r="I1197" s="9">
        <f t="shared" si="571"/>
        <v>74.072982208489435</v>
      </c>
      <c r="J1197" s="9">
        <f t="shared" si="575"/>
        <v>100</v>
      </c>
    </row>
    <row r="1198" spans="1:10">
      <c r="A1198" s="8" t="s">
        <v>26</v>
      </c>
      <c r="B1198" s="1" t="s">
        <v>161</v>
      </c>
      <c r="C1198" s="1" t="s">
        <v>27</v>
      </c>
      <c r="D1198" s="9">
        <v>16122.9</v>
      </c>
      <c r="E1198" s="9">
        <f>E1199</f>
        <v>16122.8637</v>
      </c>
      <c r="F1198" s="9">
        <f t="shared" si="583"/>
        <v>11942.685960000001</v>
      </c>
      <c r="G1198" s="9">
        <f t="shared" si="583"/>
        <v>11942.685960000001</v>
      </c>
      <c r="H1198" s="9">
        <f t="shared" si="583"/>
        <v>11942.685960000001</v>
      </c>
      <c r="I1198" s="9">
        <f t="shared" si="571"/>
        <v>74.072982208489435</v>
      </c>
      <c r="J1198" s="9">
        <f t="shared" si="575"/>
        <v>100</v>
      </c>
    </row>
    <row r="1199" spans="1:10">
      <c r="A1199" s="8" t="s">
        <v>56</v>
      </c>
      <c r="B1199" s="1" t="s">
        <v>161</v>
      </c>
      <c r="C1199" s="1" t="s">
        <v>57</v>
      </c>
      <c r="D1199" s="9">
        <v>16122.9</v>
      </c>
      <c r="E1199" s="9">
        <f>ведомство!H203</f>
        <v>16122.8637</v>
      </c>
      <c r="F1199" s="9">
        <f>ведомство!I203</f>
        <v>11942.685960000001</v>
      </c>
      <c r="G1199" s="9">
        <f>ведомство!J203</f>
        <v>11942.685960000001</v>
      </c>
      <c r="H1199" s="9">
        <f>ведомство!K203</f>
        <v>11942.685960000001</v>
      </c>
      <c r="I1199" s="9">
        <f t="shared" si="571"/>
        <v>74.072982208489435</v>
      </c>
      <c r="J1199" s="9">
        <f t="shared" si="575"/>
        <v>100</v>
      </c>
    </row>
    <row r="1200" spans="1:10">
      <c r="A1200" s="8" t="s">
        <v>924</v>
      </c>
      <c r="B1200" s="1" t="s">
        <v>928</v>
      </c>
      <c r="C1200" s="1" t="s">
        <v>0</v>
      </c>
      <c r="D1200" s="9">
        <v>64100</v>
      </c>
      <c r="E1200" s="9">
        <f>E1201+E1203+E1207</f>
        <v>53814</v>
      </c>
      <c r="F1200" s="9">
        <f t="shared" ref="F1200:H1200" si="584">F1201+F1203+F1207</f>
        <v>37705</v>
      </c>
      <c r="G1200" s="9">
        <f t="shared" si="584"/>
        <v>37705</v>
      </c>
      <c r="H1200" s="9">
        <f t="shared" si="584"/>
        <v>37620</v>
      </c>
      <c r="I1200" s="9">
        <f t="shared" si="571"/>
        <v>69.90745902553239</v>
      </c>
      <c r="J1200" s="9">
        <f t="shared" si="575"/>
        <v>99.774565707465854</v>
      </c>
    </row>
    <row r="1201" spans="1:10">
      <c r="A1201" s="8" t="s">
        <v>68</v>
      </c>
      <c r="B1201" s="1" t="s">
        <v>928</v>
      </c>
      <c r="C1201" s="1" t="s">
        <v>69</v>
      </c>
      <c r="D1201" s="9">
        <v>500</v>
      </c>
      <c r="E1201" s="9">
        <f>E1202</f>
        <v>500</v>
      </c>
      <c r="F1201" s="9">
        <f t="shared" ref="F1201:H1201" si="585">F1202</f>
        <v>0</v>
      </c>
      <c r="G1201" s="9">
        <f t="shared" si="585"/>
        <v>0</v>
      </c>
      <c r="H1201" s="9">
        <f t="shared" si="585"/>
        <v>0</v>
      </c>
      <c r="I1201" s="9">
        <f t="shared" si="571"/>
        <v>0</v>
      </c>
      <c r="J1201" s="9">
        <v>0</v>
      </c>
    </row>
    <row r="1202" spans="1:10">
      <c r="A1202" s="8" t="s">
        <v>70</v>
      </c>
      <c r="B1202" s="1" t="s">
        <v>928</v>
      </c>
      <c r="C1202" s="1" t="s">
        <v>71</v>
      </c>
      <c r="D1202" s="9">
        <v>500</v>
      </c>
      <c r="E1202" s="9">
        <f>ведомство!H2162</f>
        <v>500</v>
      </c>
      <c r="F1202" s="9">
        <f>ведомство!I2162</f>
        <v>0</v>
      </c>
      <c r="G1202" s="9">
        <f>ведомство!J2162</f>
        <v>0</v>
      </c>
      <c r="H1202" s="9">
        <f>ведомство!K2162</f>
        <v>0</v>
      </c>
      <c r="I1202" s="9">
        <f t="shared" si="571"/>
        <v>0</v>
      </c>
      <c r="J1202" s="9">
        <v>0</v>
      </c>
    </row>
    <row r="1203" spans="1:10" ht="25.5">
      <c r="A1203" s="8" t="s">
        <v>80</v>
      </c>
      <c r="B1203" s="1" t="s">
        <v>928</v>
      </c>
      <c r="C1203" s="1" t="s">
        <v>81</v>
      </c>
      <c r="D1203" s="9">
        <v>63600</v>
      </c>
      <c r="E1203" s="9">
        <f>E1205+E1206+E1204</f>
        <v>52986</v>
      </c>
      <c r="F1203" s="9">
        <f t="shared" ref="F1203:H1203" si="586">F1205+F1206+F1204</f>
        <v>37377</v>
      </c>
      <c r="G1203" s="9">
        <f t="shared" si="586"/>
        <v>37377</v>
      </c>
      <c r="H1203" s="9">
        <f t="shared" si="586"/>
        <v>37292</v>
      </c>
      <c r="I1203" s="9">
        <f t="shared" si="571"/>
        <v>70.380855320273284</v>
      </c>
      <c r="J1203" s="9">
        <f t="shared" si="575"/>
        <v>99.772587420071162</v>
      </c>
    </row>
    <row r="1204" spans="1:10" s="43" customFormat="1">
      <c r="A1204" s="26" t="s">
        <v>271</v>
      </c>
      <c r="B1204" s="1" t="s">
        <v>928</v>
      </c>
      <c r="C1204" s="1">
        <v>610</v>
      </c>
      <c r="D1204" s="9"/>
      <c r="E1204" s="9">
        <f>ведомство!H2164</f>
        <v>664</v>
      </c>
      <c r="F1204" s="9">
        <f>ведомство!I2164</f>
        <v>664</v>
      </c>
      <c r="G1204" s="9">
        <f>ведомство!J2164</f>
        <v>664</v>
      </c>
      <c r="H1204" s="9">
        <f>ведомство!K2164</f>
        <v>664</v>
      </c>
      <c r="I1204" s="9">
        <f t="shared" ref="I1204" si="587">H1204/E1204*100</f>
        <v>100</v>
      </c>
      <c r="J1204" s="9">
        <f t="shared" ref="J1204" si="588">H1204/F1204*100</f>
        <v>100</v>
      </c>
    </row>
    <row r="1205" spans="1:10">
      <c r="A1205" s="8" t="s">
        <v>82</v>
      </c>
      <c r="B1205" s="1" t="s">
        <v>928</v>
      </c>
      <c r="C1205" s="1" t="s">
        <v>83</v>
      </c>
      <c r="D1205" s="9">
        <v>62100</v>
      </c>
      <c r="E1205" s="9">
        <f>ведомство!H2195</f>
        <v>51814</v>
      </c>
      <c r="F1205" s="9">
        <f>ведомство!I2195</f>
        <v>36205</v>
      </c>
      <c r="G1205" s="9">
        <f>ведомство!J2195</f>
        <v>36205</v>
      </c>
      <c r="H1205" s="9">
        <f>ведомство!K2195</f>
        <v>36205</v>
      </c>
      <c r="I1205" s="9">
        <f t="shared" si="571"/>
        <v>69.874937275639795</v>
      </c>
      <c r="J1205" s="9">
        <f t="shared" si="575"/>
        <v>100</v>
      </c>
    </row>
    <row r="1206" spans="1:10" ht="25.5">
      <c r="A1206" s="8" t="s">
        <v>195</v>
      </c>
      <c r="B1206" s="1" t="s">
        <v>928</v>
      </c>
      <c r="C1206" s="1" t="s">
        <v>196</v>
      </c>
      <c r="D1206" s="9">
        <v>1500</v>
      </c>
      <c r="E1206" s="9">
        <f>ведомство!H2165</f>
        <v>508</v>
      </c>
      <c r="F1206" s="9">
        <f>ведомство!I2165</f>
        <v>508</v>
      </c>
      <c r="G1206" s="9">
        <f>ведомство!J2165</f>
        <v>508</v>
      </c>
      <c r="H1206" s="9">
        <f>ведомство!K2165</f>
        <v>423</v>
      </c>
      <c r="I1206" s="9">
        <f t="shared" si="571"/>
        <v>83.267716535433067</v>
      </c>
      <c r="J1206" s="9">
        <f t="shared" si="575"/>
        <v>83.267716535433067</v>
      </c>
    </row>
    <row r="1207" spans="1:10" s="43" customFormat="1">
      <c r="A1207" s="26" t="s">
        <v>72</v>
      </c>
      <c r="B1207" s="1" t="s">
        <v>928</v>
      </c>
      <c r="C1207" s="1">
        <v>800</v>
      </c>
      <c r="D1207" s="9"/>
      <c r="E1207" s="9">
        <f>E1208</f>
        <v>328</v>
      </c>
      <c r="F1207" s="9">
        <f t="shared" ref="F1207:H1207" si="589">F1208</f>
        <v>328</v>
      </c>
      <c r="G1207" s="9">
        <f t="shared" si="589"/>
        <v>328</v>
      </c>
      <c r="H1207" s="9">
        <f t="shared" si="589"/>
        <v>328</v>
      </c>
      <c r="I1207" s="9">
        <f t="shared" ref="I1207:I1208" si="590">H1207/E1207*100</f>
        <v>100</v>
      </c>
      <c r="J1207" s="9">
        <f t="shared" ref="J1207:J1208" si="591">H1207/F1207*100</f>
        <v>100</v>
      </c>
    </row>
    <row r="1208" spans="1:10" s="43" customFormat="1" ht="38.25">
      <c r="A1208" s="26" t="s">
        <v>218</v>
      </c>
      <c r="B1208" s="1" t="s">
        <v>928</v>
      </c>
      <c r="C1208" s="1">
        <v>810</v>
      </c>
      <c r="D1208" s="9"/>
      <c r="E1208" s="9">
        <f>ведомство!H2167</f>
        <v>328</v>
      </c>
      <c r="F1208" s="9">
        <f>ведомство!I2167</f>
        <v>328</v>
      </c>
      <c r="G1208" s="9">
        <f>ведомство!J2167</f>
        <v>328</v>
      </c>
      <c r="H1208" s="9">
        <f>ведомство!K2167</f>
        <v>328</v>
      </c>
      <c r="I1208" s="9">
        <f t="shared" si="590"/>
        <v>100</v>
      </c>
      <c r="J1208" s="9">
        <f t="shared" si="591"/>
        <v>100</v>
      </c>
    </row>
    <row r="1209" spans="1:10">
      <c r="A1209" s="8" t="s">
        <v>303</v>
      </c>
      <c r="B1209" s="1" t="s">
        <v>344</v>
      </c>
      <c r="C1209" s="1" t="s">
        <v>0</v>
      </c>
      <c r="D1209" s="9">
        <v>4667.1000000000004</v>
      </c>
      <c r="E1209" s="9">
        <f>E1210</f>
        <v>4667.1000000000004</v>
      </c>
      <c r="F1209" s="9">
        <f t="shared" ref="F1209:H1210" si="592">F1210</f>
        <v>2283.8302899999999</v>
      </c>
      <c r="G1209" s="9">
        <f t="shared" si="592"/>
        <v>2283.8302899999999</v>
      </c>
      <c r="H1209" s="9">
        <f t="shared" si="592"/>
        <v>2283.8302899999999</v>
      </c>
      <c r="I1209" s="9">
        <f t="shared" si="571"/>
        <v>48.934676565747459</v>
      </c>
      <c r="J1209" s="9">
        <f t="shared" si="575"/>
        <v>100</v>
      </c>
    </row>
    <row r="1210" spans="1:10" ht="25.5">
      <c r="A1210" s="8" t="s">
        <v>80</v>
      </c>
      <c r="B1210" s="1" t="s">
        <v>344</v>
      </c>
      <c r="C1210" s="1" t="s">
        <v>81</v>
      </c>
      <c r="D1210" s="9">
        <v>4667.1000000000004</v>
      </c>
      <c r="E1210" s="9">
        <f>E1211</f>
        <v>4667.1000000000004</v>
      </c>
      <c r="F1210" s="9">
        <f t="shared" si="592"/>
        <v>2283.8302899999999</v>
      </c>
      <c r="G1210" s="9">
        <f t="shared" si="592"/>
        <v>2283.8302899999999</v>
      </c>
      <c r="H1210" s="9">
        <f t="shared" si="592"/>
        <v>2283.8302899999999</v>
      </c>
      <c r="I1210" s="9">
        <f t="shared" si="571"/>
        <v>48.934676565747459</v>
      </c>
      <c r="J1210" s="9">
        <f t="shared" si="575"/>
        <v>100</v>
      </c>
    </row>
    <row r="1211" spans="1:10">
      <c r="A1211" s="8" t="s">
        <v>271</v>
      </c>
      <c r="B1211" s="1" t="s">
        <v>344</v>
      </c>
      <c r="C1211" s="1" t="s">
        <v>272</v>
      </c>
      <c r="D1211" s="9">
        <v>4667.1000000000004</v>
      </c>
      <c r="E1211" s="9">
        <f>ведомство!H672</f>
        <v>4667.1000000000004</v>
      </c>
      <c r="F1211" s="9">
        <f>ведомство!I672</f>
        <v>2283.8302899999999</v>
      </c>
      <c r="G1211" s="9">
        <f>ведомство!J672</f>
        <v>2283.8302899999999</v>
      </c>
      <c r="H1211" s="9">
        <f>ведомство!K672</f>
        <v>2283.8302899999999</v>
      </c>
      <c r="I1211" s="9">
        <f t="shared" si="571"/>
        <v>48.934676565747459</v>
      </c>
      <c r="J1211" s="9">
        <f t="shared" si="575"/>
        <v>100</v>
      </c>
    </row>
    <row r="1212" spans="1:10" ht="25.5">
      <c r="A1212" s="8" t="s">
        <v>929</v>
      </c>
      <c r="B1212" s="1" t="s">
        <v>930</v>
      </c>
      <c r="C1212" s="1" t="s">
        <v>0</v>
      </c>
      <c r="D1212" s="9">
        <v>20900</v>
      </c>
      <c r="E1212" s="9">
        <f>E1213</f>
        <v>18450</v>
      </c>
      <c r="F1212" s="9">
        <f t="shared" ref="F1212:H1213" si="593">F1213</f>
        <v>17900</v>
      </c>
      <c r="G1212" s="9">
        <f t="shared" si="593"/>
        <v>17900</v>
      </c>
      <c r="H1212" s="9">
        <f t="shared" si="593"/>
        <v>2844.2</v>
      </c>
      <c r="I1212" s="9">
        <f t="shared" si="571"/>
        <v>15.415718157181571</v>
      </c>
      <c r="J1212" s="9">
        <f t="shared" si="575"/>
        <v>15.889385474860335</v>
      </c>
    </row>
    <row r="1213" spans="1:10">
      <c r="A1213" s="8" t="s">
        <v>26</v>
      </c>
      <c r="B1213" s="1" t="s">
        <v>930</v>
      </c>
      <c r="C1213" s="1" t="s">
        <v>27</v>
      </c>
      <c r="D1213" s="9">
        <v>20900</v>
      </c>
      <c r="E1213" s="9">
        <f>E1214</f>
        <v>18450</v>
      </c>
      <c r="F1213" s="9">
        <f t="shared" si="593"/>
        <v>17900</v>
      </c>
      <c r="G1213" s="9">
        <f t="shared" si="593"/>
        <v>17900</v>
      </c>
      <c r="H1213" s="9">
        <f t="shared" si="593"/>
        <v>2844.2</v>
      </c>
      <c r="I1213" s="9">
        <f t="shared" si="571"/>
        <v>15.415718157181571</v>
      </c>
      <c r="J1213" s="9">
        <f t="shared" si="575"/>
        <v>15.889385474860335</v>
      </c>
    </row>
    <row r="1214" spans="1:10">
      <c r="A1214" s="8" t="s">
        <v>56</v>
      </c>
      <c r="B1214" s="1" t="s">
        <v>930</v>
      </c>
      <c r="C1214" s="1" t="s">
        <v>57</v>
      </c>
      <c r="D1214" s="9">
        <v>20900</v>
      </c>
      <c r="E1214" s="9">
        <f>ведомство!H2170</f>
        <v>18450</v>
      </c>
      <c r="F1214" s="9">
        <f>ведомство!I2170</f>
        <v>17900</v>
      </c>
      <c r="G1214" s="9">
        <f>ведомство!J2170</f>
        <v>17900</v>
      </c>
      <c r="H1214" s="9">
        <f>ведомство!K2170</f>
        <v>2844.2</v>
      </c>
      <c r="I1214" s="9">
        <f t="shared" si="571"/>
        <v>15.415718157181571</v>
      </c>
      <c r="J1214" s="9">
        <f t="shared" si="575"/>
        <v>15.889385474860335</v>
      </c>
    </row>
    <row r="1215" spans="1:10" s="43" customFormat="1" ht="25.5">
      <c r="A1215" s="8" t="s">
        <v>1126</v>
      </c>
      <c r="B1215" s="25" t="s">
        <v>1195</v>
      </c>
      <c r="C1215" s="1"/>
      <c r="D1215" s="9"/>
      <c r="E1215" s="9">
        <f>E1216</f>
        <v>5000</v>
      </c>
      <c r="F1215" s="9">
        <f t="shared" ref="F1215:H1216" si="594">F1216</f>
        <v>5000</v>
      </c>
      <c r="G1215" s="9">
        <f t="shared" si="594"/>
        <v>5000</v>
      </c>
      <c r="H1215" s="9">
        <f t="shared" si="594"/>
        <v>5000</v>
      </c>
      <c r="I1215" s="9">
        <f t="shared" ref="I1215:I1226" si="595">H1215/E1215*100</f>
        <v>100</v>
      </c>
      <c r="J1215" s="9">
        <f t="shared" ref="J1215:J1223" si="596">H1215/F1215*100</f>
        <v>100</v>
      </c>
    </row>
    <row r="1216" spans="1:10" s="43" customFormat="1" ht="25.5">
      <c r="A1216" s="8" t="s">
        <v>80</v>
      </c>
      <c r="B1216" s="25" t="s">
        <v>1195</v>
      </c>
      <c r="C1216" s="1">
        <v>600</v>
      </c>
      <c r="D1216" s="9"/>
      <c r="E1216" s="9">
        <f>E1217</f>
        <v>5000</v>
      </c>
      <c r="F1216" s="9">
        <f t="shared" si="594"/>
        <v>5000</v>
      </c>
      <c r="G1216" s="9">
        <f t="shared" si="594"/>
        <v>5000</v>
      </c>
      <c r="H1216" s="9">
        <f t="shared" si="594"/>
        <v>5000</v>
      </c>
      <c r="I1216" s="9">
        <f t="shared" si="595"/>
        <v>100</v>
      </c>
      <c r="J1216" s="9">
        <f t="shared" si="596"/>
        <v>100</v>
      </c>
    </row>
    <row r="1217" spans="1:10" s="43" customFormat="1">
      <c r="A1217" s="8" t="s">
        <v>82</v>
      </c>
      <c r="B1217" s="25" t="s">
        <v>1195</v>
      </c>
      <c r="C1217" s="1">
        <v>620</v>
      </c>
      <c r="D1217" s="9"/>
      <c r="E1217" s="9">
        <f>ведомство!H2173</f>
        <v>5000</v>
      </c>
      <c r="F1217" s="9">
        <f>ведомство!I2173</f>
        <v>5000</v>
      </c>
      <c r="G1217" s="9">
        <f>ведомство!J2173</f>
        <v>5000</v>
      </c>
      <c r="H1217" s="9">
        <f>ведомство!K2173</f>
        <v>5000</v>
      </c>
      <c r="I1217" s="9">
        <f t="shared" si="595"/>
        <v>100</v>
      </c>
      <c r="J1217" s="9">
        <f t="shared" si="596"/>
        <v>100</v>
      </c>
    </row>
    <row r="1218" spans="1:10" s="43" customFormat="1" ht="38.25">
      <c r="A1218" s="8" t="s">
        <v>1201</v>
      </c>
      <c r="B1218" s="25" t="s">
        <v>1200</v>
      </c>
      <c r="C1218" s="1"/>
      <c r="D1218" s="9"/>
      <c r="E1218" s="23">
        <f>E1219</f>
        <v>14500</v>
      </c>
      <c r="F1218" s="23">
        <f t="shared" ref="F1218:H1219" si="597">F1219</f>
        <v>12719</v>
      </c>
      <c r="G1218" s="23">
        <f t="shared" si="597"/>
        <v>12719</v>
      </c>
      <c r="H1218" s="23">
        <f t="shared" si="597"/>
        <v>12719</v>
      </c>
      <c r="I1218" s="9">
        <f t="shared" si="595"/>
        <v>87.717241379310337</v>
      </c>
      <c r="J1218" s="9">
        <f t="shared" si="596"/>
        <v>100</v>
      </c>
    </row>
    <row r="1219" spans="1:10" s="43" customFormat="1" ht="25.5">
      <c r="A1219" s="8" t="s">
        <v>80</v>
      </c>
      <c r="B1219" s="25" t="s">
        <v>1200</v>
      </c>
      <c r="C1219" s="1">
        <v>600</v>
      </c>
      <c r="D1219" s="9"/>
      <c r="E1219" s="9">
        <f>E1220</f>
        <v>14500</v>
      </c>
      <c r="F1219" s="9">
        <f t="shared" si="597"/>
        <v>12719</v>
      </c>
      <c r="G1219" s="9">
        <f t="shared" si="597"/>
        <v>12719</v>
      </c>
      <c r="H1219" s="9">
        <f t="shared" si="597"/>
        <v>12719</v>
      </c>
      <c r="I1219" s="9">
        <f t="shared" si="595"/>
        <v>87.717241379310337</v>
      </c>
      <c r="J1219" s="9">
        <f t="shared" si="596"/>
        <v>100</v>
      </c>
    </row>
    <row r="1220" spans="1:10" s="43" customFormat="1">
      <c r="A1220" s="8" t="s">
        <v>82</v>
      </c>
      <c r="B1220" s="25" t="s">
        <v>1200</v>
      </c>
      <c r="C1220" s="1">
        <v>620</v>
      </c>
      <c r="D1220" s="9"/>
      <c r="E1220" s="9">
        <f>ведомство!H2198</f>
        <v>14500</v>
      </c>
      <c r="F1220" s="9">
        <f>ведомство!I2198</f>
        <v>12719</v>
      </c>
      <c r="G1220" s="9">
        <f>ведомство!J2198</f>
        <v>12719</v>
      </c>
      <c r="H1220" s="9">
        <f>ведомство!K2198</f>
        <v>12719</v>
      </c>
      <c r="I1220" s="9">
        <f t="shared" si="595"/>
        <v>87.717241379310337</v>
      </c>
      <c r="J1220" s="9">
        <f t="shared" si="596"/>
        <v>100</v>
      </c>
    </row>
    <row r="1221" spans="1:10" s="43" customFormat="1" ht="38.25">
      <c r="A1221" s="8" t="s">
        <v>1197</v>
      </c>
      <c r="B1221" s="25" t="s">
        <v>1196</v>
      </c>
      <c r="C1221" s="1"/>
      <c r="D1221" s="9"/>
      <c r="E1221" s="9">
        <f>E1222</f>
        <v>200</v>
      </c>
      <c r="F1221" s="9">
        <f t="shared" ref="F1221:H1222" si="598">F1222</f>
        <v>200</v>
      </c>
      <c r="G1221" s="9">
        <f t="shared" si="598"/>
        <v>200</v>
      </c>
      <c r="H1221" s="9">
        <f t="shared" si="598"/>
        <v>200</v>
      </c>
      <c r="I1221" s="9">
        <f t="shared" si="595"/>
        <v>100</v>
      </c>
      <c r="J1221" s="9">
        <f t="shared" si="596"/>
        <v>100</v>
      </c>
    </row>
    <row r="1222" spans="1:10" s="43" customFormat="1" ht="25.5">
      <c r="A1222" s="8" t="s">
        <v>80</v>
      </c>
      <c r="B1222" s="25" t="s">
        <v>1196</v>
      </c>
      <c r="C1222" s="1">
        <v>600</v>
      </c>
      <c r="D1222" s="9"/>
      <c r="E1222" s="9">
        <f>E1223</f>
        <v>200</v>
      </c>
      <c r="F1222" s="9">
        <f t="shared" si="598"/>
        <v>200</v>
      </c>
      <c r="G1222" s="9">
        <f t="shared" si="598"/>
        <v>200</v>
      </c>
      <c r="H1222" s="9">
        <f t="shared" si="598"/>
        <v>200</v>
      </c>
      <c r="I1222" s="9">
        <f t="shared" si="595"/>
        <v>100</v>
      </c>
      <c r="J1222" s="9">
        <f t="shared" si="596"/>
        <v>100</v>
      </c>
    </row>
    <row r="1223" spans="1:10" s="43" customFormat="1">
      <c r="A1223" s="8" t="s">
        <v>82</v>
      </c>
      <c r="B1223" s="25" t="s">
        <v>1196</v>
      </c>
      <c r="C1223" s="1">
        <v>620</v>
      </c>
      <c r="D1223" s="9"/>
      <c r="E1223" s="9">
        <f>ведомство!H2176</f>
        <v>200</v>
      </c>
      <c r="F1223" s="9">
        <f>ведомство!I2176</f>
        <v>200</v>
      </c>
      <c r="G1223" s="9">
        <f>ведомство!J2176</f>
        <v>200</v>
      </c>
      <c r="H1223" s="9">
        <f>ведомство!K2176</f>
        <v>200</v>
      </c>
      <c r="I1223" s="9">
        <f t="shared" si="595"/>
        <v>100</v>
      </c>
      <c r="J1223" s="9">
        <f t="shared" si="596"/>
        <v>100</v>
      </c>
    </row>
    <row r="1224" spans="1:10" s="43" customFormat="1" ht="38.25">
      <c r="A1224" s="8" t="s">
        <v>1199</v>
      </c>
      <c r="B1224" s="25" t="s">
        <v>1198</v>
      </c>
      <c r="C1224" s="1"/>
      <c r="D1224" s="9"/>
      <c r="E1224" s="9">
        <f>E1225</f>
        <v>2450</v>
      </c>
      <c r="F1224" s="9">
        <f t="shared" ref="F1224:H1225" si="599">F1225</f>
        <v>0</v>
      </c>
      <c r="G1224" s="9">
        <f t="shared" si="599"/>
        <v>0</v>
      </c>
      <c r="H1224" s="9">
        <f t="shared" si="599"/>
        <v>0</v>
      </c>
      <c r="I1224" s="9">
        <f t="shared" si="595"/>
        <v>0</v>
      </c>
      <c r="J1224" s="9">
        <v>0</v>
      </c>
    </row>
    <row r="1225" spans="1:10" s="43" customFormat="1">
      <c r="A1225" s="26" t="s">
        <v>26</v>
      </c>
      <c r="B1225" s="25" t="s">
        <v>1198</v>
      </c>
      <c r="C1225" s="1">
        <v>500</v>
      </c>
      <c r="D1225" s="9"/>
      <c r="E1225" s="9">
        <f>E1226</f>
        <v>2450</v>
      </c>
      <c r="F1225" s="9">
        <f t="shared" si="599"/>
        <v>0</v>
      </c>
      <c r="G1225" s="9">
        <f t="shared" si="599"/>
        <v>0</v>
      </c>
      <c r="H1225" s="9">
        <f t="shared" si="599"/>
        <v>0</v>
      </c>
      <c r="I1225" s="9">
        <f t="shared" si="595"/>
        <v>0</v>
      </c>
      <c r="J1225" s="9">
        <v>0</v>
      </c>
    </row>
    <row r="1226" spans="1:10" s="43" customFormat="1">
      <c r="A1226" s="26" t="s">
        <v>56</v>
      </c>
      <c r="B1226" s="25" t="s">
        <v>1198</v>
      </c>
      <c r="C1226" s="1">
        <v>520</v>
      </c>
      <c r="D1226" s="9"/>
      <c r="E1226" s="9">
        <f>ведомство!H2179</f>
        <v>2450</v>
      </c>
      <c r="F1226" s="9">
        <f>ведомство!I2179</f>
        <v>0</v>
      </c>
      <c r="G1226" s="9">
        <f>ведомство!J2179</f>
        <v>0</v>
      </c>
      <c r="H1226" s="9">
        <f>ведомство!K2179</f>
        <v>0</v>
      </c>
      <c r="I1226" s="9">
        <f t="shared" si="595"/>
        <v>0</v>
      </c>
      <c r="J1226" s="9">
        <v>0</v>
      </c>
    </row>
    <row r="1227" spans="1:10">
      <c r="A1227" s="4" t="s">
        <v>0</v>
      </c>
      <c r="B1227" s="17" t="s">
        <v>0</v>
      </c>
      <c r="C1227" s="5" t="s">
        <v>0</v>
      </c>
      <c r="D1227" s="7" t="s">
        <v>0</v>
      </c>
      <c r="E1227" s="7" t="s">
        <v>0</v>
      </c>
      <c r="F1227" s="7" t="s">
        <v>0</v>
      </c>
      <c r="G1227" s="7" t="s">
        <v>0</v>
      </c>
      <c r="H1227" s="7" t="s">
        <v>0</v>
      </c>
      <c r="I1227" s="7"/>
      <c r="J1227" s="7"/>
    </row>
    <row r="1228" spans="1:10" ht="25.5">
      <c r="A1228" s="4" t="s">
        <v>985</v>
      </c>
      <c r="B1228" s="5" t="s">
        <v>986</v>
      </c>
      <c r="C1228" s="5" t="s">
        <v>0</v>
      </c>
      <c r="D1228" s="7">
        <v>55242.7</v>
      </c>
      <c r="E1228" s="7">
        <f>E1229+E1232+E1237</f>
        <v>55242.7</v>
      </c>
      <c r="F1228" s="7">
        <f t="shared" ref="F1228:H1228" si="600">F1229+F1232+F1237</f>
        <v>31488.5</v>
      </c>
      <c r="G1228" s="7">
        <f t="shared" si="600"/>
        <v>31278.5</v>
      </c>
      <c r="H1228" s="7">
        <f t="shared" si="600"/>
        <v>28238.5</v>
      </c>
      <c r="I1228" s="7">
        <f t="shared" si="571"/>
        <v>51.117161181477378</v>
      </c>
      <c r="J1228" s="7">
        <f t="shared" si="575"/>
        <v>89.678771615034066</v>
      </c>
    </row>
    <row r="1229" spans="1:10" ht="25.5">
      <c r="A1229" s="8" t="s">
        <v>76</v>
      </c>
      <c r="B1229" s="1" t="s">
        <v>987</v>
      </c>
      <c r="C1229" s="1" t="s">
        <v>0</v>
      </c>
      <c r="D1229" s="9">
        <v>23877.7</v>
      </c>
      <c r="E1229" s="9">
        <f>E1230</f>
        <v>23877.7</v>
      </c>
      <c r="F1229" s="9">
        <f t="shared" ref="F1229:H1230" si="601">F1230</f>
        <v>12108</v>
      </c>
      <c r="G1229" s="9">
        <f t="shared" si="601"/>
        <v>12108</v>
      </c>
      <c r="H1229" s="9">
        <f t="shared" si="601"/>
        <v>12108</v>
      </c>
      <c r="I1229" s="9">
        <f t="shared" si="571"/>
        <v>50.708401562964603</v>
      </c>
      <c r="J1229" s="9">
        <f t="shared" si="575"/>
        <v>100</v>
      </c>
    </row>
    <row r="1230" spans="1:10" ht="25.5">
      <c r="A1230" s="8" t="s">
        <v>80</v>
      </c>
      <c r="B1230" s="1" t="s">
        <v>987</v>
      </c>
      <c r="C1230" s="1" t="s">
        <v>81</v>
      </c>
      <c r="D1230" s="9">
        <v>23877.7</v>
      </c>
      <c r="E1230" s="9">
        <f>E1231</f>
        <v>23877.7</v>
      </c>
      <c r="F1230" s="9">
        <f t="shared" si="601"/>
        <v>12108</v>
      </c>
      <c r="G1230" s="9">
        <f t="shared" si="601"/>
        <v>12108</v>
      </c>
      <c r="H1230" s="9">
        <f t="shared" si="601"/>
        <v>12108</v>
      </c>
      <c r="I1230" s="9">
        <f t="shared" si="571"/>
        <v>50.708401562964603</v>
      </c>
      <c r="J1230" s="9">
        <f t="shared" si="575"/>
        <v>100</v>
      </c>
    </row>
    <row r="1231" spans="1:10">
      <c r="A1231" s="8" t="s">
        <v>82</v>
      </c>
      <c r="B1231" s="1" t="s">
        <v>987</v>
      </c>
      <c r="C1231" s="1" t="s">
        <v>83</v>
      </c>
      <c r="D1231" s="9">
        <v>23877.7</v>
      </c>
      <c r="E1231" s="9">
        <f>ведомство!H2366</f>
        <v>23877.7</v>
      </c>
      <c r="F1231" s="9">
        <f>ведомство!I2366</f>
        <v>12108</v>
      </c>
      <c r="G1231" s="9">
        <f>ведомство!J2366</f>
        <v>12108</v>
      </c>
      <c r="H1231" s="9">
        <f>ведомство!K2366</f>
        <v>12108</v>
      </c>
      <c r="I1231" s="9">
        <f t="shared" si="571"/>
        <v>50.708401562964603</v>
      </c>
      <c r="J1231" s="9">
        <f t="shared" si="575"/>
        <v>100</v>
      </c>
    </row>
    <row r="1232" spans="1:10" ht="25.5">
      <c r="A1232" s="8" t="s">
        <v>983</v>
      </c>
      <c r="B1232" s="1" t="s">
        <v>988</v>
      </c>
      <c r="C1232" s="1" t="s">
        <v>0</v>
      </c>
      <c r="D1232" s="9">
        <v>26215</v>
      </c>
      <c r="E1232" s="9">
        <f>E1233+E1235</f>
        <v>26215</v>
      </c>
      <c r="F1232" s="9">
        <f t="shared" ref="F1232:H1232" si="602">F1233+F1235</f>
        <v>14230.5</v>
      </c>
      <c r="G1232" s="9">
        <f t="shared" si="602"/>
        <v>14020.5</v>
      </c>
      <c r="H1232" s="9">
        <f t="shared" si="602"/>
        <v>14020.5</v>
      </c>
      <c r="I1232" s="9">
        <f t="shared" si="571"/>
        <v>53.4827388899485</v>
      </c>
      <c r="J1232" s="9">
        <f t="shared" si="575"/>
        <v>98.524296405607672</v>
      </c>
    </row>
    <row r="1233" spans="1:10">
      <c r="A1233" s="8" t="s">
        <v>68</v>
      </c>
      <c r="B1233" s="1" t="s">
        <v>988</v>
      </c>
      <c r="C1233" s="1" t="s">
        <v>69</v>
      </c>
      <c r="D1233" s="9">
        <v>100</v>
      </c>
      <c r="E1233" s="9">
        <f>E1234</f>
        <v>100</v>
      </c>
      <c r="F1233" s="9">
        <f t="shared" ref="F1233:H1233" si="603">F1234</f>
        <v>0</v>
      </c>
      <c r="G1233" s="9">
        <f t="shared" si="603"/>
        <v>0</v>
      </c>
      <c r="H1233" s="9">
        <f t="shared" si="603"/>
        <v>0</v>
      </c>
      <c r="I1233" s="9">
        <f t="shared" si="571"/>
        <v>0</v>
      </c>
      <c r="J1233" s="9">
        <v>0</v>
      </c>
    </row>
    <row r="1234" spans="1:10">
      <c r="A1234" s="8" t="s">
        <v>373</v>
      </c>
      <c r="B1234" s="1" t="s">
        <v>988</v>
      </c>
      <c r="C1234" s="1" t="s">
        <v>374</v>
      </c>
      <c r="D1234" s="9">
        <v>100</v>
      </c>
      <c r="E1234" s="9">
        <f>ведомство!H2369</f>
        <v>100</v>
      </c>
      <c r="F1234" s="9">
        <f>ведомство!I2369</f>
        <v>0</v>
      </c>
      <c r="G1234" s="9">
        <f>ведомство!J2369</f>
        <v>0</v>
      </c>
      <c r="H1234" s="9">
        <f>ведомство!K2369</f>
        <v>0</v>
      </c>
      <c r="I1234" s="9">
        <f t="shared" si="571"/>
        <v>0</v>
      </c>
      <c r="J1234" s="9">
        <v>0</v>
      </c>
    </row>
    <row r="1235" spans="1:10" ht="25.5">
      <c r="A1235" s="8" t="s">
        <v>80</v>
      </c>
      <c r="B1235" s="1" t="s">
        <v>988</v>
      </c>
      <c r="C1235" s="1" t="s">
        <v>81</v>
      </c>
      <c r="D1235" s="9">
        <v>26115</v>
      </c>
      <c r="E1235" s="9">
        <f>E1236</f>
        <v>26115</v>
      </c>
      <c r="F1235" s="9">
        <f t="shared" ref="F1235:H1235" si="604">F1236</f>
        <v>14230.5</v>
      </c>
      <c r="G1235" s="9">
        <f t="shared" si="604"/>
        <v>14020.5</v>
      </c>
      <c r="H1235" s="9">
        <f t="shared" si="604"/>
        <v>14020.5</v>
      </c>
      <c r="I1235" s="9">
        <f t="shared" si="571"/>
        <v>53.687535898908678</v>
      </c>
      <c r="J1235" s="9">
        <f t="shared" si="575"/>
        <v>98.524296405607672</v>
      </c>
    </row>
    <row r="1236" spans="1:10">
      <c r="A1236" s="8" t="s">
        <v>82</v>
      </c>
      <c r="B1236" s="1" t="s">
        <v>988</v>
      </c>
      <c r="C1236" s="1" t="s">
        <v>83</v>
      </c>
      <c r="D1236" s="9">
        <v>26115</v>
      </c>
      <c r="E1236" s="9">
        <f>ведомство!H2371</f>
        <v>26115</v>
      </c>
      <c r="F1236" s="9">
        <f>ведомство!I2371</f>
        <v>14230.5</v>
      </c>
      <c r="G1236" s="9">
        <f>ведомство!J2371</f>
        <v>14020.5</v>
      </c>
      <c r="H1236" s="9">
        <f>ведомство!K2371</f>
        <v>14020.5</v>
      </c>
      <c r="I1236" s="9">
        <f t="shared" si="571"/>
        <v>53.687535898908678</v>
      </c>
      <c r="J1236" s="9">
        <f t="shared" si="575"/>
        <v>98.524296405607672</v>
      </c>
    </row>
    <row r="1237" spans="1:10" ht="25.5">
      <c r="A1237" s="8" t="s">
        <v>989</v>
      </c>
      <c r="B1237" s="1" t="s">
        <v>990</v>
      </c>
      <c r="C1237" s="1" t="s">
        <v>0</v>
      </c>
      <c r="D1237" s="9">
        <v>5150</v>
      </c>
      <c r="E1237" s="9">
        <f>E1238</f>
        <v>5150</v>
      </c>
      <c r="F1237" s="9">
        <f t="shared" ref="F1237:H1238" si="605">F1238</f>
        <v>5150</v>
      </c>
      <c r="G1237" s="9">
        <f t="shared" si="605"/>
        <v>5150</v>
      </c>
      <c r="H1237" s="9">
        <f t="shared" si="605"/>
        <v>2110</v>
      </c>
      <c r="I1237" s="9">
        <f t="shared" si="571"/>
        <v>40.970873786407772</v>
      </c>
      <c r="J1237" s="9">
        <f t="shared" si="575"/>
        <v>40.970873786407772</v>
      </c>
    </row>
    <row r="1238" spans="1:10">
      <c r="A1238" s="8" t="s">
        <v>26</v>
      </c>
      <c r="B1238" s="1" t="s">
        <v>990</v>
      </c>
      <c r="C1238" s="1" t="s">
        <v>27</v>
      </c>
      <c r="D1238" s="9">
        <v>5150</v>
      </c>
      <c r="E1238" s="9">
        <f>E1239</f>
        <v>5150</v>
      </c>
      <c r="F1238" s="9">
        <f t="shared" si="605"/>
        <v>5150</v>
      </c>
      <c r="G1238" s="9">
        <f t="shared" si="605"/>
        <v>5150</v>
      </c>
      <c r="H1238" s="9">
        <f t="shared" si="605"/>
        <v>2110</v>
      </c>
      <c r="I1238" s="9">
        <f t="shared" si="571"/>
        <v>40.970873786407772</v>
      </c>
      <c r="J1238" s="9">
        <f t="shared" si="575"/>
        <v>40.970873786407772</v>
      </c>
    </row>
    <row r="1239" spans="1:10">
      <c r="A1239" s="8" t="s">
        <v>56</v>
      </c>
      <c r="B1239" s="1" t="s">
        <v>990</v>
      </c>
      <c r="C1239" s="1" t="s">
        <v>57</v>
      </c>
      <c r="D1239" s="9">
        <v>5150</v>
      </c>
      <c r="E1239" s="9">
        <f>ведомство!H2374</f>
        <v>5150</v>
      </c>
      <c r="F1239" s="9">
        <f>ведомство!I2374</f>
        <v>5150</v>
      </c>
      <c r="G1239" s="9">
        <f>ведомство!J2374</f>
        <v>5150</v>
      </c>
      <c r="H1239" s="9">
        <f>ведомство!K2374</f>
        <v>2110</v>
      </c>
      <c r="I1239" s="9">
        <f t="shared" si="571"/>
        <v>40.970873786407772</v>
      </c>
      <c r="J1239" s="9">
        <f t="shared" si="575"/>
        <v>40.970873786407772</v>
      </c>
    </row>
    <row r="1240" spans="1:10">
      <c r="A1240" s="4" t="s">
        <v>0</v>
      </c>
      <c r="B1240" s="17" t="s">
        <v>0</v>
      </c>
      <c r="C1240" s="5" t="s">
        <v>0</v>
      </c>
      <c r="D1240" s="7" t="s">
        <v>0</v>
      </c>
      <c r="E1240" s="7" t="s">
        <v>0</v>
      </c>
      <c r="F1240" s="7" t="s">
        <v>0</v>
      </c>
      <c r="G1240" s="7" t="s">
        <v>0</v>
      </c>
      <c r="H1240" s="7" t="s">
        <v>0</v>
      </c>
      <c r="I1240" s="7"/>
      <c r="J1240" s="7"/>
    </row>
    <row r="1241" spans="1:10" ht="38.25">
      <c r="A1241" s="4" t="s">
        <v>450</v>
      </c>
      <c r="B1241" s="5" t="s">
        <v>451</v>
      </c>
      <c r="C1241" s="5" t="s">
        <v>0</v>
      </c>
      <c r="D1241" s="7">
        <v>46735.5</v>
      </c>
      <c r="E1241" s="7">
        <f>E1242+E1245+E1248+E1251</f>
        <v>46735.5</v>
      </c>
      <c r="F1241" s="7">
        <f t="shared" ref="F1241:H1241" si="606">F1242+F1245+F1248+F1251</f>
        <v>36185.5</v>
      </c>
      <c r="G1241" s="7">
        <f t="shared" si="606"/>
        <v>36185.5</v>
      </c>
      <c r="H1241" s="7">
        <f t="shared" si="606"/>
        <v>36185.5</v>
      </c>
      <c r="I1241" s="7">
        <f t="shared" si="571"/>
        <v>77.426153566346784</v>
      </c>
      <c r="J1241" s="7">
        <f t="shared" si="575"/>
        <v>100</v>
      </c>
    </row>
    <row r="1242" spans="1:10" ht="25.5">
      <c r="A1242" s="8" t="s">
        <v>76</v>
      </c>
      <c r="B1242" s="1" t="s">
        <v>991</v>
      </c>
      <c r="C1242" s="1" t="s">
        <v>0</v>
      </c>
      <c r="D1242" s="9">
        <v>13000</v>
      </c>
      <c r="E1242" s="9">
        <f>E1243</f>
        <v>13000</v>
      </c>
      <c r="F1242" s="9">
        <f t="shared" ref="F1242:H1243" si="607">F1243</f>
        <v>7000</v>
      </c>
      <c r="G1242" s="9">
        <f t="shared" si="607"/>
        <v>7000</v>
      </c>
      <c r="H1242" s="9">
        <f t="shared" si="607"/>
        <v>7000</v>
      </c>
      <c r="I1242" s="9">
        <f t="shared" si="571"/>
        <v>53.846153846153847</v>
      </c>
      <c r="J1242" s="9">
        <f t="shared" si="575"/>
        <v>100</v>
      </c>
    </row>
    <row r="1243" spans="1:10" ht="25.5">
      <c r="A1243" s="8" t="s">
        <v>80</v>
      </c>
      <c r="B1243" s="1" t="s">
        <v>991</v>
      </c>
      <c r="C1243" s="1" t="s">
        <v>81</v>
      </c>
      <c r="D1243" s="9">
        <v>13000</v>
      </c>
      <c r="E1243" s="9">
        <f>E1244</f>
        <v>13000</v>
      </c>
      <c r="F1243" s="9">
        <f t="shared" si="607"/>
        <v>7000</v>
      </c>
      <c r="G1243" s="9">
        <f t="shared" si="607"/>
        <v>7000</v>
      </c>
      <c r="H1243" s="9">
        <f t="shared" si="607"/>
        <v>7000</v>
      </c>
      <c r="I1243" s="9">
        <f t="shared" si="571"/>
        <v>53.846153846153847</v>
      </c>
      <c r="J1243" s="9">
        <f t="shared" si="575"/>
        <v>100</v>
      </c>
    </row>
    <row r="1244" spans="1:10">
      <c r="A1244" s="8" t="s">
        <v>82</v>
      </c>
      <c r="B1244" s="1" t="s">
        <v>991</v>
      </c>
      <c r="C1244" s="1" t="s">
        <v>83</v>
      </c>
      <c r="D1244" s="9">
        <v>13000</v>
      </c>
      <c r="E1244" s="9">
        <f>ведомство!H2378</f>
        <v>13000</v>
      </c>
      <c r="F1244" s="9">
        <f>ведомство!I2378</f>
        <v>7000</v>
      </c>
      <c r="G1244" s="9">
        <f>ведомство!J2378</f>
        <v>7000</v>
      </c>
      <c r="H1244" s="9">
        <f>ведомство!K2378</f>
        <v>7000</v>
      </c>
      <c r="I1244" s="9">
        <f t="shared" si="571"/>
        <v>53.846153846153847</v>
      </c>
      <c r="J1244" s="9">
        <f t="shared" si="575"/>
        <v>100</v>
      </c>
    </row>
    <row r="1245" spans="1:10" ht="25.5">
      <c r="A1245" s="8" t="s">
        <v>983</v>
      </c>
      <c r="B1245" s="1" t="s">
        <v>992</v>
      </c>
      <c r="C1245" s="1" t="s">
        <v>0</v>
      </c>
      <c r="D1245" s="9">
        <v>32535.5</v>
      </c>
      <c r="E1245" s="9">
        <f>E1246</f>
        <v>32535.5</v>
      </c>
      <c r="F1245" s="9">
        <f t="shared" ref="F1245:H1246" si="608">F1246</f>
        <v>28335.5</v>
      </c>
      <c r="G1245" s="9">
        <f t="shared" si="608"/>
        <v>28335.5</v>
      </c>
      <c r="H1245" s="9">
        <f t="shared" si="608"/>
        <v>28335.5</v>
      </c>
      <c r="I1245" s="9">
        <f t="shared" si="571"/>
        <v>87.091023651088804</v>
      </c>
      <c r="J1245" s="9">
        <f t="shared" si="575"/>
        <v>100</v>
      </c>
    </row>
    <row r="1246" spans="1:10" ht="25.5">
      <c r="A1246" s="8" t="s">
        <v>80</v>
      </c>
      <c r="B1246" s="1" t="s">
        <v>992</v>
      </c>
      <c r="C1246" s="1" t="s">
        <v>81</v>
      </c>
      <c r="D1246" s="9">
        <v>32535.5</v>
      </c>
      <c r="E1246" s="9">
        <f>E1247</f>
        <v>32535.5</v>
      </c>
      <c r="F1246" s="9">
        <f t="shared" si="608"/>
        <v>28335.5</v>
      </c>
      <c r="G1246" s="9">
        <f t="shared" si="608"/>
        <v>28335.5</v>
      </c>
      <c r="H1246" s="9">
        <f t="shared" si="608"/>
        <v>28335.5</v>
      </c>
      <c r="I1246" s="9">
        <f t="shared" si="571"/>
        <v>87.091023651088804</v>
      </c>
      <c r="J1246" s="9">
        <f t="shared" si="575"/>
        <v>100</v>
      </c>
    </row>
    <row r="1247" spans="1:10">
      <c r="A1247" s="8" t="s">
        <v>82</v>
      </c>
      <c r="B1247" s="1" t="s">
        <v>992</v>
      </c>
      <c r="C1247" s="1" t="s">
        <v>83</v>
      </c>
      <c r="D1247" s="9">
        <v>32535.5</v>
      </c>
      <c r="E1247" s="9">
        <f>ведомство!H2381</f>
        <v>32535.5</v>
      </c>
      <c r="F1247" s="9">
        <f>ведомство!I2381</f>
        <v>28335.5</v>
      </c>
      <c r="G1247" s="9">
        <f>ведомство!J2381</f>
        <v>28335.5</v>
      </c>
      <c r="H1247" s="9">
        <f>ведомство!K2381</f>
        <v>28335.5</v>
      </c>
      <c r="I1247" s="9">
        <f t="shared" si="571"/>
        <v>87.091023651088804</v>
      </c>
      <c r="J1247" s="9">
        <f t="shared" si="575"/>
        <v>100</v>
      </c>
    </row>
    <row r="1248" spans="1:10">
      <c r="A1248" s="8" t="s">
        <v>424</v>
      </c>
      <c r="B1248" s="1" t="s">
        <v>452</v>
      </c>
      <c r="C1248" s="1" t="s">
        <v>0</v>
      </c>
      <c r="D1248" s="9">
        <v>800</v>
      </c>
      <c r="E1248" s="9">
        <f>E1249</f>
        <v>800</v>
      </c>
      <c r="F1248" s="9">
        <f t="shared" ref="F1248:H1249" si="609">F1249</f>
        <v>450</v>
      </c>
      <c r="G1248" s="9">
        <f t="shared" si="609"/>
        <v>450</v>
      </c>
      <c r="H1248" s="9">
        <f t="shared" si="609"/>
        <v>450</v>
      </c>
      <c r="I1248" s="9">
        <f t="shared" si="571"/>
        <v>56.25</v>
      </c>
      <c r="J1248" s="9">
        <f t="shared" si="575"/>
        <v>100</v>
      </c>
    </row>
    <row r="1249" spans="1:10" ht="25.5">
      <c r="A1249" s="8" t="s">
        <v>64</v>
      </c>
      <c r="B1249" s="1" t="s">
        <v>452</v>
      </c>
      <c r="C1249" s="1" t="s">
        <v>65</v>
      </c>
      <c r="D1249" s="9">
        <v>800</v>
      </c>
      <c r="E1249" s="9">
        <f>E1250</f>
        <v>800</v>
      </c>
      <c r="F1249" s="9">
        <f t="shared" si="609"/>
        <v>450</v>
      </c>
      <c r="G1249" s="9">
        <f t="shared" si="609"/>
        <v>450</v>
      </c>
      <c r="H1249" s="9">
        <f t="shared" si="609"/>
        <v>450</v>
      </c>
      <c r="I1249" s="9">
        <f t="shared" si="571"/>
        <v>56.25</v>
      </c>
      <c r="J1249" s="9">
        <f t="shared" si="575"/>
        <v>100</v>
      </c>
    </row>
    <row r="1250" spans="1:10" ht="25.5">
      <c r="A1250" s="8" t="s">
        <v>66</v>
      </c>
      <c r="B1250" s="1" t="s">
        <v>452</v>
      </c>
      <c r="C1250" s="1" t="s">
        <v>67</v>
      </c>
      <c r="D1250" s="9">
        <v>800</v>
      </c>
      <c r="E1250" s="9">
        <f>ведомство!H1050</f>
        <v>800</v>
      </c>
      <c r="F1250" s="9">
        <f>ведомство!I1050</f>
        <v>450</v>
      </c>
      <c r="G1250" s="9">
        <f>ведомство!J1050</f>
        <v>450</v>
      </c>
      <c r="H1250" s="9">
        <f>ведомство!K1050</f>
        <v>450</v>
      </c>
      <c r="I1250" s="9">
        <f t="shared" si="571"/>
        <v>56.25</v>
      </c>
      <c r="J1250" s="9">
        <f t="shared" si="575"/>
        <v>100</v>
      </c>
    </row>
    <row r="1251" spans="1:10" ht="38.25">
      <c r="A1251" s="8" t="s">
        <v>993</v>
      </c>
      <c r="B1251" s="1" t="s">
        <v>994</v>
      </c>
      <c r="C1251" s="1" t="s">
        <v>0</v>
      </c>
      <c r="D1251" s="9">
        <v>400</v>
      </c>
      <c r="E1251" s="9">
        <f>E1252</f>
        <v>400</v>
      </c>
      <c r="F1251" s="9">
        <f t="shared" ref="F1251:H1252" si="610">F1252</f>
        <v>400</v>
      </c>
      <c r="G1251" s="9">
        <f t="shared" si="610"/>
        <v>400</v>
      </c>
      <c r="H1251" s="9">
        <f t="shared" si="610"/>
        <v>400</v>
      </c>
      <c r="I1251" s="9">
        <f t="shared" si="571"/>
        <v>100</v>
      </c>
      <c r="J1251" s="9">
        <f t="shared" si="575"/>
        <v>100</v>
      </c>
    </row>
    <row r="1252" spans="1:10">
      <c r="A1252" s="8" t="s">
        <v>26</v>
      </c>
      <c r="B1252" s="1" t="s">
        <v>994</v>
      </c>
      <c r="C1252" s="1" t="s">
        <v>27</v>
      </c>
      <c r="D1252" s="9">
        <v>400</v>
      </c>
      <c r="E1252" s="9">
        <f>E1253</f>
        <v>400</v>
      </c>
      <c r="F1252" s="9">
        <f t="shared" si="610"/>
        <v>400</v>
      </c>
      <c r="G1252" s="9">
        <f t="shared" si="610"/>
        <v>400</v>
      </c>
      <c r="H1252" s="9">
        <f t="shared" si="610"/>
        <v>400</v>
      </c>
      <c r="I1252" s="9">
        <f t="shared" ref="I1252:I1317" si="611">H1252/E1252*100</f>
        <v>100</v>
      </c>
      <c r="J1252" s="9">
        <f t="shared" ref="J1252:J1317" si="612">H1252/F1252*100</f>
        <v>100</v>
      </c>
    </row>
    <row r="1253" spans="1:10">
      <c r="A1253" s="8" t="s">
        <v>56</v>
      </c>
      <c r="B1253" s="1" t="s">
        <v>994</v>
      </c>
      <c r="C1253" s="1" t="s">
        <v>57</v>
      </c>
      <c r="D1253" s="9">
        <v>400</v>
      </c>
      <c r="E1253" s="9">
        <f>ведомство!H2384</f>
        <v>400</v>
      </c>
      <c r="F1253" s="9">
        <f>ведомство!I2384</f>
        <v>400</v>
      </c>
      <c r="G1253" s="9">
        <f>ведомство!J2384</f>
        <v>400</v>
      </c>
      <c r="H1253" s="9">
        <f>ведомство!K2384</f>
        <v>400</v>
      </c>
      <c r="I1253" s="9">
        <f t="shared" si="611"/>
        <v>100</v>
      </c>
      <c r="J1253" s="9">
        <f t="shared" si="612"/>
        <v>100</v>
      </c>
    </row>
    <row r="1254" spans="1:10">
      <c r="A1254" s="4" t="s">
        <v>0</v>
      </c>
      <c r="B1254" s="17" t="s">
        <v>0</v>
      </c>
      <c r="C1254" s="5" t="s">
        <v>0</v>
      </c>
      <c r="D1254" s="7" t="s">
        <v>0</v>
      </c>
      <c r="E1254" s="7" t="s">
        <v>0</v>
      </c>
      <c r="F1254" s="7" t="s">
        <v>0</v>
      </c>
      <c r="G1254" s="7" t="s">
        <v>0</v>
      </c>
      <c r="H1254" s="7" t="s">
        <v>0</v>
      </c>
      <c r="I1254" s="7"/>
      <c r="J1254" s="7"/>
    </row>
    <row r="1255" spans="1:10" ht="25.5">
      <c r="A1255" s="4" t="s">
        <v>22</v>
      </c>
      <c r="B1255" s="5" t="s">
        <v>922</v>
      </c>
      <c r="C1255" s="5" t="s">
        <v>0</v>
      </c>
      <c r="D1255" s="7">
        <v>31624.3</v>
      </c>
      <c r="E1255" s="7">
        <f>E1256</f>
        <v>25140.310079999999</v>
      </c>
      <c r="F1255" s="7">
        <f t="shared" ref="F1255:H1255" si="613">F1256</f>
        <v>14132.3</v>
      </c>
      <c r="G1255" s="7">
        <f t="shared" si="613"/>
        <v>14132.3</v>
      </c>
      <c r="H1255" s="7">
        <f t="shared" si="613"/>
        <v>12546.491679999999</v>
      </c>
      <c r="I1255" s="7">
        <f t="shared" si="611"/>
        <v>49.905874828414213</v>
      </c>
      <c r="J1255" s="7">
        <f t="shared" si="612"/>
        <v>88.77883769803924</v>
      </c>
    </row>
    <row r="1256" spans="1:10" ht="25.5">
      <c r="A1256" s="8" t="s">
        <v>58</v>
      </c>
      <c r="B1256" s="1" t="s">
        <v>923</v>
      </c>
      <c r="C1256" s="1" t="s">
        <v>0</v>
      </c>
      <c r="D1256" s="9">
        <v>31624.3</v>
      </c>
      <c r="E1256" s="9">
        <f>E1257+E1259+E1261</f>
        <v>25140.310079999999</v>
      </c>
      <c r="F1256" s="9">
        <f t="shared" ref="F1256:H1256" si="614">F1257+F1259+F1261</f>
        <v>14132.3</v>
      </c>
      <c r="G1256" s="9">
        <f t="shared" si="614"/>
        <v>14132.3</v>
      </c>
      <c r="H1256" s="9">
        <f t="shared" si="614"/>
        <v>12546.491679999999</v>
      </c>
      <c r="I1256" s="9">
        <f t="shared" si="611"/>
        <v>49.905874828414213</v>
      </c>
      <c r="J1256" s="9">
        <f t="shared" si="612"/>
        <v>88.77883769803924</v>
      </c>
    </row>
    <row r="1257" spans="1:10" ht="51">
      <c r="A1257" s="8" t="s">
        <v>60</v>
      </c>
      <c r="B1257" s="1" t="s">
        <v>923</v>
      </c>
      <c r="C1257" s="1" t="s">
        <v>61</v>
      </c>
      <c r="D1257" s="9">
        <v>30789</v>
      </c>
      <c r="E1257" s="9">
        <f>E1258</f>
        <v>24420.76008</v>
      </c>
      <c r="F1257" s="9">
        <f t="shared" ref="F1257:H1257" si="615">F1258</f>
        <v>13659.6</v>
      </c>
      <c r="G1257" s="9">
        <f t="shared" si="615"/>
        <v>13659.6</v>
      </c>
      <c r="H1257" s="9">
        <f t="shared" si="615"/>
        <v>12245.5604</v>
      </c>
      <c r="I1257" s="9">
        <f t="shared" si="611"/>
        <v>50.144059234375803</v>
      </c>
      <c r="J1257" s="9">
        <f t="shared" si="612"/>
        <v>89.648016047322031</v>
      </c>
    </row>
    <row r="1258" spans="1:10" ht="25.5">
      <c r="A1258" s="8" t="s">
        <v>62</v>
      </c>
      <c r="B1258" s="1" t="s">
        <v>923</v>
      </c>
      <c r="C1258" s="1" t="s">
        <v>63</v>
      </c>
      <c r="D1258" s="9">
        <v>30789</v>
      </c>
      <c r="E1258" s="9">
        <f>ведомство!H2135</f>
        <v>24420.76008</v>
      </c>
      <c r="F1258" s="9">
        <f>ведомство!I2135</f>
        <v>13659.6</v>
      </c>
      <c r="G1258" s="9">
        <f>ведомство!J2135</f>
        <v>13659.6</v>
      </c>
      <c r="H1258" s="9">
        <f>ведомство!K2135</f>
        <v>12245.5604</v>
      </c>
      <c r="I1258" s="9">
        <f t="shared" si="611"/>
        <v>50.144059234375803</v>
      </c>
      <c r="J1258" s="9">
        <f t="shared" si="612"/>
        <v>89.648016047322031</v>
      </c>
    </row>
    <row r="1259" spans="1:10" ht="25.5">
      <c r="A1259" s="8" t="s">
        <v>64</v>
      </c>
      <c r="B1259" s="1" t="s">
        <v>923</v>
      </c>
      <c r="C1259" s="1" t="s">
        <v>65</v>
      </c>
      <c r="D1259" s="9">
        <v>833.7</v>
      </c>
      <c r="E1259" s="9">
        <f>E1260</f>
        <v>717.95</v>
      </c>
      <c r="F1259" s="9">
        <f t="shared" ref="F1259:H1259" si="616">F1260</f>
        <v>471.9</v>
      </c>
      <c r="G1259" s="9">
        <f t="shared" si="616"/>
        <v>471.9</v>
      </c>
      <c r="H1259" s="9">
        <f t="shared" si="616"/>
        <v>300.63128</v>
      </c>
      <c r="I1259" s="9">
        <f t="shared" si="611"/>
        <v>41.873567797200359</v>
      </c>
      <c r="J1259" s="9">
        <f t="shared" si="612"/>
        <v>63.706564950201319</v>
      </c>
    </row>
    <row r="1260" spans="1:10" ht="25.5">
      <c r="A1260" s="8" t="s">
        <v>66</v>
      </c>
      <c r="B1260" s="1" t="s">
        <v>923</v>
      </c>
      <c r="C1260" s="1" t="s">
        <v>67</v>
      </c>
      <c r="D1260" s="9">
        <v>833.7</v>
      </c>
      <c r="E1260" s="9">
        <f>ведомство!H2137</f>
        <v>717.95</v>
      </c>
      <c r="F1260" s="9">
        <f>ведомство!I2137</f>
        <v>471.9</v>
      </c>
      <c r="G1260" s="9">
        <f>ведомство!J2137</f>
        <v>471.9</v>
      </c>
      <c r="H1260" s="9">
        <f>ведомство!K2137</f>
        <v>300.63128</v>
      </c>
      <c r="I1260" s="9">
        <f t="shared" si="611"/>
        <v>41.873567797200359</v>
      </c>
      <c r="J1260" s="9">
        <f t="shared" si="612"/>
        <v>63.706564950201319</v>
      </c>
    </row>
    <row r="1261" spans="1:10">
      <c r="A1261" s="8" t="s">
        <v>72</v>
      </c>
      <c r="B1261" s="1" t="s">
        <v>923</v>
      </c>
      <c r="C1261" s="1" t="s">
        <v>73</v>
      </c>
      <c r="D1261" s="9">
        <v>1.6</v>
      </c>
      <c r="E1261" s="9">
        <f>E1262</f>
        <v>1.6</v>
      </c>
      <c r="F1261" s="9">
        <f t="shared" ref="F1261:H1261" si="617">F1262</f>
        <v>0.8</v>
      </c>
      <c r="G1261" s="9">
        <f t="shared" si="617"/>
        <v>0.8</v>
      </c>
      <c r="H1261" s="9">
        <f t="shared" si="617"/>
        <v>0.3</v>
      </c>
      <c r="I1261" s="9">
        <f t="shared" si="611"/>
        <v>18.749999999999996</v>
      </c>
      <c r="J1261" s="9">
        <f t="shared" si="612"/>
        <v>37.499999999999993</v>
      </c>
    </row>
    <row r="1262" spans="1:10">
      <c r="A1262" s="8" t="s">
        <v>74</v>
      </c>
      <c r="B1262" s="1" t="s">
        <v>923</v>
      </c>
      <c r="C1262" s="1" t="s">
        <v>75</v>
      </c>
      <c r="D1262" s="9">
        <v>1.6</v>
      </c>
      <c r="E1262" s="9">
        <f>ведомство!H2139</f>
        <v>1.6</v>
      </c>
      <c r="F1262" s="9">
        <f>ведомство!I2139</f>
        <v>0.8</v>
      </c>
      <c r="G1262" s="9">
        <f>ведомство!J2139</f>
        <v>0.8</v>
      </c>
      <c r="H1262" s="9">
        <f>ведомство!K2139</f>
        <v>0.3</v>
      </c>
      <c r="I1262" s="9">
        <f t="shared" si="611"/>
        <v>18.749999999999996</v>
      </c>
      <c r="J1262" s="9">
        <f t="shared" si="612"/>
        <v>37.499999999999993</v>
      </c>
    </row>
    <row r="1263" spans="1:10">
      <c r="A1263" s="4" t="s">
        <v>0</v>
      </c>
      <c r="B1263" s="17" t="s">
        <v>0</v>
      </c>
      <c r="C1263" s="5" t="s">
        <v>0</v>
      </c>
      <c r="D1263" s="7" t="s">
        <v>0</v>
      </c>
      <c r="E1263" s="7" t="s">
        <v>0</v>
      </c>
      <c r="F1263" s="7"/>
      <c r="G1263" s="7"/>
      <c r="H1263" s="7"/>
      <c r="I1263" s="7"/>
      <c r="J1263" s="7"/>
    </row>
    <row r="1264" spans="1:10" ht="38.25">
      <c r="A1264" s="4" t="s">
        <v>713</v>
      </c>
      <c r="B1264" s="5" t="s">
        <v>714</v>
      </c>
      <c r="C1264" s="5" t="s">
        <v>0</v>
      </c>
      <c r="D1264" s="7">
        <v>224136.9</v>
      </c>
      <c r="E1264" s="7">
        <f>E1265+E1277+E1293+E1305+E1321</f>
        <v>227683.45699999999</v>
      </c>
      <c r="F1264" s="7">
        <f t="shared" ref="F1264:H1264" si="618">F1265+F1277+F1293+F1305+F1321</f>
        <v>91275.63235</v>
      </c>
      <c r="G1264" s="7">
        <f t="shared" si="618"/>
        <v>90373.856169999999</v>
      </c>
      <c r="H1264" s="7">
        <f t="shared" si="618"/>
        <v>84253.86808</v>
      </c>
      <c r="I1264" s="7">
        <f t="shared" si="611"/>
        <v>37.004826433217765</v>
      </c>
      <c r="J1264" s="7">
        <f t="shared" si="612"/>
        <v>92.307076829580566</v>
      </c>
    </row>
    <row r="1265" spans="1:10" ht="25.5">
      <c r="A1265" s="4" t="s">
        <v>719</v>
      </c>
      <c r="B1265" s="5" t="s">
        <v>720</v>
      </c>
      <c r="C1265" s="5" t="s">
        <v>0</v>
      </c>
      <c r="D1265" s="7">
        <v>11607.5</v>
      </c>
      <c r="E1265" s="7">
        <f>E1266+E1273</f>
        <v>11607.5</v>
      </c>
      <c r="F1265" s="7">
        <f t="shared" ref="F1265:H1265" si="619">F1266+F1273</f>
        <v>140</v>
      </c>
      <c r="G1265" s="7">
        <f t="shared" si="619"/>
        <v>140</v>
      </c>
      <c r="H1265" s="7">
        <f t="shared" si="619"/>
        <v>115</v>
      </c>
      <c r="I1265" s="7">
        <f t="shared" si="611"/>
        <v>0.99073874650010774</v>
      </c>
      <c r="J1265" s="7">
        <f t="shared" si="612"/>
        <v>82.142857142857139</v>
      </c>
    </row>
    <row r="1266" spans="1:10" ht="25.5">
      <c r="A1266" s="8" t="s">
        <v>721</v>
      </c>
      <c r="B1266" s="1" t="s">
        <v>722</v>
      </c>
      <c r="C1266" s="1" t="s">
        <v>0</v>
      </c>
      <c r="D1266" s="9">
        <v>4700</v>
      </c>
      <c r="E1266" s="9">
        <f>E1269+E1271+E1267</f>
        <v>4700</v>
      </c>
      <c r="F1266" s="9">
        <f t="shared" ref="F1266:H1266" si="620">F1269+F1271+F1267</f>
        <v>140</v>
      </c>
      <c r="G1266" s="9">
        <f t="shared" si="620"/>
        <v>140</v>
      </c>
      <c r="H1266" s="9">
        <f t="shared" si="620"/>
        <v>115</v>
      </c>
      <c r="I1266" s="9">
        <f t="shared" si="611"/>
        <v>2.4468085106382977</v>
      </c>
      <c r="J1266" s="9">
        <f t="shared" si="612"/>
        <v>82.142857142857139</v>
      </c>
    </row>
    <row r="1267" spans="1:10" s="43" customFormat="1" ht="51">
      <c r="A1267" s="8" t="s">
        <v>60</v>
      </c>
      <c r="B1267" s="1" t="s">
        <v>722</v>
      </c>
      <c r="C1267" s="1">
        <v>100</v>
      </c>
      <c r="D1267" s="9"/>
      <c r="E1267" s="9">
        <f>E1268</f>
        <v>140</v>
      </c>
      <c r="F1267" s="9">
        <f t="shared" ref="F1267:H1267" si="621">F1268</f>
        <v>140</v>
      </c>
      <c r="G1267" s="9">
        <f t="shared" si="621"/>
        <v>140</v>
      </c>
      <c r="H1267" s="9">
        <f t="shared" si="621"/>
        <v>115</v>
      </c>
      <c r="I1267" s="9">
        <f t="shared" ref="I1267:I1268" si="622">H1267/E1267*100</f>
        <v>82.142857142857139</v>
      </c>
      <c r="J1267" s="9">
        <f t="shared" ref="J1267:J1268" si="623">H1267/F1267*100</f>
        <v>82.142857142857139</v>
      </c>
    </row>
    <row r="1268" spans="1:10" s="43" customFormat="1" ht="25.5">
      <c r="A1268" s="8" t="s">
        <v>62</v>
      </c>
      <c r="B1268" s="1" t="s">
        <v>722</v>
      </c>
      <c r="C1268" s="1">
        <v>120</v>
      </c>
      <c r="D1268" s="9"/>
      <c r="E1268" s="9">
        <f>ведомство!H2751</f>
        <v>140</v>
      </c>
      <c r="F1268" s="9">
        <f>ведомство!I2751</f>
        <v>140</v>
      </c>
      <c r="G1268" s="9">
        <f>ведомство!J2751</f>
        <v>140</v>
      </c>
      <c r="H1268" s="9">
        <f>ведомство!K2751</f>
        <v>115</v>
      </c>
      <c r="I1268" s="9">
        <f t="shared" si="622"/>
        <v>82.142857142857139</v>
      </c>
      <c r="J1268" s="9">
        <f t="shared" si="623"/>
        <v>82.142857142857139</v>
      </c>
    </row>
    <row r="1269" spans="1:10" ht="25.5">
      <c r="A1269" s="8" t="s">
        <v>64</v>
      </c>
      <c r="B1269" s="1" t="s">
        <v>722</v>
      </c>
      <c r="C1269" s="1" t="s">
        <v>65</v>
      </c>
      <c r="D1269" s="9">
        <v>2700</v>
      </c>
      <c r="E1269" s="9">
        <f>E1270</f>
        <v>2560</v>
      </c>
      <c r="F1269" s="9">
        <f t="shared" ref="F1269:H1269" si="624">F1270</f>
        <v>0</v>
      </c>
      <c r="G1269" s="9">
        <f t="shared" si="624"/>
        <v>0</v>
      </c>
      <c r="H1269" s="9">
        <f t="shared" si="624"/>
        <v>0</v>
      </c>
      <c r="I1269" s="9">
        <f t="shared" si="611"/>
        <v>0</v>
      </c>
      <c r="J1269" s="9">
        <v>0</v>
      </c>
    </row>
    <row r="1270" spans="1:10" ht="25.5">
      <c r="A1270" s="8" t="s">
        <v>66</v>
      </c>
      <c r="B1270" s="1" t="s">
        <v>722</v>
      </c>
      <c r="C1270" s="1" t="s">
        <v>67</v>
      </c>
      <c r="D1270" s="9">
        <v>2700</v>
      </c>
      <c r="E1270" s="9">
        <f>ведомство!H2753+ведомство!H1600</f>
        <v>2560</v>
      </c>
      <c r="F1270" s="9">
        <f>ведомство!I2753+ведомство!I1600</f>
        <v>0</v>
      </c>
      <c r="G1270" s="9">
        <f>ведомство!J2753+ведомство!J1600</f>
        <v>0</v>
      </c>
      <c r="H1270" s="9">
        <f>ведомство!K2753+ведомство!K1600</f>
        <v>0</v>
      </c>
      <c r="I1270" s="9">
        <f t="shared" si="611"/>
        <v>0</v>
      </c>
      <c r="J1270" s="9">
        <v>0</v>
      </c>
    </row>
    <row r="1271" spans="1:10">
      <c r="A1271" s="8" t="s">
        <v>72</v>
      </c>
      <c r="B1271" s="1" t="s">
        <v>722</v>
      </c>
      <c r="C1271" s="1" t="s">
        <v>73</v>
      </c>
      <c r="D1271" s="9">
        <v>2000</v>
      </c>
      <c r="E1271" s="9">
        <f>E1272</f>
        <v>2000</v>
      </c>
      <c r="F1271" s="9">
        <f t="shared" ref="F1271:H1271" si="625">F1272</f>
        <v>0</v>
      </c>
      <c r="G1271" s="9">
        <f t="shared" si="625"/>
        <v>0</v>
      </c>
      <c r="H1271" s="9">
        <f t="shared" si="625"/>
        <v>0</v>
      </c>
      <c r="I1271" s="9">
        <f t="shared" si="611"/>
        <v>0</v>
      </c>
      <c r="J1271" s="9">
        <v>0</v>
      </c>
    </row>
    <row r="1272" spans="1:10" ht="38.25">
      <c r="A1272" s="8" t="s">
        <v>218</v>
      </c>
      <c r="B1272" s="1" t="s">
        <v>722</v>
      </c>
      <c r="C1272" s="1" t="s">
        <v>219</v>
      </c>
      <c r="D1272" s="9">
        <v>2000</v>
      </c>
      <c r="E1272" s="9">
        <f>ведомство!H1602</f>
        <v>2000</v>
      </c>
      <c r="F1272" s="9">
        <f>ведомство!I1602</f>
        <v>0</v>
      </c>
      <c r="G1272" s="9">
        <f>ведомство!J1602</f>
        <v>0</v>
      </c>
      <c r="H1272" s="9">
        <f>ведомство!K1602</f>
        <v>0</v>
      </c>
      <c r="I1272" s="9">
        <f t="shared" si="611"/>
        <v>0</v>
      </c>
      <c r="J1272" s="9">
        <v>0</v>
      </c>
    </row>
    <row r="1273" spans="1:10" ht="25.5">
      <c r="A1273" s="8" t="s">
        <v>723</v>
      </c>
      <c r="B1273" s="1" t="s">
        <v>724</v>
      </c>
      <c r="C1273" s="1" t="s">
        <v>0</v>
      </c>
      <c r="D1273" s="9">
        <v>6907.5</v>
      </c>
      <c r="E1273" s="9">
        <f>E1274</f>
        <v>6907.5</v>
      </c>
      <c r="F1273" s="9">
        <f t="shared" ref="F1273:H1274" si="626">F1274</f>
        <v>0</v>
      </c>
      <c r="G1273" s="9">
        <f t="shared" si="626"/>
        <v>0</v>
      </c>
      <c r="H1273" s="9">
        <f t="shared" si="626"/>
        <v>0</v>
      </c>
      <c r="I1273" s="9">
        <f t="shared" si="611"/>
        <v>0</v>
      </c>
      <c r="J1273" s="9">
        <v>0</v>
      </c>
    </row>
    <row r="1274" spans="1:10" ht="25.5">
      <c r="A1274" s="8" t="s">
        <v>64</v>
      </c>
      <c r="B1274" s="1" t="s">
        <v>724</v>
      </c>
      <c r="C1274" s="1" t="s">
        <v>65</v>
      </c>
      <c r="D1274" s="9">
        <v>6907.5</v>
      </c>
      <c r="E1274" s="9">
        <f>E1275</f>
        <v>6907.5</v>
      </c>
      <c r="F1274" s="9">
        <f t="shared" si="626"/>
        <v>0</v>
      </c>
      <c r="G1274" s="9">
        <f t="shared" si="626"/>
        <v>0</v>
      </c>
      <c r="H1274" s="9">
        <f t="shared" si="626"/>
        <v>0</v>
      </c>
      <c r="I1274" s="9">
        <f t="shared" si="611"/>
        <v>0</v>
      </c>
      <c r="J1274" s="9">
        <v>0</v>
      </c>
    </row>
    <row r="1275" spans="1:10" ht="25.5">
      <c r="A1275" s="8" t="s">
        <v>66</v>
      </c>
      <c r="B1275" s="1" t="s">
        <v>724</v>
      </c>
      <c r="C1275" s="1" t="s">
        <v>67</v>
      </c>
      <c r="D1275" s="9">
        <v>6907.5</v>
      </c>
      <c r="E1275" s="9">
        <f>ведомство!H1605</f>
        <v>6907.5</v>
      </c>
      <c r="F1275" s="9">
        <f>ведомство!I1605</f>
        <v>0</v>
      </c>
      <c r="G1275" s="9">
        <f>ведомство!J1605</f>
        <v>0</v>
      </c>
      <c r="H1275" s="9">
        <f>ведомство!K1605</f>
        <v>0</v>
      </c>
      <c r="I1275" s="9">
        <f t="shared" si="611"/>
        <v>0</v>
      </c>
      <c r="J1275" s="9">
        <v>0</v>
      </c>
    </row>
    <row r="1276" spans="1:10">
      <c r="A1276" s="4" t="s">
        <v>0</v>
      </c>
      <c r="B1276" s="17" t="s">
        <v>0</v>
      </c>
      <c r="C1276" s="5" t="s">
        <v>0</v>
      </c>
      <c r="D1276" s="7" t="s">
        <v>0</v>
      </c>
      <c r="E1276" s="7" t="s">
        <v>0</v>
      </c>
      <c r="F1276" s="7" t="s">
        <v>0</v>
      </c>
      <c r="G1276" s="7" t="s">
        <v>0</v>
      </c>
      <c r="H1276" s="7" t="s">
        <v>0</v>
      </c>
      <c r="I1276" s="7"/>
      <c r="J1276" s="7"/>
    </row>
    <row r="1277" spans="1:10" ht="25.5">
      <c r="A1277" s="4" t="s">
        <v>725</v>
      </c>
      <c r="B1277" s="5" t="s">
        <v>726</v>
      </c>
      <c r="C1277" s="5" t="s">
        <v>0</v>
      </c>
      <c r="D1277" s="7">
        <v>49193.2</v>
      </c>
      <c r="E1277" s="7">
        <f>E1278+E1281+E1284</f>
        <v>49193.2</v>
      </c>
      <c r="F1277" s="7">
        <f t="shared" ref="F1277:H1277" si="627">F1278+F1281+F1284</f>
        <v>10866.223000000002</v>
      </c>
      <c r="G1277" s="7">
        <f t="shared" si="627"/>
        <v>10375.323</v>
      </c>
      <c r="H1277" s="7">
        <f t="shared" si="627"/>
        <v>10375.323</v>
      </c>
      <c r="I1277" s="7">
        <f t="shared" si="611"/>
        <v>21.09096989014742</v>
      </c>
      <c r="J1277" s="7">
        <f t="shared" si="612"/>
        <v>95.482330889031076</v>
      </c>
    </row>
    <row r="1278" spans="1:10" ht="25.5">
      <c r="A1278" s="8" t="s">
        <v>76</v>
      </c>
      <c r="B1278" s="1" t="s">
        <v>727</v>
      </c>
      <c r="C1278" s="1" t="s">
        <v>0</v>
      </c>
      <c r="D1278" s="9">
        <v>5727</v>
      </c>
      <c r="E1278" s="9">
        <f>E1279</f>
        <v>5727</v>
      </c>
      <c r="F1278" s="9">
        <f t="shared" ref="F1278:H1279" si="628">F1279</f>
        <v>2550.1840000000002</v>
      </c>
      <c r="G1278" s="9">
        <f t="shared" si="628"/>
        <v>2550.1840000000002</v>
      </c>
      <c r="H1278" s="9">
        <f t="shared" si="628"/>
        <v>2550.1840000000002</v>
      </c>
      <c r="I1278" s="9">
        <f t="shared" si="611"/>
        <v>44.529142657586874</v>
      </c>
      <c r="J1278" s="9">
        <f t="shared" si="612"/>
        <v>100</v>
      </c>
    </row>
    <row r="1279" spans="1:10" ht="25.5">
      <c r="A1279" s="8" t="s">
        <v>80</v>
      </c>
      <c r="B1279" s="1" t="s">
        <v>727</v>
      </c>
      <c r="C1279" s="1" t="s">
        <v>81</v>
      </c>
      <c r="D1279" s="9">
        <v>5727</v>
      </c>
      <c r="E1279" s="9">
        <f>E1280</f>
        <v>5727</v>
      </c>
      <c r="F1279" s="9">
        <f t="shared" si="628"/>
        <v>2550.1840000000002</v>
      </c>
      <c r="G1279" s="9">
        <f t="shared" si="628"/>
        <v>2550.1840000000002</v>
      </c>
      <c r="H1279" s="9">
        <f t="shared" si="628"/>
        <v>2550.1840000000002</v>
      </c>
      <c r="I1279" s="9">
        <f t="shared" si="611"/>
        <v>44.529142657586874</v>
      </c>
      <c r="J1279" s="9">
        <f t="shared" si="612"/>
        <v>100</v>
      </c>
    </row>
    <row r="1280" spans="1:10">
      <c r="A1280" s="8" t="s">
        <v>82</v>
      </c>
      <c r="B1280" s="1" t="s">
        <v>727</v>
      </c>
      <c r="C1280" s="1" t="s">
        <v>83</v>
      </c>
      <c r="D1280" s="9">
        <v>5727</v>
      </c>
      <c r="E1280" s="9">
        <f>ведомство!H1609</f>
        <v>5727</v>
      </c>
      <c r="F1280" s="9">
        <f>ведомство!I1609</f>
        <v>2550.1840000000002</v>
      </c>
      <c r="G1280" s="9">
        <f>ведомство!J1609</f>
        <v>2550.1840000000002</v>
      </c>
      <c r="H1280" s="9">
        <f>ведомство!K1609</f>
        <v>2550.1840000000002</v>
      </c>
      <c r="I1280" s="9">
        <f t="shared" si="611"/>
        <v>44.529142657586874</v>
      </c>
      <c r="J1280" s="9">
        <f t="shared" si="612"/>
        <v>100</v>
      </c>
    </row>
    <row r="1281" spans="1:10" ht="25.5">
      <c r="A1281" s="8" t="s">
        <v>728</v>
      </c>
      <c r="B1281" s="1" t="s">
        <v>729</v>
      </c>
      <c r="C1281" s="1" t="s">
        <v>0</v>
      </c>
      <c r="D1281" s="9">
        <v>4000</v>
      </c>
      <c r="E1281" s="9">
        <f>E1282</f>
        <v>4000</v>
      </c>
      <c r="F1281" s="9">
        <f t="shared" ref="F1281:H1282" si="629">F1282</f>
        <v>805</v>
      </c>
      <c r="G1281" s="9">
        <f t="shared" si="629"/>
        <v>805</v>
      </c>
      <c r="H1281" s="9">
        <f t="shared" si="629"/>
        <v>805</v>
      </c>
      <c r="I1281" s="9">
        <f t="shared" si="611"/>
        <v>20.125</v>
      </c>
      <c r="J1281" s="9">
        <f t="shared" si="612"/>
        <v>100</v>
      </c>
    </row>
    <row r="1282" spans="1:10" ht="25.5">
      <c r="A1282" s="8" t="s">
        <v>64</v>
      </c>
      <c r="B1282" s="1" t="s">
        <v>729</v>
      </c>
      <c r="C1282" s="1" t="s">
        <v>65</v>
      </c>
      <c r="D1282" s="9">
        <v>4000</v>
      </c>
      <c r="E1282" s="9">
        <f>E1283</f>
        <v>4000</v>
      </c>
      <c r="F1282" s="9">
        <f t="shared" si="629"/>
        <v>805</v>
      </c>
      <c r="G1282" s="9">
        <f t="shared" si="629"/>
        <v>805</v>
      </c>
      <c r="H1282" s="9">
        <f t="shared" si="629"/>
        <v>805</v>
      </c>
      <c r="I1282" s="9">
        <f t="shared" si="611"/>
        <v>20.125</v>
      </c>
      <c r="J1282" s="9">
        <f t="shared" si="612"/>
        <v>100</v>
      </c>
    </row>
    <row r="1283" spans="1:10" ht="25.5">
      <c r="A1283" s="8" t="s">
        <v>66</v>
      </c>
      <c r="B1283" s="1" t="s">
        <v>729</v>
      </c>
      <c r="C1283" s="1" t="s">
        <v>67</v>
      </c>
      <c r="D1283" s="9">
        <v>4000</v>
      </c>
      <c r="E1283" s="9">
        <f>ведомство!H1612</f>
        <v>4000</v>
      </c>
      <c r="F1283" s="9">
        <f>ведомство!I1612</f>
        <v>805</v>
      </c>
      <c r="G1283" s="9">
        <f>ведомство!J1612</f>
        <v>805</v>
      </c>
      <c r="H1283" s="9">
        <f>ведомство!K1612</f>
        <v>805</v>
      </c>
      <c r="I1283" s="9">
        <f t="shared" si="611"/>
        <v>20.125</v>
      </c>
      <c r="J1283" s="9">
        <f t="shared" si="612"/>
        <v>100</v>
      </c>
    </row>
    <row r="1284" spans="1:10" ht="38.25">
      <c r="A1284" s="8" t="s">
        <v>730</v>
      </c>
      <c r="B1284" s="1" t="s">
        <v>731</v>
      </c>
      <c r="C1284" s="1" t="s">
        <v>0</v>
      </c>
      <c r="D1284" s="9">
        <v>39466.199999999997</v>
      </c>
      <c r="E1284" s="9">
        <f>E1285+E1287+E1290</f>
        <v>39466.199999999997</v>
      </c>
      <c r="F1284" s="9">
        <f t="shared" ref="F1284:H1284" si="630">F1285+F1287+F1290</f>
        <v>7511.0390000000007</v>
      </c>
      <c r="G1284" s="9">
        <f t="shared" si="630"/>
        <v>7020.1390000000001</v>
      </c>
      <c r="H1284" s="9">
        <f t="shared" si="630"/>
        <v>7020.1390000000001</v>
      </c>
      <c r="I1284" s="9">
        <f t="shared" si="611"/>
        <v>17.787724685933785</v>
      </c>
      <c r="J1284" s="9">
        <f t="shared" si="612"/>
        <v>93.464286365707849</v>
      </c>
    </row>
    <row r="1285" spans="1:10">
      <c r="A1285" s="8" t="s">
        <v>26</v>
      </c>
      <c r="B1285" s="1" t="s">
        <v>731</v>
      </c>
      <c r="C1285" s="1" t="s">
        <v>27</v>
      </c>
      <c r="D1285" s="9">
        <v>14211</v>
      </c>
      <c r="E1285" s="9">
        <f>E1286</f>
        <v>14211</v>
      </c>
      <c r="F1285" s="9">
        <f t="shared" ref="F1285:H1285" si="631">F1286</f>
        <v>0</v>
      </c>
      <c r="G1285" s="9">
        <f t="shared" si="631"/>
        <v>0</v>
      </c>
      <c r="H1285" s="9">
        <f t="shared" si="631"/>
        <v>0</v>
      </c>
      <c r="I1285" s="9">
        <f t="shared" si="611"/>
        <v>0</v>
      </c>
      <c r="J1285" s="9">
        <v>0</v>
      </c>
    </row>
    <row r="1286" spans="1:10">
      <c r="A1286" s="8" t="s">
        <v>56</v>
      </c>
      <c r="B1286" s="1" t="s">
        <v>731</v>
      </c>
      <c r="C1286" s="1" t="s">
        <v>57</v>
      </c>
      <c r="D1286" s="9">
        <v>14211</v>
      </c>
      <c r="E1286" s="9">
        <f>ведомство!H1615</f>
        <v>14211</v>
      </c>
      <c r="F1286" s="9">
        <f>ведомство!I1615</f>
        <v>0</v>
      </c>
      <c r="G1286" s="9">
        <f>ведомство!J1615</f>
        <v>0</v>
      </c>
      <c r="H1286" s="9">
        <f>ведомство!K1615</f>
        <v>0</v>
      </c>
      <c r="I1286" s="9">
        <f t="shared" si="611"/>
        <v>0</v>
      </c>
      <c r="J1286" s="9">
        <v>0</v>
      </c>
    </row>
    <row r="1287" spans="1:10" ht="25.5">
      <c r="A1287" s="8" t="s">
        <v>80</v>
      </c>
      <c r="B1287" s="1" t="s">
        <v>731</v>
      </c>
      <c r="C1287" s="1" t="s">
        <v>81</v>
      </c>
      <c r="D1287" s="9">
        <v>7755.2</v>
      </c>
      <c r="E1287" s="9">
        <f>E1288+E1289</f>
        <v>7755.2</v>
      </c>
      <c r="F1287" s="9">
        <f t="shared" ref="F1287:H1287" si="632">F1288+F1289</f>
        <v>6511.68</v>
      </c>
      <c r="G1287" s="9">
        <f t="shared" si="632"/>
        <v>6020.78</v>
      </c>
      <c r="H1287" s="9">
        <f t="shared" si="632"/>
        <v>6020.78</v>
      </c>
      <c r="I1287" s="9">
        <f t="shared" si="611"/>
        <v>77.635393026614395</v>
      </c>
      <c r="J1287" s="9">
        <f t="shared" si="612"/>
        <v>92.461238881517517</v>
      </c>
    </row>
    <row r="1288" spans="1:10">
      <c r="A1288" s="8" t="s">
        <v>82</v>
      </c>
      <c r="B1288" s="1" t="s">
        <v>731</v>
      </c>
      <c r="C1288" s="1" t="s">
        <v>83</v>
      </c>
      <c r="D1288" s="9">
        <v>2755.2</v>
      </c>
      <c r="E1288" s="9">
        <f>ведомство!H1617+ведомство!H2351</f>
        <v>2755.2</v>
      </c>
      <c r="F1288" s="9">
        <f>ведомство!I1617+ведомство!I2351</f>
        <v>1511.68</v>
      </c>
      <c r="G1288" s="9">
        <f>ведомство!J1617+ведомство!J2351</f>
        <v>1020.78</v>
      </c>
      <c r="H1288" s="9">
        <f>ведомство!K1617+ведомство!K2351</f>
        <v>1020.78</v>
      </c>
      <c r="I1288" s="9">
        <f t="shared" si="611"/>
        <v>37.049216027874564</v>
      </c>
      <c r="J1288" s="9">
        <f t="shared" si="612"/>
        <v>67.526196020321763</v>
      </c>
    </row>
    <row r="1289" spans="1:10" ht="25.5">
      <c r="A1289" s="8" t="s">
        <v>195</v>
      </c>
      <c r="B1289" s="1" t="s">
        <v>731</v>
      </c>
      <c r="C1289" s="1" t="s">
        <v>196</v>
      </c>
      <c r="D1289" s="9">
        <v>5000</v>
      </c>
      <c r="E1289" s="9">
        <f>ведомство!H1618</f>
        <v>5000</v>
      </c>
      <c r="F1289" s="9">
        <f>ведомство!I1618</f>
        <v>5000</v>
      </c>
      <c r="G1289" s="9">
        <f>ведомство!J1618</f>
        <v>5000</v>
      </c>
      <c r="H1289" s="9">
        <f>ведомство!K1618</f>
        <v>5000</v>
      </c>
      <c r="I1289" s="9">
        <f t="shared" si="611"/>
        <v>100</v>
      </c>
      <c r="J1289" s="9">
        <f t="shared" si="612"/>
        <v>100</v>
      </c>
    </row>
    <row r="1290" spans="1:10">
      <c r="A1290" s="8" t="s">
        <v>72</v>
      </c>
      <c r="B1290" s="1" t="s">
        <v>731</v>
      </c>
      <c r="C1290" s="1" t="s">
        <v>73</v>
      </c>
      <c r="D1290" s="9">
        <v>17500</v>
      </c>
      <c r="E1290" s="9">
        <f>E1291</f>
        <v>17500</v>
      </c>
      <c r="F1290" s="9">
        <f t="shared" ref="F1290:H1290" si="633">F1291</f>
        <v>999.35900000000004</v>
      </c>
      <c r="G1290" s="9">
        <f t="shared" si="633"/>
        <v>999.35900000000004</v>
      </c>
      <c r="H1290" s="9">
        <f t="shared" si="633"/>
        <v>999.35900000000004</v>
      </c>
      <c r="I1290" s="9">
        <f t="shared" si="611"/>
        <v>5.710622857142857</v>
      </c>
      <c r="J1290" s="9">
        <f t="shared" si="612"/>
        <v>100</v>
      </c>
    </row>
    <row r="1291" spans="1:10" ht="38.25">
      <c r="A1291" s="8" t="s">
        <v>218</v>
      </c>
      <c r="B1291" s="1" t="s">
        <v>731</v>
      </c>
      <c r="C1291" s="1" t="s">
        <v>219</v>
      </c>
      <c r="D1291" s="9">
        <v>17500</v>
      </c>
      <c r="E1291" s="9">
        <f>ведомство!H1620</f>
        <v>17500</v>
      </c>
      <c r="F1291" s="9">
        <f>ведомство!I1620</f>
        <v>999.35900000000004</v>
      </c>
      <c r="G1291" s="9">
        <f>ведомство!J1620</f>
        <v>999.35900000000004</v>
      </c>
      <c r="H1291" s="9">
        <f>ведомство!K1620</f>
        <v>999.35900000000004</v>
      </c>
      <c r="I1291" s="9">
        <f t="shared" si="611"/>
        <v>5.710622857142857</v>
      </c>
      <c r="J1291" s="9">
        <f t="shared" si="612"/>
        <v>100</v>
      </c>
    </row>
    <row r="1292" spans="1:10">
      <c r="A1292" s="4" t="s">
        <v>0</v>
      </c>
      <c r="B1292" s="17" t="s">
        <v>0</v>
      </c>
      <c r="C1292" s="5" t="s">
        <v>0</v>
      </c>
      <c r="D1292" s="7" t="s">
        <v>0</v>
      </c>
      <c r="E1292" s="7" t="s">
        <v>0</v>
      </c>
      <c r="F1292" s="7" t="s">
        <v>0</v>
      </c>
      <c r="G1292" s="7" t="s">
        <v>0</v>
      </c>
      <c r="H1292" s="7" t="s">
        <v>0</v>
      </c>
      <c r="I1292" s="7"/>
      <c r="J1292" s="7"/>
    </row>
    <row r="1293" spans="1:10" ht="25.5">
      <c r="A1293" s="4" t="s">
        <v>715</v>
      </c>
      <c r="B1293" s="5" t="s">
        <v>716</v>
      </c>
      <c r="C1293" s="5" t="s">
        <v>0</v>
      </c>
      <c r="D1293" s="7">
        <v>55129.8</v>
      </c>
      <c r="E1293" s="7">
        <f>E1294+E1301</f>
        <v>58676.356999999996</v>
      </c>
      <c r="F1293" s="7">
        <f t="shared" ref="F1293:H1293" si="634">F1294+F1301</f>
        <v>25009.34535</v>
      </c>
      <c r="G1293" s="7">
        <f t="shared" si="634"/>
        <v>24621.305499999999</v>
      </c>
      <c r="H1293" s="7">
        <f t="shared" si="634"/>
        <v>23315.305769999995</v>
      </c>
      <c r="I1293" s="7">
        <f t="shared" si="611"/>
        <v>39.735435125940072</v>
      </c>
      <c r="J1293" s="7">
        <f t="shared" si="612"/>
        <v>93.22637375632064</v>
      </c>
    </row>
    <row r="1294" spans="1:10" ht="25.5">
      <c r="A1294" s="8" t="s">
        <v>58</v>
      </c>
      <c r="B1294" s="1" t="s">
        <v>717</v>
      </c>
      <c r="C1294" s="1" t="s">
        <v>0</v>
      </c>
      <c r="D1294" s="9">
        <v>48823.3</v>
      </c>
      <c r="E1294" s="9">
        <f>E1295+E1297+E1299</f>
        <v>52369.856999999996</v>
      </c>
      <c r="F1294" s="9">
        <f t="shared" ref="F1294:H1294" si="635">F1295+F1297+F1299</f>
        <v>23503.855349999998</v>
      </c>
      <c r="G1294" s="9">
        <f t="shared" si="635"/>
        <v>23133.545719999998</v>
      </c>
      <c r="H1294" s="9">
        <f t="shared" si="635"/>
        <v>22130.562489999997</v>
      </c>
      <c r="I1294" s="9">
        <f t="shared" si="611"/>
        <v>42.258206834515512</v>
      </c>
      <c r="J1294" s="9">
        <f t="shared" si="612"/>
        <v>94.157159157295439</v>
      </c>
    </row>
    <row r="1295" spans="1:10" ht="51">
      <c r="A1295" s="8" t="s">
        <v>60</v>
      </c>
      <c r="B1295" s="1" t="s">
        <v>717</v>
      </c>
      <c r="C1295" s="1" t="s">
        <v>61</v>
      </c>
      <c r="D1295" s="9">
        <v>47149.3</v>
      </c>
      <c r="E1295" s="9">
        <f>E1296</f>
        <v>49309.356999999996</v>
      </c>
      <c r="F1295" s="9">
        <f t="shared" ref="F1295:H1295" si="636">F1296</f>
        <v>22141.8</v>
      </c>
      <c r="G1295" s="9">
        <f t="shared" si="636"/>
        <v>22141.8</v>
      </c>
      <c r="H1295" s="9">
        <f t="shared" si="636"/>
        <v>21264.152529999999</v>
      </c>
      <c r="I1295" s="9">
        <f t="shared" si="611"/>
        <v>43.123970426140417</v>
      </c>
      <c r="J1295" s="9">
        <f t="shared" si="612"/>
        <v>96.036241543144641</v>
      </c>
    </row>
    <row r="1296" spans="1:10" ht="25.5">
      <c r="A1296" s="8" t="s">
        <v>62</v>
      </c>
      <c r="B1296" s="1" t="s">
        <v>717</v>
      </c>
      <c r="C1296" s="1" t="s">
        <v>63</v>
      </c>
      <c r="D1296" s="9">
        <v>47149.3</v>
      </c>
      <c r="E1296" s="9">
        <f>ведомство!H1585+ведомство!H2740</f>
        <v>49309.356999999996</v>
      </c>
      <c r="F1296" s="9">
        <f>ведомство!I1585+ведомство!I2740</f>
        <v>22141.8</v>
      </c>
      <c r="G1296" s="9">
        <f>ведомство!J1585+ведомство!J2740</f>
        <v>22141.8</v>
      </c>
      <c r="H1296" s="9">
        <f>ведомство!K1585+ведомство!K2740</f>
        <v>21264.152529999999</v>
      </c>
      <c r="I1296" s="9">
        <f t="shared" si="611"/>
        <v>43.123970426140417</v>
      </c>
      <c r="J1296" s="9">
        <f t="shared" si="612"/>
        <v>96.036241543144641</v>
      </c>
    </row>
    <row r="1297" spans="1:10" ht="25.5">
      <c r="A1297" s="8" t="s">
        <v>64</v>
      </c>
      <c r="B1297" s="1" t="s">
        <v>717</v>
      </c>
      <c r="C1297" s="1" t="s">
        <v>65</v>
      </c>
      <c r="D1297" s="9">
        <v>1654</v>
      </c>
      <c r="E1297" s="9">
        <f>E1298</f>
        <v>3036</v>
      </c>
      <c r="F1297" s="9">
        <f t="shared" ref="F1297:H1297" si="637">F1298</f>
        <v>1350</v>
      </c>
      <c r="G1297" s="9">
        <f t="shared" si="637"/>
        <v>980</v>
      </c>
      <c r="H1297" s="9">
        <f t="shared" si="637"/>
        <v>854.66424000000006</v>
      </c>
      <c r="I1297" s="9">
        <f t="shared" si="611"/>
        <v>28.15099604743083</v>
      </c>
      <c r="J1297" s="9">
        <f t="shared" si="612"/>
        <v>63.308462222222225</v>
      </c>
    </row>
    <row r="1298" spans="1:10" ht="25.5">
      <c r="A1298" s="8" t="s">
        <v>66</v>
      </c>
      <c r="B1298" s="1" t="s">
        <v>717</v>
      </c>
      <c r="C1298" s="1" t="s">
        <v>67</v>
      </c>
      <c r="D1298" s="9">
        <v>1654</v>
      </c>
      <c r="E1298" s="9">
        <f>ведомство!H2742+ведомство!H1587</f>
        <v>3036</v>
      </c>
      <c r="F1298" s="9">
        <f>ведомство!I2742+ведомство!I1587</f>
        <v>1350</v>
      </c>
      <c r="G1298" s="9">
        <f>ведомство!J2742+ведомство!J1587</f>
        <v>980</v>
      </c>
      <c r="H1298" s="9">
        <f>ведомство!K2742+ведомство!K1587</f>
        <v>854.66424000000006</v>
      </c>
      <c r="I1298" s="9">
        <f t="shared" si="611"/>
        <v>28.15099604743083</v>
      </c>
      <c r="J1298" s="9">
        <f t="shared" si="612"/>
        <v>63.308462222222225</v>
      </c>
    </row>
    <row r="1299" spans="1:10">
      <c r="A1299" s="8" t="s">
        <v>72</v>
      </c>
      <c r="B1299" s="1" t="s">
        <v>717</v>
      </c>
      <c r="C1299" s="1" t="s">
        <v>73</v>
      </c>
      <c r="D1299" s="9">
        <v>20</v>
      </c>
      <c r="E1299" s="9">
        <f>E1300</f>
        <v>24.5</v>
      </c>
      <c r="F1299" s="9">
        <f t="shared" ref="F1299:H1299" si="638">F1300</f>
        <v>12.055350000000001</v>
      </c>
      <c r="G1299" s="9">
        <f t="shared" si="638"/>
        <v>11.74572</v>
      </c>
      <c r="H1299" s="9">
        <f t="shared" si="638"/>
        <v>11.74572</v>
      </c>
      <c r="I1299" s="9">
        <f t="shared" si="611"/>
        <v>47.941714285714291</v>
      </c>
      <c r="J1299" s="9">
        <f t="shared" si="612"/>
        <v>97.431596759944753</v>
      </c>
    </row>
    <row r="1300" spans="1:10">
      <c r="A1300" s="8" t="s">
        <v>74</v>
      </c>
      <c r="B1300" s="1" t="s">
        <v>717</v>
      </c>
      <c r="C1300" s="1" t="s">
        <v>75</v>
      </c>
      <c r="D1300" s="9">
        <v>20</v>
      </c>
      <c r="E1300" s="9">
        <f>ведомство!H1589+ведомство!H2744</f>
        <v>24.5</v>
      </c>
      <c r="F1300" s="9">
        <f>ведомство!I1589+ведомство!I2744</f>
        <v>12.055350000000001</v>
      </c>
      <c r="G1300" s="9">
        <f>ведомство!J1589+ведомство!J2744</f>
        <v>11.74572</v>
      </c>
      <c r="H1300" s="9">
        <f>ведомство!K1589+ведомство!K2744</f>
        <v>11.74572</v>
      </c>
      <c r="I1300" s="9">
        <f t="shared" si="611"/>
        <v>47.941714285714291</v>
      </c>
      <c r="J1300" s="9">
        <f t="shared" si="612"/>
        <v>97.431596759944753</v>
      </c>
    </row>
    <row r="1301" spans="1:10">
      <c r="A1301" s="8" t="s">
        <v>609</v>
      </c>
      <c r="B1301" s="1" t="s">
        <v>718</v>
      </c>
      <c r="C1301" s="1" t="s">
        <v>0</v>
      </c>
      <c r="D1301" s="9">
        <v>6306.5</v>
      </c>
      <c r="E1301" s="9">
        <f>E1302</f>
        <v>6306.5</v>
      </c>
      <c r="F1301" s="9">
        <f t="shared" ref="F1301:H1302" si="639">F1302</f>
        <v>1505.49</v>
      </c>
      <c r="G1301" s="9">
        <f t="shared" si="639"/>
        <v>1487.7597800000001</v>
      </c>
      <c r="H1301" s="9">
        <f t="shared" si="639"/>
        <v>1184.7432799999999</v>
      </c>
      <c r="I1301" s="9">
        <f t="shared" si="611"/>
        <v>18.786066439387934</v>
      </c>
      <c r="J1301" s="9">
        <f t="shared" si="612"/>
        <v>78.694862137908586</v>
      </c>
    </row>
    <row r="1302" spans="1:10" ht="25.5">
      <c r="A1302" s="8" t="s">
        <v>64</v>
      </c>
      <c r="B1302" s="1" t="s">
        <v>718</v>
      </c>
      <c r="C1302" s="1" t="s">
        <v>65</v>
      </c>
      <c r="D1302" s="9">
        <v>6306.5</v>
      </c>
      <c r="E1302" s="9">
        <f>E1303</f>
        <v>6306.5</v>
      </c>
      <c r="F1302" s="9">
        <f t="shared" si="639"/>
        <v>1505.49</v>
      </c>
      <c r="G1302" s="9">
        <f t="shared" si="639"/>
        <v>1487.7597800000001</v>
      </c>
      <c r="H1302" s="9">
        <f t="shared" si="639"/>
        <v>1184.7432799999999</v>
      </c>
      <c r="I1302" s="9">
        <f t="shared" si="611"/>
        <v>18.786066439387934</v>
      </c>
      <c r="J1302" s="9">
        <f t="shared" si="612"/>
        <v>78.694862137908586</v>
      </c>
    </row>
    <row r="1303" spans="1:10" ht="25.5">
      <c r="A1303" s="8" t="s">
        <v>66</v>
      </c>
      <c r="B1303" s="1" t="s">
        <v>718</v>
      </c>
      <c r="C1303" s="1" t="s">
        <v>67</v>
      </c>
      <c r="D1303" s="9">
        <v>6306.5</v>
      </c>
      <c r="E1303" s="9">
        <f>ведомство!H1592</f>
        <v>6306.5</v>
      </c>
      <c r="F1303" s="9">
        <f>ведомство!I1592</f>
        <v>1505.49</v>
      </c>
      <c r="G1303" s="9">
        <f>ведомство!J1592</f>
        <v>1487.7597800000001</v>
      </c>
      <c r="H1303" s="9">
        <f>ведомство!K1592</f>
        <v>1184.7432799999999</v>
      </c>
      <c r="I1303" s="9">
        <f t="shared" si="611"/>
        <v>18.786066439387934</v>
      </c>
      <c r="J1303" s="9">
        <f t="shared" si="612"/>
        <v>78.694862137908586</v>
      </c>
    </row>
    <row r="1304" spans="1:10">
      <c r="A1304" s="4" t="s">
        <v>0</v>
      </c>
      <c r="B1304" s="17" t="s">
        <v>0</v>
      </c>
      <c r="C1304" s="5" t="s">
        <v>0</v>
      </c>
      <c r="D1304" s="7" t="s">
        <v>0</v>
      </c>
      <c r="E1304" s="7" t="s">
        <v>0</v>
      </c>
      <c r="F1304" s="7" t="s">
        <v>0</v>
      </c>
      <c r="G1304" s="7" t="s">
        <v>0</v>
      </c>
      <c r="H1304" s="7" t="s">
        <v>0</v>
      </c>
      <c r="I1304" s="7"/>
      <c r="J1304" s="7"/>
    </row>
    <row r="1305" spans="1:10" ht="25.5">
      <c r="A1305" s="4" t="s">
        <v>1094</v>
      </c>
      <c r="B1305" s="5" t="s">
        <v>1095</v>
      </c>
      <c r="C1305" s="5" t="s">
        <v>0</v>
      </c>
      <c r="D1305" s="7">
        <v>58926.7</v>
      </c>
      <c r="E1305" s="47">
        <f>E1306+E1313</f>
        <v>58926.7</v>
      </c>
      <c r="F1305" s="47">
        <f t="shared" ref="F1305:H1305" si="640">F1306+F1313</f>
        <v>31111.364000000001</v>
      </c>
      <c r="G1305" s="47">
        <f t="shared" si="640"/>
        <v>31111.364000000001</v>
      </c>
      <c r="H1305" s="47">
        <f t="shared" si="640"/>
        <v>27827.584160000002</v>
      </c>
      <c r="I1305" s="7">
        <f t="shared" si="611"/>
        <v>47.224066781272334</v>
      </c>
      <c r="J1305" s="7">
        <f t="shared" si="612"/>
        <v>89.445079167856477</v>
      </c>
    </row>
    <row r="1306" spans="1:10" ht="25.5">
      <c r="A1306" s="8" t="s">
        <v>58</v>
      </c>
      <c r="B1306" s="1" t="s">
        <v>1096</v>
      </c>
      <c r="C1306" s="1" t="s">
        <v>0</v>
      </c>
      <c r="D1306" s="9">
        <v>45478.6</v>
      </c>
      <c r="E1306" s="9">
        <f>E1307+E1309+E1311</f>
        <v>45478.6</v>
      </c>
      <c r="F1306" s="9">
        <f t="shared" ref="F1306:H1306" si="641">F1307+F1309+F1311</f>
        <v>24065.9</v>
      </c>
      <c r="G1306" s="9">
        <f t="shared" si="641"/>
        <v>24065.9</v>
      </c>
      <c r="H1306" s="9">
        <f t="shared" si="641"/>
        <v>21356.130060000003</v>
      </c>
      <c r="I1306" s="9">
        <f t="shared" si="611"/>
        <v>46.958635622028829</v>
      </c>
      <c r="J1306" s="9">
        <f t="shared" si="612"/>
        <v>88.740209424953989</v>
      </c>
    </row>
    <row r="1307" spans="1:10" ht="51">
      <c r="A1307" s="8" t="s">
        <v>60</v>
      </c>
      <c r="B1307" s="1" t="s">
        <v>1096</v>
      </c>
      <c r="C1307" s="1" t="s">
        <v>61</v>
      </c>
      <c r="D1307" s="9">
        <v>43549.8</v>
      </c>
      <c r="E1307" s="9">
        <f>E1308</f>
        <v>43549.8</v>
      </c>
      <c r="F1307" s="9">
        <f t="shared" ref="F1307:H1307" si="642">F1308</f>
        <v>23060</v>
      </c>
      <c r="G1307" s="9">
        <f t="shared" si="642"/>
        <v>23060</v>
      </c>
      <c r="H1307" s="9">
        <f t="shared" si="642"/>
        <v>20886.467380000002</v>
      </c>
      <c r="I1307" s="9">
        <f t="shared" si="611"/>
        <v>47.959961653095995</v>
      </c>
      <c r="J1307" s="9">
        <f t="shared" si="612"/>
        <v>90.574446574154393</v>
      </c>
    </row>
    <row r="1308" spans="1:10" ht="25.5">
      <c r="A1308" s="8" t="s">
        <v>62</v>
      </c>
      <c r="B1308" s="1" t="s">
        <v>1096</v>
      </c>
      <c r="C1308" s="1" t="s">
        <v>63</v>
      </c>
      <c r="D1308" s="9">
        <v>43549.8</v>
      </c>
      <c r="E1308" s="9">
        <f>ведомство!H2695</f>
        <v>43549.8</v>
      </c>
      <c r="F1308" s="9">
        <f>ведомство!I2695</f>
        <v>23060</v>
      </c>
      <c r="G1308" s="9">
        <f>ведомство!J2695</f>
        <v>23060</v>
      </c>
      <c r="H1308" s="9">
        <f>ведомство!K2695</f>
        <v>20886.467380000002</v>
      </c>
      <c r="I1308" s="9">
        <f t="shared" si="611"/>
        <v>47.959961653095995</v>
      </c>
      <c r="J1308" s="9">
        <f t="shared" si="612"/>
        <v>90.574446574154393</v>
      </c>
    </row>
    <row r="1309" spans="1:10" ht="25.5">
      <c r="A1309" s="8" t="s">
        <v>64</v>
      </c>
      <c r="B1309" s="1" t="s">
        <v>1096</v>
      </c>
      <c r="C1309" s="1" t="s">
        <v>65</v>
      </c>
      <c r="D1309" s="9">
        <v>1916.6</v>
      </c>
      <c r="E1309" s="9">
        <f>E1310</f>
        <v>1916.6</v>
      </c>
      <c r="F1309" s="9">
        <f t="shared" ref="F1309:H1309" si="643">F1310</f>
        <v>997.5</v>
      </c>
      <c r="G1309" s="9">
        <f t="shared" si="643"/>
        <v>997.5</v>
      </c>
      <c r="H1309" s="9">
        <f t="shared" si="643"/>
        <v>466.19868000000002</v>
      </c>
      <c r="I1309" s="9">
        <f t="shared" si="611"/>
        <v>24.324255452363563</v>
      </c>
      <c r="J1309" s="9">
        <f t="shared" si="612"/>
        <v>46.736709774436093</v>
      </c>
    </row>
    <row r="1310" spans="1:10" ht="25.5">
      <c r="A1310" s="8" t="s">
        <v>66</v>
      </c>
      <c r="B1310" s="1" t="s">
        <v>1096</v>
      </c>
      <c r="C1310" s="1" t="s">
        <v>67</v>
      </c>
      <c r="D1310" s="9">
        <v>1916.6</v>
      </c>
      <c r="E1310" s="9">
        <f>ведомство!H2697</f>
        <v>1916.6</v>
      </c>
      <c r="F1310" s="9">
        <f>ведомство!I2697</f>
        <v>997.5</v>
      </c>
      <c r="G1310" s="9">
        <f>ведомство!J2697</f>
        <v>997.5</v>
      </c>
      <c r="H1310" s="9">
        <f>ведомство!K2697</f>
        <v>466.19868000000002</v>
      </c>
      <c r="I1310" s="9">
        <f t="shared" si="611"/>
        <v>24.324255452363563</v>
      </c>
      <c r="J1310" s="9">
        <f t="shared" si="612"/>
        <v>46.736709774436093</v>
      </c>
    </row>
    <row r="1311" spans="1:10">
      <c r="A1311" s="8" t="s">
        <v>72</v>
      </c>
      <c r="B1311" s="1" t="s">
        <v>1096</v>
      </c>
      <c r="C1311" s="1" t="s">
        <v>73</v>
      </c>
      <c r="D1311" s="9">
        <v>12.2</v>
      </c>
      <c r="E1311" s="9">
        <f>E1312</f>
        <v>12.2</v>
      </c>
      <c r="F1311" s="9">
        <f t="shared" ref="F1311:H1311" si="644">F1312</f>
        <v>8.4</v>
      </c>
      <c r="G1311" s="9">
        <f t="shared" si="644"/>
        <v>8.4</v>
      </c>
      <c r="H1311" s="9">
        <f t="shared" si="644"/>
        <v>3.464</v>
      </c>
      <c r="I1311" s="9">
        <f t="shared" si="611"/>
        <v>28.393442622950822</v>
      </c>
      <c r="J1311" s="9">
        <f t="shared" si="612"/>
        <v>41.238095238095234</v>
      </c>
    </row>
    <row r="1312" spans="1:10">
      <c r="A1312" s="8" t="s">
        <v>74</v>
      </c>
      <c r="B1312" s="1" t="s">
        <v>1096</v>
      </c>
      <c r="C1312" s="1" t="s">
        <v>75</v>
      </c>
      <c r="D1312" s="9">
        <v>12.2</v>
      </c>
      <c r="E1312" s="9">
        <f>ведомство!H2699</f>
        <v>12.2</v>
      </c>
      <c r="F1312" s="9">
        <f>ведомство!I2699</f>
        <v>8.4</v>
      </c>
      <c r="G1312" s="9">
        <f>ведомство!J2699</f>
        <v>8.4</v>
      </c>
      <c r="H1312" s="9">
        <f>ведомство!K2699</f>
        <v>3.464</v>
      </c>
      <c r="I1312" s="9">
        <f t="shared" si="611"/>
        <v>28.393442622950822</v>
      </c>
      <c r="J1312" s="9">
        <f t="shared" si="612"/>
        <v>41.238095238095234</v>
      </c>
    </row>
    <row r="1313" spans="1:10" ht="25.5">
      <c r="A1313" s="8" t="s">
        <v>76</v>
      </c>
      <c r="B1313" s="1" t="s">
        <v>1097</v>
      </c>
      <c r="C1313" s="1" t="s">
        <v>0</v>
      </c>
      <c r="D1313" s="9">
        <v>13448.1</v>
      </c>
      <c r="E1313" s="9">
        <f>E1314+E1316+E1318</f>
        <v>13448.1</v>
      </c>
      <c r="F1313" s="9">
        <f t="shared" ref="F1313:H1313" si="645">F1314+F1316+F1318</f>
        <v>7045.4639999999999</v>
      </c>
      <c r="G1313" s="9">
        <f t="shared" si="645"/>
        <v>7045.4639999999999</v>
      </c>
      <c r="H1313" s="9">
        <f t="shared" si="645"/>
        <v>6471.4540999999999</v>
      </c>
      <c r="I1313" s="9">
        <f t="shared" si="611"/>
        <v>48.12169823246407</v>
      </c>
      <c r="J1313" s="9">
        <f t="shared" si="612"/>
        <v>91.852773642729574</v>
      </c>
    </row>
    <row r="1314" spans="1:10" ht="51">
      <c r="A1314" s="8" t="s">
        <v>60</v>
      </c>
      <c r="B1314" s="1" t="s">
        <v>1097</v>
      </c>
      <c r="C1314" s="1" t="s">
        <v>61</v>
      </c>
      <c r="D1314" s="9">
        <v>11202.8</v>
      </c>
      <c r="E1314" s="9">
        <f>E1315</f>
        <v>11202.758</v>
      </c>
      <c r="F1314" s="9">
        <f t="shared" ref="F1314:H1314" si="646">F1315</f>
        <v>5736.73</v>
      </c>
      <c r="G1314" s="9">
        <f t="shared" si="646"/>
        <v>5736.73</v>
      </c>
      <c r="H1314" s="9">
        <f t="shared" si="646"/>
        <v>5400.8461200000002</v>
      </c>
      <c r="I1314" s="9">
        <f t="shared" si="611"/>
        <v>48.209968652362214</v>
      </c>
      <c r="J1314" s="9">
        <f t="shared" si="612"/>
        <v>94.145028962492589</v>
      </c>
    </row>
    <row r="1315" spans="1:10">
      <c r="A1315" s="8" t="s">
        <v>78</v>
      </c>
      <c r="B1315" s="1" t="s">
        <v>1097</v>
      </c>
      <c r="C1315" s="1" t="s">
        <v>79</v>
      </c>
      <c r="D1315" s="9">
        <v>11202.8</v>
      </c>
      <c r="E1315" s="9">
        <f>ведомство!H2702</f>
        <v>11202.758</v>
      </c>
      <c r="F1315" s="9">
        <f>ведомство!I2702</f>
        <v>5736.73</v>
      </c>
      <c r="G1315" s="9">
        <f>ведомство!J2702</f>
        <v>5736.73</v>
      </c>
      <c r="H1315" s="9">
        <f>ведомство!K2702</f>
        <v>5400.8461200000002</v>
      </c>
      <c r="I1315" s="9">
        <f t="shared" si="611"/>
        <v>48.209968652362214</v>
      </c>
      <c r="J1315" s="9">
        <f t="shared" si="612"/>
        <v>94.145028962492589</v>
      </c>
    </row>
    <row r="1316" spans="1:10" ht="25.5">
      <c r="A1316" s="8" t="s">
        <v>64</v>
      </c>
      <c r="B1316" s="1" t="s">
        <v>1097</v>
      </c>
      <c r="C1316" s="1" t="s">
        <v>65</v>
      </c>
      <c r="D1316" s="9">
        <v>2240.3000000000002</v>
      </c>
      <c r="E1316" s="9">
        <f>E1317</f>
        <v>2240.3420000000001</v>
      </c>
      <c r="F1316" s="9">
        <f t="shared" ref="F1316:H1316" si="647">F1317</f>
        <v>1303.7339999999999</v>
      </c>
      <c r="G1316" s="9">
        <f t="shared" si="647"/>
        <v>1303.7339999999999</v>
      </c>
      <c r="H1316" s="9">
        <f t="shared" si="647"/>
        <v>1070.60798</v>
      </c>
      <c r="I1316" s="9">
        <f t="shared" si="611"/>
        <v>47.78770294892476</v>
      </c>
      <c r="J1316" s="9">
        <f t="shared" si="612"/>
        <v>82.118590141854099</v>
      </c>
    </row>
    <row r="1317" spans="1:10" ht="25.5">
      <c r="A1317" s="8" t="s">
        <v>66</v>
      </c>
      <c r="B1317" s="1" t="s">
        <v>1097</v>
      </c>
      <c r="C1317" s="1" t="s">
        <v>67</v>
      </c>
      <c r="D1317" s="9">
        <v>2240.3000000000002</v>
      </c>
      <c r="E1317" s="9">
        <f>ведомство!H2704</f>
        <v>2240.3420000000001</v>
      </c>
      <c r="F1317" s="9">
        <f>ведомство!I2704</f>
        <v>1303.7339999999999</v>
      </c>
      <c r="G1317" s="9">
        <f>ведомство!J2704</f>
        <v>1303.7339999999999</v>
      </c>
      <c r="H1317" s="9">
        <f>ведомство!K2704</f>
        <v>1070.60798</v>
      </c>
      <c r="I1317" s="9">
        <f t="shared" si="611"/>
        <v>47.78770294892476</v>
      </c>
      <c r="J1317" s="9">
        <f t="shared" si="612"/>
        <v>82.118590141854099</v>
      </c>
    </row>
    <row r="1318" spans="1:10">
      <c r="A1318" s="8" t="s">
        <v>72</v>
      </c>
      <c r="B1318" s="1" t="s">
        <v>1097</v>
      </c>
      <c r="C1318" s="1" t="s">
        <v>73</v>
      </c>
      <c r="D1318" s="9">
        <v>5</v>
      </c>
      <c r="E1318" s="9">
        <f>E1319</f>
        <v>5</v>
      </c>
      <c r="F1318" s="9">
        <f t="shared" ref="F1318:H1318" si="648">F1319</f>
        <v>5</v>
      </c>
      <c r="G1318" s="9">
        <f t="shared" si="648"/>
        <v>5</v>
      </c>
      <c r="H1318" s="9">
        <f t="shared" si="648"/>
        <v>0</v>
      </c>
      <c r="I1318" s="9">
        <f t="shared" ref="I1318:I1382" si="649">H1318/E1318*100</f>
        <v>0</v>
      </c>
      <c r="J1318" s="9">
        <f t="shared" ref="J1318:J1382" si="650">H1318/F1318*100</f>
        <v>0</v>
      </c>
    </row>
    <row r="1319" spans="1:10">
      <c r="A1319" s="8" t="s">
        <v>74</v>
      </c>
      <c r="B1319" s="1" t="s">
        <v>1097</v>
      </c>
      <c r="C1319" s="1" t="s">
        <v>75</v>
      </c>
      <c r="D1319" s="9">
        <v>5</v>
      </c>
      <c r="E1319" s="9">
        <f>ведомство!H2706</f>
        <v>5</v>
      </c>
      <c r="F1319" s="9">
        <f>ведомство!I2706</f>
        <v>5</v>
      </c>
      <c r="G1319" s="9">
        <f>ведомство!J2706</f>
        <v>5</v>
      </c>
      <c r="H1319" s="9">
        <f>ведомство!K2706</f>
        <v>0</v>
      </c>
      <c r="I1319" s="9">
        <f t="shared" si="649"/>
        <v>0</v>
      </c>
      <c r="J1319" s="9">
        <f t="shared" si="650"/>
        <v>0</v>
      </c>
    </row>
    <row r="1320" spans="1:10">
      <c r="A1320" s="4" t="s">
        <v>0</v>
      </c>
      <c r="B1320" s="17" t="s">
        <v>0</v>
      </c>
      <c r="C1320" s="5" t="s">
        <v>0</v>
      </c>
      <c r="D1320" s="7" t="s">
        <v>0</v>
      </c>
      <c r="E1320" s="7" t="s">
        <v>0</v>
      </c>
      <c r="F1320" s="7" t="s">
        <v>0</v>
      </c>
      <c r="G1320" s="7" t="s">
        <v>0</v>
      </c>
      <c r="H1320" s="7" t="s">
        <v>0</v>
      </c>
      <c r="I1320" s="7"/>
      <c r="J1320" s="7"/>
    </row>
    <row r="1321" spans="1:10" ht="38.25">
      <c r="A1321" s="4" t="s">
        <v>1007</v>
      </c>
      <c r="B1321" s="5" t="s">
        <v>1008</v>
      </c>
      <c r="C1321" s="5" t="s">
        <v>0</v>
      </c>
      <c r="D1321" s="7">
        <v>49279.7</v>
      </c>
      <c r="E1321" s="7">
        <f>E1322</f>
        <v>49279.7</v>
      </c>
      <c r="F1321" s="7">
        <f t="shared" ref="F1321:H1321" si="651">F1322</f>
        <v>24148.7</v>
      </c>
      <c r="G1321" s="7">
        <f t="shared" si="651"/>
        <v>24125.863670000002</v>
      </c>
      <c r="H1321" s="7">
        <f t="shared" si="651"/>
        <v>22620.655150000002</v>
      </c>
      <c r="I1321" s="7">
        <f t="shared" si="649"/>
        <v>45.90258290939272</v>
      </c>
      <c r="J1321" s="7">
        <f t="shared" si="650"/>
        <v>93.672351513746094</v>
      </c>
    </row>
    <row r="1322" spans="1:10" ht="25.5">
      <c r="A1322" s="8" t="s">
        <v>58</v>
      </c>
      <c r="B1322" s="1" t="s">
        <v>1009</v>
      </c>
      <c r="C1322" s="1" t="s">
        <v>0</v>
      </c>
      <c r="D1322" s="9">
        <v>49279.7</v>
      </c>
      <c r="E1322" s="9">
        <f>E1323+E1325+E1327</f>
        <v>49279.7</v>
      </c>
      <c r="F1322" s="9">
        <f t="shared" ref="F1322:H1322" si="652">F1323+F1325+F1327</f>
        <v>24148.7</v>
      </c>
      <c r="G1322" s="9">
        <f t="shared" si="652"/>
        <v>24125.863670000002</v>
      </c>
      <c r="H1322" s="9">
        <f t="shared" si="652"/>
        <v>22620.655150000002</v>
      </c>
      <c r="I1322" s="9">
        <f t="shared" si="649"/>
        <v>45.90258290939272</v>
      </c>
      <c r="J1322" s="9">
        <f t="shared" si="650"/>
        <v>93.672351513746094</v>
      </c>
    </row>
    <row r="1323" spans="1:10" ht="51">
      <c r="A1323" s="8" t="s">
        <v>60</v>
      </c>
      <c r="B1323" s="1" t="s">
        <v>1009</v>
      </c>
      <c r="C1323" s="1" t="s">
        <v>61</v>
      </c>
      <c r="D1323" s="9">
        <v>47585</v>
      </c>
      <c r="E1323" s="9">
        <f>E1324</f>
        <v>47585</v>
      </c>
      <c r="F1323" s="9">
        <f t="shared" ref="F1323:H1323" si="653">F1324</f>
        <v>23205</v>
      </c>
      <c r="G1323" s="9">
        <f t="shared" si="653"/>
        <v>23205</v>
      </c>
      <c r="H1323" s="9">
        <f t="shared" si="653"/>
        <v>21801.44543</v>
      </c>
      <c r="I1323" s="9">
        <f t="shared" si="649"/>
        <v>45.815793695492275</v>
      </c>
      <c r="J1323" s="9">
        <f t="shared" si="650"/>
        <v>93.951499375134674</v>
      </c>
    </row>
    <row r="1324" spans="1:10" ht="25.5">
      <c r="A1324" s="8" t="s">
        <v>62</v>
      </c>
      <c r="B1324" s="1" t="s">
        <v>1009</v>
      </c>
      <c r="C1324" s="1" t="s">
        <v>63</v>
      </c>
      <c r="D1324" s="9">
        <v>47585</v>
      </c>
      <c r="E1324" s="9">
        <f>ведомство!H2427</f>
        <v>47585</v>
      </c>
      <c r="F1324" s="9">
        <f>ведомство!I2427</f>
        <v>23205</v>
      </c>
      <c r="G1324" s="9">
        <f>ведомство!J2427</f>
        <v>23205</v>
      </c>
      <c r="H1324" s="9">
        <f>ведомство!K2427</f>
        <v>21801.44543</v>
      </c>
      <c r="I1324" s="9">
        <f t="shared" si="649"/>
        <v>45.815793695492275</v>
      </c>
      <c r="J1324" s="9">
        <f t="shared" si="650"/>
        <v>93.951499375134674</v>
      </c>
    </row>
    <row r="1325" spans="1:10" ht="25.5">
      <c r="A1325" s="8" t="s">
        <v>64</v>
      </c>
      <c r="B1325" s="1" t="s">
        <v>1009</v>
      </c>
      <c r="C1325" s="1" t="s">
        <v>65</v>
      </c>
      <c r="D1325" s="9">
        <v>1633.7</v>
      </c>
      <c r="E1325" s="9">
        <f>E1326</f>
        <v>1633.7</v>
      </c>
      <c r="F1325" s="9">
        <f t="shared" ref="F1325:H1325" si="654">F1326</f>
        <v>913.7</v>
      </c>
      <c r="G1325" s="9">
        <f t="shared" si="654"/>
        <v>913.7</v>
      </c>
      <c r="H1325" s="9">
        <f t="shared" si="654"/>
        <v>812.04605000000004</v>
      </c>
      <c r="I1325" s="9">
        <f t="shared" si="649"/>
        <v>49.705946624227217</v>
      </c>
      <c r="J1325" s="9">
        <f t="shared" si="650"/>
        <v>88.874471927328443</v>
      </c>
    </row>
    <row r="1326" spans="1:10" ht="25.5">
      <c r="A1326" s="8" t="s">
        <v>66</v>
      </c>
      <c r="B1326" s="1" t="s">
        <v>1009</v>
      </c>
      <c r="C1326" s="1" t="s">
        <v>67</v>
      </c>
      <c r="D1326" s="9">
        <v>1633.7</v>
      </c>
      <c r="E1326" s="9">
        <f>ведомство!H2429</f>
        <v>1633.7</v>
      </c>
      <c r="F1326" s="9">
        <f>ведомство!I2429</f>
        <v>913.7</v>
      </c>
      <c r="G1326" s="9">
        <f>ведомство!J2429</f>
        <v>913.7</v>
      </c>
      <c r="H1326" s="9">
        <f>ведомство!K2429</f>
        <v>812.04605000000004</v>
      </c>
      <c r="I1326" s="9">
        <f t="shared" si="649"/>
        <v>49.705946624227217</v>
      </c>
      <c r="J1326" s="9">
        <f t="shared" si="650"/>
        <v>88.874471927328443</v>
      </c>
    </row>
    <row r="1327" spans="1:10">
      <c r="A1327" s="8" t="s">
        <v>72</v>
      </c>
      <c r="B1327" s="1" t="s">
        <v>1009</v>
      </c>
      <c r="C1327" s="1" t="s">
        <v>73</v>
      </c>
      <c r="D1327" s="9">
        <v>61</v>
      </c>
      <c r="E1327" s="9">
        <f>E1329+E1328</f>
        <v>61</v>
      </c>
      <c r="F1327" s="9">
        <f t="shared" ref="F1327:H1327" si="655">F1329+F1328</f>
        <v>30</v>
      </c>
      <c r="G1327" s="9">
        <f t="shared" si="655"/>
        <v>7.1636699999999998</v>
      </c>
      <c r="H1327" s="9">
        <f t="shared" si="655"/>
        <v>7.1636699999999998</v>
      </c>
      <c r="I1327" s="9">
        <f t="shared" si="649"/>
        <v>11.74372131147541</v>
      </c>
      <c r="J1327" s="9">
        <f t="shared" si="650"/>
        <v>23.878900000000002</v>
      </c>
    </row>
    <row r="1328" spans="1:10" s="43" customFormat="1">
      <c r="A1328" s="26" t="s">
        <v>84</v>
      </c>
      <c r="B1328" s="1" t="s">
        <v>1009</v>
      </c>
      <c r="C1328" s="1">
        <v>830</v>
      </c>
      <c r="D1328" s="9"/>
      <c r="E1328" s="9">
        <f>ведомство!H2431</f>
        <v>3</v>
      </c>
      <c r="F1328" s="9">
        <f>ведомство!I2431</f>
        <v>3</v>
      </c>
      <c r="G1328" s="9">
        <f>ведомство!J2431</f>
        <v>3</v>
      </c>
      <c r="H1328" s="9">
        <f>ведомство!K2431</f>
        <v>3</v>
      </c>
      <c r="I1328" s="9"/>
      <c r="J1328" s="9"/>
    </row>
    <row r="1329" spans="1:10">
      <c r="A1329" s="8" t="s">
        <v>74</v>
      </c>
      <c r="B1329" s="1" t="s">
        <v>1009</v>
      </c>
      <c r="C1329" s="1" t="s">
        <v>75</v>
      </c>
      <c r="D1329" s="9">
        <v>61</v>
      </c>
      <c r="E1329" s="9">
        <f>ведомство!H2432</f>
        <v>58</v>
      </c>
      <c r="F1329" s="9">
        <f>ведомство!I2432</f>
        <v>27</v>
      </c>
      <c r="G1329" s="9">
        <f>ведомство!J2432</f>
        <v>4.1636699999999998</v>
      </c>
      <c r="H1329" s="9">
        <f>ведомство!K2432</f>
        <v>4.1636699999999998</v>
      </c>
      <c r="I1329" s="9">
        <f t="shared" si="649"/>
        <v>7.1787413793103436</v>
      </c>
      <c r="J1329" s="9">
        <f t="shared" si="650"/>
        <v>15.420999999999999</v>
      </c>
    </row>
    <row r="1330" spans="1:10">
      <c r="A1330" s="4" t="s">
        <v>0</v>
      </c>
      <c r="B1330" s="17" t="s">
        <v>0</v>
      </c>
      <c r="C1330" s="5" t="s">
        <v>0</v>
      </c>
      <c r="D1330" s="7" t="s">
        <v>0</v>
      </c>
      <c r="E1330" s="7" t="s">
        <v>0</v>
      </c>
      <c r="F1330" s="7"/>
      <c r="G1330" s="7"/>
      <c r="H1330" s="7"/>
      <c r="I1330" s="7"/>
      <c r="J1330" s="7"/>
    </row>
    <row r="1331" spans="1:10" ht="25.5">
      <c r="A1331" s="4" t="s">
        <v>482</v>
      </c>
      <c r="B1331" s="5" t="s">
        <v>483</v>
      </c>
      <c r="C1331" s="5" t="s">
        <v>0</v>
      </c>
      <c r="D1331" s="7">
        <v>3494</v>
      </c>
      <c r="E1331" s="7">
        <f>E1332+E1335</f>
        <v>3494</v>
      </c>
      <c r="F1331" s="7">
        <f t="shared" ref="F1331:H1331" si="656">F1332+F1335</f>
        <v>1186.5</v>
      </c>
      <c r="G1331" s="7">
        <f t="shared" si="656"/>
        <v>1185.8696599999998</v>
      </c>
      <c r="H1331" s="7">
        <f t="shared" si="656"/>
        <v>1185.8696599999998</v>
      </c>
      <c r="I1331" s="7">
        <f t="shared" si="649"/>
        <v>33.940173440183166</v>
      </c>
      <c r="J1331" s="7">
        <f t="shared" si="650"/>
        <v>99.946873999157177</v>
      </c>
    </row>
    <row r="1332" spans="1:10" ht="25.5">
      <c r="A1332" s="8" t="s">
        <v>592</v>
      </c>
      <c r="B1332" s="1" t="s">
        <v>593</v>
      </c>
      <c r="C1332" s="1" t="s">
        <v>0</v>
      </c>
      <c r="D1332" s="9">
        <v>2569</v>
      </c>
      <c r="E1332" s="9">
        <f>E1333</f>
        <v>2569</v>
      </c>
      <c r="F1332" s="9">
        <f t="shared" ref="F1332:H1333" si="657">F1333</f>
        <v>724</v>
      </c>
      <c r="G1332" s="9">
        <f t="shared" si="657"/>
        <v>723.36965999999995</v>
      </c>
      <c r="H1332" s="9">
        <f t="shared" si="657"/>
        <v>723.36965999999995</v>
      </c>
      <c r="I1332" s="9">
        <f t="shared" si="649"/>
        <v>28.157635655897234</v>
      </c>
      <c r="J1332" s="9">
        <f t="shared" si="650"/>
        <v>99.912936464088389</v>
      </c>
    </row>
    <row r="1333" spans="1:10">
      <c r="A1333" s="8" t="s">
        <v>26</v>
      </c>
      <c r="B1333" s="1" t="s">
        <v>593</v>
      </c>
      <c r="C1333" s="1" t="s">
        <v>27</v>
      </c>
      <c r="D1333" s="9">
        <v>2569</v>
      </c>
      <c r="E1333" s="9">
        <f>E1334</f>
        <v>2569</v>
      </c>
      <c r="F1333" s="9">
        <f t="shared" si="657"/>
        <v>724</v>
      </c>
      <c r="G1333" s="9">
        <f t="shared" si="657"/>
        <v>723.36965999999995</v>
      </c>
      <c r="H1333" s="9">
        <f t="shared" si="657"/>
        <v>723.36965999999995</v>
      </c>
      <c r="I1333" s="9">
        <f t="shared" si="649"/>
        <v>28.157635655897234</v>
      </c>
      <c r="J1333" s="9">
        <f t="shared" si="650"/>
        <v>99.912936464088389</v>
      </c>
    </row>
    <row r="1334" spans="1:10">
      <c r="A1334" s="8" t="s">
        <v>56</v>
      </c>
      <c r="B1334" s="1" t="s">
        <v>593</v>
      </c>
      <c r="C1334" s="1" t="s">
        <v>57</v>
      </c>
      <c r="D1334" s="9">
        <v>2569</v>
      </c>
      <c r="E1334" s="9">
        <f>ведомство!H1335</f>
        <v>2569</v>
      </c>
      <c r="F1334" s="9">
        <f>ведомство!I1335</f>
        <v>724</v>
      </c>
      <c r="G1334" s="9">
        <f>ведомство!J1335</f>
        <v>723.36965999999995</v>
      </c>
      <c r="H1334" s="9">
        <f>ведомство!K1335</f>
        <v>723.36965999999995</v>
      </c>
      <c r="I1334" s="9">
        <f t="shared" si="649"/>
        <v>28.157635655897234</v>
      </c>
      <c r="J1334" s="9">
        <f t="shared" si="650"/>
        <v>99.912936464088389</v>
      </c>
    </row>
    <row r="1335" spans="1:10" ht="25.5">
      <c r="A1335" s="8" t="s">
        <v>484</v>
      </c>
      <c r="B1335" s="1" t="s">
        <v>485</v>
      </c>
      <c r="C1335" s="1" t="s">
        <v>0</v>
      </c>
      <c r="D1335" s="9">
        <v>925</v>
      </c>
      <c r="E1335" s="9">
        <f>E1336</f>
        <v>925</v>
      </c>
      <c r="F1335" s="9">
        <f t="shared" ref="F1335:H1336" si="658">F1336</f>
        <v>462.5</v>
      </c>
      <c r="G1335" s="9">
        <f t="shared" si="658"/>
        <v>462.5</v>
      </c>
      <c r="H1335" s="9">
        <f t="shared" si="658"/>
        <v>462.5</v>
      </c>
      <c r="I1335" s="9">
        <f t="shared" si="649"/>
        <v>50</v>
      </c>
      <c r="J1335" s="9">
        <f t="shared" si="650"/>
        <v>100</v>
      </c>
    </row>
    <row r="1336" spans="1:10">
      <c r="A1336" s="8" t="s">
        <v>26</v>
      </c>
      <c r="B1336" s="1" t="s">
        <v>485</v>
      </c>
      <c r="C1336" s="1" t="s">
        <v>27</v>
      </c>
      <c r="D1336" s="9">
        <v>925</v>
      </c>
      <c r="E1336" s="9">
        <f>E1337</f>
        <v>925</v>
      </c>
      <c r="F1336" s="9">
        <f t="shared" si="658"/>
        <v>462.5</v>
      </c>
      <c r="G1336" s="9">
        <f t="shared" si="658"/>
        <v>462.5</v>
      </c>
      <c r="H1336" s="9">
        <f t="shared" si="658"/>
        <v>462.5</v>
      </c>
      <c r="I1336" s="9">
        <f t="shared" si="649"/>
        <v>50</v>
      </c>
      <c r="J1336" s="9">
        <f t="shared" si="650"/>
        <v>100</v>
      </c>
    </row>
    <row r="1337" spans="1:10">
      <c r="A1337" s="8" t="s">
        <v>28</v>
      </c>
      <c r="B1337" s="1" t="s">
        <v>485</v>
      </c>
      <c r="C1337" s="1" t="s">
        <v>29</v>
      </c>
      <c r="D1337" s="9">
        <v>925</v>
      </c>
      <c r="E1337" s="9">
        <f>ведомство!H1112</f>
        <v>925</v>
      </c>
      <c r="F1337" s="9">
        <f>ведомство!I1112</f>
        <v>462.5</v>
      </c>
      <c r="G1337" s="9">
        <f>ведомство!J1112</f>
        <v>462.5</v>
      </c>
      <c r="H1337" s="9">
        <f>ведомство!K1112</f>
        <v>462.5</v>
      </c>
      <c r="I1337" s="9">
        <f t="shared" si="649"/>
        <v>50</v>
      </c>
      <c r="J1337" s="9">
        <f t="shared" si="650"/>
        <v>100</v>
      </c>
    </row>
    <row r="1338" spans="1:10">
      <c r="A1338" s="4" t="s">
        <v>0</v>
      </c>
      <c r="B1338" s="17" t="s">
        <v>0</v>
      </c>
      <c r="C1338" s="5" t="s">
        <v>0</v>
      </c>
      <c r="D1338" s="7" t="s">
        <v>0</v>
      </c>
      <c r="E1338" s="7" t="s">
        <v>0</v>
      </c>
      <c r="F1338" s="7"/>
      <c r="G1338" s="7"/>
      <c r="H1338" s="7"/>
      <c r="I1338" s="7"/>
      <c r="J1338" s="7"/>
    </row>
    <row r="1339" spans="1:10" ht="25.5">
      <c r="A1339" s="4" t="s">
        <v>231</v>
      </c>
      <c r="B1339" s="5" t="s">
        <v>232</v>
      </c>
      <c r="C1339" s="5" t="s">
        <v>0</v>
      </c>
      <c r="D1339" s="7">
        <v>934866</v>
      </c>
      <c r="E1339" s="7">
        <f>E1340+E1353+E1361+E1375</f>
        <v>934866</v>
      </c>
      <c r="F1339" s="7">
        <f t="shared" ref="F1339:H1339" si="659">F1340+F1353+F1361+F1375</f>
        <v>393935.62595000002</v>
      </c>
      <c r="G1339" s="7">
        <f t="shared" si="659"/>
        <v>393935.62595000002</v>
      </c>
      <c r="H1339" s="7">
        <f t="shared" si="659"/>
        <v>366462.05738999997</v>
      </c>
      <c r="I1339" s="7">
        <f t="shared" si="649"/>
        <v>39.199420814319915</v>
      </c>
      <c r="J1339" s="7">
        <f t="shared" si="650"/>
        <v>93.02587358182042</v>
      </c>
    </row>
    <row r="1340" spans="1:10">
      <c r="A1340" s="4" t="s">
        <v>243</v>
      </c>
      <c r="B1340" s="5" t="s">
        <v>244</v>
      </c>
      <c r="C1340" s="5" t="s">
        <v>0</v>
      </c>
      <c r="D1340" s="7">
        <v>102087</v>
      </c>
      <c r="E1340" s="7">
        <f>E1341+E1346+E1349</f>
        <v>102087</v>
      </c>
      <c r="F1340" s="7">
        <f t="shared" ref="F1340:H1340" si="660">F1341+F1346+F1349</f>
        <v>20661.7</v>
      </c>
      <c r="G1340" s="7">
        <f t="shared" si="660"/>
        <v>20661.7</v>
      </c>
      <c r="H1340" s="7">
        <f t="shared" si="660"/>
        <v>10960.05524</v>
      </c>
      <c r="I1340" s="7">
        <f t="shared" si="649"/>
        <v>10.735995023852205</v>
      </c>
      <c r="J1340" s="7">
        <f t="shared" si="650"/>
        <v>53.04527333181683</v>
      </c>
    </row>
    <row r="1341" spans="1:10" ht="25.5">
      <c r="A1341" s="8" t="s">
        <v>245</v>
      </c>
      <c r="B1341" s="1" t="s">
        <v>246</v>
      </c>
      <c r="C1341" s="1" t="s">
        <v>0</v>
      </c>
      <c r="D1341" s="9">
        <v>62247</v>
      </c>
      <c r="E1341" s="9">
        <f>E1342+E1344</f>
        <v>62247</v>
      </c>
      <c r="F1341" s="9">
        <f t="shared" ref="F1341:H1341" si="661">F1342+F1344</f>
        <v>11861.7</v>
      </c>
      <c r="G1341" s="9">
        <f t="shared" si="661"/>
        <v>11861.7</v>
      </c>
      <c r="H1341" s="9">
        <f t="shared" si="661"/>
        <v>6960.0552399999997</v>
      </c>
      <c r="I1341" s="9">
        <f t="shared" si="649"/>
        <v>11.181350490786704</v>
      </c>
      <c r="J1341" s="9">
        <f t="shared" si="650"/>
        <v>58.676709409275233</v>
      </c>
    </row>
    <row r="1342" spans="1:10" ht="25.5">
      <c r="A1342" s="8" t="s">
        <v>64</v>
      </c>
      <c r="B1342" s="1" t="s">
        <v>246</v>
      </c>
      <c r="C1342" s="1" t="s">
        <v>65</v>
      </c>
      <c r="D1342" s="9">
        <v>53694.9</v>
      </c>
      <c r="E1342" s="9">
        <f>E1343</f>
        <v>53694.9</v>
      </c>
      <c r="F1342" s="9">
        <f t="shared" ref="F1342:H1342" si="662">F1343</f>
        <v>8432</v>
      </c>
      <c r="G1342" s="9">
        <f t="shared" si="662"/>
        <v>8432</v>
      </c>
      <c r="H1342" s="9">
        <f t="shared" si="662"/>
        <v>3532</v>
      </c>
      <c r="I1342" s="9">
        <f t="shared" si="649"/>
        <v>6.5779059091273098</v>
      </c>
      <c r="J1342" s="9">
        <f t="shared" si="650"/>
        <v>41.888045540796966</v>
      </c>
    </row>
    <row r="1343" spans="1:10" ht="25.5">
      <c r="A1343" s="8" t="s">
        <v>66</v>
      </c>
      <c r="B1343" s="1" t="s">
        <v>246</v>
      </c>
      <c r="C1343" s="1" t="s">
        <v>67</v>
      </c>
      <c r="D1343" s="9">
        <v>53694.9</v>
      </c>
      <c r="E1343" s="9">
        <f>ведомство!H388</f>
        <v>53694.9</v>
      </c>
      <c r="F1343" s="9">
        <f>ведомство!I388</f>
        <v>8432</v>
      </c>
      <c r="G1343" s="9">
        <f>ведомство!J388</f>
        <v>8432</v>
      </c>
      <c r="H1343" s="9">
        <f>ведомство!K388</f>
        <v>3532</v>
      </c>
      <c r="I1343" s="9">
        <f t="shared" si="649"/>
        <v>6.5779059091273098</v>
      </c>
      <c r="J1343" s="9">
        <f t="shared" si="650"/>
        <v>41.888045540796966</v>
      </c>
    </row>
    <row r="1344" spans="1:10" ht="25.5">
      <c r="A1344" s="8" t="s">
        <v>80</v>
      </c>
      <c r="B1344" s="1" t="s">
        <v>246</v>
      </c>
      <c r="C1344" s="1" t="s">
        <v>81</v>
      </c>
      <c r="D1344" s="9">
        <v>8552.1</v>
      </c>
      <c r="E1344" s="9">
        <f>E1345</f>
        <v>8552.1</v>
      </c>
      <c r="F1344" s="9">
        <f t="shared" ref="F1344:H1344" si="663">F1345</f>
        <v>3429.7</v>
      </c>
      <c r="G1344" s="9">
        <f t="shared" si="663"/>
        <v>3429.7</v>
      </c>
      <c r="H1344" s="9">
        <f t="shared" si="663"/>
        <v>3428.0552400000001</v>
      </c>
      <c r="I1344" s="9">
        <f t="shared" si="649"/>
        <v>40.084368049952644</v>
      </c>
      <c r="J1344" s="9">
        <f t="shared" si="650"/>
        <v>99.952043618975424</v>
      </c>
    </row>
    <row r="1345" spans="1:10">
      <c r="A1345" s="8" t="s">
        <v>82</v>
      </c>
      <c r="B1345" s="1" t="s">
        <v>246</v>
      </c>
      <c r="C1345" s="1" t="s">
        <v>83</v>
      </c>
      <c r="D1345" s="9">
        <v>8552.1</v>
      </c>
      <c r="E1345" s="9">
        <f>ведомство!H390</f>
        <v>8552.1</v>
      </c>
      <c r="F1345" s="9">
        <f>ведомство!I390</f>
        <v>3429.7</v>
      </c>
      <c r="G1345" s="9">
        <f>ведомство!J390</f>
        <v>3429.7</v>
      </c>
      <c r="H1345" s="9">
        <f>ведомство!K390</f>
        <v>3428.0552400000001</v>
      </c>
      <c r="I1345" s="9">
        <f t="shared" si="649"/>
        <v>40.084368049952644</v>
      </c>
      <c r="J1345" s="9">
        <f t="shared" si="650"/>
        <v>99.952043618975424</v>
      </c>
    </row>
    <row r="1346" spans="1:10" ht="25.5">
      <c r="A1346" s="8" t="s">
        <v>76</v>
      </c>
      <c r="B1346" s="1" t="s">
        <v>247</v>
      </c>
      <c r="C1346" s="1" t="s">
        <v>0</v>
      </c>
      <c r="D1346" s="9">
        <v>37840</v>
      </c>
      <c r="E1346" s="9">
        <f>E1347</f>
        <v>37840</v>
      </c>
      <c r="F1346" s="9">
        <f t="shared" ref="F1346:H1347" si="664">F1347</f>
        <v>8800</v>
      </c>
      <c r="G1346" s="9">
        <f t="shared" si="664"/>
        <v>8800</v>
      </c>
      <c r="H1346" s="9">
        <f t="shared" si="664"/>
        <v>4000</v>
      </c>
      <c r="I1346" s="9">
        <f t="shared" si="649"/>
        <v>10.570824524312897</v>
      </c>
      <c r="J1346" s="9">
        <f t="shared" si="650"/>
        <v>45.454545454545453</v>
      </c>
    </row>
    <row r="1347" spans="1:10" ht="25.5">
      <c r="A1347" s="8" t="s">
        <v>80</v>
      </c>
      <c r="B1347" s="1" t="s">
        <v>247</v>
      </c>
      <c r="C1347" s="1" t="s">
        <v>81</v>
      </c>
      <c r="D1347" s="9">
        <v>37840</v>
      </c>
      <c r="E1347" s="9">
        <f>E1348</f>
        <v>37840</v>
      </c>
      <c r="F1347" s="9">
        <f t="shared" si="664"/>
        <v>8800</v>
      </c>
      <c r="G1347" s="9">
        <f t="shared" si="664"/>
        <v>8800</v>
      </c>
      <c r="H1347" s="9">
        <f t="shared" si="664"/>
        <v>4000</v>
      </c>
      <c r="I1347" s="9">
        <f t="shared" si="649"/>
        <v>10.570824524312897</v>
      </c>
      <c r="J1347" s="9">
        <f t="shared" si="650"/>
        <v>45.454545454545453</v>
      </c>
    </row>
    <row r="1348" spans="1:10">
      <c r="A1348" s="8" t="s">
        <v>82</v>
      </c>
      <c r="B1348" s="1" t="s">
        <v>247</v>
      </c>
      <c r="C1348" s="1" t="s">
        <v>83</v>
      </c>
      <c r="D1348" s="9">
        <v>37840</v>
      </c>
      <c r="E1348" s="9">
        <f>ведомство!H393</f>
        <v>37840</v>
      </c>
      <c r="F1348" s="9">
        <f>ведомство!I393</f>
        <v>8800</v>
      </c>
      <c r="G1348" s="9">
        <f>ведомство!J393</f>
        <v>8800</v>
      </c>
      <c r="H1348" s="9">
        <f>ведомство!K393</f>
        <v>4000</v>
      </c>
      <c r="I1348" s="9">
        <f t="shared" si="649"/>
        <v>10.570824524312897</v>
      </c>
      <c r="J1348" s="9">
        <f t="shared" si="650"/>
        <v>45.454545454545453</v>
      </c>
    </row>
    <row r="1349" spans="1:10" ht="25.5">
      <c r="A1349" s="8" t="s">
        <v>248</v>
      </c>
      <c r="B1349" s="1" t="s">
        <v>249</v>
      </c>
      <c r="C1349" s="1" t="s">
        <v>0</v>
      </c>
      <c r="D1349" s="9">
        <v>2000</v>
      </c>
      <c r="E1349" s="9">
        <f>E1350</f>
        <v>2000</v>
      </c>
      <c r="F1349" s="9">
        <f t="shared" ref="F1349:H1350" si="665">F1350</f>
        <v>0</v>
      </c>
      <c r="G1349" s="9">
        <f t="shared" si="665"/>
        <v>0</v>
      </c>
      <c r="H1349" s="9">
        <f t="shared" si="665"/>
        <v>0</v>
      </c>
      <c r="I1349" s="9">
        <f t="shared" si="649"/>
        <v>0</v>
      </c>
      <c r="J1349" s="9">
        <v>0</v>
      </c>
    </row>
    <row r="1350" spans="1:10" ht="25.5">
      <c r="A1350" s="8" t="s">
        <v>64</v>
      </c>
      <c r="B1350" s="1" t="s">
        <v>249</v>
      </c>
      <c r="C1350" s="1" t="s">
        <v>65</v>
      </c>
      <c r="D1350" s="9">
        <v>2000</v>
      </c>
      <c r="E1350" s="9">
        <f>E1351</f>
        <v>2000</v>
      </c>
      <c r="F1350" s="9">
        <f t="shared" si="665"/>
        <v>0</v>
      </c>
      <c r="G1350" s="9">
        <f t="shared" si="665"/>
        <v>0</v>
      </c>
      <c r="H1350" s="9">
        <f t="shared" si="665"/>
        <v>0</v>
      </c>
      <c r="I1350" s="9">
        <f t="shared" si="649"/>
        <v>0</v>
      </c>
      <c r="J1350" s="9">
        <v>0</v>
      </c>
    </row>
    <row r="1351" spans="1:10" ht="25.5">
      <c r="A1351" s="8" t="s">
        <v>66</v>
      </c>
      <c r="B1351" s="1" t="s">
        <v>249</v>
      </c>
      <c r="C1351" s="1" t="s">
        <v>67</v>
      </c>
      <c r="D1351" s="9">
        <v>2000</v>
      </c>
      <c r="E1351" s="9">
        <f>ведомство!H396</f>
        <v>2000</v>
      </c>
      <c r="F1351" s="9">
        <f>ведомство!I396</f>
        <v>0</v>
      </c>
      <c r="G1351" s="9">
        <f>ведомство!J396</f>
        <v>0</v>
      </c>
      <c r="H1351" s="9">
        <f>ведомство!K396</f>
        <v>0</v>
      </c>
      <c r="I1351" s="9">
        <f t="shared" si="649"/>
        <v>0</v>
      </c>
      <c r="J1351" s="9">
        <v>0</v>
      </c>
    </row>
    <row r="1352" spans="1:10">
      <c r="A1352" s="4" t="s">
        <v>0</v>
      </c>
      <c r="B1352" s="17" t="s">
        <v>0</v>
      </c>
      <c r="C1352" s="5" t="s">
        <v>0</v>
      </c>
      <c r="D1352" s="7" t="s">
        <v>0</v>
      </c>
      <c r="E1352" s="7" t="s">
        <v>0</v>
      </c>
      <c r="F1352" s="7" t="s">
        <v>0</v>
      </c>
      <c r="G1352" s="7" t="s">
        <v>0</v>
      </c>
      <c r="H1352" s="7" t="s">
        <v>0</v>
      </c>
      <c r="I1352" s="7"/>
      <c r="J1352" s="7"/>
    </row>
    <row r="1353" spans="1:10">
      <c r="A1353" s="4" t="s">
        <v>250</v>
      </c>
      <c r="B1353" s="5" t="s">
        <v>251</v>
      </c>
      <c r="C1353" s="5" t="s">
        <v>0</v>
      </c>
      <c r="D1353" s="7">
        <v>28578.799999999999</v>
      </c>
      <c r="E1353" s="7">
        <f>E1354+E1357</f>
        <v>28578.800000000003</v>
      </c>
      <c r="F1353" s="7">
        <f t="shared" ref="F1353:H1353" si="666">F1354+F1357</f>
        <v>5321.8</v>
      </c>
      <c r="G1353" s="7">
        <f t="shared" si="666"/>
        <v>5321.8</v>
      </c>
      <c r="H1353" s="7">
        <f t="shared" si="666"/>
        <v>4118.9550900000004</v>
      </c>
      <c r="I1353" s="7">
        <f t="shared" si="649"/>
        <v>14.412624357915657</v>
      </c>
      <c r="J1353" s="7">
        <f t="shared" si="650"/>
        <v>77.397780638129959</v>
      </c>
    </row>
    <row r="1354" spans="1:10" ht="25.5">
      <c r="A1354" s="8" t="s">
        <v>245</v>
      </c>
      <c r="B1354" s="1" t="s">
        <v>252</v>
      </c>
      <c r="C1354" s="1" t="s">
        <v>0</v>
      </c>
      <c r="D1354" s="9">
        <v>12309.1</v>
      </c>
      <c r="E1354" s="9">
        <f>E1355</f>
        <v>12309.1</v>
      </c>
      <c r="F1354" s="9">
        <f t="shared" ref="F1354:H1355" si="667">F1355</f>
        <v>4121.8</v>
      </c>
      <c r="G1354" s="9">
        <f t="shared" si="667"/>
        <v>4121.8</v>
      </c>
      <c r="H1354" s="9">
        <f t="shared" si="667"/>
        <v>4118.9550900000004</v>
      </c>
      <c r="I1354" s="9">
        <f t="shared" si="649"/>
        <v>33.462682811903392</v>
      </c>
      <c r="J1354" s="9">
        <f t="shared" si="650"/>
        <v>99.930978941239275</v>
      </c>
    </row>
    <row r="1355" spans="1:10" ht="25.5">
      <c r="A1355" s="8" t="s">
        <v>80</v>
      </c>
      <c r="B1355" s="1" t="s">
        <v>252</v>
      </c>
      <c r="C1355" s="1" t="s">
        <v>81</v>
      </c>
      <c r="D1355" s="9">
        <v>12309.1</v>
      </c>
      <c r="E1355" s="9">
        <f>E1356</f>
        <v>12309.1</v>
      </c>
      <c r="F1355" s="9">
        <f t="shared" si="667"/>
        <v>4121.8</v>
      </c>
      <c r="G1355" s="9">
        <f t="shared" si="667"/>
        <v>4121.8</v>
      </c>
      <c r="H1355" s="9">
        <f t="shared" si="667"/>
        <v>4118.9550900000004</v>
      </c>
      <c r="I1355" s="9">
        <f t="shared" si="649"/>
        <v>33.462682811903392</v>
      </c>
      <c r="J1355" s="9">
        <f t="shared" si="650"/>
        <v>99.930978941239275</v>
      </c>
    </row>
    <row r="1356" spans="1:10">
      <c r="A1356" s="8" t="s">
        <v>82</v>
      </c>
      <c r="B1356" s="1" t="s">
        <v>252</v>
      </c>
      <c r="C1356" s="1" t="s">
        <v>83</v>
      </c>
      <c r="D1356" s="9">
        <v>12309.1</v>
      </c>
      <c r="E1356" s="9">
        <f>ведомство!H400</f>
        <v>12309.1</v>
      </c>
      <c r="F1356" s="9">
        <f>ведомство!I400</f>
        <v>4121.8</v>
      </c>
      <c r="G1356" s="9">
        <f>ведомство!J400</f>
        <v>4121.8</v>
      </c>
      <c r="H1356" s="9">
        <f>ведомство!K400</f>
        <v>4118.9550900000004</v>
      </c>
      <c r="I1356" s="9">
        <f t="shared" si="649"/>
        <v>33.462682811903392</v>
      </c>
      <c r="J1356" s="9">
        <f t="shared" si="650"/>
        <v>99.930978941239275</v>
      </c>
    </row>
    <row r="1357" spans="1:10" ht="25.5">
      <c r="A1357" s="8" t="s">
        <v>76</v>
      </c>
      <c r="B1357" s="1" t="s">
        <v>253</v>
      </c>
      <c r="C1357" s="1" t="s">
        <v>0</v>
      </c>
      <c r="D1357" s="9">
        <v>16269.7</v>
      </c>
      <c r="E1357" s="9">
        <f>E1358</f>
        <v>16269.7</v>
      </c>
      <c r="F1357" s="9">
        <f t="shared" ref="F1357:H1358" si="668">F1358</f>
        <v>1200</v>
      </c>
      <c r="G1357" s="9">
        <f t="shared" si="668"/>
        <v>1200</v>
      </c>
      <c r="H1357" s="9">
        <f t="shared" si="668"/>
        <v>0</v>
      </c>
      <c r="I1357" s="9">
        <f t="shared" si="649"/>
        <v>0</v>
      </c>
      <c r="J1357" s="9">
        <f t="shared" si="650"/>
        <v>0</v>
      </c>
    </row>
    <row r="1358" spans="1:10" ht="25.5">
      <c r="A1358" s="8" t="s">
        <v>80</v>
      </c>
      <c r="B1358" s="1" t="s">
        <v>253</v>
      </c>
      <c r="C1358" s="1" t="s">
        <v>81</v>
      </c>
      <c r="D1358" s="9">
        <v>16269.7</v>
      </c>
      <c r="E1358" s="9">
        <f>E1359</f>
        <v>16269.7</v>
      </c>
      <c r="F1358" s="9">
        <f t="shared" si="668"/>
        <v>1200</v>
      </c>
      <c r="G1358" s="9">
        <f t="shared" si="668"/>
        <v>1200</v>
      </c>
      <c r="H1358" s="9">
        <f t="shared" si="668"/>
        <v>0</v>
      </c>
      <c r="I1358" s="9">
        <f t="shared" si="649"/>
        <v>0</v>
      </c>
      <c r="J1358" s="9">
        <f t="shared" si="650"/>
        <v>0</v>
      </c>
    </row>
    <row r="1359" spans="1:10">
      <c r="A1359" s="8" t="s">
        <v>82</v>
      </c>
      <c r="B1359" s="1" t="s">
        <v>253</v>
      </c>
      <c r="C1359" s="1" t="s">
        <v>83</v>
      </c>
      <c r="D1359" s="9">
        <v>16269.7</v>
      </c>
      <c r="E1359" s="9">
        <f>ведомство!H403</f>
        <v>16269.7</v>
      </c>
      <c r="F1359" s="9">
        <f>ведомство!I403</f>
        <v>1200</v>
      </c>
      <c r="G1359" s="9">
        <f>ведомство!J403</f>
        <v>1200</v>
      </c>
      <c r="H1359" s="9">
        <f>ведомство!K403</f>
        <v>0</v>
      </c>
      <c r="I1359" s="9">
        <f t="shared" si="649"/>
        <v>0</v>
      </c>
      <c r="J1359" s="9">
        <f t="shared" si="650"/>
        <v>0</v>
      </c>
    </row>
    <row r="1360" spans="1:10">
      <c r="A1360" s="4" t="s">
        <v>0</v>
      </c>
      <c r="B1360" s="17" t="s">
        <v>0</v>
      </c>
      <c r="C1360" s="5" t="s">
        <v>0</v>
      </c>
      <c r="D1360" s="7" t="s">
        <v>0</v>
      </c>
      <c r="E1360" s="7" t="s">
        <v>0</v>
      </c>
      <c r="F1360" s="7" t="s">
        <v>0</v>
      </c>
      <c r="G1360" s="7" t="s">
        <v>0</v>
      </c>
      <c r="H1360" s="7" t="s">
        <v>0</v>
      </c>
      <c r="I1360" s="7"/>
      <c r="J1360" s="7"/>
    </row>
    <row r="1361" spans="1:10">
      <c r="A1361" s="4" t="s">
        <v>254</v>
      </c>
      <c r="B1361" s="5" t="s">
        <v>255</v>
      </c>
      <c r="C1361" s="5" t="s">
        <v>0</v>
      </c>
      <c r="D1361" s="7">
        <v>251950.5</v>
      </c>
      <c r="E1361" s="7">
        <f>E1362+E1365+E1368+E1371</f>
        <v>251950.5</v>
      </c>
      <c r="F1361" s="7">
        <f t="shared" ref="F1361:H1361" si="669">F1362+F1365+F1368+F1371</f>
        <v>132245.74</v>
      </c>
      <c r="G1361" s="7">
        <f t="shared" si="669"/>
        <v>132245.74</v>
      </c>
      <c r="H1361" s="7">
        <f t="shared" si="669"/>
        <v>131621.80859999999</v>
      </c>
      <c r="I1361" s="7">
        <f t="shared" si="649"/>
        <v>52.241138080694412</v>
      </c>
      <c r="J1361" s="7">
        <f t="shared" si="650"/>
        <v>99.528203025670237</v>
      </c>
    </row>
    <row r="1362" spans="1:10" ht="25.5">
      <c r="A1362" s="8" t="s">
        <v>245</v>
      </c>
      <c r="B1362" s="1" t="s">
        <v>256</v>
      </c>
      <c r="C1362" s="1" t="s">
        <v>0</v>
      </c>
      <c r="D1362" s="9">
        <v>73075.8</v>
      </c>
      <c r="E1362" s="9">
        <f>E1363</f>
        <v>73075.8</v>
      </c>
      <c r="F1362" s="9">
        <f t="shared" ref="F1362:H1363" si="670">F1363</f>
        <v>40570.9</v>
      </c>
      <c r="G1362" s="9">
        <f t="shared" si="670"/>
        <v>40570.9</v>
      </c>
      <c r="H1362" s="9">
        <f t="shared" si="670"/>
        <v>40030.273000000001</v>
      </c>
      <c r="I1362" s="9">
        <f t="shared" si="649"/>
        <v>54.779110184219668</v>
      </c>
      <c r="J1362" s="9">
        <f t="shared" si="650"/>
        <v>98.667451301302165</v>
      </c>
    </row>
    <row r="1363" spans="1:10" ht="25.5">
      <c r="A1363" s="8" t="s">
        <v>80</v>
      </c>
      <c r="B1363" s="1" t="s">
        <v>256</v>
      </c>
      <c r="C1363" s="1" t="s">
        <v>81</v>
      </c>
      <c r="D1363" s="9">
        <v>73075.8</v>
      </c>
      <c r="E1363" s="9">
        <f>E1364</f>
        <v>73075.8</v>
      </c>
      <c r="F1363" s="9">
        <f t="shared" si="670"/>
        <v>40570.9</v>
      </c>
      <c r="G1363" s="9">
        <f t="shared" si="670"/>
        <v>40570.9</v>
      </c>
      <c r="H1363" s="9">
        <f t="shared" si="670"/>
        <v>40030.273000000001</v>
      </c>
      <c r="I1363" s="9">
        <f t="shared" si="649"/>
        <v>54.779110184219668</v>
      </c>
      <c r="J1363" s="9">
        <f t="shared" si="650"/>
        <v>98.667451301302165</v>
      </c>
    </row>
    <row r="1364" spans="1:10">
      <c r="A1364" s="8" t="s">
        <v>82</v>
      </c>
      <c r="B1364" s="1" t="s">
        <v>256</v>
      </c>
      <c r="C1364" s="1" t="s">
        <v>83</v>
      </c>
      <c r="D1364" s="9">
        <v>73075.8</v>
      </c>
      <c r="E1364" s="9">
        <f>ведомство!H407</f>
        <v>73075.8</v>
      </c>
      <c r="F1364" s="9">
        <f>ведомство!I407</f>
        <v>40570.9</v>
      </c>
      <c r="G1364" s="9">
        <f>ведомство!J407</f>
        <v>40570.9</v>
      </c>
      <c r="H1364" s="9">
        <f>ведомство!K407</f>
        <v>40030.273000000001</v>
      </c>
      <c r="I1364" s="9">
        <f t="shared" si="649"/>
        <v>54.779110184219668</v>
      </c>
      <c r="J1364" s="9">
        <f t="shared" si="650"/>
        <v>98.667451301302165</v>
      </c>
    </row>
    <row r="1365" spans="1:10" ht="25.5">
      <c r="A1365" s="8" t="s">
        <v>257</v>
      </c>
      <c r="B1365" s="1" t="s">
        <v>258</v>
      </c>
      <c r="C1365" s="1" t="s">
        <v>0</v>
      </c>
      <c r="D1365" s="9">
        <v>9598.5</v>
      </c>
      <c r="E1365" s="9">
        <f>E1366</f>
        <v>9598.5</v>
      </c>
      <c r="F1365" s="9">
        <f t="shared" ref="F1365:H1366" si="671">F1366</f>
        <v>0</v>
      </c>
      <c r="G1365" s="9">
        <f t="shared" si="671"/>
        <v>0</v>
      </c>
      <c r="H1365" s="9">
        <f t="shared" si="671"/>
        <v>0</v>
      </c>
      <c r="I1365" s="9">
        <f t="shared" si="649"/>
        <v>0</v>
      </c>
      <c r="J1365" s="9">
        <v>0</v>
      </c>
    </row>
    <row r="1366" spans="1:10" ht="25.5">
      <c r="A1366" s="8" t="s">
        <v>64</v>
      </c>
      <c r="B1366" s="1" t="s">
        <v>258</v>
      </c>
      <c r="C1366" s="1" t="s">
        <v>65</v>
      </c>
      <c r="D1366" s="9">
        <v>9598.5</v>
      </c>
      <c r="E1366" s="9">
        <f>E1367</f>
        <v>9598.5</v>
      </c>
      <c r="F1366" s="9">
        <f t="shared" si="671"/>
        <v>0</v>
      </c>
      <c r="G1366" s="9">
        <f t="shared" si="671"/>
        <v>0</v>
      </c>
      <c r="H1366" s="9">
        <f t="shared" si="671"/>
        <v>0</v>
      </c>
      <c r="I1366" s="9">
        <f t="shared" si="649"/>
        <v>0</v>
      </c>
      <c r="J1366" s="9">
        <v>0</v>
      </c>
    </row>
    <row r="1367" spans="1:10" ht="25.5">
      <c r="A1367" s="8" t="s">
        <v>66</v>
      </c>
      <c r="B1367" s="1" t="s">
        <v>258</v>
      </c>
      <c r="C1367" s="1" t="s">
        <v>67</v>
      </c>
      <c r="D1367" s="9">
        <v>9598.5</v>
      </c>
      <c r="E1367" s="9">
        <f>ведомство!H410</f>
        <v>9598.5</v>
      </c>
      <c r="F1367" s="9">
        <f>ведомство!I410</f>
        <v>0</v>
      </c>
      <c r="G1367" s="9">
        <f>ведомство!J410</f>
        <v>0</v>
      </c>
      <c r="H1367" s="9">
        <f>ведомство!K410</f>
        <v>0</v>
      </c>
      <c r="I1367" s="9">
        <f t="shared" si="649"/>
        <v>0</v>
      </c>
      <c r="J1367" s="9">
        <v>0</v>
      </c>
    </row>
    <row r="1368" spans="1:10" ht="25.5">
      <c r="A1368" s="8" t="s">
        <v>76</v>
      </c>
      <c r="B1368" s="1" t="s">
        <v>259</v>
      </c>
      <c r="C1368" s="1" t="s">
        <v>0</v>
      </c>
      <c r="D1368" s="9">
        <v>168771</v>
      </c>
      <c r="E1368" s="9">
        <f>E1369</f>
        <v>168771</v>
      </c>
      <c r="F1368" s="9">
        <f t="shared" ref="F1368:H1369" si="672">F1369</f>
        <v>91674.84</v>
      </c>
      <c r="G1368" s="9">
        <f t="shared" si="672"/>
        <v>91674.84</v>
      </c>
      <c r="H1368" s="9">
        <f t="shared" si="672"/>
        <v>91591.535600000003</v>
      </c>
      <c r="I1368" s="9">
        <f t="shared" si="649"/>
        <v>54.269711976583658</v>
      </c>
      <c r="J1368" s="9">
        <f t="shared" si="650"/>
        <v>99.909130574975649</v>
      </c>
    </row>
    <row r="1369" spans="1:10" ht="25.5">
      <c r="A1369" s="8" t="s">
        <v>80</v>
      </c>
      <c r="B1369" s="1" t="s">
        <v>259</v>
      </c>
      <c r="C1369" s="1" t="s">
        <v>81</v>
      </c>
      <c r="D1369" s="9">
        <v>168771</v>
      </c>
      <c r="E1369" s="9">
        <f>E1370</f>
        <v>168771</v>
      </c>
      <c r="F1369" s="9">
        <f t="shared" si="672"/>
        <v>91674.84</v>
      </c>
      <c r="G1369" s="9">
        <f t="shared" si="672"/>
        <v>91674.84</v>
      </c>
      <c r="H1369" s="9">
        <f t="shared" si="672"/>
        <v>91591.535600000003</v>
      </c>
      <c r="I1369" s="9">
        <f t="shared" si="649"/>
        <v>54.269711976583658</v>
      </c>
      <c r="J1369" s="9">
        <f t="shared" si="650"/>
        <v>99.909130574975649</v>
      </c>
    </row>
    <row r="1370" spans="1:10">
      <c r="A1370" s="8" t="s">
        <v>82</v>
      </c>
      <c r="B1370" s="1" t="s">
        <v>259</v>
      </c>
      <c r="C1370" s="1" t="s">
        <v>83</v>
      </c>
      <c r="D1370" s="9">
        <v>168771</v>
      </c>
      <c r="E1370" s="9">
        <f>ведомство!H413</f>
        <v>168771</v>
      </c>
      <c r="F1370" s="9">
        <f>ведомство!I413</f>
        <v>91674.84</v>
      </c>
      <c r="G1370" s="9">
        <f>ведомство!J413</f>
        <v>91674.84</v>
      </c>
      <c r="H1370" s="9">
        <f>ведомство!K413</f>
        <v>91591.535600000003</v>
      </c>
      <c r="I1370" s="9">
        <f t="shared" si="649"/>
        <v>54.269711976583658</v>
      </c>
      <c r="J1370" s="9">
        <f t="shared" si="650"/>
        <v>99.909130574975649</v>
      </c>
    </row>
    <row r="1371" spans="1:10" ht="25.5">
      <c r="A1371" s="8" t="s">
        <v>260</v>
      </c>
      <c r="B1371" s="1" t="s">
        <v>261</v>
      </c>
      <c r="C1371" s="1" t="s">
        <v>0</v>
      </c>
      <c r="D1371" s="9">
        <v>505.2</v>
      </c>
      <c r="E1371" s="9">
        <f>E1372</f>
        <v>505.2</v>
      </c>
      <c r="F1371" s="9">
        <f t="shared" ref="F1371:H1372" si="673">F1372</f>
        <v>0</v>
      </c>
      <c r="G1371" s="9">
        <f t="shared" si="673"/>
        <v>0</v>
      </c>
      <c r="H1371" s="9">
        <f t="shared" si="673"/>
        <v>0</v>
      </c>
      <c r="I1371" s="9">
        <f t="shared" si="649"/>
        <v>0</v>
      </c>
      <c r="J1371" s="9">
        <v>0</v>
      </c>
    </row>
    <row r="1372" spans="1:10" ht="25.5">
      <c r="A1372" s="8" t="s">
        <v>64</v>
      </c>
      <c r="B1372" s="1" t="s">
        <v>261</v>
      </c>
      <c r="C1372" s="1" t="s">
        <v>65</v>
      </c>
      <c r="D1372" s="9">
        <v>505.2</v>
      </c>
      <c r="E1372" s="9">
        <f>E1373</f>
        <v>505.2</v>
      </c>
      <c r="F1372" s="9">
        <f t="shared" si="673"/>
        <v>0</v>
      </c>
      <c r="G1372" s="9">
        <f t="shared" si="673"/>
        <v>0</v>
      </c>
      <c r="H1372" s="9">
        <f t="shared" si="673"/>
        <v>0</v>
      </c>
      <c r="I1372" s="9">
        <f t="shared" si="649"/>
        <v>0</v>
      </c>
      <c r="J1372" s="9">
        <v>0</v>
      </c>
    </row>
    <row r="1373" spans="1:10" ht="25.5">
      <c r="A1373" s="8" t="s">
        <v>66</v>
      </c>
      <c r="B1373" s="1" t="s">
        <v>261</v>
      </c>
      <c r="C1373" s="1" t="s">
        <v>67</v>
      </c>
      <c r="D1373" s="9">
        <v>505.2</v>
      </c>
      <c r="E1373" s="9">
        <f>ведомство!H416</f>
        <v>505.2</v>
      </c>
      <c r="F1373" s="9">
        <f>ведомство!I416</f>
        <v>0</v>
      </c>
      <c r="G1373" s="9">
        <f>ведомство!J416</f>
        <v>0</v>
      </c>
      <c r="H1373" s="9">
        <f>ведомство!K416</f>
        <v>0</v>
      </c>
      <c r="I1373" s="9">
        <f t="shared" si="649"/>
        <v>0</v>
      </c>
      <c r="J1373" s="9">
        <v>0</v>
      </c>
    </row>
    <row r="1374" spans="1:10">
      <c r="A1374" s="4" t="s">
        <v>0</v>
      </c>
      <c r="B1374" s="17" t="s">
        <v>0</v>
      </c>
      <c r="C1374" s="5" t="s">
        <v>0</v>
      </c>
      <c r="D1374" s="7" t="s">
        <v>0</v>
      </c>
      <c r="E1374" s="7" t="s">
        <v>0</v>
      </c>
      <c r="F1374" s="7" t="s">
        <v>0</v>
      </c>
      <c r="G1374" s="7" t="s">
        <v>0</v>
      </c>
      <c r="H1374" s="7" t="s">
        <v>0</v>
      </c>
      <c r="I1374" s="7"/>
      <c r="J1374" s="7"/>
    </row>
    <row r="1375" spans="1:10" ht="38.25">
      <c r="A1375" s="4" t="s">
        <v>233</v>
      </c>
      <c r="B1375" s="5" t="s">
        <v>234</v>
      </c>
      <c r="C1375" s="5" t="s">
        <v>0</v>
      </c>
      <c r="D1375" s="7">
        <v>552249.69999999995</v>
      </c>
      <c r="E1375" s="7">
        <f>E1376+E1384+E1394</f>
        <v>552249.69999999995</v>
      </c>
      <c r="F1375" s="7">
        <f t="shared" ref="F1375:H1375" si="674">F1376+F1384+F1394</f>
        <v>235706.38595000003</v>
      </c>
      <c r="G1375" s="7">
        <f t="shared" si="674"/>
        <v>235706.38595000003</v>
      </c>
      <c r="H1375" s="7">
        <f t="shared" si="674"/>
        <v>219761.23846000002</v>
      </c>
      <c r="I1375" s="7">
        <f t="shared" si="649"/>
        <v>39.793817626338239</v>
      </c>
      <c r="J1375" s="7">
        <f t="shared" si="650"/>
        <v>93.235165256242809</v>
      </c>
    </row>
    <row r="1376" spans="1:10" ht="25.5">
      <c r="A1376" s="8" t="s">
        <v>245</v>
      </c>
      <c r="B1376" s="1" t="s">
        <v>262</v>
      </c>
      <c r="C1376" s="1" t="s">
        <v>0</v>
      </c>
      <c r="D1376" s="9">
        <v>394612.9</v>
      </c>
      <c r="E1376" s="9">
        <f>E1377+E1379+E1381</f>
        <v>394612.9</v>
      </c>
      <c r="F1376" s="9">
        <f t="shared" ref="F1376:H1376" si="675">F1377+F1379+F1381</f>
        <v>166534.5</v>
      </c>
      <c r="G1376" s="9">
        <f t="shared" si="675"/>
        <v>166534.5</v>
      </c>
      <c r="H1376" s="9">
        <f t="shared" si="675"/>
        <v>154650.53452000002</v>
      </c>
      <c r="I1376" s="9">
        <f t="shared" si="649"/>
        <v>39.190440687570025</v>
      </c>
      <c r="J1376" s="9">
        <f t="shared" si="650"/>
        <v>92.863961833734166</v>
      </c>
    </row>
    <row r="1377" spans="1:10" ht="51">
      <c r="A1377" s="8" t="s">
        <v>60</v>
      </c>
      <c r="B1377" s="1" t="s">
        <v>262</v>
      </c>
      <c r="C1377" s="1" t="s">
        <v>61</v>
      </c>
      <c r="D1377" s="9">
        <v>350139.4</v>
      </c>
      <c r="E1377" s="9">
        <f>E1378</f>
        <v>350139.4</v>
      </c>
      <c r="F1377" s="9">
        <f t="shared" ref="F1377:H1377" si="676">F1378</f>
        <v>149184.9</v>
      </c>
      <c r="G1377" s="9">
        <f t="shared" si="676"/>
        <v>149184.9</v>
      </c>
      <c r="H1377" s="9">
        <f t="shared" si="676"/>
        <v>140135.4136</v>
      </c>
      <c r="I1377" s="9">
        <f t="shared" si="649"/>
        <v>40.022749110782726</v>
      </c>
      <c r="J1377" s="9">
        <f t="shared" si="650"/>
        <v>93.934046676305712</v>
      </c>
    </row>
    <row r="1378" spans="1:10" ht="25.5">
      <c r="A1378" s="8" t="s">
        <v>62</v>
      </c>
      <c r="B1378" s="1" t="s">
        <v>262</v>
      </c>
      <c r="C1378" s="1" t="s">
        <v>63</v>
      </c>
      <c r="D1378" s="9">
        <v>350139.4</v>
      </c>
      <c r="E1378" s="9">
        <f>ведомство!H420</f>
        <v>350139.4</v>
      </c>
      <c r="F1378" s="9">
        <f>ведомство!I420</f>
        <v>149184.9</v>
      </c>
      <c r="G1378" s="9">
        <f>ведомство!J420</f>
        <v>149184.9</v>
      </c>
      <c r="H1378" s="9">
        <f>ведомство!K420</f>
        <v>140135.4136</v>
      </c>
      <c r="I1378" s="9">
        <f t="shared" si="649"/>
        <v>40.022749110782726</v>
      </c>
      <c r="J1378" s="9">
        <f t="shared" si="650"/>
        <v>93.934046676305712</v>
      </c>
    </row>
    <row r="1379" spans="1:10" ht="25.5">
      <c r="A1379" s="8" t="s">
        <v>64</v>
      </c>
      <c r="B1379" s="1" t="s">
        <v>262</v>
      </c>
      <c r="C1379" s="1" t="s">
        <v>65</v>
      </c>
      <c r="D1379" s="9">
        <v>44040.800000000003</v>
      </c>
      <c r="E1379" s="9">
        <f>E1380</f>
        <v>44040.800000000003</v>
      </c>
      <c r="F1379" s="9">
        <f t="shared" ref="F1379:H1379" si="677">F1380</f>
        <v>16956.599999999999</v>
      </c>
      <c r="G1379" s="9">
        <f t="shared" si="677"/>
        <v>16956.599999999999</v>
      </c>
      <c r="H1379" s="9">
        <f t="shared" si="677"/>
        <v>14373.11227</v>
      </c>
      <c r="I1379" s="9">
        <f t="shared" si="649"/>
        <v>32.635901868267602</v>
      </c>
      <c r="J1379" s="9">
        <f t="shared" si="650"/>
        <v>84.764117039972646</v>
      </c>
    </row>
    <row r="1380" spans="1:10" ht="25.5">
      <c r="A1380" s="8" t="s">
        <v>66</v>
      </c>
      <c r="B1380" s="1" t="s">
        <v>262</v>
      </c>
      <c r="C1380" s="1" t="s">
        <v>67</v>
      </c>
      <c r="D1380" s="9">
        <v>44040.800000000003</v>
      </c>
      <c r="E1380" s="9">
        <f>ведомство!H422</f>
        <v>44040.800000000003</v>
      </c>
      <c r="F1380" s="9">
        <f>ведомство!I422</f>
        <v>16956.599999999999</v>
      </c>
      <c r="G1380" s="9">
        <f>ведомство!J422</f>
        <v>16956.599999999999</v>
      </c>
      <c r="H1380" s="9">
        <f>ведомство!K422</f>
        <v>14373.11227</v>
      </c>
      <c r="I1380" s="9">
        <f t="shared" si="649"/>
        <v>32.635901868267602</v>
      </c>
      <c r="J1380" s="9">
        <f t="shared" si="650"/>
        <v>84.764117039972646</v>
      </c>
    </row>
    <row r="1381" spans="1:10">
      <c r="A1381" s="8" t="s">
        <v>72</v>
      </c>
      <c r="B1381" s="1" t="s">
        <v>262</v>
      </c>
      <c r="C1381" s="1" t="s">
        <v>73</v>
      </c>
      <c r="D1381" s="9">
        <v>432.7</v>
      </c>
      <c r="E1381" s="9">
        <f>E1382+E1383</f>
        <v>432.7</v>
      </c>
      <c r="F1381" s="9">
        <f t="shared" ref="F1381:H1381" si="678">F1382+F1383</f>
        <v>393</v>
      </c>
      <c r="G1381" s="9">
        <f t="shared" si="678"/>
        <v>393</v>
      </c>
      <c r="H1381" s="9">
        <f t="shared" si="678"/>
        <v>142.00864999999999</v>
      </c>
      <c r="I1381" s="9">
        <f t="shared" si="649"/>
        <v>32.819193436561129</v>
      </c>
      <c r="J1381" s="9">
        <f t="shared" si="650"/>
        <v>36.134516539440199</v>
      </c>
    </row>
    <row r="1382" spans="1:10">
      <c r="A1382" s="8" t="s">
        <v>84</v>
      </c>
      <c r="B1382" s="1" t="s">
        <v>262</v>
      </c>
      <c r="C1382" s="1" t="s">
        <v>85</v>
      </c>
      <c r="D1382" s="9">
        <v>180</v>
      </c>
      <c r="E1382" s="9">
        <f>ведомство!H424</f>
        <v>180</v>
      </c>
      <c r="F1382" s="9">
        <f>ведомство!I424</f>
        <v>180</v>
      </c>
      <c r="G1382" s="9">
        <f>ведомство!J424</f>
        <v>180</v>
      </c>
      <c r="H1382" s="9">
        <f>ведомство!K424</f>
        <v>69</v>
      </c>
      <c r="I1382" s="9">
        <f t="shared" si="649"/>
        <v>38.333333333333336</v>
      </c>
      <c r="J1382" s="9">
        <f t="shared" si="650"/>
        <v>38.333333333333336</v>
      </c>
    </row>
    <row r="1383" spans="1:10">
      <c r="A1383" s="8" t="s">
        <v>74</v>
      </c>
      <c r="B1383" s="1" t="s">
        <v>262</v>
      </c>
      <c r="C1383" s="1" t="s">
        <v>75</v>
      </c>
      <c r="D1383" s="9">
        <v>252.7</v>
      </c>
      <c r="E1383" s="9">
        <f>ведомство!H425</f>
        <v>252.7</v>
      </c>
      <c r="F1383" s="9">
        <f>ведомство!I425</f>
        <v>213</v>
      </c>
      <c r="G1383" s="9">
        <f>ведомство!J425</f>
        <v>213</v>
      </c>
      <c r="H1383" s="9">
        <f>ведомство!K425</f>
        <v>73.008650000000003</v>
      </c>
      <c r="I1383" s="9">
        <f t="shared" ref="I1383:I1449" si="679">H1383/E1383*100</f>
        <v>28.891432528690146</v>
      </c>
      <c r="J1383" s="9">
        <f t="shared" ref="J1383:J1449" si="680">H1383/F1383*100</f>
        <v>34.27636150234742</v>
      </c>
    </row>
    <row r="1384" spans="1:10" ht="25.5">
      <c r="A1384" s="8" t="s">
        <v>58</v>
      </c>
      <c r="B1384" s="1" t="s">
        <v>235</v>
      </c>
      <c r="C1384" s="1" t="s">
        <v>0</v>
      </c>
      <c r="D1384" s="9">
        <v>65901.600000000006</v>
      </c>
      <c r="E1384" s="9">
        <f>E1385+E1387+E1389+E1391</f>
        <v>65901.599999999991</v>
      </c>
      <c r="F1384" s="9">
        <f t="shared" ref="F1384:H1384" si="681">F1385+F1387+F1389+F1391</f>
        <v>28869.585949999997</v>
      </c>
      <c r="G1384" s="9">
        <f t="shared" si="681"/>
        <v>28869.585949999997</v>
      </c>
      <c r="H1384" s="9">
        <f t="shared" si="681"/>
        <v>26618.316800000004</v>
      </c>
      <c r="I1384" s="9">
        <f t="shared" si="679"/>
        <v>40.391002342886985</v>
      </c>
      <c r="J1384" s="9">
        <f t="shared" si="680"/>
        <v>92.201934749258172</v>
      </c>
    </row>
    <row r="1385" spans="1:10" ht="51">
      <c r="A1385" s="8" t="s">
        <v>60</v>
      </c>
      <c r="B1385" s="1" t="s">
        <v>235</v>
      </c>
      <c r="C1385" s="1" t="s">
        <v>61</v>
      </c>
      <c r="D1385" s="9">
        <v>53818.1</v>
      </c>
      <c r="E1385" s="9">
        <f>E1386</f>
        <v>53671.521159999997</v>
      </c>
      <c r="F1385" s="9">
        <f t="shared" ref="F1385:H1385" si="682">F1386</f>
        <v>22970.1</v>
      </c>
      <c r="G1385" s="9">
        <f t="shared" si="682"/>
        <v>22970.1</v>
      </c>
      <c r="H1385" s="9">
        <f t="shared" si="682"/>
        <v>22243.750220000002</v>
      </c>
      <c r="I1385" s="9">
        <f t="shared" si="679"/>
        <v>41.444232880393365</v>
      </c>
      <c r="J1385" s="9">
        <f t="shared" si="680"/>
        <v>96.837846678943507</v>
      </c>
    </row>
    <row r="1386" spans="1:10" ht="25.5">
      <c r="A1386" s="8" t="s">
        <v>62</v>
      </c>
      <c r="B1386" s="1" t="s">
        <v>235</v>
      </c>
      <c r="C1386" s="1" t="s">
        <v>63</v>
      </c>
      <c r="D1386" s="9">
        <v>53818.1</v>
      </c>
      <c r="E1386" s="9">
        <f>ведомство!H363</f>
        <v>53671.521159999997</v>
      </c>
      <c r="F1386" s="9">
        <f>ведомство!I363</f>
        <v>22970.1</v>
      </c>
      <c r="G1386" s="9">
        <f>ведомство!J363</f>
        <v>22970.1</v>
      </c>
      <c r="H1386" s="9">
        <f>ведомство!K363</f>
        <v>22243.750220000002</v>
      </c>
      <c r="I1386" s="9">
        <f t="shared" si="679"/>
        <v>41.444232880393365</v>
      </c>
      <c r="J1386" s="9">
        <f t="shared" si="680"/>
        <v>96.837846678943507</v>
      </c>
    </row>
    <row r="1387" spans="1:10" ht="25.5">
      <c r="A1387" s="8" t="s">
        <v>64</v>
      </c>
      <c r="B1387" s="1" t="s">
        <v>235</v>
      </c>
      <c r="C1387" s="1" t="s">
        <v>65</v>
      </c>
      <c r="D1387" s="9">
        <v>9235.6</v>
      </c>
      <c r="E1387" s="9">
        <f>E1388</f>
        <v>9235.6</v>
      </c>
      <c r="F1387" s="9">
        <f t="shared" ref="F1387:H1387" si="683">F1388</f>
        <v>4725.085</v>
      </c>
      <c r="G1387" s="9">
        <f t="shared" si="683"/>
        <v>4725.085</v>
      </c>
      <c r="H1387" s="9">
        <f t="shared" si="683"/>
        <v>3273.6714499999998</v>
      </c>
      <c r="I1387" s="9">
        <f t="shared" si="679"/>
        <v>35.446223851184541</v>
      </c>
      <c r="J1387" s="9">
        <f t="shared" si="680"/>
        <v>69.282805494504331</v>
      </c>
    </row>
    <row r="1388" spans="1:10" ht="25.5">
      <c r="A1388" s="8" t="s">
        <v>66</v>
      </c>
      <c r="B1388" s="1" t="s">
        <v>235</v>
      </c>
      <c r="C1388" s="1" t="s">
        <v>67</v>
      </c>
      <c r="D1388" s="9">
        <v>9235.6</v>
      </c>
      <c r="E1388" s="9">
        <f>ведомство!H365</f>
        <v>9235.6</v>
      </c>
      <c r="F1388" s="9">
        <f>ведомство!I365</f>
        <v>4725.085</v>
      </c>
      <c r="G1388" s="9">
        <f>ведомство!J365</f>
        <v>4725.085</v>
      </c>
      <c r="H1388" s="9">
        <f>ведомство!K365</f>
        <v>3273.6714499999998</v>
      </c>
      <c r="I1388" s="9">
        <f t="shared" si="679"/>
        <v>35.446223851184541</v>
      </c>
      <c r="J1388" s="9">
        <f t="shared" si="680"/>
        <v>69.282805494504331</v>
      </c>
    </row>
    <row r="1389" spans="1:10">
      <c r="A1389" s="8" t="s">
        <v>68</v>
      </c>
      <c r="B1389" s="1" t="s">
        <v>235</v>
      </c>
      <c r="C1389" s="1" t="s">
        <v>69</v>
      </c>
      <c r="D1389" s="9">
        <v>60</v>
      </c>
      <c r="E1389" s="9">
        <f>E1390</f>
        <v>60</v>
      </c>
      <c r="F1389" s="9">
        <f t="shared" ref="F1389:H1389" si="684">F1390</f>
        <v>0</v>
      </c>
      <c r="G1389" s="9">
        <f t="shared" si="684"/>
        <v>0</v>
      </c>
      <c r="H1389" s="9">
        <f t="shared" si="684"/>
        <v>0</v>
      </c>
      <c r="I1389" s="9">
        <f t="shared" si="679"/>
        <v>0</v>
      </c>
      <c r="J1389" s="9">
        <v>0</v>
      </c>
    </row>
    <row r="1390" spans="1:10">
      <c r="A1390" s="8" t="s">
        <v>70</v>
      </c>
      <c r="B1390" s="1" t="s">
        <v>235</v>
      </c>
      <c r="C1390" s="1" t="s">
        <v>71</v>
      </c>
      <c r="D1390" s="9">
        <v>60</v>
      </c>
      <c r="E1390" s="9">
        <f>ведомство!H367</f>
        <v>60</v>
      </c>
      <c r="F1390" s="9">
        <f>ведомство!I367</f>
        <v>0</v>
      </c>
      <c r="G1390" s="9">
        <f>ведомство!J367</f>
        <v>0</v>
      </c>
      <c r="H1390" s="9">
        <f>ведомство!K367</f>
        <v>0</v>
      </c>
      <c r="I1390" s="9">
        <f t="shared" si="679"/>
        <v>0</v>
      </c>
      <c r="J1390" s="9">
        <v>0</v>
      </c>
    </row>
    <row r="1391" spans="1:10">
      <c r="A1391" s="8" t="s">
        <v>72</v>
      </c>
      <c r="B1391" s="1" t="s">
        <v>235</v>
      </c>
      <c r="C1391" s="1" t="s">
        <v>73</v>
      </c>
      <c r="D1391" s="9">
        <v>2787.9</v>
      </c>
      <c r="E1391" s="9">
        <f>E1392+E1393</f>
        <v>2934.4788400000002</v>
      </c>
      <c r="F1391" s="9">
        <f t="shared" ref="F1391:H1391" si="685">F1392+F1393</f>
        <v>1174.40095</v>
      </c>
      <c r="G1391" s="9">
        <f t="shared" si="685"/>
        <v>1174.40095</v>
      </c>
      <c r="H1391" s="9">
        <f t="shared" si="685"/>
        <v>1100.8951300000001</v>
      </c>
      <c r="I1391" s="9">
        <f t="shared" si="679"/>
        <v>37.515865338459896</v>
      </c>
      <c r="J1391" s="9">
        <f t="shared" si="680"/>
        <v>93.740994504474827</v>
      </c>
    </row>
    <row r="1392" spans="1:10">
      <c r="A1392" s="8" t="s">
        <v>84</v>
      </c>
      <c r="B1392" s="1" t="s">
        <v>235</v>
      </c>
      <c r="C1392" s="1" t="s">
        <v>85</v>
      </c>
      <c r="D1392" s="9">
        <v>120</v>
      </c>
      <c r="E1392" s="9">
        <f>ведомство!H369</f>
        <v>303.42979000000003</v>
      </c>
      <c r="F1392" s="9">
        <f>ведомство!I369</f>
        <v>156.85095000000001</v>
      </c>
      <c r="G1392" s="9">
        <f>ведомство!J369</f>
        <v>156.85095000000001</v>
      </c>
      <c r="H1392" s="9">
        <f>ведомство!K369</f>
        <v>156.85095000000001</v>
      </c>
      <c r="I1392" s="9">
        <f t="shared" si="679"/>
        <v>51.692666695646459</v>
      </c>
      <c r="J1392" s="9">
        <f t="shared" si="680"/>
        <v>100</v>
      </c>
    </row>
    <row r="1393" spans="1:10">
      <c r="A1393" s="8" t="s">
        <v>74</v>
      </c>
      <c r="B1393" s="1" t="s">
        <v>235</v>
      </c>
      <c r="C1393" s="1" t="s">
        <v>75</v>
      </c>
      <c r="D1393" s="9">
        <v>2667.9</v>
      </c>
      <c r="E1393" s="9">
        <f>ведомство!H370</f>
        <v>2631.0490500000001</v>
      </c>
      <c r="F1393" s="9">
        <f>ведомство!I370</f>
        <v>1017.55</v>
      </c>
      <c r="G1393" s="9">
        <f>ведомство!J370</f>
        <v>1017.55</v>
      </c>
      <c r="H1393" s="9">
        <f>ведомство!K370</f>
        <v>944.0441800000001</v>
      </c>
      <c r="I1393" s="9">
        <f t="shared" si="679"/>
        <v>35.880903854681087</v>
      </c>
      <c r="J1393" s="9">
        <f t="shared" si="680"/>
        <v>92.776195764335924</v>
      </c>
    </row>
    <row r="1394" spans="1:10" ht="25.5">
      <c r="A1394" s="8" t="s">
        <v>248</v>
      </c>
      <c r="B1394" s="1" t="s">
        <v>263</v>
      </c>
      <c r="C1394" s="1" t="s">
        <v>0</v>
      </c>
      <c r="D1394" s="9">
        <v>91735.2</v>
      </c>
      <c r="E1394" s="9">
        <f>E1395+E1397</f>
        <v>91735.2</v>
      </c>
      <c r="F1394" s="9">
        <f t="shared" ref="F1394:H1394" si="686">F1395+F1397</f>
        <v>40302.300000000003</v>
      </c>
      <c r="G1394" s="9">
        <f t="shared" si="686"/>
        <v>40302.300000000003</v>
      </c>
      <c r="H1394" s="9">
        <f t="shared" si="686"/>
        <v>38492.387139999999</v>
      </c>
      <c r="I1394" s="9">
        <f t="shared" si="679"/>
        <v>41.960323997767482</v>
      </c>
      <c r="J1394" s="9">
        <f t="shared" si="680"/>
        <v>95.509157393002369</v>
      </c>
    </row>
    <row r="1395" spans="1:10" ht="51">
      <c r="A1395" s="8" t="s">
        <v>60</v>
      </c>
      <c r="B1395" s="1" t="s">
        <v>263</v>
      </c>
      <c r="C1395" s="1" t="s">
        <v>61</v>
      </c>
      <c r="D1395" s="9">
        <v>91355</v>
      </c>
      <c r="E1395" s="9">
        <f>E1396</f>
        <v>91355</v>
      </c>
      <c r="F1395" s="9">
        <f t="shared" ref="F1395:H1395" si="687">F1396</f>
        <v>40188.300000000003</v>
      </c>
      <c r="G1395" s="9">
        <f t="shared" si="687"/>
        <v>40188.300000000003</v>
      </c>
      <c r="H1395" s="9">
        <f t="shared" si="687"/>
        <v>38378.387139999999</v>
      </c>
      <c r="I1395" s="9">
        <f t="shared" si="679"/>
        <v>42.010165989819932</v>
      </c>
      <c r="J1395" s="9">
        <f t="shared" si="680"/>
        <v>95.496418460099079</v>
      </c>
    </row>
    <row r="1396" spans="1:10" ht="25.5">
      <c r="A1396" s="8" t="s">
        <v>62</v>
      </c>
      <c r="B1396" s="1" t="s">
        <v>263</v>
      </c>
      <c r="C1396" s="1" t="s">
        <v>63</v>
      </c>
      <c r="D1396" s="9">
        <v>91355</v>
      </c>
      <c r="E1396" s="9">
        <f>ведомство!H428</f>
        <v>91355</v>
      </c>
      <c r="F1396" s="9">
        <f>ведомство!I428</f>
        <v>40188.300000000003</v>
      </c>
      <c r="G1396" s="9">
        <f>ведомство!J428</f>
        <v>40188.300000000003</v>
      </c>
      <c r="H1396" s="9">
        <f>ведомство!K428</f>
        <v>38378.387139999999</v>
      </c>
      <c r="I1396" s="9">
        <f t="shared" si="679"/>
        <v>42.010165989819932</v>
      </c>
      <c r="J1396" s="9">
        <f t="shared" si="680"/>
        <v>95.496418460099079</v>
      </c>
    </row>
    <row r="1397" spans="1:10" ht="25.5">
      <c r="A1397" s="8" t="s">
        <v>64</v>
      </c>
      <c r="B1397" s="1" t="s">
        <v>263</v>
      </c>
      <c r="C1397" s="1" t="s">
        <v>65</v>
      </c>
      <c r="D1397" s="9">
        <v>380.2</v>
      </c>
      <c r="E1397" s="9">
        <f>E1398</f>
        <v>380.2</v>
      </c>
      <c r="F1397" s="9">
        <f t="shared" ref="F1397:H1397" si="688">F1398</f>
        <v>114</v>
      </c>
      <c r="G1397" s="9">
        <f t="shared" si="688"/>
        <v>114</v>
      </c>
      <c r="H1397" s="9">
        <f t="shared" si="688"/>
        <v>114</v>
      </c>
      <c r="I1397" s="9">
        <f t="shared" si="679"/>
        <v>29.984218832193584</v>
      </c>
      <c r="J1397" s="9">
        <f t="shared" si="680"/>
        <v>100</v>
      </c>
    </row>
    <row r="1398" spans="1:10" ht="25.5">
      <c r="A1398" s="8" t="s">
        <v>66</v>
      </c>
      <c r="B1398" s="1" t="s">
        <v>263</v>
      </c>
      <c r="C1398" s="1" t="s">
        <v>67</v>
      </c>
      <c r="D1398" s="9">
        <v>380.2</v>
      </c>
      <c r="E1398" s="9">
        <f>ведомство!H430</f>
        <v>380.2</v>
      </c>
      <c r="F1398" s="9">
        <f>ведомство!I430</f>
        <v>114</v>
      </c>
      <c r="G1398" s="9">
        <f>ведомство!J430</f>
        <v>114</v>
      </c>
      <c r="H1398" s="9">
        <f>ведомство!K430</f>
        <v>114</v>
      </c>
      <c r="I1398" s="9">
        <f t="shared" si="679"/>
        <v>29.984218832193584</v>
      </c>
      <c r="J1398" s="9">
        <f t="shared" si="680"/>
        <v>100</v>
      </c>
    </row>
    <row r="1399" spans="1:10">
      <c r="A1399" s="4" t="s">
        <v>0</v>
      </c>
      <c r="B1399" s="17" t="s">
        <v>0</v>
      </c>
      <c r="C1399" s="5" t="s">
        <v>0</v>
      </c>
      <c r="D1399" s="7" t="s">
        <v>0</v>
      </c>
      <c r="E1399" s="7" t="s">
        <v>0</v>
      </c>
      <c r="F1399" s="7"/>
      <c r="G1399" s="7"/>
      <c r="H1399" s="7"/>
      <c r="I1399" s="7"/>
      <c r="J1399" s="7"/>
    </row>
    <row r="1400" spans="1:10" ht="38.25">
      <c r="A1400" s="4" t="s">
        <v>175</v>
      </c>
      <c r="B1400" s="5" t="s">
        <v>176</v>
      </c>
      <c r="C1400" s="5" t="s">
        <v>0</v>
      </c>
      <c r="D1400" s="7">
        <v>3203910</v>
      </c>
      <c r="E1400" s="7">
        <f>E1401+E1415</f>
        <v>3203910</v>
      </c>
      <c r="F1400" s="7">
        <f t="shared" ref="F1400:H1400" si="689">F1401+F1415</f>
        <v>2189165.3146799998</v>
      </c>
      <c r="G1400" s="7">
        <f t="shared" si="689"/>
        <v>2185883.2031100001</v>
      </c>
      <c r="H1400" s="7">
        <f t="shared" si="689"/>
        <v>2174505.0262000002</v>
      </c>
      <c r="I1400" s="7">
        <f t="shared" si="679"/>
        <v>67.870352981201094</v>
      </c>
      <c r="J1400" s="7">
        <f t="shared" si="680"/>
        <v>99.330325198298581</v>
      </c>
    </row>
    <row r="1401" spans="1:10" ht="25.5">
      <c r="A1401" s="4" t="s">
        <v>177</v>
      </c>
      <c r="B1401" s="5" t="s">
        <v>178</v>
      </c>
      <c r="C1401" s="5" t="s">
        <v>0</v>
      </c>
      <c r="D1401" s="7">
        <v>193662.4</v>
      </c>
      <c r="E1401" s="7">
        <f>E1402+E1405+E1408+E1411</f>
        <v>193662.4</v>
      </c>
      <c r="F1401" s="7">
        <f t="shared" ref="F1401:H1401" si="690">F1402+F1405+F1408+F1411</f>
        <v>10255</v>
      </c>
      <c r="G1401" s="7">
        <f t="shared" si="690"/>
        <v>10254.955679999999</v>
      </c>
      <c r="H1401" s="7">
        <f t="shared" si="690"/>
        <v>10254.955679999999</v>
      </c>
      <c r="I1401" s="7">
        <f t="shared" si="679"/>
        <v>5.2952744983022004</v>
      </c>
      <c r="J1401" s="7">
        <f t="shared" si="680"/>
        <v>99.999567820575322</v>
      </c>
    </row>
    <row r="1402" spans="1:10" ht="25.5">
      <c r="A1402" s="8" t="s">
        <v>107</v>
      </c>
      <c r="B1402" s="1" t="s">
        <v>211</v>
      </c>
      <c r="C1402" s="1" t="s">
        <v>0</v>
      </c>
      <c r="D1402" s="9">
        <v>70861.399999999994</v>
      </c>
      <c r="E1402" s="9">
        <f>E1403</f>
        <v>70861.399999999994</v>
      </c>
      <c r="F1402" s="9">
        <f t="shared" ref="F1402:H1403" si="691">F1403</f>
        <v>0</v>
      </c>
      <c r="G1402" s="9">
        <f t="shared" si="691"/>
        <v>0</v>
      </c>
      <c r="H1402" s="9">
        <f t="shared" si="691"/>
        <v>0</v>
      </c>
      <c r="I1402" s="9">
        <f t="shared" si="679"/>
        <v>0</v>
      </c>
      <c r="J1402" s="9">
        <v>0</v>
      </c>
    </row>
    <row r="1403" spans="1:10">
      <c r="A1403" s="8" t="s">
        <v>26</v>
      </c>
      <c r="B1403" s="1" t="s">
        <v>211</v>
      </c>
      <c r="C1403" s="1" t="s">
        <v>27</v>
      </c>
      <c r="D1403" s="9">
        <v>70861.399999999994</v>
      </c>
      <c r="E1403" s="9">
        <f>E1404</f>
        <v>70861.399999999994</v>
      </c>
      <c r="F1403" s="9">
        <f t="shared" si="691"/>
        <v>0</v>
      </c>
      <c r="G1403" s="9">
        <f t="shared" si="691"/>
        <v>0</v>
      </c>
      <c r="H1403" s="9">
        <f t="shared" si="691"/>
        <v>0</v>
      </c>
      <c r="I1403" s="9">
        <f t="shared" si="679"/>
        <v>0</v>
      </c>
      <c r="J1403" s="9">
        <v>0</v>
      </c>
    </row>
    <row r="1404" spans="1:10">
      <c r="A1404" s="8" t="s">
        <v>56</v>
      </c>
      <c r="B1404" s="1" t="s">
        <v>211</v>
      </c>
      <c r="C1404" s="1" t="s">
        <v>57</v>
      </c>
      <c r="D1404" s="9">
        <v>70861.399999999994</v>
      </c>
      <c r="E1404" s="9">
        <f>ведомство!H303</f>
        <v>70861.399999999994</v>
      </c>
      <c r="F1404" s="9">
        <f>ведомство!I303</f>
        <v>0</v>
      </c>
      <c r="G1404" s="9">
        <f>ведомство!J303</f>
        <v>0</v>
      </c>
      <c r="H1404" s="9">
        <f>ведомство!K303</f>
        <v>0</v>
      </c>
      <c r="I1404" s="9">
        <f t="shared" si="679"/>
        <v>0</v>
      </c>
      <c r="J1404" s="9">
        <v>0</v>
      </c>
    </row>
    <row r="1405" spans="1:10" ht="25.5">
      <c r="A1405" s="8" t="s">
        <v>179</v>
      </c>
      <c r="B1405" s="1" t="s">
        <v>180</v>
      </c>
      <c r="C1405" s="1" t="s">
        <v>0</v>
      </c>
      <c r="D1405" s="9">
        <v>900</v>
      </c>
      <c r="E1405" s="9">
        <f>E1406</f>
        <v>900</v>
      </c>
      <c r="F1405" s="9">
        <f t="shared" ref="F1405:H1406" si="692">F1406</f>
        <v>0</v>
      </c>
      <c r="G1405" s="9">
        <f t="shared" si="692"/>
        <v>0</v>
      </c>
      <c r="H1405" s="9">
        <f t="shared" si="692"/>
        <v>0</v>
      </c>
      <c r="I1405" s="9">
        <f t="shared" si="679"/>
        <v>0</v>
      </c>
      <c r="J1405" s="9">
        <v>0</v>
      </c>
    </row>
    <row r="1406" spans="1:10" ht="25.5">
      <c r="A1406" s="8" t="s">
        <v>64</v>
      </c>
      <c r="B1406" s="1" t="s">
        <v>180</v>
      </c>
      <c r="C1406" s="1" t="s">
        <v>65</v>
      </c>
      <c r="D1406" s="9">
        <v>900</v>
      </c>
      <c r="E1406" s="9">
        <f>E1407</f>
        <v>900</v>
      </c>
      <c r="F1406" s="9">
        <f t="shared" si="692"/>
        <v>0</v>
      </c>
      <c r="G1406" s="9">
        <f t="shared" si="692"/>
        <v>0</v>
      </c>
      <c r="H1406" s="9">
        <f t="shared" si="692"/>
        <v>0</v>
      </c>
      <c r="I1406" s="9">
        <f t="shared" si="679"/>
        <v>0</v>
      </c>
      <c r="J1406" s="9">
        <v>0</v>
      </c>
    </row>
    <row r="1407" spans="1:10" ht="25.5">
      <c r="A1407" s="8" t="s">
        <v>66</v>
      </c>
      <c r="B1407" s="1" t="s">
        <v>180</v>
      </c>
      <c r="C1407" s="1" t="s">
        <v>67</v>
      </c>
      <c r="D1407" s="9">
        <v>900</v>
      </c>
      <c r="E1407" s="9">
        <f>ведомство!H220</f>
        <v>900</v>
      </c>
      <c r="F1407" s="9">
        <f>ведомство!I220</f>
        <v>0</v>
      </c>
      <c r="G1407" s="9">
        <f>ведомство!J220</f>
        <v>0</v>
      </c>
      <c r="H1407" s="9">
        <f>ведомство!K220</f>
        <v>0</v>
      </c>
      <c r="I1407" s="9">
        <f t="shared" si="679"/>
        <v>0</v>
      </c>
      <c r="J1407" s="9">
        <v>0</v>
      </c>
    </row>
    <row r="1408" spans="1:10" ht="25.5">
      <c r="A1408" s="8" t="s">
        <v>212</v>
      </c>
      <c r="B1408" s="1" t="s">
        <v>213</v>
      </c>
      <c r="C1408" s="1" t="s">
        <v>0</v>
      </c>
      <c r="D1408" s="9">
        <v>115255</v>
      </c>
      <c r="E1408" s="9">
        <f>E1409</f>
        <v>115255</v>
      </c>
      <c r="F1408" s="9">
        <f t="shared" ref="F1408:H1409" si="693">F1409</f>
        <v>10255</v>
      </c>
      <c r="G1408" s="9">
        <f t="shared" si="693"/>
        <v>10254.955679999999</v>
      </c>
      <c r="H1408" s="9">
        <f t="shared" si="693"/>
        <v>10254.955679999999</v>
      </c>
      <c r="I1408" s="9">
        <f t="shared" si="679"/>
        <v>8.8976232527872963</v>
      </c>
      <c r="J1408" s="9">
        <f t="shared" si="680"/>
        <v>99.999567820575322</v>
      </c>
    </row>
    <row r="1409" spans="1:10">
      <c r="A1409" s="8" t="s">
        <v>26</v>
      </c>
      <c r="B1409" s="1" t="s">
        <v>213</v>
      </c>
      <c r="C1409" s="1" t="s">
        <v>27</v>
      </c>
      <c r="D1409" s="9">
        <v>115255</v>
      </c>
      <c r="E1409" s="9">
        <f>E1410</f>
        <v>115255</v>
      </c>
      <c r="F1409" s="9">
        <f t="shared" si="693"/>
        <v>10255</v>
      </c>
      <c r="G1409" s="9">
        <f t="shared" si="693"/>
        <v>10254.955679999999</v>
      </c>
      <c r="H1409" s="9">
        <f t="shared" si="693"/>
        <v>10254.955679999999</v>
      </c>
      <c r="I1409" s="9">
        <f t="shared" si="679"/>
        <v>8.8976232527872963</v>
      </c>
      <c r="J1409" s="9">
        <f t="shared" si="680"/>
        <v>99.999567820575322</v>
      </c>
    </row>
    <row r="1410" spans="1:10">
      <c r="A1410" s="8" t="s">
        <v>56</v>
      </c>
      <c r="B1410" s="1" t="s">
        <v>213</v>
      </c>
      <c r="C1410" s="1" t="s">
        <v>57</v>
      </c>
      <c r="D1410" s="9">
        <v>115255</v>
      </c>
      <c r="E1410" s="9">
        <f>ведомство!H306</f>
        <v>115255</v>
      </c>
      <c r="F1410" s="9">
        <f>ведомство!I306</f>
        <v>10255</v>
      </c>
      <c r="G1410" s="9">
        <f>ведомство!J306</f>
        <v>10254.955679999999</v>
      </c>
      <c r="H1410" s="9">
        <f>ведомство!K306</f>
        <v>10254.955679999999</v>
      </c>
      <c r="I1410" s="9">
        <f t="shared" si="679"/>
        <v>8.8976232527872963</v>
      </c>
      <c r="J1410" s="9">
        <f t="shared" si="680"/>
        <v>99.999567820575322</v>
      </c>
    </row>
    <row r="1411" spans="1:10" ht="51">
      <c r="A1411" s="8" t="s">
        <v>214</v>
      </c>
      <c r="B1411" s="1" t="s">
        <v>215</v>
      </c>
      <c r="C1411" s="1" t="s">
        <v>0</v>
      </c>
      <c r="D1411" s="9">
        <v>6646</v>
      </c>
      <c r="E1411" s="9">
        <f>E1412</f>
        <v>6646</v>
      </c>
      <c r="F1411" s="9">
        <f t="shared" ref="F1411:H1412" si="694">F1412</f>
        <v>0</v>
      </c>
      <c r="G1411" s="9">
        <f t="shared" si="694"/>
        <v>0</v>
      </c>
      <c r="H1411" s="9">
        <f t="shared" si="694"/>
        <v>0</v>
      </c>
      <c r="I1411" s="9">
        <f t="shared" si="679"/>
        <v>0</v>
      </c>
      <c r="J1411" s="9">
        <v>0</v>
      </c>
    </row>
    <row r="1412" spans="1:10">
      <c r="A1412" s="8" t="s">
        <v>26</v>
      </c>
      <c r="B1412" s="1" t="s">
        <v>215</v>
      </c>
      <c r="C1412" s="1" t="s">
        <v>27</v>
      </c>
      <c r="D1412" s="9">
        <v>6646</v>
      </c>
      <c r="E1412" s="9">
        <f>E1413</f>
        <v>6646</v>
      </c>
      <c r="F1412" s="9">
        <f t="shared" si="694"/>
        <v>0</v>
      </c>
      <c r="G1412" s="9">
        <f t="shared" si="694"/>
        <v>0</v>
      </c>
      <c r="H1412" s="9">
        <f t="shared" si="694"/>
        <v>0</v>
      </c>
      <c r="I1412" s="9">
        <f t="shared" si="679"/>
        <v>0</v>
      </c>
      <c r="J1412" s="9">
        <v>0</v>
      </c>
    </row>
    <row r="1413" spans="1:10">
      <c r="A1413" s="8" t="s">
        <v>56</v>
      </c>
      <c r="B1413" s="1" t="s">
        <v>215</v>
      </c>
      <c r="C1413" s="1" t="s">
        <v>57</v>
      </c>
      <c r="D1413" s="9">
        <v>6646</v>
      </c>
      <c r="E1413" s="9">
        <f>ведомство!H309</f>
        <v>6646</v>
      </c>
      <c r="F1413" s="9">
        <f>ведомство!I309</f>
        <v>0</v>
      </c>
      <c r="G1413" s="9">
        <f>ведомство!J309</f>
        <v>0</v>
      </c>
      <c r="H1413" s="9">
        <f>ведомство!K309</f>
        <v>0</v>
      </c>
      <c r="I1413" s="9">
        <f t="shared" si="679"/>
        <v>0</v>
      </c>
      <c r="J1413" s="9">
        <v>0</v>
      </c>
    </row>
    <row r="1414" spans="1:10">
      <c r="A1414" s="4" t="s">
        <v>0</v>
      </c>
      <c r="B1414" s="17" t="s">
        <v>0</v>
      </c>
      <c r="C1414" s="5" t="s">
        <v>0</v>
      </c>
      <c r="D1414" s="7" t="s">
        <v>0</v>
      </c>
      <c r="E1414" s="7" t="s">
        <v>0</v>
      </c>
      <c r="F1414" s="7" t="s">
        <v>0</v>
      </c>
      <c r="G1414" s="7" t="s">
        <v>0</v>
      </c>
      <c r="H1414" s="7" t="s">
        <v>0</v>
      </c>
      <c r="I1414" s="7"/>
      <c r="J1414" s="7"/>
    </row>
    <row r="1415" spans="1:10" ht="38.25">
      <c r="A1415" s="4" t="s">
        <v>181</v>
      </c>
      <c r="B1415" s="5" t="s">
        <v>182</v>
      </c>
      <c r="C1415" s="5" t="s">
        <v>0</v>
      </c>
      <c r="D1415" s="7">
        <v>3010247.6</v>
      </c>
      <c r="E1415" s="7">
        <f>E1419+E1432+E1441+E1444+E1447+E1450+E1453+E1456+E1459+E1429</f>
        <v>3010247.6</v>
      </c>
      <c r="F1415" s="7">
        <f t="shared" ref="F1415:H1415" si="695">F1419+F1432+F1441+F1444+F1447+F1450+F1453+F1456+F1459+F1429</f>
        <v>2178910.3146799998</v>
      </c>
      <c r="G1415" s="7">
        <f t="shared" si="695"/>
        <v>2175628.24743</v>
      </c>
      <c r="H1415" s="7">
        <f t="shared" si="695"/>
        <v>2164250.0705200001</v>
      </c>
      <c r="I1415" s="7">
        <f t="shared" si="679"/>
        <v>71.896081588770315</v>
      </c>
      <c r="J1415" s="7">
        <f t="shared" si="680"/>
        <v>99.327175420611439</v>
      </c>
    </row>
    <row r="1416" spans="1:10" hidden="1">
      <c r="A1416" s="8" t="s">
        <v>609</v>
      </c>
      <c r="B1416" s="25" t="s">
        <v>1122</v>
      </c>
      <c r="C1416" s="6"/>
      <c r="D1416" s="7"/>
      <c r="E1416" s="23">
        <f>E1417</f>
        <v>0</v>
      </c>
      <c r="F1416" s="23">
        <f t="shared" ref="F1416:H1417" si="696">F1417</f>
        <v>0</v>
      </c>
      <c r="G1416" s="23">
        <f t="shared" si="696"/>
        <v>0</v>
      </c>
      <c r="H1416" s="23">
        <f t="shared" si="696"/>
        <v>0</v>
      </c>
      <c r="I1416" s="7" t="e">
        <f t="shared" si="679"/>
        <v>#DIV/0!</v>
      </c>
      <c r="J1416" s="7" t="e">
        <f t="shared" si="680"/>
        <v>#DIV/0!</v>
      </c>
    </row>
    <row r="1417" spans="1:10" hidden="1">
      <c r="A1417" s="8" t="s">
        <v>72</v>
      </c>
      <c r="B1417" s="25" t="s">
        <v>1122</v>
      </c>
      <c r="C1417" s="6">
        <v>800</v>
      </c>
      <c r="D1417" s="7"/>
      <c r="E1417" s="23">
        <f>E1418</f>
        <v>0</v>
      </c>
      <c r="F1417" s="23">
        <f t="shared" si="696"/>
        <v>0</v>
      </c>
      <c r="G1417" s="23">
        <f t="shared" si="696"/>
        <v>0</v>
      </c>
      <c r="H1417" s="23">
        <f t="shared" si="696"/>
        <v>0</v>
      </c>
      <c r="I1417" s="7" t="e">
        <f t="shared" si="679"/>
        <v>#DIV/0!</v>
      </c>
      <c r="J1417" s="7" t="e">
        <f t="shared" si="680"/>
        <v>#DIV/0!</v>
      </c>
    </row>
    <row r="1418" spans="1:10" hidden="1">
      <c r="A1418" s="8" t="s">
        <v>84</v>
      </c>
      <c r="B1418" s="25" t="s">
        <v>1122</v>
      </c>
      <c r="C1418" s="6">
        <v>830</v>
      </c>
      <c r="D1418" s="7"/>
      <c r="E1418" s="23"/>
      <c r="F1418" s="23"/>
      <c r="G1418" s="23"/>
      <c r="H1418" s="23"/>
      <c r="I1418" s="7" t="e">
        <f t="shared" si="679"/>
        <v>#DIV/0!</v>
      </c>
      <c r="J1418" s="7" t="e">
        <f t="shared" si="680"/>
        <v>#DIV/0!</v>
      </c>
    </row>
    <row r="1419" spans="1:10" ht="25.5">
      <c r="A1419" s="8" t="s">
        <v>58</v>
      </c>
      <c r="B1419" s="1" t="s">
        <v>183</v>
      </c>
      <c r="C1419" s="1" t="s">
        <v>0</v>
      </c>
      <c r="D1419" s="9">
        <v>111485</v>
      </c>
      <c r="E1419" s="9">
        <f>E1420+E1422+E1424+E1426</f>
        <v>111485</v>
      </c>
      <c r="F1419" s="9">
        <f t="shared" ref="F1419:H1419" si="697">F1420+F1422+F1424+F1426</f>
        <v>58481.925280000003</v>
      </c>
      <c r="G1419" s="9">
        <f t="shared" si="697"/>
        <v>55199.858029999996</v>
      </c>
      <c r="H1419" s="9">
        <f t="shared" si="697"/>
        <v>48299.127449999993</v>
      </c>
      <c r="I1419" s="9">
        <f t="shared" si="679"/>
        <v>43.323431358478715</v>
      </c>
      <c r="J1419" s="9">
        <f t="shared" si="680"/>
        <v>82.588128244330576</v>
      </c>
    </row>
    <row r="1420" spans="1:10" ht="51">
      <c r="A1420" s="8" t="s">
        <v>60</v>
      </c>
      <c r="B1420" s="1" t="s">
        <v>183</v>
      </c>
      <c r="C1420" s="1" t="s">
        <v>61</v>
      </c>
      <c r="D1420" s="9">
        <v>102555</v>
      </c>
      <c r="E1420" s="9">
        <f>E1421</f>
        <v>102555</v>
      </c>
      <c r="F1420" s="9">
        <f t="shared" ref="F1420:H1420" si="698">F1421</f>
        <v>52722</v>
      </c>
      <c r="G1420" s="9">
        <f t="shared" si="698"/>
        <v>50795.199999999997</v>
      </c>
      <c r="H1420" s="9">
        <f t="shared" si="698"/>
        <v>44551.665859999994</v>
      </c>
      <c r="I1420" s="9">
        <f t="shared" si="679"/>
        <v>43.441729667007941</v>
      </c>
      <c r="J1420" s="9">
        <f t="shared" si="680"/>
        <v>84.50298899889988</v>
      </c>
    </row>
    <row r="1421" spans="1:10" ht="25.5">
      <c r="A1421" s="8" t="s">
        <v>62</v>
      </c>
      <c r="B1421" s="1" t="s">
        <v>183</v>
      </c>
      <c r="C1421" s="1" t="s">
        <v>63</v>
      </c>
      <c r="D1421" s="9">
        <v>102555</v>
      </c>
      <c r="E1421" s="9">
        <f>ведомство!H224+ведомство!H2587</f>
        <v>102555</v>
      </c>
      <c r="F1421" s="9">
        <f>ведомство!I224+ведомство!I2587</f>
        <v>52722</v>
      </c>
      <c r="G1421" s="9">
        <f>ведомство!J224+ведомство!J2587</f>
        <v>50795.199999999997</v>
      </c>
      <c r="H1421" s="9">
        <f>ведомство!K224+ведомство!K2587</f>
        <v>44551.665859999994</v>
      </c>
      <c r="I1421" s="9">
        <f t="shared" si="679"/>
        <v>43.441729667007941</v>
      </c>
      <c r="J1421" s="9">
        <f t="shared" si="680"/>
        <v>84.50298899889988</v>
      </c>
    </row>
    <row r="1422" spans="1:10" ht="25.5">
      <c r="A1422" s="8" t="s">
        <v>64</v>
      </c>
      <c r="B1422" s="1" t="s">
        <v>183</v>
      </c>
      <c r="C1422" s="1" t="s">
        <v>65</v>
      </c>
      <c r="D1422" s="9">
        <v>8803.2000000000007</v>
      </c>
      <c r="E1422" s="9">
        <f>E1423</f>
        <v>8796.8771000000015</v>
      </c>
      <c r="F1422" s="9">
        <f t="shared" ref="F1422:H1422" si="699">F1423</f>
        <v>5628.6770999999999</v>
      </c>
      <c r="G1422" s="9">
        <f t="shared" si="699"/>
        <v>4275</v>
      </c>
      <c r="H1422" s="9">
        <f t="shared" si="699"/>
        <v>3620.8035599999998</v>
      </c>
      <c r="I1422" s="9">
        <f t="shared" si="679"/>
        <v>41.160101691087611</v>
      </c>
      <c r="J1422" s="9">
        <f t="shared" si="680"/>
        <v>64.327789561778204</v>
      </c>
    </row>
    <row r="1423" spans="1:10" ht="25.5">
      <c r="A1423" s="8" t="s">
        <v>66</v>
      </c>
      <c r="B1423" s="1" t="s">
        <v>183</v>
      </c>
      <c r="C1423" s="1" t="s">
        <v>67</v>
      </c>
      <c r="D1423" s="9">
        <v>8803.2000000000007</v>
      </c>
      <c r="E1423" s="9">
        <f>ведомство!H226+ведомство!H2589</f>
        <v>8796.8771000000015</v>
      </c>
      <c r="F1423" s="9">
        <f>ведомство!I226+ведомство!I2589</f>
        <v>5628.6770999999999</v>
      </c>
      <c r="G1423" s="9">
        <f>ведомство!J226+ведомство!J2589</f>
        <v>4275</v>
      </c>
      <c r="H1423" s="9">
        <f>ведомство!K226+ведомство!K2589</f>
        <v>3620.8035599999998</v>
      </c>
      <c r="I1423" s="9">
        <f t="shared" si="679"/>
        <v>41.160101691087611</v>
      </c>
      <c r="J1423" s="9">
        <f t="shared" si="680"/>
        <v>64.327789561778204</v>
      </c>
    </row>
    <row r="1424" spans="1:10">
      <c r="A1424" s="8" t="s">
        <v>68</v>
      </c>
      <c r="B1424" s="1" t="s">
        <v>183</v>
      </c>
      <c r="C1424" s="1" t="s">
        <v>69</v>
      </c>
      <c r="D1424" s="9">
        <v>45</v>
      </c>
      <c r="E1424" s="9">
        <f>E1425</f>
        <v>45</v>
      </c>
      <c r="F1424" s="9">
        <f t="shared" ref="F1424:H1424" si="700">F1425</f>
        <v>45</v>
      </c>
      <c r="G1424" s="9">
        <f t="shared" si="700"/>
        <v>45</v>
      </c>
      <c r="H1424" s="9">
        <f t="shared" si="700"/>
        <v>45</v>
      </c>
      <c r="I1424" s="9">
        <f t="shared" si="679"/>
        <v>100</v>
      </c>
      <c r="J1424" s="9">
        <f t="shared" si="680"/>
        <v>100</v>
      </c>
    </row>
    <row r="1425" spans="1:10">
      <c r="A1425" s="8" t="s">
        <v>70</v>
      </c>
      <c r="B1425" s="1" t="s">
        <v>183</v>
      </c>
      <c r="C1425" s="1" t="s">
        <v>71</v>
      </c>
      <c r="D1425" s="9">
        <v>45</v>
      </c>
      <c r="E1425" s="9">
        <f>ведомство!H228</f>
        <v>45</v>
      </c>
      <c r="F1425" s="9">
        <f>ведомство!I228</f>
        <v>45</v>
      </c>
      <c r="G1425" s="9">
        <f>ведомство!J228</f>
        <v>45</v>
      </c>
      <c r="H1425" s="9">
        <f>ведомство!K228</f>
        <v>45</v>
      </c>
      <c r="I1425" s="9">
        <f t="shared" si="679"/>
        <v>100</v>
      </c>
      <c r="J1425" s="9">
        <f t="shared" si="680"/>
        <v>100</v>
      </c>
    </row>
    <row r="1426" spans="1:10">
      <c r="A1426" s="8" t="s">
        <v>72</v>
      </c>
      <c r="B1426" s="1" t="s">
        <v>183</v>
      </c>
      <c r="C1426" s="1" t="s">
        <v>73</v>
      </c>
      <c r="D1426" s="9">
        <v>81.8</v>
      </c>
      <c r="E1426" s="9">
        <f>E1427+E1428</f>
        <v>88.122900000000001</v>
      </c>
      <c r="F1426" s="9">
        <f t="shared" ref="F1426:H1426" si="701">F1427+F1428</f>
        <v>86.248180000000005</v>
      </c>
      <c r="G1426" s="9">
        <f t="shared" si="701"/>
        <v>84.658030000000011</v>
      </c>
      <c r="H1426" s="9">
        <f t="shared" si="701"/>
        <v>81.658030000000011</v>
      </c>
      <c r="I1426" s="9">
        <f t="shared" si="679"/>
        <v>92.663802484938657</v>
      </c>
      <c r="J1426" s="9">
        <f t="shared" si="680"/>
        <v>94.677974654073864</v>
      </c>
    </row>
    <row r="1427" spans="1:10">
      <c r="A1427" s="8" t="s">
        <v>84</v>
      </c>
      <c r="B1427" s="1" t="s">
        <v>183</v>
      </c>
      <c r="C1427" s="1" t="s">
        <v>85</v>
      </c>
      <c r="D1427" s="9">
        <v>75</v>
      </c>
      <c r="E1427" s="9">
        <f>ведомство!H2591</f>
        <v>81.322900000000004</v>
      </c>
      <c r="F1427" s="9">
        <f>ведомство!I2591</f>
        <v>81.322900000000004</v>
      </c>
      <c r="G1427" s="9">
        <f>ведомство!J2591</f>
        <v>81.322900000000004</v>
      </c>
      <c r="H1427" s="9">
        <f>ведомство!K2591</f>
        <v>78.322900000000004</v>
      </c>
      <c r="I1427" s="9">
        <f t="shared" si="679"/>
        <v>96.311002190035026</v>
      </c>
      <c r="J1427" s="9">
        <f t="shared" si="680"/>
        <v>96.311002190035026</v>
      </c>
    </row>
    <row r="1428" spans="1:10">
      <c r="A1428" s="8" t="s">
        <v>74</v>
      </c>
      <c r="B1428" s="1" t="s">
        <v>183</v>
      </c>
      <c r="C1428" s="1" t="s">
        <v>75</v>
      </c>
      <c r="D1428" s="9">
        <v>6.8</v>
      </c>
      <c r="E1428" s="9">
        <f>ведомство!H230</f>
        <v>6.8</v>
      </c>
      <c r="F1428" s="9">
        <f>ведомство!I230</f>
        <v>4.9252799999999999</v>
      </c>
      <c r="G1428" s="9">
        <f>ведомство!J230</f>
        <v>3.3351299999999999</v>
      </c>
      <c r="H1428" s="9">
        <f>ведомство!K230</f>
        <v>3.3351299999999999</v>
      </c>
      <c r="I1428" s="9">
        <f t="shared" si="679"/>
        <v>49.046029411764707</v>
      </c>
      <c r="J1428" s="9">
        <f t="shared" si="680"/>
        <v>67.714525874671082</v>
      </c>
    </row>
    <row r="1429" spans="1:10" s="43" customFormat="1">
      <c r="A1429" s="8" t="s">
        <v>609</v>
      </c>
      <c r="B1429" s="25" t="s">
        <v>1122</v>
      </c>
      <c r="C1429" s="6"/>
      <c r="D1429" s="9"/>
      <c r="E1429" s="9">
        <f>E1430</f>
        <v>74.63</v>
      </c>
      <c r="F1429" s="9">
        <f t="shared" ref="F1429:H1430" si="702">F1430</f>
        <v>74.63</v>
      </c>
      <c r="G1429" s="9">
        <f t="shared" si="702"/>
        <v>74.63</v>
      </c>
      <c r="H1429" s="9">
        <f t="shared" si="702"/>
        <v>74.63</v>
      </c>
      <c r="I1429" s="9">
        <f t="shared" ref="I1429:I1431" si="703">H1429/E1429*100</f>
        <v>100</v>
      </c>
      <c r="J1429" s="9">
        <f t="shared" ref="J1429:J1431" si="704">H1429/F1429*100</f>
        <v>100</v>
      </c>
    </row>
    <row r="1430" spans="1:10" s="43" customFormat="1">
      <c r="A1430" s="8" t="s">
        <v>72</v>
      </c>
      <c r="B1430" s="25" t="s">
        <v>1122</v>
      </c>
      <c r="C1430" s="6">
        <v>800</v>
      </c>
      <c r="D1430" s="9"/>
      <c r="E1430" s="9">
        <f>E1431</f>
        <v>74.63</v>
      </c>
      <c r="F1430" s="9">
        <f t="shared" si="702"/>
        <v>74.63</v>
      </c>
      <c r="G1430" s="9">
        <f t="shared" si="702"/>
        <v>74.63</v>
      </c>
      <c r="H1430" s="9">
        <f t="shared" si="702"/>
        <v>74.63</v>
      </c>
      <c r="I1430" s="9">
        <f t="shared" si="703"/>
        <v>100</v>
      </c>
      <c r="J1430" s="9">
        <f t="shared" si="704"/>
        <v>100</v>
      </c>
    </row>
    <row r="1431" spans="1:10" s="43" customFormat="1">
      <c r="A1431" s="8" t="s">
        <v>84</v>
      </c>
      <c r="B1431" s="25" t="s">
        <v>1122</v>
      </c>
      <c r="C1431" s="6">
        <v>830</v>
      </c>
      <c r="D1431" s="9"/>
      <c r="E1431" s="9">
        <f>ведомство!H313</f>
        <v>74.63</v>
      </c>
      <c r="F1431" s="9">
        <f>ведомство!I313</f>
        <v>74.63</v>
      </c>
      <c r="G1431" s="9">
        <f>ведомство!J313</f>
        <v>74.63</v>
      </c>
      <c r="H1431" s="9">
        <f>ведомство!K313</f>
        <v>74.63</v>
      </c>
      <c r="I1431" s="9">
        <f t="shared" si="703"/>
        <v>100</v>
      </c>
      <c r="J1431" s="9">
        <f t="shared" si="704"/>
        <v>100</v>
      </c>
    </row>
    <row r="1432" spans="1:10" ht="25.5">
      <c r="A1432" s="8" t="s">
        <v>76</v>
      </c>
      <c r="B1432" s="1" t="s">
        <v>192</v>
      </c>
      <c r="C1432" s="1" t="s">
        <v>0</v>
      </c>
      <c r="D1432" s="9">
        <v>34731.199999999997</v>
      </c>
      <c r="E1432" s="9">
        <f>E1433+E1435+E1437+E1439</f>
        <v>34731.199999999997</v>
      </c>
      <c r="F1432" s="9">
        <f t="shared" ref="F1432:H1432" si="705">F1433+F1435+F1437+F1439</f>
        <v>19407.2</v>
      </c>
      <c r="G1432" s="9">
        <f t="shared" si="705"/>
        <v>19407.2</v>
      </c>
      <c r="H1432" s="9">
        <f t="shared" si="705"/>
        <v>15749.412400000003</v>
      </c>
      <c r="I1432" s="9">
        <f t="shared" si="679"/>
        <v>45.346582899525515</v>
      </c>
      <c r="J1432" s="9">
        <f t="shared" si="680"/>
        <v>81.152419720516107</v>
      </c>
    </row>
    <row r="1433" spans="1:10" ht="51">
      <c r="A1433" s="8" t="s">
        <v>60</v>
      </c>
      <c r="B1433" s="1" t="s">
        <v>192</v>
      </c>
      <c r="C1433" s="1" t="s">
        <v>61</v>
      </c>
      <c r="D1433" s="9">
        <v>32355.200000000001</v>
      </c>
      <c r="E1433" s="9">
        <f>E1434</f>
        <v>32355.200000000001</v>
      </c>
      <c r="F1433" s="9">
        <f t="shared" ref="F1433:H1433" si="706">F1434</f>
        <v>18200</v>
      </c>
      <c r="G1433" s="9">
        <f t="shared" si="706"/>
        <v>18200</v>
      </c>
      <c r="H1433" s="9">
        <f t="shared" si="706"/>
        <v>14717.954560000002</v>
      </c>
      <c r="I1433" s="9">
        <f t="shared" si="679"/>
        <v>45.488683611907824</v>
      </c>
      <c r="J1433" s="9">
        <f t="shared" si="680"/>
        <v>80.867882197802203</v>
      </c>
    </row>
    <row r="1434" spans="1:10">
      <c r="A1434" s="8" t="s">
        <v>78</v>
      </c>
      <c r="B1434" s="1" t="s">
        <v>192</v>
      </c>
      <c r="C1434" s="1" t="s">
        <v>79</v>
      </c>
      <c r="D1434" s="9">
        <v>32355.200000000001</v>
      </c>
      <c r="E1434" s="9">
        <f>ведомство!H249</f>
        <v>32355.200000000001</v>
      </c>
      <c r="F1434" s="9">
        <f>ведомство!I249</f>
        <v>18200</v>
      </c>
      <c r="G1434" s="9">
        <f>ведомство!J249</f>
        <v>18200</v>
      </c>
      <c r="H1434" s="9">
        <f>ведомство!K249</f>
        <v>14717.954560000002</v>
      </c>
      <c r="I1434" s="9">
        <f t="shared" si="679"/>
        <v>45.488683611907824</v>
      </c>
      <c r="J1434" s="9">
        <f t="shared" si="680"/>
        <v>80.867882197802203</v>
      </c>
    </row>
    <row r="1435" spans="1:10" ht="25.5">
      <c r="A1435" s="8" t="s">
        <v>64</v>
      </c>
      <c r="B1435" s="1" t="s">
        <v>192</v>
      </c>
      <c r="C1435" s="1" t="s">
        <v>65</v>
      </c>
      <c r="D1435" s="9">
        <v>1946.8</v>
      </c>
      <c r="E1435" s="9">
        <f>E1436</f>
        <v>1946.8</v>
      </c>
      <c r="F1435" s="9">
        <f t="shared" ref="F1435:H1435" si="707">F1436</f>
        <v>990</v>
      </c>
      <c r="G1435" s="9">
        <f t="shared" si="707"/>
        <v>990</v>
      </c>
      <c r="H1435" s="9">
        <f t="shared" si="707"/>
        <v>826.24891000000002</v>
      </c>
      <c r="I1435" s="9">
        <f t="shared" si="679"/>
        <v>42.441386377645365</v>
      </c>
      <c r="J1435" s="9">
        <f t="shared" si="680"/>
        <v>83.459485858585865</v>
      </c>
    </row>
    <row r="1436" spans="1:10" ht="25.5">
      <c r="A1436" s="8" t="s">
        <v>66</v>
      </c>
      <c r="B1436" s="1" t="s">
        <v>192</v>
      </c>
      <c r="C1436" s="1" t="s">
        <v>67</v>
      </c>
      <c r="D1436" s="9">
        <v>1946.8</v>
      </c>
      <c r="E1436" s="9">
        <f>ведомство!H251</f>
        <v>1946.8</v>
      </c>
      <c r="F1436" s="9">
        <f>ведомство!I251</f>
        <v>990</v>
      </c>
      <c r="G1436" s="9">
        <f>ведомство!J251</f>
        <v>990</v>
      </c>
      <c r="H1436" s="9">
        <f>ведомство!K251</f>
        <v>826.24891000000002</v>
      </c>
      <c r="I1436" s="9">
        <f t="shared" si="679"/>
        <v>42.441386377645365</v>
      </c>
      <c r="J1436" s="9">
        <f t="shared" si="680"/>
        <v>83.459485858585865</v>
      </c>
    </row>
    <row r="1437" spans="1:10" ht="25.5">
      <c r="A1437" s="8" t="s">
        <v>80</v>
      </c>
      <c r="B1437" s="1" t="s">
        <v>192</v>
      </c>
      <c r="C1437" s="1" t="s">
        <v>81</v>
      </c>
      <c r="D1437" s="9">
        <v>400</v>
      </c>
      <c r="E1437" s="9">
        <f>E1438</f>
        <v>400</v>
      </c>
      <c r="F1437" s="9">
        <f t="shared" ref="F1437:H1437" si="708">F1438</f>
        <v>200</v>
      </c>
      <c r="G1437" s="9">
        <f t="shared" si="708"/>
        <v>200</v>
      </c>
      <c r="H1437" s="9">
        <f t="shared" si="708"/>
        <v>200</v>
      </c>
      <c r="I1437" s="9">
        <f t="shared" si="679"/>
        <v>50</v>
      </c>
      <c r="J1437" s="9">
        <f t="shared" si="680"/>
        <v>100</v>
      </c>
    </row>
    <row r="1438" spans="1:10">
      <c r="A1438" s="8" t="s">
        <v>82</v>
      </c>
      <c r="B1438" s="1" t="s">
        <v>192</v>
      </c>
      <c r="C1438" s="1" t="s">
        <v>83</v>
      </c>
      <c r="D1438" s="9">
        <v>400</v>
      </c>
      <c r="E1438" s="9">
        <f>ведомство!H261</f>
        <v>400</v>
      </c>
      <c r="F1438" s="9">
        <f>ведомство!I261</f>
        <v>200</v>
      </c>
      <c r="G1438" s="9">
        <f>ведомство!J261</f>
        <v>200</v>
      </c>
      <c r="H1438" s="9">
        <f>ведомство!K261</f>
        <v>200</v>
      </c>
      <c r="I1438" s="9">
        <f t="shared" si="679"/>
        <v>50</v>
      </c>
      <c r="J1438" s="9">
        <f t="shared" si="680"/>
        <v>100</v>
      </c>
    </row>
    <row r="1439" spans="1:10">
      <c r="A1439" s="8" t="s">
        <v>72</v>
      </c>
      <c r="B1439" s="1" t="s">
        <v>192</v>
      </c>
      <c r="C1439" s="1" t="s">
        <v>73</v>
      </c>
      <c r="D1439" s="9">
        <v>29.2</v>
      </c>
      <c r="E1439" s="9">
        <f>E1440</f>
        <v>29.2</v>
      </c>
      <c r="F1439" s="9">
        <f t="shared" ref="F1439:H1439" si="709">F1440</f>
        <v>17.2</v>
      </c>
      <c r="G1439" s="9">
        <f t="shared" si="709"/>
        <v>17.2</v>
      </c>
      <c r="H1439" s="9">
        <f t="shared" si="709"/>
        <v>5.2089299999999996</v>
      </c>
      <c r="I1439" s="9">
        <f t="shared" si="679"/>
        <v>17.838801369863013</v>
      </c>
      <c r="J1439" s="9">
        <f t="shared" si="680"/>
        <v>30.284476744186044</v>
      </c>
    </row>
    <row r="1440" spans="1:10">
      <c r="A1440" s="8" t="s">
        <v>74</v>
      </c>
      <c r="B1440" s="1" t="s">
        <v>192</v>
      </c>
      <c r="C1440" s="1" t="s">
        <v>75</v>
      </c>
      <c r="D1440" s="9">
        <v>29.2</v>
      </c>
      <c r="E1440" s="9">
        <f>ведомство!H253</f>
        <v>29.2</v>
      </c>
      <c r="F1440" s="9">
        <f>ведомство!I253</f>
        <v>17.2</v>
      </c>
      <c r="G1440" s="9">
        <f>ведомство!J253</f>
        <v>17.2</v>
      </c>
      <c r="H1440" s="9">
        <f>ведомство!K253</f>
        <v>5.2089299999999996</v>
      </c>
      <c r="I1440" s="9">
        <f t="shared" si="679"/>
        <v>17.838801369863013</v>
      </c>
      <c r="J1440" s="9">
        <f t="shared" si="680"/>
        <v>30.284476744186044</v>
      </c>
    </row>
    <row r="1441" spans="1:10" ht="38.25">
      <c r="A1441" s="8" t="s">
        <v>216</v>
      </c>
      <c r="B1441" s="1" t="s">
        <v>217</v>
      </c>
      <c r="C1441" s="1" t="s">
        <v>0</v>
      </c>
      <c r="D1441" s="9">
        <v>71526.600000000006</v>
      </c>
      <c r="E1441" s="9">
        <f>E1442</f>
        <v>71526.600000000006</v>
      </c>
      <c r="F1441" s="9">
        <f t="shared" ref="F1441:H1442" si="710">F1442</f>
        <v>42494.94341</v>
      </c>
      <c r="G1441" s="9">
        <f t="shared" si="710"/>
        <v>42494.94341</v>
      </c>
      <c r="H1441" s="9">
        <f t="shared" si="710"/>
        <v>42494.94341</v>
      </c>
      <c r="I1441" s="9">
        <f t="shared" si="679"/>
        <v>59.411384589788973</v>
      </c>
      <c r="J1441" s="9">
        <f t="shared" si="680"/>
        <v>100</v>
      </c>
    </row>
    <row r="1442" spans="1:10">
      <c r="A1442" s="8" t="s">
        <v>72</v>
      </c>
      <c r="B1442" s="1" t="s">
        <v>217</v>
      </c>
      <c r="C1442" s="1" t="s">
        <v>73</v>
      </c>
      <c r="D1442" s="9">
        <v>71526.600000000006</v>
      </c>
      <c r="E1442" s="9">
        <f>E1443</f>
        <v>71526.600000000006</v>
      </c>
      <c r="F1442" s="9">
        <f t="shared" si="710"/>
        <v>42494.94341</v>
      </c>
      <c r="G1442" s="9">
        <f t="shared" si="710"/>
        <v>42494.94341</v>
      </c>
      <c r="H1442" s="9">
        <f t="shared" si="710"/>
        <v>42494.94341</v>
      </c>
      <c r="I1442" s="9">
        <f t="shared" si="679"/>
        <v>59.411384589788973</v>
      </c>
      <c r="J1442" s="9">
        <f t="shared" si="680"/>
        <v>100</v>
      </c>
    </row>
    <row r="1443" spans="1:10" ht="38.25">
      <c r="A1443" s="8" t="s">
        <v>218</v>
      </c>
      <c r="B1443" s="1" t="s">
        <v>217</v>
      </c>
      <c r="C1443" s="1" t="s">
        <v>219</v>
      </c>
      <c r="D1443" s="9">
        <v>71526.600000000006</v>
      </c>
      <c r="E1443" s="9">
        <f>ведомство!H316</f>
        <v>71526.600000000006</v>
      </c>
      <c r="F1443" s="9">
        <f>ведомство!I316</f>
        <v>42494.94341</v>
      </c>
      <c r="G1443" s="9">
        <f>ведомство!J316</f>
        <v>42494.94341</v>
      </c>
      <c r="H1443" s="9">
        <f>ведомство!K316</f>
        <v>42494.94341</v>
      </c>
      <c r="I1443" s="9">
        <f t="shared" si="679"/>
        <v>59.411384589788973</v>
      </c>
      <c r="J1443" s="9">
        <f t="shared" si="680"/>
        <v>100</v>
      </c>
    </row>
    <row r="1444" spans="1:10" ht="51">
      <c r="A1444" s="8" t="s">
        <v>220</v>
      </c>
      <c r="B1444" s="1" t="s">
        <v>221</v>
      </c>
      <c r="C1444" s="1" t="s">
        <v>0</v>
      </c>
      <c r="D1444" s="9">
        <v>799292.6</v>
      </c>
      <c r="E1444" s="9">
        <f>E1445</f>
        <v>799282.09600000002</v>
      </c>
      <c r="F1444" s="9">
        <f t="shared" ref="F1444:H1445" si="711">F1445</f>
        <v>712140.07504999998</v>
      </c>
      <c r="G1444" s="9">
        <f t="shared" si="711"/>
        <v>712140.07504999998</v>
      </c>
      <c r="H1444" s="9">
        <f t="shared" si="711"/>
        <v>712140.07504999998</v>
      </c>
      <c r="I1444" s="9">
        <f t="shared" si="679"/>
        <v>89.097463663192073</v>
      </c>
      <c r="J1444" s="9">
        <f t="shared" si="680"/>
        <v>100</v>
      </c>
    </row>
    <row r="1445" spans="1:10">
      <c r="A1445" s="8" t="s">
        <v>72</v>
      </c>
      <c r="B1445" s="1" t="s">
        <v>221</v>
      </c>
      <c r="C1445" s="1" t="s">
        <v>73</v>
      </c>
      <c r="D1445" s="9">
        <v>799292.6</v>
      </c>
      <c r="E1445" s="9">
        <f>E1446</f>
        <v>799282.09600000002</v>
      </c>
      <c r="F1445" s="9">
        <f t="shared" si="711"/>
        <v>712140.07504999998</v>
      </c>
      <c r="G1445" s="9">
        <f t="shared" si="711"/>
        <v>712140.07504999998</v>
      </c>
      <c r="H1445" s="9">
        <f t="shared" si="711"/>
        <v>712140.07504999998</v>
      </c>
      <c r="I1445" s="9">
        <f t="shared" si="679"/>
        <v>89.097463663192073</v>
      </c>
      <c r="J1445" s="9">
        <f t="shared" si="680"/>
        <v>100</v>
      </c>
    </row>
    <row r="1446" spans="1:10" ht="38.25">
      <c r="A1446" s="8" t="s">
        <v>218</v>
      </c>
      <c r="B1446" s="1" t="s">
        <v>221</v>
      </c>
      <c r="C1446" s="1" t="s">
        <v>219</v>
      </c>
      <c r="D1446" s="9">
        <v>799292.6</v>
      </c>
      <c r="E1446" s="9">
        <f>ведомство!H319</f>
        <v>799282.09600000002</v>
      </c>
      <c r="F1446" s="9">
        <f>ведомство!I319</f>
        <v>712140.07504999998</v>
      </c>
      <c r="G1446" s="9">
        <f>ведомство!J319</f>
        <v>712140.07504999998</v>
      </c>
      <c r="H1446" s="9">
        <f>ведомство!K319</f>
        <v>712140.07504999998</v>
      </c>
      <c r="I1446" s="9">
        <f t="shared" si="679"/>
        <v>89.097463663192073</v>
      </c>
      <c r="J1446" s="9">
        <f t="shared" si="680"/>
        <v>100</v>
      </c>
    </row>
    <row r="1447" spans="1:10" ht="51">
      <c r="A1447" s="8" t="s">
        <v>222</v>
      </c>
      <c r="B1447" s="1" t="s">
        <v>223</v>
      </c>
      <c r="C1447" s="1" t="s">
        <v>0</v>
      </c>
      <c r="D1447" s="9">
        <v>1383826.4</v>
      </c>
      <c r="E1447" s="9">
        <f>E1448</f>
        <v>1383792.274</v>
      </c>
      <c r="F1447" s="9">
        <f t="shared" ref="F1447:H1448" si="712">F1448</f>
        <v>1059292.4807800001</v>
      </c>
      <c r="G1447" s="9">
        <f t="shared" si="712"/>
        <v>1059292.4807800001</v>
      </c>
      <c r="H1447" s="9">
        <f t="shared" si="712"/>
        <v>1058472.8220500001</v>
      </c>
      <c r="I1447" s="9">
        <f t="shared" si="679"/>
        <v>76.490730721481114</v>
      </c>
      <c r="J1447" s="9">
        <f t="shared" si="680"/>
        <v>99.922622057187027</v>
      </c>
    </row>
    <row r="1448" spans="1:10">
      <c r="A1448" s="8" t="s">
        <v>72</v>
      </c>
      <c r="B1448" s="1" t="s">
        <v>223</v>
      </c>
      <c r="C1448" s="1" t="s">
        <v>73</v>
      </c>
      <c r="D1448" s="9">
        <v>1383826.4</v>
      </c>
      <c r="E1448" s="9">
        <f>E1449</f>
        <v>1383792.274</v>
      </c>
      <c r="F1448" s="9">
        <f t="shared" si="712"/>
        <v>1059292.4807800001</v>
      </c>
      <c r="G1448" s="9">
        <f t="shared" si="712"/>
        <v>1059292.4807800001</v>
      </c>
      <c r="H1448" s="9">
        <f t="shared" si="712"/>
        <v>1058472.8220500001</v>
      </c>
      <c r="I1448" s="9">
        <f t="shared" si="679"/>
        <v>76.490730721481114</v>
      </c>
      <c r="J1448" s="9">
        <f t="shared" si="680"/>
        <v>99.922622057187027</v>
      </c>
    </row>
    <row r="1449" spans="1:10" ht="38.25">
      <c r="A1449" s="8" t="s">
        <v>218</v>
      </c>
      <c r="B1449" s="1" t="s">
        <v>223</v>
      </c>
      <c r="C1449" s="1" t="s">
        <v>219</v>
      </c>
      <c r="D1449" s="9">
        <v>1383826.4</v>
      </c>
      <c r="E1449" s="9">
        <f>ведомство!H322</f>
        <v>1383792.274</v>
      </c>
      <c r="F1449" s="9">
        <f>ведомство!I322</f>
        <v>1059292.4807800001</v>
      </c>
      <c r="G1449" s="9">
        <f>ведомство!J322</f>
        <v>1059292.4807800001</v>
      </c>
      <c r="H1449" s="9">
        <f>ведомство!K322</f>
        <v>1058472.8220500001</v>
      </c>
      <c r="I1449" s="9">
        <f t="shared" si="679"/>
        <v>76.490730721481114</v>
      </c>
      <c r="J1449" s="9">
        <f t="shared" si="680"/>
        <v>99.922622057187027</v>
      </c>
    </row>
    <row r="1450" spans="1:10" ht="38.25">
      <c r="A1450" s="8" t="s">
        <v>224</v>
      </c>
      <c r="B1450" s="1" t="s">
        <v>225</v>
      </c>
      <c r="C1450" s="1" t="s">
        <v>0</v>
      </c>
      <c r="D1450" s="9">
        <v>96964.5</v>
      </c>
      <c r="E1450" s="9">
        <f>E1451</f>
        <v>96964.5</v>
      </c>
      <c r="F1450" s="9">
        <f t="shared" ref="F1450:H1451" si="713">F1451</f>
        <v>42381.030220000001</v>
      </c>
      <c r="G1450" s="9">
        <f t="shared" si="713"/>
        <v>42381.030220000001</v>
      </c>
      <c r="H1450" s="9">
        <f t="shared" si="713"/>
        <v>42381.030220000001</v>
      </c>
      <c r="I1450" s="9">
        <f t="shared" ref="I1450:I1513" si="714">H1450/E1450*100</f>
        <v>43.707779878202842</v>
      </c>
      <c r="J1450" s="9">
        <f t="shared" ref="J1450:J1513" si="715">H1450/F1450*100</f>
        <v>100</v>
      </c>
    </row>
    <row r="1451" spans="1:10">
      <c r="A1451" s="8" t="s">
        <v>72</v>
      </c>
      <c r="B1451" s="1" t="s">
        <v>225</v>
      </c>
      <c r="C1451" s="1" t="s">
        <v>73</v>
      </c>
      <c r="D1451" s="9">
        <v>96964.5</v>
      </c>
      <c r="E1451" s="9">
        <f>E1452</f>
        <v>96964.5</v>
      </c>
      <c r="F1451" s="9">
        <f t="shared" si="713"/>
        <v>42381.030220000001</v>
      </c>
      <c r="G1451" s="9">
        <f t="shared" si="713"/>
        <v>42381.030220000001</v>
      </c>
      <c r="H1451" s="9">
        <f t="shared" si="713"/>
        <v>42381.030220000001</v>
      </c>
      <c r="I1451" s="9">
        <f t="shared" si="714"/>
        <v>43.707779878202842</v>
      </c>
      <c r="J1451" s="9">
        <f t="shared" si="715"/>
        <v>100</v>
      </c>
    </row>
    <row r="1452" spans="1:10" ht="38.25">
      <c r="A1452" s="8" t="s">
        <v>218</v>
      </c>
      <c r="B1452" s="1" t="s">
        <v>225</v>
      </c>
      <c r="C1452" s="1" t="s">
        <v>219</v>
      </c>
      <c r="D1452" s="9">
        <v>96964.5</v>
      </c>
      <c r="E1452" s="9">
        <f>ведомство!H325</f>
        <v>96964.5</v>
      </c>
      <c r="F1452" s="9">
        <f>ведомство!I325</f>
        <v>42381.030220000001</v>
      </c>
      <c r="G1452" s="9">
        <f>ведомство!J325</f>
        <v>42381.030220000001</v>
      </c>
      <c r="H1452" s="9">
        <f>ведомство!K325</f>
        <v>42381.030220000001</v>
      </c>
      <c r="I1452" s="9">
        <f t="shared" si="714"/>
        <v>43.707779878202842</v>
      </c>
      <c r="J1452" s="9">
        <f t="shared" si="715"/>
        <v>100</v>
      </c>
    </row>
    <row r="1453" spans="1:10" ht="51">
      <c r="A1453" s="8" t="s">
        <v>226</v>
      </c>
      <c r="B1453" s="1" t="s">
        <v>227</v>
      </c>
      <c r="C1453" s="1" t="s">
        <v>0</v>
      </c>
      <c r="D1453" s="9">
        <v>444042.1</v>
      </c>
      <c r="E1453" s="9">
        <f>E1454</f>
        <v>444012.1</v>
      </c>
      <c r="F1453" s="9">
        <f t="shared" ref="F1453:H1454" si="716">F1454</f>
        <v>219211.02994000001</v>
      </c>
      <c r="G1453" s="9">
        <f t="shared" si="716"/>
        <v>219211.02994000001</v>
      </c>
      <c r="H1453" s="9">
        <f t="shared" si="716"/>
        <v>219211.02994000001</v>
      </c>
      <c r="I1453" s="9">
        <f t="shared" si="714"/>
        <v>49.370508132548643</v>
      </c>
      <c r="J1453" s="9">
        <f t="shared" si="715"/>
        <v>100</v>
      </c>
    </row>
    <row r="1454" spans="1:10">
      <c r="A1454" s="8" t="s">
        <v>72</v>
      </c>
      <c r="B1454" s="1" t="s">
        <v>227</v>
      </c>
      <c r="C1454" s="1" t="s">
        <v>73</v>
      </c>
      <c r="D1454" s="9">
        <v>444042.1</v>
      </c>
      <c r="E1454" s="9">
        <f>E1455</f>
        <v>444012.1</v>
      </c>
      <c r="F1454" s="9">
        <f t="shared" si="716"/>
        <v>219211.02994000001</v>
      </c>
      <c r="G1454" s="9">
        <f t="shared" si="716"/>
        <v>219211.02994000001</v>
      </c>
      <c r="H1454" s="9">
        <f t="shared" si="716"/>
        <v>219211.02994000001</v>
      </c>
      <c r="I1454" s="9">
        <f t="shared" si="714"/>
        <v>49.370508132548643</v>
      </c>
      <c r="J1454" s="9">
        <f t="shared" si="715"/>
        <v>100</v>
      </c>
    </row>
    <row r="1455" spans="1:10" ht="38.25">
      <c r="A1455" s="8" t="s">
        <v>218</v>
      </c>
      <c r="B1455" s="1" t="s">
        <v>227</v>
      </c>
      <c r="C1455" s="1" t="s">
        <v>219</v>
      </c>
      <c r="D1455" s="9">
        <v>444042.1</v>
      </c>
      <c r="E1455" s="9">
        <f>ведомство!H328</f>
        <v>444012.1</v>
      </c>
      <c r="F1455" s="9">
        <f>ведомство!I328</f>
        <v>219211.02994000001</v>
      </c>
      <c r="G1455" s="9">
        <f>ведомство!J328</f>
        <v>219211.02994000001</v>
      </c>
      <c r="H1455" s="9">
        <f>ведомство!K328</f>
        <v>219211.02994000001</v>
      </c>
      <c r="I1455" s="9">
        <f t="shared" si="714"/>
        <v>49.370508132548643</v>
      </c>
      <c r="J1455" s="9">
        <f t="shared" si="715"/>
        <v>100</v>
      </c>
    </row>
    <row r="1456" spans="1:10" ht="38.25">
      <c r="A1456" s="8" t="s">
        <v>193</v>
      </c>
      <c r="B1456" s="1" t="s">
        <v>194</v>
      </c>
      <c r="C1456" s="1" t="s">
        <v>0</v>
      </c>
      <c r="D1456" s="9">
        <v>1854</v>
      </c>
      <c r="E1456" s="9">
        <f>E1457</f>
        <v>1854</v>
      </c>
      <c r="F1456" s="9">
        <f t="shared" ref="F1456:H1457" si="717">F1457</f>
        <v>927</v>
      </c>
      <c r="G1456" s="9">
        <f t="shared" si="717"/>
        <v>927</v>
      </c>
      <c r="H1456" s="9">
        <f t="shared" si="717"/>
        <v>927</v>
      </c>
      <c r="I1456" s="9">
        <f t="shared" si="714"/>
        <v>50</v>
      </c>
      <c r="J1456" s="9">
        <f t="shared" si="715"/>
        <v>100</v>
      </c>
    </row>
    <row r="1457" spans="1:10" ht="25.5">
      <c r="A1457" s="8" t="s">
        <v>80</v>
      </c>
      <c r="B1457" s="1" t="s">
        <v>194</v>
      </c>
      <c r="C1457" s="1" t="s">
        <v>81</v>
      </c>
      <c r="D1457" s="9">
        <v>1854</v>
      </c>
      <c r="E1457" s="9">
        <f>E1458</f>
        <v>1854</v>
      </c>
      <c r="F1457" s="9">
        <f t="shared" si="717"/>
        <v>927</v>
      </c>
      <c r="G1457" s="9">
        <f t="shared" si="717"/>
        <v>927</v>
      </c>
      <c r="H1457" s="9">
        <f t="shared" si="717"/>
        <v>927</v>
      </c>
      <c r="I1457" s="9">
        <f t="shared" si="714"/>
        <v>50</v>
      </c>
      <c r="J1457" s="9">
        <f t="shared" si="715"/>
        <v>100</v>
      </c>
    </row>
    <row r="1458" spans="1:10" ht="25.5">
      <c r="A1458" s="8" t="s">
        <v>195</v>
      </c>
      <c r="B1458" s="1" t="s">
        <v>194</v>
      </c>
      <c r="C1458" s="1" t="s">
        <v>196</v>
      </c>
      <c r="D1458" s="9">
        <v>1854</v>
      </c>
      <c r="E1458" s="9">
        <f>ведомство!H264</f>
        <v>1854</v>
      </c>
      <c r="F1458" s="9">
        <f>ведомство!I264</f>
        <v>927</v>
      </c>
      <c r="G1458" s="9">
        <f>ведомство!J264</f>
        <v>927</v>
      </c>
      <c r="H1458" s="9">
        <f>ведомство!K264</f>
        <v>927</v>
      </c>
      <c r="I1458" s="9">
        <f t="shared" si="714"/>
        <v>50</v>
      </c>
      <c r="J1458" s="9">
        <f t="shared" si="715"/>
        <v>100</v>
      </c>
    </row>
    <row r="1459" spans="1:10" ht="38.25">
      <c r="A1459" s="8" t="s">
        <v>197</v>
      </c>
      <c r="B1459" s="1" t="s">
        <v>198</v>
      </c>
      <c r="C1459" s="1" t="s">
        <v>0</v>
      </c>
      <c r="D1459" s="9">
        <v>66525.2</v>
      </c>
      <c r="E1459" s="9">
        <f>E1460</f>
        <v>66525.2</v>
      </c>
      <c r="F1459" s="9">
        <f t="shared" ref="F1459:H1460" si="718">F1460</f>
        <v>24500</v>
      </c>
      <c r="G1459" s="9">
        <f t="shared" si="718"/>
        <v>24500</v>
      </c>
      <c r="H1459" s="9">
        <f t="shared" si="718"/>
        <v>24500</v>
      </c>
      <c r="I1459" s="9">
        <f t="shared" si="714"/>
        <v>36.828149332884379</v>
      </c>
      <c r="J1459" s="9">
        <f t="shared" si="715"/>
        <v>100</v>
      </c>
    </row>
    <row r="1460" spans="1:10" ht="25.5">
      <c r="A1460" s="8" t="s">
        <v>80</v>
      </c>
      <c r="B1460" s="1" t="s">
        <v>198</v>
      </c>
      <c r="C1460" s="1" t="s">
        <v>81</v>
      </c>
      <c r="D1460" s="9">
        <v>66525.2</v>
      </c>
      <c r="E1460" s="9">
        <f>E1461</f>
        <v>66525.2</v>
      </c>
      <c r="F1460" s="9">
        <f t="shared" si="718"/>
        <v>24500</v>
      </c>
      <c r="G1460" s="9">
        <f t="shared" si="718"/>
        <v>24500</v>
      </c>
      <c r="H1460" s="9">
        <f t="shared" si="718"/>
        <v>24500</v>
      </c>
      <c r="I1460" s="9">
        <f t="shared" si="714"/>
        <v>36.828149332884379</v>
      </c>
      <c r="J1460" s="9">
        <f t="shared" si="715"/>
        <v>100</v>
      </c>
    </row>
    <row r="1461" spans="1:10" ht="25.5">
      <c r="A1461" s="8" t="s">
        <v>195</v>
      </c>
      <c r="B1461" s="1" t="s">
        <v>198</v>
      </c>
      <c r="C1461" s="1" t="s">
        <v>196</v>
      </c>
      <c r="D1461" s="9">
        <v>66525.2</v>
      </c>
      <c r="E1461" s="9">
        <f>ведомство!H267</f>
        <v>66525.2</v>
      </c>
      <c r="F1461" s="9">
        <f>ведомство!I267</f>
        <v>24500</v>
      </c>
      <c r="G1461" s="9">
        <f>ведомство!J267</f>
        <v>24500</v>
      </c>
      <c r="H1461" s="9">
        <f>ведомство!K267</f>
        <v>24500</v>
      </c>
      <c r="I1461" s="9">
        <f t="shared" si="714"/>
        <v>36.828149332884379</v>
      </c>
      <c r="J1461" s="9">
        <f t="shared" si="715"/>
        <v>100</v>
      </c>
    </row>
    <row r="1462" spans="1:10">
      <c r="A1462" s="4" t="s">
        <v>0</v>
      </c>
      <c r="B1462" s="17" t="s">
        <v>0</v>
      </c>
      <c r="C1462" s="5" t="s">
        <v>0</v>
      </c>
      <c r="D1462" s="7" t="s">
        <v>0</v>
      </c>
      <c r="E1462" s="7" t="s">
        <v>0</v>
      </c>
      <c r="F1462" s="7"/>
      <c r="G1462" s="7"/>
      <c r="H1462" s="7"/>
      <c r="I1462" s="7"/>
      <c r="J1462" s="7"/>
    </row>
    <row r="1463" spans="1:10" ht="51">
      <c r="A1463" s="4" t="s">
        <v>953</v>
      </c>
      <c r="B1463" s="5" t="s">
        <v>954</v>
      </c>
      <c r="C1463" s="5" t="s">
        <v>0</v>
      </c>
      <c r="D1463" s="7">
        <v>75800.800000000003</v>
      </c>
      <c r="E1463" s="7">
        <f>E1464+E1477+E1482+E1494</f>
        <v>48948.728000000003</v>
      </c>
      <c r="F1463" s="7">
        <f t="shared" ref="F1463:H1463" si="719">F1464+F1477+F1482+F1494</f>
        <v>42151.868000000002</v>
      </c>
      <c r="G1463" s="7">
        <f t="shared" si="719"/>
        <v>40818.876000000004</v>
      </c>
      <c r="H1463" s="7">
        <f t="shared" si="719"/>
        <v>24591.354159999995</v>
      </c>
      <c r="I1463" s="7">
        <f t="shared" si="714"/>
        <v>50.239005516139244</v>
      </c>
      <c r="J1463" s="7">
        <f t="shared" si="715"/>
        <v>58.339891745722859</v>
      </c>
    </row>
    <row r="1464" spans="1:10" ht="38.25">
      <c r="A1464" s="4" t="s">
        <v>955</v>
      </c>
      <c r="B1464" s="5" t="s">
        <v>956</v>
      </c>
      <c r="C1464" s="5" t="s">
        <v>0</v>
      </c>
      <c r="D1464" s="7">
        <v>10000</v>
      </c>
      <c r="E1464" s="7">
        <f>E1465+E1470+E1473</f>
        <v>10000</v>
      </c>
      <c r="F1464" s="7">
        <f t="shared" ref="F1464:H1464" si="720">F1465+F1470+F1473</f>
        <v>9743</v>
      </c>
      <c r="G1464" s="7">
        <f t="shared" si="720"/>
        <v>9716.9920000000002</v>
      </c>
      <c r="H1464" s="7">
        <f t="shared" si="720"/>
        <v>215.0224</v>
      </c>
      <c r="I1464" s="7">
        <f t="shared" si="714"/>
        <v>2.1502239999999997</v>
      </c>
      <c r="J1464" s="7">
        <f t="shared" si="715"/>
        <v>2.2069424201991175</v>
      </c>
    </row>
    <row r="1465" spans="1:10">
      <c r="A1465" s="8" t="s">
        <v>609</v>
      </c>
      <c r="B1465" s="1" t="s">
        <v>957</v>
      </c>
      <c r="C1465" s="1" t="s">
        <v>0</v>
      </c>
      <c r="D1465" s="9">
        <v>500</v>
      </c>
      <c r="E1465" s="9">
        <f>E1466+E1468</f>
        <v>500</v>
      </c>
      <c r="F1465" s="9">
        <f t="shared" ref="F1465:H1465" si="721">F1466+F1468</f>
        <v>243</v>
      </c>
      <c r="G1465" s="9">
        <f t="shared" si="721"/>
        <v>216.99200000000002</v>
      </c>
      <c r="H1465" s="9">
        <f t="shared" si="721"/>
        <v>215.0224</v>
      </c>
      <c r="I1465" s="9">
        <f t="shared" si="714"/>
        <v>43.004480000000001</v>
      </c>
      <c r="J1465" s="9">
        <f t="shared" si="715"/>
        <v>88.486584362139922</v>
      </c>
    </row>
    <row r="1466" spans="1:10" ht="51">
      <c r="A1466" s="8" t="s">
        <v>60</v>
      </c>
      <c r="B1466" s="1" t="s">
        <v>957</v>
      </c>
      <c r="C1466" s="1" t="s">
        <v>61</v>
      </c>
      <c r="D1466" s="9">
        <v>276</v>
      </c>
      <c r="E1466" s="9">
        <f>E1467</f>
        <v>276</v>
      </c>
      <c r="F1466" s="9">
        <f t="shared" ref="F1466:H1466" si="722">F1467</f>
        <v>138</v>
      </c>
      <c r="G1466" s="9">
        <f t="shared" si="722"/>
        <v>115</v>
      </c>
      <c r="H1466" s="9">
        <f t="shared" si="722"/>
        <v>113.0304</v>
      </c>
      <c r="I1466" s="9">
        <f t="shared" si="714"/>
        <v>40.953043478260867</v>
      </c>
      <c r="J1466" s="9">
        <f t="shared" si="715"/>
        <v>81.906086956521733</v>
      </c>
    </row>
    <row r="1467" spans="1:10" ht="25.5">
      <c r="A1467" s="8" t="s">
        <v>62</v>
      </c>
      <c r="B1467" s="1" t="s">
        <v>957</v>
      </c>
      <c r="C1467" s="1" t="s">
        <v>63</v>
      </c>
      <c r="D1467" s="9">
        <v>276</v>
      </c>
      <c r="E1467" s="9">
        <f>ведомство!H2273</f>
        <v>276</v>
      </c>
      <c r="F1467" s="9">
        <f>ведомство!I2273</f>
        <v>138</v>
      </c>
      <c r="G1467" s="9">
        <f>ведомство!J2273</f>
        <v>115</v>
      </c>
      <c r="H1467" s="9">
        <f>ведомство!K2273</f>
        <v>113.0304</v>
      </c>
      <c r="I1467" s="9">
        <f t="shared" si="714"/>
        <v>40.953043478260867</v>
      </c>
      <c r="J1467" s="9">
        <f t="shared" si="715"/>
        <v>81.906086956521733</v>
      </c>
    </row>
    <row r="1468" spans="1:10" ht="25.5">
      <c r="A1468" s="8" t="s">
        <v>64</v>
      </c>
      <c r="B1468" s="1" t="s">
        <v>957</v>
      </c>
      <c r="C1468" s="1" t="s">
        <v>65</v>
      </c>
      <c r="D1468" s="9">
        <v>224</v>
      </c>
      <c r="E1468" s="9">
        <f>E1469</f>
        <v>224</v>
      </c>
      <c r="F1468" s="9">
        <f t="shared" ref="F1468:H1468" si="723">F1469</f>
        <v>105</v>
      </c>
      <c r="G1468" s="9">
        <f t="shared" si="723"/>
        <v>101.992</v>
      </c>
      <c r="H1468" s="9">
        <f t="shared" si="723"/>
        <v>101.992</v>
      </c>
      <c r="I1468" s="9">
        <f t="shared" si="714"/>
        <v>45.532142857142858</v>
      </c>
      <c r="J1468" s="9">
        <f t="shared" si="715"/>
        <v>97.135238095238094</v>
      </c>
    </row>
    <row r="1469" spans="1:10" ht="25.5">
      <c r="A1469" s="8" t="s">
        <v>66</v>
      </c>
      <c r="B1469" s="1" t="s">
        <v>957</v>
      </c>
      <c r="C1469" s="1" t="s">
        <v>67</v>
      </c>
      <c r="D1469" s="9">
        <v>224</v>
      </c>
      <c r="E1469" s="9">
        <f>ведомство!H2275</f>
        <v>224</v>
      </c>
      <c r="F1469" s="9">
        <f>ведомство!I2275</f>
        <v>105</v>
      </c>
      <c r="G1469" s="9">
        <f>ведомство!J2275</f>
        <v>101.992</v>
      </c>
      <c r="H1469" s="9">
        <f>ведомство!K2275</f>
        <v>101.992</v>
      </c>
      <c r="I1469" s="9">
        <f t="shared" si="714"/>
        <v>45.532142857142858</v>
      </c>
      <c r="J1469" s="9">
        <f t="shared" si="715"/>
        <v>97.135238095238094</v>
      </c>
    </row>
    <row r="1470" spans="1:10" ht="25.5">
      <c r="A1470" s="8" t="s">
        <v>617</v>
      </c>
      <c r="B1470" s="1" t="s">
        <v>958</v>
      </c>
      <c r="C1470" s="1" t="s">
        <v>0</v>
      </c>
      <c r="D1470" s="9">
        <v>7000</v>
      </c>
      <c r="E1470" s="9">
        <f>E1471</f>
        <v>7000</v>
      </c>
      <c r="F1470" s="9">
        <f t="shared" ref="F1470:H1471" si="724">F1471</f>
        <v>7000</v>
      </c>
      <c r="G1470" s="9">
        <f t="shared" si="724"/>
        <v>7000</v>
      </c>
      <c r="H1470" s="9">
        <f t="shared" si="724"/>
        <v>0</v>
      </c>
      <c r="I1470" s="9">
        <f t="shared" si="714"/>
        <v>0</v>
      </c>
      <c r="J1470" s="9">
        <f t="shared" si="715"/>
        <v>0</v>
      </c>
    </row>
    <row r="1471" spans="1:10" ht="25.5">
      <c r="A1471" s="8" t="s">
        <v>80</v>
      </c>
      <c r="B1471" s="1" t="s">
        <v>958</v>
      </c>
      <c r="C1471" s="1" t="s">
        <v>81</v>
      </c>
      <c r="D1471" s="9">
        <v>7000</v>
      </c>
      <c r="E1471" s="9">
        <f>E1472</f>
        <v>7000</v>
      </c>
      <c r="F1471" s="9">
        <f t="shared" si="724"/>
        <v>7000</v>
      </c>
      <c r="G1471" s="9">
        <f t="shared" si="724"/>
        <v>7000</v>
      </c>
      <c r="H1471" s="9">
        <f t="shared" si="724"/>
        <v>0</v>
      </c>
      <c r="I1471" s="9">
        <f t="shared" si="714"/>
        <v>0</v>
      </c>
      <c r="J1471" s="9">
        <f t="shared" si="715"/>
        <v>0</v>
      </c>
    </row>
    <row r="1472" spans="1:10" ht="25.5">
      <c r="A1472" s="8" t="s">
        <v>195</v>
      </c>
      <c r="B1472" s="1" t="s">
        <v>958</v>
      </c>
      <c r="C1472" s="1" t="s">
        <v>196</v>
      </c>
      <c r="D1472" s="9">
        <v>7000</v>
      </c>
      <c r="E1472" s="9">
        <f>ведомство!H2278</f>
        <v>7000</v>
      </c>
      <c r="F1472" s="9">
        <f>ведомство!I2278</f>
        <v>7000</v>
      </c>
      <c r="G1472" s="9">
        <f>ведомство!J2278</f>
        <v>7000</v>
      </c>
      <c r="H1472" s="9">
        <f>ведомство!K2278</f>
        <v>0</v>
      </c>
      <c r="I1472" s="9">
        <f t="shared" si="714"/>
        <v>0</v>
      </c>
      <c r="J1472" s="9">
        <f t="shared" si="715"/>
        <v>0</v>
      </c>
    </row>
    <row r="1473" spans="1:10" ht="25.5">
      <c r="A1473" s="8" t="s">
        <v>959</v>
      </c>
      <c r="B1473" s="1" t="s">
        <v>960</v>
      </c>
      <c r="C1473" s="1" t="s">
        <v>0</v>
      </c>
      <c r="D1473" s="9">
        <v>2500</v>
      </c>
      <c r="E1473" s="9">
        <f>E1474</f>
        <v>2500</v>
      </c>
      <c r="F1473" s="9">
        <f t="shared" ref="F1473:H1474" si="725">F1474</f>
        <v>2500</v>
      </c>
      <c r="G1473" s="9">
        <f t="shared" si="725"/>
        <v>2500</v>
      </c>
      <c r="H1473" s="9">
        <f t="shared" si="725"/>
        <v>0</v>
      </c>
      <c r="I1473" s="9">
        <f t="shared" si="714"/>
        <v>0</v>
      </c>
      <c r="J1473" s="9">
        <f t="shared" si="715"/>
        <v>0</v>
      </c>
    </row>
    <row r="1474" spans="1:10">
      <c r="A1474" s="8" t="s">
        <v>26</v>
      </c>
      <c r="B1474" s="1" t="s">
        <v>960</v>
      </c>
      <c r="C1474" s="1" t="s">
        <v>27</v>
      </c>
      <c r="D1474" s="9">
        <v>2500</v>
      </c>
      <c r="E1474" s="9">
        <f>E1475</f>
        <v>2500</v>
      </c>
      <c r="F1474" s="9">
        <f t="shared" si="725"/>
        <v>2500</v>
      </c>
      <c r="G1474" s="9">
        <f t="shared" si="725"/>
        <v>2500</v>
      </c>
      <c r="H1474" s="9">
        <f t="shared" si="725"/>
        <v>0</v>
      </c>
      <c r="I1474" s="9">
        <f t="shared" si="714"/>
        <v>0</v>
      </c>
      <c r="J1474" s="9">
        <f t="shared" si="715"/>
        <v>0</v>
      </c>
    </row>
    <row r="1475" spans="1:10">
      <c r="A1475" s="8" t="s">
        <v>56</v>
      </c>
      <c r="B1475" s="1" t="s">
        <v>960</v>
      </c>
      <c r="C1475" s="1" t="s">
        <v>57</v>
      </c>
      <c r="D1475" s="9">
        <v>2500</v>
      </c>
      <c r="E1475" s="9">
        <f>ведомство!H2281</f>
        <v>2500</v>
      </c>
      <c r="F1475" s="9">
        <f>ведомство!I2281</f>
        <v>2500</v>
      </c>
      <c r="G1475" s="9">
        <f>ведомство!J2281</f>
        <v>2500</v>
      </c>
      <c r="H1475" s="9">
        <f>ведомство!K2281</f>
        <v>0</v>
      </c>
      <c r="I1475" s="9">
        <f t="shared" si="714"/>
        <v>0</v>
      </c>
      <c r="J1475" s="9">
        <f t="shared" si="715"/>
        <v>0</v>
      </c>
    </row>
    <row r="1476" spans="1:10">
      <c r="A1476" s="4" t="s">
        <v>0</v>
      </c>
      <c r="B1476" s="17" t="s">
        <v>0</v>
      </c>
      <c r="C1476" s="5" t="s">
        <v>0</v>
      </c>
      <c r="D1476" s="7" t="s">
        <v>0</v>
      </c>
      <c r="E1476" s="7" t="s">
        <v>0</v>
      </c>
      <c r="F1476" s="7" t="s">
        <v>0</v>
      </c>
      <c r="G1476" s="7" t="s">
        <v>0</v>
      </c>
      <c r="H1476" s="7" t="s">
        <v>0</v>
      </c>
      <c r="I1476" s="7"/>
      <c r="J1476" s="7"/>
    </row>
    <row r="1477" spans="1:10" ht="25.5">
      <c r="A1477" s="4" t="s">
        <v>961</v>
      </c>
      <c r="B1477" s="5" t="s">
        <v>962</v>
      </c>
      <c r="C1477" s="5" t="s">
        <v>0</v>
      </c>
      <c r="D1477" s="7">
        <v>12500</v>
      </c>
      <c r="E1477" s="7">
        <f>E1478</f>
        <v>12500</v>
      </c>
      <c r="F1477" s="7">
        <f t="shared" ref="F1477:H1479" si="726">F1478</f>
        <v>12500</v>
      </c>
      <c r="G1477" s="7">
        <f t="shared" si="726"/>
        <v>12480.8</v>
      </c>
      <c r="H1477" s="7">
        <f t="shared" si="726"/>
        <v>8389.8027999999995</v>
      </c>
      <c r="I1477" s="7">
        <f t="shared" si="714"/>
        <v>67.1184224</v>
      </c>
      <c r="J1477" s="7">
        <f t="shared" si="715"/>
        <v>67.1184224</v>
      </c>
    </row>
    <row r="1478" spans="1:10" ht="25.5">
      <c r="A1478" s="8" t="s">
        <v>963</v>
      </c>
      <c r="B1478" s="1" t="s">
        <v>964</v>
      </c>
      <c r="C1478" s="1" t="s">
        <v>0</v>
      </c>
      <c r="D1478" s="9">
        <v>12500</v>
      </c>
      <c r="E1478" s="23">
        <f>E1479</f>
        <v>12500</v>
      </c>
      <c r="F1478" s="23">
        <f t="shared" si="726"/>
        <v>12500</v>
      </c>
      <c r="G1478" s="23">
        <f t="shared" si="726"/>
        <v>12480.8</v>
      </c>
      <c r="H1478" s="23">
        <f t="shared" si="726"/>
        <v>8389.8027999999995</v>
      </c>
      <c r="I1478" s="9">
        <f t="shared" si="714"/>
        <v>67.1184224</v>
      </c>
      <c r="J1478" s="9">
        <f t="shared" si="715"/>
        <v>67.1184224</v>
      </c>
    </row>
    <row r="1479" spans="1:10">
      <c r="A1479" s="8" t="s">
        <v>26</v>
      </c>
      <c r="B1479" s="1" t="s">
        <v>964</v>
      </c>
      <c r="C1479" s="1" t="s">
        <v>27</v>
      </c>
      <c r="D1479" s="9">
        <v>12500</v>
      </c>
      <c r="E1479" s="9">
        <f>E1480</f>
        <v>12500</v>
      </c>
      <c r="F1479" s="9">
        <f t="shared" si="726"/>
        <v>12500</v>
      </c>
      <c r="G1479" s="9">
        <f t="shared" si="726"/>
        <v>12480.8</v>
      </c>
      <c r="H1479" s="9">
        <f t="shared" si="726"/>
        <v>8389.8027999999995</v>
      </c>
      <c r="I1479" s="9">
        <f t="shared" si="714"/>
        <v>67.1184224</v>
      </c>
      <c r="J1479" s="9">
        <f t="shared" si="715"/>
        <v>67.1184224</v>
      </c>
    </row>
    <row r="1480" spans="1:10">
      <c r="A1480" s="8" t="s">
        <v>56</v>
      </c>
      <c r="B1480" s="1" t="s">
        <v>964</v>
      </c>
      <c r="C1480" s="1" t="s">
        <v>57</v>
      </c>
      <c r="D1480" s="9">
        <v>12500</v>
      </c>
      <c r="E1480" s="9">
        <f>ведомство!H2285</f>
        <v>12500</v>
      </c>
      <c r="F1480" s="9">
        <f>ведомство!I2285</f>
        <v>12500</v>
      </c>
      <c r="G1480" s="9">
        <f>ведомство!J2285</f>
        <v>12480.8</v>
      </c>
      <c r="H1480" s="9">
        <f>ведомство!K2285</f>
        <v>8389.8027999999995</v>
      </c>
      <c r="I1480" s="9">
        <f t="shared" si="714"/>
        <v>67.1184224</v>
      </c>
      <c r="J1480" s="9">
        <f t="shared" si="715"/>
        <v>67.1184224</v>
      </c>
    </row>
    <row r="1481" spans="1:10">
      <c r="A1481" s="4" t="s">
        <v>0</v>
      </c>
      <c r="B1481" s="17" t="s">
        <v>0</v>
      </c>
      <c r="C1481" s="5" t="s">
        <v>0</v>
      </c>
      <c r="D1481" s="7" t="s">
        <v>0</v>
      </c>
      <c r="E1481" s="7" t="s">
        <v>0</v>
      </c>
      <c r="F1481" s="7" t="s">
        <v>0</v>
      </c>
      <c r="G1481" s="7" t="s">
        <v>0</v>
      </c>
      <c r="H1481" s="7" t="s">
        <v>0</v>
      </c>
      <c r="I1481" s="7"/>
      <c r="J1481" s="7"/>
    </row>
    <row r="1482" spans="1:10" ht="25.5">
      <c r="A1482" s="4" t="s">
        <v>965</v>
      </c>
      <c r="B1482" s="5" t="s">
        <v>966</v>
      </c>
      <c r="C1482" s="5" t="s">
        <v>0</v>
      </c>
      <c r="D1482" s="7">
        <v>52300.800000000003</v>
      </c>
      <c r="E1482" s="7">
        <f>E1483+E1490</f>
        <v>25448.728000000003</v>
      </c>
      <c r="F1482" s="7">
        <f t="shared" ref="F1482:H1482" si="727">F1483+F1490</f>
        <v>18908.868000000002</v>
      </c>
      <c r="G1482" s="7">
        <f t="shared" si="727"/>
        <v>17621.684000000001</v>
      </c>
      <c r="H1482" s="7">
        <f t="shared" si="727"/>
        <v>14987.202299999999</v>
      </c>
      <c r="I1482" s="7">
        <f t="shared" si="714"/>
        <v>58.89175403973038</v>
      </c>
      <c r="J1482" s="7">
        <f t="shared" si="715"/>
        <v>79.260177288243781</v>
      </c>
    </row>
    <row r="1483" spans="1:10" ht="25.5">
      <c r="A1483" s="8" t="s">
        <v>58</v>
      </c>
      <c r="B1483" s="1" t="s">
        <v>1030</v>
      </c>
      <c r="C1483" s="1" t="s">
        <v>0</v>
      </c>
      <c r="D1483" s="9">
        <v>40128.400000000001</v>
      </c>
      <c r="E1483" s="9">
        <f>E1484+E1486+E1488</f>
        <v>13276.328000000001</v>
      </c>
      <c r="F1483" s="9">
        <f t="shared" ref="F1483:H1483" si="728">F1484+F1486+F1488</f>
        <v>12921.468000000001</v>
      </c>
      <c r="G1483" s="9">
        <f t="shared" si="728"/>
        <v>11634.284000000001</v>
      </c>
      <c r="H1483" s="9">
        <f t="shared" si="728"/>
        <v>8999.8022999999994</v>
      </c>
      <c r="I1483" s="9">
        <f t="shared" si="714"/>
        <v>67.788339516769994</v>
      </c>
      <c r="J1483" s="9">
        <f t="shared" si="715"/>
        <v>69.649998746272473</v>
      </c>
    </row>
    <row r="1484" spans="1:10" ht="51">
      <c r="A1484" s="8" t="s">
        <v>60</v>
      </c>
      <c r="B1484" s="1" t="s">
        <v>1030</v>
      </c>
      <c r="C1484" s="1" t="s">
        <v>61</v>
      </c>
      <c r="D1484" s="9">
        <v>38487.5</v>
      </c>
      <c r="E1484" s="9">
        <f>E1485</f>
        <v>12035.468000000001</v>
      </c>
      <c r="F1484" s="9">
        <f t="shared" ref="F1484:H1484" si="729">F1485</f>
        <v>12199.468000000001</v>
      </c>
      <c r="G1484" s="9">
        <f t="shared" si="729"/>
        <v>11014.284000000001</v>
      </c>
      <c r="H1484" s="9">
        <f t="shared" si="729"/>
        <v>8446.7730499999998</v>
      </c>
      <c r="I1484" s="9">
        <f t="shared" si="714"/>
        <v>70.182339814288895</v>
      </c>
      <c r="J1484" s="9">
        <f t="shared" si="715"/>
        <v>69.238863940624285</v>
      </c>
    </row>
    <row r="1485" spans="1:10" ht="25.5">
      <c r="A1485" s="8" t="s">
        <v>62</v>
      </c>
      <c r="B1485" s="1" t="s">
        <v>1030</v>
      </c>
      <c r="C1485" s="1" t="s">
        <v>63</v>
      </c>
      <c r="D1485" s="9">
        <v>38487.5</v>
      </c>
      <c r="E1485" s="9">
        <f>ведомство!H2466</f>
        <v>12035.468000000001</v>
      </c>
      <c r="F1485" s="9">
        <f>ведомство!I2466</f>
        <v>12199.468000000001</v>
      </c>
      <c r="G1485" s="9">
        <f>ведомство!J2466</f>
        <v>11014.284000000001</v>
      </c>
      <c r="H1485" s="9">
        <f>ведомство!K2466</f>
        <v>8446.7730499999998</v>
      </c>
      <c r="I1485" s="9">
        <f t="shared" si="714"/>
        <v>70.182339814288895</v>
      </c>
      <c r="J1485" s="9">
        <f t="shared" si="715"/>
        <v>69.238863940624285</v>
      </c>
    </row>
    <row r="1486" spans="1:10" ht="25.5">
      <c r="A1486" s="8" t="s">
        <v>64</v>
      </c>
      <c r="B1486" s="1" t="s">
        <v>1030</v>
      </c>
      <c r="C1486" s="1" t="s">
        <v>65</v>
      </c>
      <c r="D1486" s="9">
        <v>1637.9</v>
      </c>
      <c r="E1486" s="9">
        <f>E1487</f>
        <v>1237.8599999999999</v>
      </c>
      <c r="F1486" s="9">
        <f t="shared" ref="F1486:H1486" si="730">F1487</f>
        <v>720</v>
      </c>
      <c r="G1486" s="9">
        <f t="shared" si="730"/>
        <v>620</v>
      </c>
      <c r="H1486" s="9">
        <f t="shared" si="730"/>
        <v>553.02925000000005</v>
      </c>
      <c r="I1486" s="9">
        <f t="shared" si="714"/>
        <v>44.676235600148651</v>
      </c>
      <c r="J1486" s="9">
        <f t="shared" si="715"/>
        <v>76.809618055555561</v>
      </c>
    </row>
    <row r="1487" spans="1:10" ht="25.5">
      <c r="A1487" s="8" t="s">
        <v>66</v>
      </c>
      <c r="B1487" s="1" t="s">
        <v>1030</v>
      </c>
      <c r="C1487" s="1" t="s">
        <v>67</v>
      </c>
      <c r="D1487" s="9">
        <v>1637.9</v>
      </c>
      <c r="E1487" s="9">
        <f>ведомство!H2468</f>
        <v>1237.8599999999999</v>
      </c>
      <c r="F1487" s="9">
        <f>ведомство!I2468</f>
        <v>720</v>
      </c>
      <c r="G1487" s="9">
        <f>ведомство!J2468</f>
        <v>620</v>
      </c>
      <c r="H1487" s="9">
        <f>ведомство!K2468</f>
        <v>553.02925000000005</v>
      </c>
      <c r="I1487" s="9">
        <f t="shared" si="714"/>
        <v>44.676235600148651</v>
      </c>
      <c r="J1487" s="9">
        <f t="shared" si="715"/>
        <v>76.809618055555561</v>
      </c>
    </row>
    <row r="1488" spans="1:10">
      <c r="A1488" s="8" t="s">
        <v>72</v>
      </c>
      <c r="B1488" s="1" t="s">
        <v>1030</v>
      </c>
      <c r="C1488" s="1" t="s">
        <v>73</v>
      </c>
      <c r="D1488" s="9">
        <v>3</v>
      </c>
      <c r="E1488" s="9">
        <f>E1489</f>
        <v>3</v>
      </c>
      <c r="F1488" s="9">
        <f t="shared" ref="F1488:H1488" si="731">F1489</f>
        <v>2</v>
      </c>
      <c r="G1488" s="9">
        <f t="shared" si="731"/>
        <v>0</v>
      </c>
      <c r="H1488" s="9">
        <f t="shared" si="731"/>
        <v>0</v>
      </c>
      <c r="I1488" s="9">
        <f t="shared" si="714"/>
        <v>0</v>
      </c>
      <c r="J1488" s="9">
        <f t="shared" si="715"/>
        <v>0</v>
      </c>
    </row>
    <row r="1489" spans="1:10">
      <c r="A1489" s="8" t="s">
        <v>74</v>
      </c>
      <c r="B1489" s="1" t="s">
        <v>1030</v>
      </c>
      <c r="C1489" s="1" t="s">
        <v>75</v>
      </c>
      <c r="D1489" s="9">
        <v>3</v>
      </c>
      <c r="E1489" s="9">
        <f>ведомство!H2470</f>
        <v>3</v>
      </c>
      <c r="F1489" s="9">
        <f>ведомство!I2470</f>
        <v>2</v>
      </c>
      <c r="G1489" s="9">
        <f>ведомство!J2470</f>
        <v>0</v>
      </c>
      <c r="H1489" s="9">
        <f>ведомство!K2470</f>
        <v>0</v>
      </c>
      <c r="I1489" s="9">
        <f t="shared" si="714"/>
        <v>0</v>
      </c>
      <c r="J1489" s="9">
        <f t="shared" si="715"/>
        <v>0</v>
      </c>
    </row>
    <row r="1490" spans="1:10" ht="25.5">
      <c r="A1490" s="8" t="s">
        <v>76</v>
      </c>
      <c r="B1490" s="1" t="s">
        <v>967</v>
      </c>
      <c r="C1490" s="1" t="s">
        <v>0</v>
      </c>
      <c r="D1490" s="9">
        <v>12172.4</v>
      </c>
      <c r="E1490" s="9">
        <f>E1491</f>
        <v>12172.4</v>
      </c>
      <c r="F1490" s="9">
        <f t="shared" ref="F1490:H1491" si="732">F1491</f>
        <v>5987.4</v>
      </c>
      <c r="G1490" s="9">
        <f t="shared" si="732"/>
        <v>5987.4</v>
      </c>
      <c r="H1490" s="9">
        <f t="shared" si="732"/>
        <v>5987.4</v>
      </c>
      <c r="I1490" s="9">
        <f t="shared" si="714"/>
        <v>49.188327692156022</v>
      </c>
      <c r="J1490" s="9">
        <f t="shared" si="715"/>
        <v>100</v>
      </c>
    </row>
    <row r="1491" spans="1:10" ht="25.5">
      <c r="A1491" s="8" t="s">
        <v>80</v>
      </c>
      <c r="B1491" s="1" t="s">
        <v>967</v>
      </c>
      <c r="C1491" s="1" t="s">
        <v>81</v>
      </c>
      <c r="D1491" s="9">
        <v>12172.4</v>
      </c>
      <c r="E1491" s="9">
        <f>E1492</f>
        <v>12172.4</v>
      </c>
      <c r="F1491" s="9">
        <f t="shared" si="732"/>
        <v>5987.4</v>
      </c>
      <c r="G1491" s="9">
        <f t="shared" si="732"/>
        <v>5987.4</v>
      </c>
      <c r="H1491" s="9">
        <f t="shared" si="732"/>
        <v>5987.4</v>
      </c>
      <c r="I1491" s="9">
        <f t="shared" si="714"/>
        <v>49.188327692156022</v>
      </c>
      <c r="J1491" s="9">
        <f t="shared" si="715"/>
        <v>100</v>
      </c>
    </row>
    <row r="1492" spans="1:10">
      <c r="A1492" s="8" t="s">
        <v>82</v>
      </c>
      <c r="B1492" s="1" t="s">
        <v>967</v>
      </c>
      <c r="C1492" s="1" t="s">
        <v>83</v>
      </c>
      <c r="D1492" s="9">
        <v>12172.4</v>
      </c>
      <c r="E1492" s="9">
        <f>ведомство!H2289</f>
        <v>12172.4</v>
      </c>
      <c r="F1492" s="9">
        <f>ведомство!I2289</f>
        <v>5987.4</v>
      </c>
      <c r="G1492" s="9">
        <f>ведомство!J2289</f>
        <v>5987.4</v>
      </c>
      <c r="H1492" s="9">
        <f>ведомство!K2289</f>
        <v>5987.4</v>
      </c>
      <c r="I1492" s="9">
        <f t="shared" si="714"/>
        <v>49.188327692156022</v>
      </c>
      <c r="J1492" s="9">
        <f t="shared" si="715"/>
        <v>100</v>
      </c>
    </row>
    <row r="1493" spans="1:10">
      <c r="A1493" s="4" t="s">
        <v>0</v>
      </c>
      <c r="B1493" s="17" t="s">
        <v>0</v>
      </c>
      <c r="C1493" s="5" t="s">
        <v>0</v>
      </c>
      <c r="D1493" s="7" t="s">
        <v>0</v>
      </c>
      <c r="E1493" s="7" t="s">
        <v>0</v>
      </c>
      <c r="F1493" s="7" t="s">
        <v>0</v>
      </c>
      <c r="G1493" s="7" t="s">
        <v>0</v>
      </c>
      <c r="H1493" s="7" t="s">
        <v>0</v>
      </c>
      <c r="I1493" s="7"/>
      <c r="J1493" s="7"/>
    </row>
    <row r="1494" spans="1:10" ht="38.25">
      <c r="A1494" s="4" t="s">
        <v>968</v>
      </c>
      <c r="B1494" s="5" t="s">
        <v>969</v>
      </c>
      <c r="C1494" s="5" t="s">
        <v>0</v>
      </c>
      <c r="D1494" s="7">
        <v>1000</v>
      </c>
      <c r="E1494" s="7">
        <f>E1495+E1498</f>
        <v>1000</v>
      </c>
      <c r="F1494" s="7">
        <f t="shared" ref="F1494:H1494" si="733">F1495+F1498</f>
        <v>1000</v>
      </c>
      <c r="G1494" s="7">
        <f t="shared" si="733"/>
        <v>999.4</v>
      </c>
      <c r="H1494" s="7">
        <f t="shared" si="733"/>
        <v>999.32665999999995</v>
      </c>
      <c r="I1494" s="7">
        <f t="shared" si="714"/>
        <v>99.932665999999998</v>
      </c>
      <c r="J1494" s="7">
        <f t="shared" si="715"/>
        <v>99.932665999999998</v>
      </c>
    </row>
    <row r="1495" spans="1:10" ht="25.5">
      <c r="A1495" s="8" t="s">
        <v>617</v>
      </c>
      <c r="B1495" s="1" t="s">
        <v>970</v>
      </c>
      <c r="C1495" s="1" t="s">
        <v>0</v>
      </c>
      <c r="D1495" s="9">
        <v>779.6</v>
      </c>
      <c r="E1495" s="9">
        <f>E1496</f>
        <v>779.6</v>
      </c>
      <c r="F1495" s="9">
        <f t="shared" ref="F1495:H1496" si="734">F1496</f>
        <v>779.6</v>
      </c>
      <c r="G1495" s="9">
        <f t="shared" si="734"/>
        <v>779</v>
      </c>
      <c r="H1495" s="9">
        <f t="shared" si="734"/>
        <v>778.92665999999997</v>
      </c>
      <c r="I1495" s="9">
        <f t="shared" si="714"/>
        <v>99.913630066700861</v>
      </c>
      <c r="J1495" s="9">
        <f t="shared" si="715"/>
        <v>99.913630066700861</v>
      </c>
    </row>
    <row r="1496" spans="1:10" ht="25.5">
      <c r="A1496" s="8" t="s">
        <v>64</v>
      </c>
      <c r="B1496" s="1" t="s">
        <v>970</v>
      </c>
      <c r="C1496" s="1" t="s">
        <v>65</v>
      </c>
      <c r="D1496" s="9">
        <v>779.6</v>
      </c>
      <c r="E1496" s="9">
        <f>E1497</f>
        <v>779.6</v>
      </c>
      <c r="F1496" s="9">
        <f t="shared" si="734"/>
        <v>779.6</v>
      </c>
      <c r="G1496" s="9">
        <f t="shared" si="734"/>
        <v>779</v>
      </c>
      <c r="H1496" s="9">
        <f t="shared" si="734"/>
        <v>778.92665999999997</v>
      </c>
      <c r="I1496" s="9">
        <f t="shared" si="714"/>
        <v>99.913630066700861</v>
      </c>
      <c r="J1496" s="9">
        <f t="shared" si="715"/>
        <v>99.913630066700861</v>
      </c>
    </row>
    <row r="1497" spans="1:10" ht="25.5">
      <c r="A1497" s="8" t="s">
        <v>66</v>
      </c>
      <c r="B1497" s="1" t="s">
        <v>970</v>
      </c>
      <c r="C1497" s="1" t="s">
        <v>67</v>
      </c>
      <c r="D1497" s="9">
        <v>779.6</v>
      </c>
      <c r="E1497" s="9">
        <f>ведомство!H2293</f>
        <v>779.6</v>
      </c>
      <c r="F1497" s="9">
        <f>ведомство!I2293</f>
        <v>779.6</v>
      </c>
      <c r="G1497" s="9">
        <f>ведомство!J2293</f>
        <v>779</v>
      </c>
      <c r="H1497" s="9">
        <f>ведомство!K2293</f>
        <v>778.92665999999997</v>
      </c>
      <c r="I1497" s="9">
        <f t="shared" si="714"/>
        <v>99.913630066700861</v>
      </c>
      <c r="J1497" s="9">
        <f t="shared" si="715"/>
        <v>99.913630066700861</v>
      </c>
    </row>
    <row r="1498" spans="1:10" ht="25.5">
      <c r="A1498" s="8" t="s">
        <v>748</v>
      </c>
      <c r="B1498" s="1" t="s">
        <v>971</v>
      </c>
      <c r="C1498" s="1" t="s">
        <v>0</v>
      </c>
      <c r="D1498" s="9">
        <v>220.4</v>
      </c>
      <c r="E1498" s="9">
        <f>E1499</f>
        <v>220.4</v>
      </c>
      <c r="F1498" s="9">
        <f t="shared" ref="F1498:H1499" si="735">F1499</f>
        <v>220.4</v>
      </c>
      <c r="G1498" s="9">
        <f t="shared" si="735"/>
        <v>220.4</v>
      </c>
      <c r="H1498" s="9">
        <f t="shared" si="735"/>
        <v>220.4</v>
      </c>
      <c r="I1498" s="9">
        <f t="shared" si="714"/>
        <v>100</v>
      </c>
      <c r="J1498" s="9">
        <f t="shared" si="715"/>
        <v>100</v>
      </c>
    </row>
    <row r="1499" spans="1:10" ht="25.5">
      <c r="A1499" s="8" t="s">
        <v>80</v>
      </c>
      <c r="B1499" s="1" t="s">
        <v>971</v>
      </c>
      <c r="C1499" s="1" t="s">
        <v>81</v>
      </c>
      <c r="D1499" s="9">
        <v>220.4</v>
      </c>
      <c r="E1499" s="9">
        <f>E1500</f>
        <v>220.4</v>
      </c>
      <c r="F1499" s="9">
        <f t="shared" si="735"/>
        <v>220.4</v>
      </c>
      <c r="G1499" s="9">
        <f t="shared" si="735"/>
        <v>220.4</v>
      </c>
      <c r="H1499" s="9">
        <f t="shared" si="735"/>
        <v>220.4</v>
      </c>
      <c r="I1499" s="9">
        <f t="shared" si="714"/>
        <v>100</v>
      </c>
      <c r="J1499" s="9">
        <f t="shared" si="715"/>
        <v>100</v>
      </c>
    </row>
    <row r="1500" spans="1:10">
      <c r="A1500" s="8" t="s">
        <v>82</v>
      </c>
      <c r="B1500" s="1" t="s">
        <v>971</v>
      </c>
      <c r="C1500" s="1" t="s">
        <v>83</v>
      </c>
      <c r="D1500" s="9">
        <v>220.4</v>
      </c>
      <c r="E1500" s="9">
        <f>ведомство!H2296</f>
        <v>220.4</v>
      </c>
      <c r="F1500" s="9">
        <f>ведомство!I2296</f>
        <v>220.4</v>
      </c>
      <c r="G1500" s="9">
        <f>ведомство!J2296</f>
        <v>220.4</v>
      </c>
      <c r="H1500" s="9">
        <f>ведомство!K2296</f>
        <v>220.4</v>
      </c>
      <c r="I1500" s="9">
        <f t="shared" si="714"/>
        <v>100</v>
      </c>
      <c r="J1500" s="9">
        <f t="shared" si="715"/>
        <v>100</v>
      </c>
    </row>
    <row r="1501" spans="1:10">
      <c r="A1501" s="4" t="s">
        <v>0</v>
      </c>
      <c r="B1501" s="17" t="s">
        <v>0</v>
      </c>
      <c r="C1501" s="5" t="s">
        <v>0</v>
      </c>
      <c r="D1501" s="7" t="s">
        <v>0</v>
      </c>
      <c r="E1501" s="7" t="s">
        <v>0</v>
      </c>
      <c r="F1501" s="7"/>
      <c r="G1501" s="7"/>
      <c r="H1501" s="7"/>
      <c r="I1501" s="7"/>
      <c r="J1501" s="7"/>
    </row>
    <row r="1502" spans="1:10" ht="38.25">
      <c r="A1502" s="35" t="s">
        <v>665</v>
      </c>
      <c r="B1502" s="5" t="s">
        <v>666</v>
      </c>
      <c r="C1502" s="5" t="s">
        <v>0</v>
      </c>
      <c r="D1502" s="7">
        <v>5298548.7</v>
      </c>
      <c r="E1502" s="7">
        <f>E1503+E1517+E1525+E1533+E1541+E1574</f>
        <v>6809972.832849999</v>
      </c>
      <c r="F1502" s="7">
        <f t="shared" ref="F1502:H1502" si="736">F1503+F1517+F1525+F1533+F1541+F1574</f>
        <v>1995188.5645299999</v>
      </c>
      <c r="G1502" s="7">
        <f t="shared" si="736"/>
        <v>1990583.1393299999</v>
      </c>
      <c r="H1502" s="7">
        <f t="shared" si="736"/>
        <v>1969042.2449400001</v>
      </c>
      <c r="I1502" s="7">
        <f t="shared" si="714"/>
        <v>28.914098385851396</v>
      </c>
      <c r="J1502" s="7">
        <f t="shared" si="715"/>
        <v>98.689531402954941</v>
      </c>
    </row>
    <row r="1503" spans="1:10" ht="25.5">
      <c r="A1503" s="4" t="s">
        <v>672</v>
      </c>
      <c r="B1503" s="5" t="s">
        <v>673</v>
      </c>
      <c r="C1503" s="5" t="s">
        <v>0</v>
      </c>
      <c r="D1503" s="7">
        <v>484047.3</v>
      </c>
      <c r="E1503" s="7">
        <f>E1504+E1507+E1510+E1513</f>
        <v>483324.03922999999</v>
      </c>
      <c r="F1503" s="7">
        <f t="shared" ref="F1503:H1503" si="737">F1504+F1507+F1510+F1513</f>
        <v>236808.9</v>
      </c>
      <c r="G1503" s="7">
        <f t="shared" si="737"/>
        <v>236808.9</v>
      </c>
      <c r="H1503" s="7">
        <f t="shared" si="737"/>
        <v>220173.30752</v>
      </c>
      <c r="I1503" s="7">
        <f t="shared" si="714"/>
        <v>45.553974073121964</v>
      </c>
      <c r="J1503" s="7">
        <f t="shared" si="715"/>
        <v>92.975098283890517</v>
      </c>
    </row>
    <row r="1504" spans="1:10" ht="51">
      <c r="A1504" s="8" t="s">
        <v>674</v>
      </c>
      <c r="B1504" s="1" t="s">
        <v>675</v>
      </c>
      <c r="C1504" s="1" t="s">
        <v>0</v>
      </c>
      <c r="D1504" s="9">
        <v>80899.899999999994</v>
      </c>
      <c r="E1504" s="9">
        <f>E1505</f>
        <v>80899.899999999994</v>
      </c>
      <c r="F1504" s="9">
        <f t="shared" ref="F1504:H1505" si="738">F1505</f>
        <v>26300</v>
      </c>
      <c r="G1504" s="9">
        <f t="shared" si="738"/>
        <v>26300</v>
      </c>
      <c r="H1504" s="9">
        <f t="shared" si="738"/>
        <v>26300</v>
      </c>
      <c r="I1504" s="9">
        <f t="shared" si="714"/>
        <v>32.509310889135833</v>
      </c>
      <c r="J1504" s="9">
        <f t="shared" si="715"/>
        <v>100</v>
      </c>
    </row>
    <row r="1505" spans="1:10">
      <c r="A1505" s="8" t="s">
        <v>72</v>
      </c>
      <c r="B1505" s="1" t="s">
        <v>675</v>
      </c>
      <c r="C1505" s="1" t="s">
        <v>73</v>
      </c>
      <c r="D1505" s="9">
        <v>80899.899999999994</v>
      </c>
      <c r="E1505" s="9">
        <f>E1506</f>
        <v>80899.899999999994</v>
      </c>
      <c r="F1505" s="9">
        <f t="shared" si="738"/>
        <v>26300</v>
      </c>
      <c r="G1505" s="9">
        <f t="shared" si="738"/>
        <v>26300</v>
      </c>
      <c r="H1505" s="9">
        <f t="shared" si="738"/>
        <v>26300</v>
      </c>
      <c r="I1505" s="9">
        <f t="shared" si="714"/>
        <v>32.509310889135833</v>
      </c>
      <c r="J1505" s="9">
        <f t="shared" si="715"/>
        <v>100</v>
      </c>
    </row>
    <row r="1506" spans="1:10" ht="38.25">
      <c r="A1506" s="8" t="s">
        <v>218</v>
      </c>
      <c r="B1506" s="1" t="s">
        <v>675</v>
      </c>
      <c r="C1506" s="1" t="s">
        <v>219</v>
      </c>
      <c r="D1506" s="9">
        <v>80899.899999999994</v>
      </c>
      <c r="E1506" s="9">
        <f>ведомство!H1484</f>
        <v>80899.899999999994</v>
      </c>
      <c r="F1506" s="9">
        <f>ведомство!I1484</f>
        <v>26300</v>
      </c>
      <c r="G1506" s="9">
        <f>ведомство!J1484</f>
        <v>26300</v>
      </c>
      <c r="H1506" s="9">
        <f>ведомство!K1484</f>
        <v>26300</v>
      </c>
      <c r="I1506" s="9">
        <f t="shared" si="714"/>
        <v>32.509310889135833</v>
      </c>
      <c r="J1506" s="9">
        <f t="shared" si="715"/>
        <v>100</v>
      </c>
    </row>
    <row r="1507" spans="1:10" ht="51">
      <c r="A1507" s="8" t="s">
        <v>676</v>
      </c>
      <c r="B1507" s="1" t="s">
        <v>677</v>
      </c>
      <c r="C1507" s="1" t="s">
        <v>0</v>
      </c>
      <c r="D1507" s="9">
        <v>99183.5</v>
      </c>
      <c r="E1507" s="9">
        <f>E1508</f>
        <v>98460.239230000007</v>
      </c>
      <c r="F1507" s="9">
        <f t="shared" ref="F1507:H1508" si="739">F1508</f>
        <v>44000</v>
      </c>
      <c r="G1507" s="9">
        <f t="shared" si="739"/>
        <v>44000</v>
      </c>
      <c r="H1507" s="9">
        <f t="shared" si="739"/>
        <v>41941.192009999999</v>
      </c>
      <c r="I1507" s="9">
        <f t="shared" si="714"/>
        <v>42.597085217340066</v>
      </c>
      <c r="J1507" s="9">
        <f t="shared" si="715"/>
        <v>95.320890931818184</v>
      </c>
    </row>
    <row r="1508" spans="1:10">
      <c r="A1508" s="8" t="s">
        <v>72</v>
      </c>
      <c r="B1508" s="1" t="s">
        <v>677</v>
      </c>
      <c r="C1508" s="1" t="s">
        <v>73</v>
      </c>
      <c r="D1508" s="9">
        <v>99183.5</v>
      </c>
      <c r="E1508" s="9">
        <f>E1509</f>
        <v>98460.239230000007</v>
      </c>
      <c r="F1508" s="9">
        <f t="shared" si="739"/>
        <v>44000</v>
      </c>
      <c r="G1508" s="9">
        <f t="shared" si="739"/>
        <v>44000</v>
      </c>
      <c r="H1508" s="9">
        <f t="shared" si="739"/>
        <v>41941.192009999999</v>
      </c>
      <c r="I1508" s="9">
        <f t="shared" si="714"/>
        <v>42.597085217340066</v>
      </c>
      <c r="J1508" s="9">
        <f t="shared" si="715"/>
        <v>95.320890931818184</v>
      </c>
    </row>
    <row r="1509" spans="1:10" ht="38.25">
      <c r="A1509" s="8" t="s">
        <v>218</v>
      </c>
      <c r="B1509" s="1" t="s">
        <v>677</v>
      </c>
      <c r="C1509" s="1" t="s">
        <v>219</v>
      </c>
      <c r="D1509" s="9">
        <v>99183.5</v>
      </c>
      <c r="E1509" s="9">
        <f>ведомство!H1487</f>
        <v>98460.239230000007</v>
      </c>
      <c r="F1509" s="9">
        <f>ведомство!I1487</f>
        <v>44000</v>
      </c>
      <c r="G1509" s="9">
        <f>ведомство!J1487</f>
        <v>44000</v>
      </c>
      <c r="H1509" s="9">
        <f>ведомство!K1487</f>
        <v>41941.192009999999</v>
      </c>
      <c r="I1509" s="9">
        <f t="shared" si="714"/>
        <v>42.597085217340066</v>
      </c>
      <c r="J1509" s="9">
        <f t="shared" si="715"/>
        <v>95.320890931818184</v>
      </c>
    </row>
    <row r="1510" spans="1:10" ht="63.75">
      <c r="A1510" s="8" t="s">
        <v>678</v>
      </c>
      <c r="B1510" s="1" t="s">
        <v>679</v>
      </c>
      <c r="C1510" s="1" t="s">
        <v>0</v>
      </c>
      <c r="D1510" s="9">
        <v>298069</v>
      </c>
      <c r="E1510" s="9">
        <f>E1511</f>
        <v>298069</v>
      </c>
      <c r="F1510" s="9">
        <f t="shared" ref="F1510:H1511" si="740">F1511</f>
        <v>162858.9</v>
      </c>
      <c r="G1510" s="9">
        <f t="shared" si="740"/>
        <v>162858.9</v>
      </c>
      <c r="H1510" s="9">
        <f t="shared" si="740"/>
        <v>148543.89451000001</v>
      </c>
      <c r="I1510" s="9">
        <f t="shared" si="714"/>
        <v>49.835405396066015</v>
      </c>
      <c r="J1510" s="9">
        <f t="shared" si="715"/>
        <v>91.210179185785989</v>
      </c>
    </row>
    <row r="1511" spans="1:10">
      <c r="A1511" s="8" t="s">
        <v>72</v>
      </c>
      <c r="B1511" s="1" t="s">
        <v>679</v>
      </c>
      <c r="C1511" s="1" t="s">
        <v>73</v>
      </c>
      <c r="D1511" s="9">
        <v>298069</v>
      </c>
      <c r="E1511" s="9">
        <f>E1512</f>
        <v>298069</v>
      </c>
      <c r="F1511" s="9">
        <f t="shared" si="740"/>
        <v>162858.9</v>
      </c>
      <c r="G1511" s="9">
        <f t="shared" si="740"/>
        <v>162858.9</v>
      </c>
      <c r="H1511" s="9">
        <f t="shared" si="740"/>
        <v>148543.89451000001</v>
      </c>
      <c r="I1511" s="9">
        <f t="shared" si="714"/>
        <v>49.835405396066015</v>
      </c>
      <c r="J1511" s="9">
        <f t="shared" si="715"/>
        <v>91.210179185785989</v>
      </c>
    </row>
    <row r="1512" spans="1:10" ht="38.25">
      <c r="A1512" s="8" t="s">
        <v>218</v>
      </c>
      <c r="B1512" s="1" t="s">
        <v>679</v>
      </c>
      <c r="C1512" s="1" t="s">
        <v>219</v>
      </c>
      <c r="D1512" s="9">
        <v>298069</v>
      </c>
      <c r="E1512" s="9">
        <f>ведомство!H1490</f>
        <v>298069</v>
      </c>
      <c r="F1512" s="9">
        <f>ведомство!I1490</f>
        <v>162858.9</v>
      </c>
      <c r="G1512" s="9">
        <f>ведомство!J1490</f>
        <v>162858.9</v>
      </c>
      <c r="H1512" s="9">
        <f>ведомство!K1490</f>
        <v>148543.89451000001</v>
      </c>
      <c r="I1512" s="9">
        <f t="shared" si="714"/>
        <v>49.835405396066015</v>
      </c>
      <c r="J1512" s="9">
        <f t="shared" si="715"/>
        <v>91.210179185785989</v>
      </c>
    </row>
    <row r="1513" spans="1:10" ht="102">
      <c r="A1513" s="8" t="s">
        <v>680</v>
      </c>
      <c r="B1513" s="1" t="s">
        <v>681</v>
      </c>
      <c r="C1513" s="1" t="s">
        <v>0</v>
      </c>
      <c r="D1513" s="9">
        <v>5894.9</v>
      </c>
      <c r="E1513" s="9">
        <f>E1514</f>
        <v>5894.9</v>
      </c>
      <c r="F1513" s="9">
        <f t="shared" ref="F1513:H1514" si="741">F1514</f>
        <v>3650</v>
      </c>
      <c r="G1513" s="9">
        <f t="shared" si="741"/>
        <v>3650</v>
      </c>
      <c r="H1513" s="9">
        <f t="shared" si="741"/>
        <v>3388.221</v>
      </c>
      <c r="I1513" s="9">
        <f t="shared" si="714"/>
        <v>57.477158221513513</v>
      </c>
      <c r="J1513" s="9">
        <f t="shared" si="715"/>
        <v>92.827972602739734</v>
      </c>
    </row>
    <row r="1514" spans="1:10">
      <c r="A1514" s="8" t="s">
        <v>72</v>
      </c>
      <c r="B1514" s="1" t="s">
        <v>681</v>
      </c>
      <c r="C1514" s="1" t="s">
        <v>73</v>
      </c>
      <c r="D1514" s="9">
        <v>5894.9</v>
      </c>
      <c r="E1514" s="9">
        <f>E1515</f>
        <v>5894.9</v>
      </c>
      <c r="F1514" s="9">
        <f t="shared" si="741"/>
        <v>3650</v>
      </c>
      <c r="G1514" s="9">
        <f t="shared" si="741"/>
        <v>3650</v>
      </c>
      <c r="H1514" s="9">
        <f t="shared" si="741"/>
        <v>3388.221</v>
      </c>
      <c r="I1514" s="9">
        <f t="shared" ref="I1514:I1593" si="742">H1514/E1514*100</f>
        <v>57.477158221513513</v>
      </c>
      <c r="J1514" s="9">
        <f t="shared" ref="J1514:J1593" si="743">H1514/F1514*100</f>
        <v>92.827972602739734</v>
      </c>
    </row>
    <row r="1515" spans="1:10" ht="38.25">
      <c r="A1515" s="8" t="s">
        <v>218</v>
      </c>
      <c r="B1515" s="1" t="s">
        <v>681</v>
      </c>
      <c r="C1515" s="1" t="s">
        <v>219</v>
      </c>
      <c r="D1515" s="9">
        <v>5894.9</v>
      </c>
      <c r="E1515" s="9">
        <f>ведомство!H1493</f>
        <v>5894.9</v>
      </c>
      <c r="F1515" s="9">
        <f>ведомство!I1493</f>
        <v>3650</v>
      </c>
      <c r="G1515" s="9">
        <f>ведомство!J1493</f>
        <v>3650</v>
      </c>
      <c r="H1515" s="9">
        <f>ведомство!K1493</f>
        <v>3388.221</v>
      </c>
      <c r="I1515" s="9">
        <f t="shared" si="742"/>
        <v>57.477158221513513</v>
      </c>
      <c r="J1515" s="9">
        <f t="shared" si="743"/>
        <v>92.827972602739734</v>
      </c>
    </row>
    <row r="1516" spans="1:10">
      <c r="A1516" s="4" t="s">
        <v>0</v>
      </c>
      <c r="B1516" s="17" t="s">
        <v>0</v>
      </c>
      <c r="C1516" s="5" t="s">
        <v>0</v>
      </c>
      <c r="D1516" s="7" t="s">
        <v>0</v>
      </c>
      <c r="E1516" s="7" t="s">
        <v>0</v>
      </c>
      <c r="F1516" s="7" t="s">
        <v>0</v>
      </c>
      <c r="G1516" s="7" t="s">
        <v>0</v>
      </c>
      <c r="H1516" s="7" t="s">
        <v>0</v>
      </c>
      <c r="I1516" s="7"/>
      <c r="J1516" s="7"/>
    </row>
    <row r="1517" spans="1:10" ht="38.25">
      <c r="A1517" s="4" t="s">
        <v>682</v>
      </c>
      <c r="B1517" s="5" t="s">
        <v>683</v>
      </c>
      <c r="C1517" s="5" t="s">
        <v>0</v>
      </c>
      <c r="D1517" s="7">
        <v>336501.6</v>
      </c>
      <c r="E1517" s="7">
        <f>E1518+E1521</f>
        <v>436501.6</v>
      </c>
      <c r="F1517" s="7">
        <f t="shared" ref="F1517:H1517" si="744">F1518+F1521</f>
        <v>0</v>
      </c>
      <c r="G1517" s="7">
        <f t="shared" si="744"/>
        <v>0</v>
      </c>
      <c r="H1517" s="7">
        <f t="shared" si="744"/>
        <v>0</v>
      </c>
      <c r="I1517" s="7">
        <f t="shared" si="742"/>
        <v>0</v>
      </c>
      <c r="J1517" s="7">
        <v>0</v>
      </c>
    </row>
    <row r="1518" spans="1:10" s="43" customFormat="1" ht="76.5">
      <c r="A1518" s="8" t="s">
        <v>1186</v>
      </c>
      <c r="B1518" s="25" t="s">
        <v>1185</v>
      </c>
      <c r="C1518" s="6"/>
      <c r="D1518" s="7"/>
      <c r="E1518" s="23">
        <f>E1519</f>
        <v>100000</v>
      </c>
      <c r="F1518" s="23">
        <f t="shared" ref="F1518:H1519" si="745">F1519</f>
        <v>0</v>
      </c>
      <c r="G1518" s="23">
        <f t="shared" si="745"/>
        <v>0</v>
      </c>
      <c r="H1518" s="23">
        <f t="shared" si="745"/>
        <v>0</v>
      </c>
      <c r="I1518" s="9">
        <f t="shared" ref="I1518:I1520" si="746">H1518/E1518*100</f>
        <v>0</v>
      </c>
      <c r="J1518" s="9">
        <v>0</v>
      </c>
    </row>
    <row r="1519" spans="1:10" s="43" customFormat="1">
      <c r="A1519" s="8" t="s">
        <v>26</v>
      </c>
      <c r="B1519" s="25" t="s">
        <v>1185</v>
      </c>
      <c r="C1519" s="6">
        <v>500</v>
      </c>
      <c r="D1519" s="7"/>
      <c r="E1519" s="23">
        <f>E1520</f>
        <v>100000</v>
      </c>
      <c r="F1519" s="23">
        <f t="shared" si="745"/>
        <v>0</v>
      </c>
      <c r="G1519" s="23">
        <f t="shared" si="745"/>
        <v>0</v>
      </c>
      <c r="H1519" s="23">
        <f t="shared" si="745"/>
        <v>0</v>
      </c>
      <c r="I1519" s="9">
        <f t="shared" si="746"/>
        <v>0</v>
      </c>
      <c r="J1519" s="9">
        <v>0</v>
      </c>
    </row>
    <row r="1520" spans="1:10" s="43" customFormat="1">
      <c r="A1520" s="26" t="s">
        <v>352</v>
      </c>
      <c r="B1520" s="25" t="s">
        <v>1185</v>
      </c>
      <c r="C1520" s="6">
        <v>540</v>
      </c>
      <c r="D1520" s="7"/>
      <c r="E1520" s="23">
        <f>ведомство!H1513</f>
        <v>100000</v>
      </c>
      <c r="F1520" s="23">
        <f>ведомство!I1513</f>
        <v>0</v>
      </c>
      <c r="G1520" s="23">
        <f>ведомство!J1513</f>
        <v>0</v>
      </c>
      <c r="H1520" s="23">
        <f>ведомство!K1513</f>
        <v>0</v>
      </c>
      <c r="I1520" s="9">
        <f t="shared" si="746"/>
        <v>0</v>
      </c>
      <c r="J1520" s="9">
        <v>0</v>
      </c>
    </row>
    <row r="1521" spans="1:10" ht="25.5">
      <c r="A1521" s="8" t="s">
        <v>684</v>
      </c>
      <c r="B1521" s="1" t="s">
        <v>685</v>
      </c>
      <c r="C1521" s="1" t="s">
        <v>0</v>
      </c>
      <c r="D1521" s="9">
        <v>336501.6</v>
      </c>
      <c r="E1521" s="9">
        <f>E1522</f>
        <v>336501.6</v>
      </c>
      <c r="F1521" s="9">
        <f t="shared" ref="F1521:H1522" si="747">F1522</f>
        <v>0</v>
      </c>
      <c r="G1521" s="9">
        <f t="shared" si="747"/>
        <v>0</v>
      </c>
      <c r="H1521" s="9">
        <f t="shared" si="747"/>
        <v>0</v>
      </c>
      <c r="I1521" s="9">
        <f t="shared" si="742"/>
        <v>0</v>
      </c>
      <c r="J1521" s="9">
        <v>0</v>
      </c>
    </row>
    <row r="1522" spans="1:10">
      <c r="A1522" s="8" t="s">
        <v>26</v>
      </c>
      <c r="B1522" s="1" t="s">
        <v>685</v>
      </c>
      <c r="C1522" s="1" t="s">
        <v>27</v>
      </c>
      <c r="D1522" s="9">
        <v>336501.6</v>
      </c>
      <c r="E1522" s="9">
        <f>E1523</f>
        <v>336501.6</v>
      </c>
      <c r="F1522" s="9">
        <f t="shared" si="747"/>
        <v>0</v>
      </c>
      <c r="G1522" s="9">
        <f t="shared" si="747"/>
        <v>0</v>
      </c>
      <c r="H1522" s="9">
        <f t="shared" si="747"/>
        <v>0</v>
      </c>
      <c r="I1522" s="9">
        <f t="shared" si="742"/>
        <v>0</v>
      </c>
      <c r="J1522" s="9">
        <v>0</v>
      </c>
    </row>
    <row r="1523" spans="1:10">
      <c r="A1523" s="8" t="s">
        <v>56</v>
      </c>
      <c r="B1523" s="1" t="s">
        <v>685</v>
      </c>
      <c r="C1523" s="1" t="s">
        <v>57</v>
      </c>
      <c r="D1523" s="9">
        <v>336501.6</v>
      </c>
      <c r="E1523" s="9">
        <f>ведомство!H1516+ведомство!H1497</f>
        <v>336501.6</v>
      </c>
      <c r="F1523" s="9">
        <f>ведомство!I1516+ведомство!I1497</f>
        <v>0</v>
      </c>
      <c r="G1523" s="9">
        <f>ведомство!J1516+ведомство!J1497</f>
        <v>0</v>
      </c>
      <c r="H1523" s="9">
        <f>ведомство!K1516+ведомство!K1497</f>
        <v>0</v>
      </c>
      <c r="I1523" s="9">
        <f t="shared" si="742"/>
        <v>0</v>
      </c>
      <c r="J1523" s="9">
        <v>0</v>
      </c>
    </row>
    <row r="1524" spans="1:10">
      <c r="A1524" s="4" t="s">
        <v>0</v>
      </c>
      <c r="B1524" s="17" t="s">
        <v>0</v>
      </c>
      <c r="C1524" s="5" t="s">
        <v>0</v>
      </c>
      <c r="D1524" s="7" t="s">
        <v>0</v>
      </c>
      <c r="E1524" s="7" t="s">
        <v>0</v>
      </c>
      <c r="F1524" s="7" t="s">
        <v>0</v>
      </c>
      <c r="G1524" s="7" t="s">
        <v>0</v>
      </c>
      <c r="H1524" s="7" t="s">
        <v>0</v>
      </c>
      <c r="I1524" s="7"/>
      <c r="J1524" s="7"/>
    </row>
    <row r="1525" spans="1:10" ht="38.25">
      <c r="A1525" s="4" t="s">
        <v>687</v>
      </c>
      <c r="B1525" s="5" t="s">
        <v>688</v>
      </c>
      <c r="C1525" s="5" t="s">
        <v>0</v>
      </c>
      <c r="D1525" s="7">
        <v>224540.4</v>
      </c>
      <c r="E1525" s="7">
        <f>E1526+E1529</f>
        <v>1236965.25</v>
      </c>
      <c r="F1525" s="7">
        <f t="shared" ref="F1525:H1525" si="748">F1526+F1529</f>
        <v>406619.73095999996</v>
      </c>
      <c r="G1525" s="7">
        <f t="shared" si="748"/>
        <v>406619.73095999996</v>
      </c>
      <c r="H1525" s="7">
        <f t="shared" si="748"/>
        <v>406619.69927999994</v>
      </c>
      <c r="I1525" s="7">
        <f t="shared" si="742"/>
        <v>32.872362362645184</v>
      </c>
      <c r="J1525" s="7">
        <f t="shared" si="743"/>
        <v>99.999992208936845</v>
      </c>
    </row>
    <row r="1526" spans="1:10" s="43" customFormat="1" ht="76.5">
      <c r="A1526" s="8" t="s">
        <v>1186</v>
      </c>
      <c r="B1526" s="25" t="s">
        <v>1187</v>
      </c>
      <c r="C1526" s="6"/>
      <c r="D1526" s="7"/>
      <c r="E1526" s="23">
        <f>E1527</f>
        <v>1012424.85</v>
      </c>
      <c r="F1526" s="23">
        <f t="shared" ref="F1526:H1527" si="749">F1527</f>
        <v>339767.99599999998</v>
      </c>
      <c r="G1526" s="23">
        <f t="shared" si="749"/>
        <v>339767.99599999998</v>
      </c>
      <c r="H1526" s="23">
        <f t="shared" si="749"/>
        <v>339767.98599999998</v>
      </c>
      <c r="I1526" s="9">
        <f t="shared" ref="I1526:I1528" si="750">H1526/E1526*100</f>
        <v>33.559822835245498</v>
      </c>
      <c r="J1526" s="9">
        <f t="shared" ref="J1526:J1528" si="751">H1526/F1526*100</f>
        <v>99.999997056815204</v>
      </c>
    </row>
    <row r="1527" spans="1:10" s="43" customFormat="1" ht="25.5">
      <c r="A1527" s="8" t="s">
        <v>39</v>
      </c>
      <c r="B1527" s="25" t="s">
        <v>1187</v>
      </c>
      <c r="C1527" s="1">
        <v>400</v>
      </c>
      <c r="D1527" s="7"/>
      <c r="E1527" s="23">
        <f>E1528</f>
        <v>1012424.85</v>
      </c>
      <c r="F1527" s="23">
        <f t="shared" si="749"/>
        <v>339767.99599999998</v>
      </c>
      <c r="G1527" s="23">
        <f t="shared" si="749"/>
        <v>339767.99599999998</v>
      </c>
      <c r="H1527" s="23">
        <f t="shared" si="749"/>
        <v>339767.98599999998</v>
      </c>
      <c r="I1527" s="9">
        <f t="shared" si="750"/>
        <v>33.559822835245498</v>
      </c>
      <c r="J1527" s="9">
        <f t="shared" si="751"/>
        <v>99.999997056815204</v>
      </c>
    </row>
    <row r="1528" spans="1:10" s="43" customFormat="1">
      <c r="A1528" s="8" t="s">
        <v>41</v>
      </c>
      <c r="B1528" s="25" t="s">
        <v>1187</v>
      </c>
      <c r="C1528" s="6">
        <v>410</v>
      </c>
      <c r="D1528" s="7"/>
      <c r="E1528" s="23">
        <f>ведомство!H1520</f>
        <v>1012424.85</v>
      </c>
      <c r="F1528" s="23">
        <f>ведомство!I1520</f>
        <v>339767.99599999998</v>
      </c>
      <c r="G1528" s="23">
        <f>ведомство!J1520</f>
        <v>339767.99599999998</v>
      </c>
      <c r="H1528" s="23">
        <f>ведомство!K1520</f>
        <v>339767.98599999998</v>
      </c>
      <c r="I1528" s="9">
        <f t="shared" si="750"/>
        <v>33.559822835245498</v>
      </c>
      <c r="J1528" s="9">
        <f t="shared" si="751"/>
        <v>99.999997056815204</v>
      </c>
    </row>
    <row r="1529" spans="1:10" ht="38.25">
      <c r="A1529" s="8" t="s">
        <v>37</v>
      </c>
      <c r="B1529" s="1" t="s">
        <v>689</v>
      </c>
      <c r="C1529" s="1" t="s">
        <v>0</v>
      </c>
      <c r="D1529" s="9">
        <v>224540.4</v>
      </c>
      <c r="E1529" s="9">
        <f>E1530</f>
        <v>224540.4</v>
      </c>
      <c r="F1529" s="9">
        <f t="shared" ref="F1529:H1530" si="752">F1530</f>
        <v>66851.734960000002</v>
      </c>
      <c r="G1529" s="9">
        <f t="shared" si="752"/>
        <v>66851.734960000002</v>
      </c>
      <c r="H1529" s="9">
        <f t="shared" si="752"/>
        <v>66851.713279999996</v>
      </c>
      <c r="I1529" s="9">
        <f t="shared" si="742"/>
        <v>29.772688246747574</v>
      </c>
      <c r="J1529" s="9">
        <f t="shared" si="743"/>
        <v>99.999967570026399</v>
      </c>
    </row>
    <row r="1530" spans="1:10" ht="25.5">
      <c r="A1530" s="8" t="s">
        <v>39</v>
      </c>
      <c r="B1530" s="1" t="s">
        <v>689</v>
      </c>
      <c r="C1530" s="1" t="s">
        <v>40</v>
      </c>
      <c r="D1530" s="9">
        <v>224540.4</v>
      </c>
      <c r="E1530" s="9">
        <f>E1531</f>
        <v>224540.4</v>
      </c>
      <c r="F1530" s="9">
        <f t="shared" si="752"/>
        <v>66851.734960000002</v>
      </c>
      <c r="G1530" s="9">
        <f t="shared" si="752"/>
        <v>66851.734960000002</v>
      </c>
      <c r="H1530" s="9">
        <f t="shared" si="752"/>
        <v>66851.713279999996</v>
      </c>
      <c r="I1530" s="9">
        <f t="shared" si="742"/>
        <v>29.772688246747574</v>
      </c>
      <c r="J1530" s="9">
        <f t="shared" si="743"/>
        <v>99.999967570026399</v>
      </c>
    </row>
    <row r="1531" spans="1:10">
      <c r="A1531" s="8" t="s">
        <v>41</v>
      </c>
      <c r="B1531" s="1" t="s">
        <v>689</v>
      </c>
      <c r="C1531" s="1" t="s">
        <v>42</v>
      </c>
      <c r="D1531" s="9">
        <v>224540.4</v>
      </c>
      <c r="E1531" s="9">
        <f>ведомство!H1523</f>
        <v>224540.4</v>
      </c>
      <c r="F1531" s="9">
        <f>ведомство!I1523</f>
        <v>66851.734960000002</v>
      </c>
      <c r="G1531" s="9">
        <f>ведомство!J1523</f>
        <v>66851.734960000002</v>
      </c>
      <c r="H1531" s="9">
        <f>ведомство!K1523</f>
        <v>66851.713279999996</v>
      </c>
      <c r="I1531" s="9">
        <f t="shared" si="742"/>
        <v>29.772688246747574</v>
      </c>
      <c r="J1531" s="9">
        <f t="shared" si="743"/>
        <v>99.999967570026399</v>
      </c>
    </row>
    <row r="1532" spans="1:10">
      <c r="A1532" s="4" t="s">
        <v>0</v>
      </c>
      <c r="B1532" s="17" t="s">
        <v>0</v>
      </c>
      <c r="C1532" s="5" t="s">
        <v>0</v>
      </c>
      <c r="D1532" s="7" t="s">
        <v>0</v>
      </c>
      <c r="E1532" s="7" t="s">
        <v>0</v>
      </c>
      <c r="F1532" s="7" t="s">
        <v>0</v>
      </c>
      <c r="G1532" s="7" t="s">
        <v>0</v>
      </c>
      <c r="H1532" s="7" t="s">
        <v>0</v>
      </c>
      <c r="I1532" s="7"/>
      <c r="J1532" s="7"/>
    </row>
    <row r="1533" spans="1:10" ht="38.25">
      <c r="A1533" s="4" t="s">
        <v>690</v>
      </c>
      <c r="B1533" s="5" t="s">
        <v>691</v>
      </c>
      <c r="C1533" s="5" t="s">
        <v>0</v>
      </c>
      <c r="D1533" s="7">
        <v>3573245.3</v>
      </c>
      <c r="E1533" s="7">
        <f>E1534+E1537</f>
        <v>3973245.28</v>
      </c>
      <c r="F1533" s="7">
        <f t="shared" ref="F1533:H1533" si="753">F1534+F1537</f>
        <v>1011725.40822</v>
      </c>
      <c r="G1533" s="7">
        <f t="shared" si="753"/>
        <v>1011725.40802</v>
      </c>
      <c r="H1533" s="7">
        <f t="shared" si="753"/>
        <v>1011693.91361</v>
      </c>
      <c r="I1533" s="7">
        <f t="shared" si="742"/>
        <v>25.462659421066501</v>
      </c>
      <c r="J1533" s="7">
        <f t="shared" si="743"/>
        <v>99.996887039729941</v>
      </c>
    </row>
    <row r="1534" spans="1:10" s="43" customFormat="1" ht="76.5">
      <c r="A1534" s="8" t="s">
        <v>1186</v>
      </c>
      <c r="B1534" s="25" t="s">
        <v>1188</v>
      </c>
      <c r="C1534" s="6"/>
      <c r="D1534" s="7"/>
      <c r="E1534" s="23">
        <f>E1535</f>
        <v>400000</v>
      </c>
      <c r="F1534" s="23">
        <f t="shared" ref="F1534:H1535" si="754">F1535</f>
        <v>0</v>
      </c>
      <c r="G1534" s="23">
        <f t="shared" si="754"/>
        <v>0</v>
      </c>
      <c r="H1534" s="23">
        <f t="shared" si="754"/>
        <v>0</v>
      </c>
      <c r="I1534" s="9">
        <f t="shared" ref="I1534:I1536" si="755">H1534/E1534*100</f>
        <v>0</v>
      </c>
      <c r="J1534" s="9">
        <v>0</v>
      </c>
    </row>
    <row r="1535" spans="1:10" s="43" customFormat="1" ht="25.5">
      <c r="A1535" s="8" t="s">
        <v>64</v>
      </c>
      <c r="B1535" s="25" t="s">
        <v>1188</v>
      </c>
      <c r="C1535" s="1">
        <v>200</v>
      </c>
      <c r="D1535" s="7"/>
      <c r="E1535" s="23">
        <f>E1536</f>
        <v>400000</v>
      </c>
      <c r="F1535" s="23">
        <f t="shared" si="754"/>
        <v>0</v>
      </c>
      <c r="G1535" s="23">
        <f t="shared" si="754"/>
        <v>0</v>
      </c>
      <c r="H1535" s="23">
        <f t="shared" si="754"/>
        <v>0</v>
      </c>
      <c r="I1535" s="9">
        <f t="shared" si="755"/>
        <v>0</v>
      </c>
      <c r="J1535" s="9">
        <v>0</v>
      </c>
    </row>
    <row r="1536" spans="1:10" s="43" customFormat="1" ht="25.5">
      <c r="A1536" s="8" t="s">
        <v>66</v>
      </c>
      <c r="B1536" s="25" t="s">
        <v>1188</v>
      </c>
      <c r="C1536" s="1">
        <v>240</v>
      </c>
      <c r="D1536" s="7"/>
      <c r="E1536" s="23">
        <f>ведомство!H1527</f>
        <v>400000</v>
      </c>
      <c r="F1536" s="23">
        <f>ведомство!I1527</f>
        <v>0</v>
      </c>
      <c r="G1536" s="23">
        <f>ведомство!J1527</f>
        <v>0</v>
      </c>
      <c r="H1536" s="23">
        <f>ведомство!K1527</f>
        <v>0</v>
      </c>
      <c r="I1536" s="9">
        <f t="shared" si="755"/>
        <v>0</v>
      </c>
      <c r="J1536" s="9">
        <v>0</v>
      </c>
    </row>
    <row r="1537" spans="1:10" ht="25.5">
      <c r="A1537" s="8" t="s">
        <v>692</v>
      </c>
      <c r="B1537" s="1" t="s">
        <v>693</v>
      </c>
      <c r="C1537" s="1" t="s">
        <v>0</v>
      </c>
      <c r="D1537" s="9">
        <v>3573245.3</v>
      </c>
      <c r="E1537" s="9">
        <f>E1538</f>
        <v>3573245.28</v>
      </c>
      <c r="F1537" s="9">
        <f t="shared" ref="F1537:H1538" si="756">F1538</f>
        <v>1011725.40822</v>
      </c>
      <c r="G1537" s="9">
        <f t="shared" si="756"/>
        <v>1011725.40802</v>
      </c>
      <c r="H1537" s="9">
        <f t="shared" si="756"/>
        <v>1011693.91361</v>
      </c>
      <c r="I1537" s="9">
        <f t="shared" si="742"/>
        <v>28.313027355625586</v>
      </c>
      <c r="J1537" s="9">
        <f t="shared" si="743"/>
        <v>99.996887039729941</v>
      </c>
    </row>
    <row r="1538" spans="1:10" ht="25.5">
      <c r="A1538" s="8" t="s">
        <v>64</v>
      </c>
      <c r="B1538" s="1" t="s">
        <v>693</v>
      </c>
      <c r="C1538" s="1" t="s">
        <v>65</v>
      </c>
      <c r="D1538" s="9">
        <v>3573245.3</v>
      </c>
      <c r="E1538" s="9">
        <f>E1539</f>
        <v>3573245.28</v>
      </c>
      <c r="F1538" s="9">
        <f t="shared" si="756"/>
        <v>1011725.40822</v>
      </c>
      <c r="G1538" s="9">
        <f t="shared" si="756"/>
        <v>1011725.40802</v>
      </c>
      <c r="H1538" s="9">
        <f t="shared" si="756"/>
        <v>1011693.91361</v>
      </c>
      <c r="I1538" s="9">
        <f t="shared" si="742"/>
        <v>28.313027355625586</v>
      </c>
      <c r="J1538" s="9">
        <f t="shared" si="743"/>
        <v>99.996887039729941</v>
      </c>
    </row>
    <row r="1539" spans="1:10" ht="25.5">
      <c r="A1539" s="8" t="s">
        <v>66</v>
      </c>
      <c r="B1539" s="1" t="s">
        <v>693</v>
      </c>
      <c r="C1539" s="1" t="s">
        <v>67</v>
      </c>
      <c r="D1539" s="9">
        <v>3573245.3</v>
      </c>
      <c r="E1539" s="9">
        <f>ведомство!H1530</f>
        <v>3573245.28</v>
      </c>
      <c r="F1539" s="9">
        <f>ведомство!I1530</f>
        <v>1011725.40822</v>
      </c>
      <c r="G1539" s="9">
        <f>ведомство!J1530</f>
        <v>1011725.40802</v>
      </c>
      <c r="H1539" s="9">
        <f>ведомство!K1530</f>
        <v>1011693.91361</v>
      </c>
      <c r="I1539" s="9">
        <f t="shared" si="742"/>
        <v>28.313027355625586</v>
      </c>
      <c r="J1539" s="9">
        <f t="shared" si="743"/>
        <v>99.996887039729941</v>
      </c>
    </row>
    <row r="1540" spans="1:10">
      <c r="A1540" s="4" t="s">
        <v>0</v>
      </c>
      <c r="B1540" s="17" t="s">
        <v>0</v>
      </c>
      <c r="C1540" s="5" t="s">
        <v>0</v>
      </c>
      <c r="D1540" s="7" t="s">
        <v>0</v>
      </c>
      <c r="E1540" s="7" t="s">
        <v>0</v>
      </c>
      <c r="F1540" s="7" t="s">
        <v>0</v>
      </c>
      <c r="G1540" s="7" t="s">
        <v>0</v>
      </c>
      <c r="H1540" s="7" t="s">
        <v>0</v>
      </c>
      <c r="I1540" s="7"/>
      <c r="J1540" s="7"/>
    </row>
    <row r="1541" spans="1:10" ht="25.5">
      <c r="A1541" s="35" t="s">
        <v>667</v>
      </c>
      <c r="B1541" s="5" t="s">
        <v>668</v>
      </c>
      <c r="C1541" s="5" t="s">
        <v>0</v>
      </c>
      <c r="D1541" s="7">
        <v>631585</v>
      </c>
      <c r="E1541" s="7">
        <f>E1542+E1554+E1564+E1567+E1570+E1551</f>
        <v>631307.56362000003</v>
      </c>
      <c r="F1541" s="7">
        <f t="shared" ref="F1541:H1541" si="757">F1542+F1554+F1564+F1567+F1570+F1551</f>
        <v>302204.52535000001</v>
      </c>
      <c r="G1541" s="7">
        <f t="shared" si="757"/>
        <v>299579.10035000002</v>
      </c>
      <c r="H1541" s="7">
        <f t="shared" si="757"/>
        <v>294705.32452999998</v>
      </c>
      <c r="I1541" s="7">
        <f t="shared" si="742"/>
        <v>46.681735102320197</v>
      </c>
      <c r="J1541" s="7">
        <f t="shared" si="743"/>
        <v>97.518501481301527</v>
      </c>
    </row>
    <row r="1542" spans="1:10" ht="25.5">
      <c r="A1542" s="8" t="s">
        <v>58</v>
      </c>
      <c r="B1542" s="1" t="s">
        <v>686</v>
      </c>
      <c r="C1542" s="1" t="s">
        <v>0</v>
      </c>
      <c r="D1542" s="9">
        <v>45810.2</v>
      </c>
      <c r="E1542" s="9">
        <f>E1543+E1545+E1547+E1549</f>
        <v>44809.502849999997</v>
      </c>
      <c r="F1542" s="9">
        <f t="shared" ref="F1542:H1542" si="758">F1543+F1545+F1547+F1549</f>
        <v>24317.798650000001</v>
      </c>
      <c r="G1542" s="9">
        <f t="shared" si="758"/>
        <v>24317.798650000001</v>
      </c>
      <c r="H1542" s="9">
        <f t="shared" si="758"/>
        <v>22209.171259999996</v>
      </c>
      <c r="I1542" s="9">
        <f t="shared" si="742"/>
        <v>49.563529714545801</v>
      </c>
      <c r="J1542" s="9">
        <f t="shared" si="743"/>
        <v>91.328872237372508</v>
      </c>
    </row>
    <row r="1543" spans="1:10" ht="51">
      <c r="A1543" s="8" t="s">
        <v>60</v>
      </c>
      <c r="B1543" s="1" t="s">
        <v>686</v>
      </c>
      <c r="C1543" s="1" t="s">
        <v>61</v>
      </c>
      <c r="D1543" s="9">
        <v>41807.199999999997</v>
      </c>
      <c r="E1543" s="9">
        <f>E1544</f>
        <v>40827.09996</v>
      </c>
      <c r="F1543" s="9">
        <f t="shared" ref="F1543:H1543" si="759">F1544</f>
        <v>21721.57936</v>
      </c>
      <c r="G1543" s="9">
        <f t="shared" si="759"/>
        <v>21721.57936</v>
      </c>
      <c r="H1543" s="9">
        <f t="shared" si="759"/>
        <v>20464.368329999998</v>
      </c>
      <c r="I1543" s="9">
        <f t="shared" si="742"/>
        <v>50.124472103210337</v>
      </c>
      <c r="J1543" s="9">
        <f t="shared" si="743"/>
        <v>94.212156449750879</v>
      </c>
    </row>
    <row r="1544" spans="1:10" ht="25.5">
      <c r="A1544" s="8" t="s">
        <v>62</v>
      </c>
      <c r="B1544" s="1" t="s">
        <v>686</v>
      </c>
      <c r="C1544" s="1" t="s">
        <v>63</v>
      </c>
      <c r="D1544" s="9">
        <v>41807.199999999997</v>
      </c>
      <c r="E1544" s="9">
        <f>ведомство!H1501</f>
        <v>40827.09996</v>
      </c>
      <c r="F1544" s="9">
        <f>ведомство!I1501</f>
        <v>21721.57936</v>
      </c>
      <c r="G1544" s="9">
        <f>ведомство!J1501</f>
        <v>21721.57936</v>
      </c>
      <c r="H1544" s="9">
        <f>ведомство!K1501</f>
        <v>20464.368329999998</v>
      </c>
      <c r="I1544" s="9">
        <f t="shared" si="742"/>
        <v>50.124472103210337</v>
      </c>
      <c r="J1544" s="9">
        <f t="shared" si="743"/>
        <v>94.212156449750879</v>
      </c>
    </row>
    <row r="1545" spans="1:10" ht="25.5">
      <c r="A1545" s="8" t="s">
        <v>64</v>
      </c>
      <c r="B1545" s="1" t="s">
        <v>686</v>
      </c>
      <c r="C1545" s="1" t="s">
        <v>65</v>
      </c>
      <c r="D1545" s="9">
        <v>3786.1</v>
      </c>
      <c r="E1545" s="9">
        <f>E1546</f>
        <v>3765.47289</v>
      </c>
      <c r="F1545" s="9">
        <f t="shared" ref="F1545:H1545" si="760">F1546</f>
        <v>2572.4342900000001</v>
      </c>
      <c r="G1545" s="9">
        <f t="shared" si="760"/>
        <v>2572.4342900000001</v>
      </c>
      <c r="H1545" s="9">
        <f t="shared" si="760"/>
        <v>1735.7834499999999</v>
      </c>
      <c r="I1545" s="9">
        <f t="shared" si="742"/>
        <v>46.097356180939066</v>
      </c>
      <c r="J1545" s="9">
        <f t="shared" si="743"/>
        <v>67.476298879533275</v>
      </c>
    </row>
    <row r="1546" spans="1:10" ht="25.5">
      <c r="A1546" s="8" t="s">
        <v>66</v>
      </c>
      <c r="B1546" s="1" t="s">
        <v>686</v>
      </c>
      <c r="C1546" s="1" t="s">
        <v>67</v>
      </c>
      <c r="D1546" s="9">
        <v>3786.1</v>
      </c>
      <c r="E1546" s="9">
        <f>ведомство!H1503</f>
        <v>3765.47289</v>
      </c>
      <c r="F1546" s="9">
        <f>ведомство!I1503</f>
        <v>2572.4342900000001</v>
      </c>
      <c r="G1546" s="9">
        <f>ведомство!J1503</f>
        <v>2572.4342900000001</v>
      </c>
      <c r="H1546" s="9">
        <f>ведомство!K1503</f>
        <v>1735.7834499999999</v>
      </c>
      <c r="I1546" s="9">
        <f t="shared" si="742"/>
        <v>46.097356180939066</v>
      </c>
      <c r="J1546" s="9">
        <f t="shared" si="743"/>
        <v>67.476298879533275</v>
      </c>
    </row>
    <row r="1547" spans="1:10">
      <c r="A1547" s="8" t="s">
        <v>68</v>
      </c>
      <c r="B1547" s="1" t="s">
        <v>686</v>
      </c>
      <c r="C1547" s="1" t="s">
        <v>69</v>
      </c>
      <c r="D1547" s="9">
        <v>180</v>
      </c>
      <c r="E1547" s="9">
        <f>E1548</f>
        <v>180</v>
      </c>
      <c r="F1547" s="9">
        <f t="shared" ref="F1547:H1547" si="761">F1548</f>
        <v>0</v>
      </c>
      <c r="G1547" s="9">
        <f t="shared" si="761"/>
        <v>0</v>
      </c>
      <c r="H1547" s="9">
        <f t="shared" si="761"/>
        <v>0</v>
      </c>
      <c r="I1547" s="9">
        <f t="shared" si="742"/>
        <v>0</v>
      </c>
      <c r="J1547" s="9">
        <v>0</v>
      </c>
    </row>
    <row r="1548" spans="1:10">
      <c r="A1548" s="8" t="s">
        <v>70</v>
      </c>
      <c r="B1548" s="1" t="s">
        <v>686</v>
      </c>
      <c r="C1548" s="1" t="s">
        <v>71</v>
      </c>
      <c r="D1548" s="9">
        <v>180</v>
      </c>
      <c r="E1548" s="9">
        <f>ведомство!H1505</f>
        <v>180</v>
      </c>
      <c r="F1548" s="9">
        <f>ведомство!I1505</f>
        <v>0</v>
      </c>
      <c r="G1548" s="9">
        <f>ведомство!J1505</f>
        <v>0</v>
      </c>
      <c r="H1548" s="9">
        <f>ведомство!K1505</f>
        <v>0</v>
      </c>
      <c r="I1548" s="9">
        <f t="shared" si="742"/>
        <v>0</v>
      </c>
      <c r="J1548" s="9">
        <v>0</v>
      </c>
    </row>
    <row r="1549" spans="1:10">
      <c r="A1549" s="8" t="s">
        <v>72</v>
      </c>
      <c r="B1549" s="1" t="s">
        <v>686</v>
      </c>
      <c r="C1549" s="1" t="s">
        <v>73</v>
      </c>
      <c r="D1549" s="9">
        <v>36.9</v>
      </c>
      <c r="E1549" s="23">
        <f>E1550</f>
        <v>36.93</v>
      </c>
      <c r="F1549" s="23">
        <f t="shared" ref="F1549:H1549" si="762">F1550</f>
        <v>23.785</v>
      </c>
      <c r="G1549" s="23">
        <f t="shared" si="762"/>
        <v>23.785</v>
      </c>
      <c r="H1549" s="23">
        <f t="shared" si="762"/>
        <v>9.0194799999999997</v>
      </c>
      <c r="I1549" s="9">
        <f t="shared" si="742"/>
        <v>24.423178987273218</v>
      </c>
      <c r="J1549" s="9">
        <f t="shared" si="743"/>
        <v>37.920874500735756</v>
      </c>
    </row>
    <row r="1550" spans="1:10">
      <c r="A1550" s="8" t="s">
        <v>74</v>
      </c>
      <c r="B1550" s="1" t="s">
        <v>686</v>
      </c>
      <c r="C1550" s="1" t="s">
        <v>75</v>
      </c>
      <c r="D1550" s="9">
        <v>36.9</v>
      </c>
      <c r="E1550" s="9">
        <f>ведомство!H1507</f>
        <v>36.93</v>
      </c>
      <c r="F1550" s="9">
        <f>ведомство!I1507</f>
        <v>23.785</v>
      </c>
      <c r="G1550" s="9">
        <f>ведомство!J1507</f>
        <v>23.785</v>
      </c>
      <c r="H1550" s="9">
        <f>ведомство!K1507</f>
        <v>9.0194799999999997</v>
      </c>
      <c r="I1550" s="9">
        <f t="shared" si="742"/>
        <v>24.423178987273218</v>
      </c>
      <c r="J1550" s="9">
        <f t="shared" si="743"/>
        <v>37.920874500735756</v>
      </c>
    </row>
    <row r="1551" spans="1:10" s="43" customFormat="1">
      <c r="A1551" s="8" t="s">
        <v>609</v>
      </c>
      <c r="B1551" s="25" t="s">
        <v>1184</v>
      </c>
      <c r="C1551" s="6"/>
      <c r="D1551" s="9"/>
      <c r="E1551" s="9">
        <f>E1552</f>
        <v>723.26076999999998</v>
      </c>
      <c r="F1551" s="9">
        <f t="shared" ref="F1551:H1552" si="763">F1552</f>
        <v>128.5</v>
      </c>
      <c r="G1551" s="9">
        <f t="shared" si="763"/>
        <v>128.5</v>
      </c>
      <c r="H1551" s="9">
        <f t="shared" si="763"/>
        <v>128.5</v>
      </c>
      <c r="I1551" s="9">
        <f t="shared" ref="I1551:I1553" si="764">H1551/E1551*100</f>
        <v>17.766759283791931</v>
      </c>
      <c r="J1551" s="9">
        <f t="shared" ref="J1551:J1553" si="765">H1551/F1551*100</f>
        <v>100</v>
      </c>
    </row>
    <row r="1552" spans="1:10" s="43" customFormat="1">
      <c r="A1552" s="8" t="s">
        <v>72</v>
      </c>
      <c r="B1552" s="25" t="s">
        <v>1184</v>
      </c>
      <c r="C1552" s="6">
        <v>800</v>
      </c>
      <c r="D1552" s="9"/>
      <c r="E1552" s="9">
        <f>E1553</f>
        <v>723.26076999999998</v>
      </c>
      <c r="F1552" s="9">
        <f t="shared" si="763"/>
        <v>128.5</v>
      </c>
      <c r="G1552" s="9">
        <f t="shared" si="763"/>
        <v>128.5</v>
      </c>
      <c r="H1552" s="9">
        <f t="shared" si="763"/>
        <v>128.5</v>
      </c>
      <c r="I1552" s="9">
        <f t="shared" si="764"/>
        <v>17.766759283791931</v>
      </c>
      <c r="J1552" s="9">
        <f t="shared" si="765"/>
        <v>100</v>
      </c>
    </row>
    <row r="1553" spans="1:10" s="43" customFormat="1">
      <c r="A1553" s="8" t="s">
        <v>84</v>
      </c>
      <c r="B1553" s="25" t="s">
        <v>1184</v>
      </c>
      <c r="C1553" s="6">
        <v>830</v>
      </c>
      <c r="D1553" s="9"/>
      <c r="E1553" s="9">
        <f>ведомство!H1468</f>
        <v>723.26076999999998</v>
      </c>
      <c r="F1553" s="9">
        <f>ведомство!I1468</f>
        <v>128.5</v>
      </c>
      <c r="G1553" s="9">
        <f>ведомство!J1468</f>
        <v>128.5</v>
      </c>
      <c r="H1553" s="9">
        <f>ведомство!K1468</f>
        <v>128.5</v>
      </c>
      <c r="I1553" s="9">
        <f t="shared" si="764"/>
        <v>17.766759283791931</v>
      </c>
      <c r="J1553" s="9">
        <f t="shared" si="765"/>
        <v>100</v>
      </c>
    </row>
    <row r="1554" spans="1:10" ht="25.5">
      <c r="A1554" s="8" t="s">
        <v>76</v>
      </c>
      <c r="B1554" s="1" t="s">
        <v>694</v>
      </c>
      <c r="C1554" s="1" t="s">
        <v>0</v>
      </c>
      <c r="D1554" s="9">
        <v>137509.20000000001</v>
      </c>
      <c r="E1554" s="9">
        <f>E1555+E1557+E1559+E1561</f>
        <v>137509.19999999998</v>
      </c>
      <c r="F1554" s="9">
        <f t="shared" ref="F1554:H1554" si="766">F1555+F1557+F1559+F1561</f>
        <v>64735.088699999993</v>
      </c>
      <c r="G1554" s="9">
        <f t="shared" si="766"/>
        <v>62109.663699999997</v>
      </c>
      <c r="H1554" s="9">
        <f t="shared" si="766"/>
        <v>59344.514569999999</v>
      </c>
      <c r="I1554" s="9">
        <f t="shared" si="742"/>
        <v>43.156759380463278</v>
      </c>
      <c r="J1554" s="9">
        <f t="shared" si="743"/>
        <v>91.67287133106224</v>
      </c>
    </row>
    <row r="1555" spans="1:10" ht="51">
      <c r="A1555" s="8" t="s">
        <v>60</v>
      </c>
      <c r="B1555" s="1" t="s">
        <v>694</v>
      </c>
      <c r="C1555" s="1" t="s">
        <v>61</v>
      </c>
      <c r="D1555" s="9">
        <v>73093.7</v>
      </c>
      <c r="E1555" s="9">
        <f>E1556</f>
        <v>73093.7</v>
      </c>
      <c r="F1555" s="9">
        <f t="shared" ref="F1555:H1555" si="767">F1556</f>
        <v>34842.699999999997</v>
      </c>
      <c r="G1555" s="9">
        <f t="shared" si="767"/>
        <v>34842.699999999997</v>
      </c>
      <c r="H1555" s="9">
        <f t="shared" si="767"/>
        <v>33286.771529999998</v>
      </c>
      <c r="I1555" s="9">
        <f t="shared" si="742"/>
        <v>45.53986394176242</v>
      </c>
      <c r="J1555" s="9">
        <f t="shared" si="743"/>
        <v>95.534420495541397</v>
      </c>
    </row>
    <row r="1556" spans="1:10">
      <c r="A1556" s="8" t="s">
        <v>78</v>
      </c>
      <c r="B1556" s="1" t="s">
        <v>694</v>
      </c>
      <c r="C1556" s="1" t="s">
        <v>79</v>
      </c>
      <c r="D1556" s="9">
        <v>73093.7</v>
      </c>
      <c r="E1556" s="9">
        <f>ведомство!H1534</f>
        <v>73093.7</v>
      </c>
      <c r="F1556" s="9">
        <f>ведомство!I1534</f>
        <v>34842.699999999997</v>
      </c>
      <c r="G1556" s="9">
        <f>ведомство!J1534</f>
        <v>34842.699999999997</v>
      </c>
      <c r="H1556" s="9">
        <f>ведомство!K1534</f>
        <v>33286.771529999998</v>
      </c>
      <c r="I1556" s="9">
        <f t="shared" si="742"/>
        <v>45.53986394176242</v>
      </c>
      <c r="J1556" s="9">
        <f t="shared" si="743"/>
        <v>95.534420495541397</v>
      </c>
    </row>
    <row r="1557" spans="1:10" ht="25.5">
      <c r="A1557" s="8" t="s">
        <v>64</v>
      </c>
      <c r="B1557" s="1" t="s">
        <v>694</v>
      </c>
      <c r="C1557" s="1" t="s">
        <v>65</v>
      </c>
      <c r="D1557" s="9">
        <v>18115.2</v>
      </c>
      <c r="E1557" s="9">
        <f>E1558</f>
        <v>18115.2</v>
      </c>
      <c r="F1557" s="9">
        <f t="shared" ref="F1557:H1557" si="768">F1558</f>
        <v>7095.3</v>
      </c>
      <c r="G1557" s="9">
        <f t="shared" si="768"/>
        <v>7095.3</v>
      </c>
      <c r="H1557" s="9">
        <f t="shared" si="768"/>
        <v>6273.4304499999998</v>
      </c>
      <c r="I1557" s="9">
        <f t="shared" si="742"/>
        <v>34.630754559706759</v>
      </c>
      <c r="J1557" s="9">
        <f t="shared" si="743"/>
        <v>88.416704720025933</v>
      </c>
    </row>
    <row r="1558" spans="1:10" ht="25.5">
      <c r="A1558" s="8" t="s">
        <v>66</v>
      </c>
      <c r="B1558" s="1" t="s">
        <v>694</v>
      </c>
      <c r="C1558" s="1" t="s">
        <v>67</v>
      </c>
      <c r="D1558" s="9">
        <v>18115.2</v>
      </c>
      <c r="E1558" s="9">
        <f>ведомство!H1536</f>
        <v>18115.2</v>
      </c>
      <c r="F1558" s="9">
        <f>ведомство!I1536</f>
        <v>7095.3</v>
      </c>
      <c r="G1558" s="9">
        <f>ведомство!J1536</f>
        <v>7095.3</v>
      </c>
      <c r="H1558" s="9">
        <f>ведомство!K1536</f>
        <v>6273.4304499999998</v>
      </c>
      <c r="I1558" s="9">
        <f t="shared" si="742"/>
        <v>34.630754559706759</v>
      </c>
      <c r="J1558" s="9">
        <f t="shared" si="743"/>
        <v>88.416704720025933</v>
      </c>
    </row>
    <row r="1559" spans="1:10" ht="25.5">
      <c r="A1559" s="8" t="s">
        <v>80</v>
      </c>
      <c r="B1559" s="1" t="s">
        <v>694</v>
      </c>
      <c r="C1559" s="1" t="s">
        <v>81</v>
      </c>
      <c r="D1559" s="9">
        <v>43565.3</v>
      </c>
      <c r="E1559" s="9">
        <f>E1560</f>
        <v>43565.299999999996</v>
      </c>
      <c r="F1559" s="9">
        <f t="shared" ref="F1559:H1559" si="769">F1560</f>
        <v>21282.774999999998</v>
      </c>
      <c r="G1559" s="9">
        <f t="shared" si="769"/>
        <v>18657.349999999999</v>
      </c>
      <c r="H1559" s="9">
        <f t="shared" si="769"/>
        <v>18657.349999999999</v>
      </c>
      <c r="I1559" s="9">
        <f t="shared" si="742"/>
        <v>42.826171287699154</v>
      </c>
      <c r="J1559" s="9">
        <f t="shared" si="743"/>
        <v>87.664085158067977</v>
      </c>
    </row>
    <row r="1560" spans="1:10">
      <c r="A1560" s="8" t="s">
        <v>271</v>
      </c>
      <c r="B1560" s="1" t="s">
        <v>694</v>
      </c>
      <c r="C1560" s="1" t="s">
        <v>272</v>
      </c>
      <c r="D1560" s="9">
        <v>43565.3</v>
      </c>
      <c r="E1560" s="9">
        <f>ведомство!H829+ведомство!H1538</f>
        <v>43565.299999999996</v>
      </c>
      <c r="F1560" s="9">
        <f>ведомство!I829+ведомство!I1538</f>
        <v>21282.774999999998</v>
      </c>
      <c r="G1560" s="9">
        <f>ведомство!J829+ведомство!J1538</f>
        <v>18657.349999999999</v>
      </c>
      <c r="H1560" s="9">
        <f>ведомство!K829+ведомство!K1538</f>
        <v>18657.349999999999</v>
      </c>
      <c r="I1560" s="9">
        <f t="shared" si="742"/>
        <v>42.826171287699154</v>
      </c>
      <c r="J1560" s="9">
        <f t="shared" si="743"/>
        <v>87.664085158067977</v>
      </c>
    </row>
    <row r="1561" spans="1:10">
      <c r="A1561" s="8" t="s">
        <v>72</v>
      </c>
      <c r="B1561" s="1" t="s">
        <v>694</v>
      </c>
      <c r="C1561" s="1" t="s">
        <v>73</v>
      </c>
      <c r="D1561" s="9">
        <v>2735</v>
      </c>
      <c r="E1561" s="9">
        <f>E1563+E1562</f>
        <v>2735</v>
      </c>
      <c r="F1561" s="9">
        <f t="shared" ref="F1561:H1561" si="770">F1563+F1562</f>
        <v>1514.3137000000002</v>
      </c>
      <c r="G1561" s="9">
        <f t="shared" si="770"/>
        <v>1514.3137000000002</v>
      </c>
      <c r="H1561" s="9">
        <f t="shared" si="770"/>
        <v>1126.9625900000001</v>
      </c>
      <c r="I1561" s="9">
        <f t="shared" si="742"/>
        <v>41.20521352833638</v>
      </c>
      <c r="J1561" s="9">
        <f t="shared" si="743"/>
        <v>74.420682451727131</v>
      </c>
    </row>
    <row r="1562" spans="1:10" s="43" customFormat="1">
      <c r="A1562" s="26" t="s">
        <v>84</v>
      </c>
      <c r="B1562" s="1" t="s">
        <v>694</v>
      </c>
      <c r="C1562" s="1">
        <v>830</v>
      </c>
      <c r="D1562" s="9"/>
      <c r="E1562" s="9">
        <f>ведомство!H1540</f>
        <v>57.40569</v>
      </c>
      <c r="F1562" s="9">
        <f>ведомство!I1540</f>
        <v>57.40569</v>
      </c>
      <c r="G1562" s="9">
        <f>ведомство!J1540</f>
        <v>57.40569</v>
      </c>
      <c r="H1562" s="9">
        <f>ведомство!K1540</f>
        <v>22.5137</v>
      </c>
      <c r="I1562" s="9"/>
      <c r="J1562" s="9"/>
    </row>
    <row r="1563" spans="1:10">
      <c r="A1563" s="8" t="s">
        <v>74</v>
      </c>
      <c r="B1563" s="1" t="s">
        <v>694</v>
      </c>
      <c r="C1563" s="1" t="s">
        <v>75</v>
      </c>
      <c r="D1563" s="9">
        <v>2735</v>
      </c>
      <c r="E1563" s="9">
        <f>ведомство!H1541</f>
        <v>2677.59431</v>
      </c>
      <c r="F1563" s="9">
        <f>ведомство!I1541</f>
        <v>1456.9080100000001</v>
      </c>
      <c r="G1563" s="9">
        <f>ведомство!J1541</f>
        <v>1456.9080100000001</v>
      </c>
      <c r="H1563" s="9">
        <f>ведомство!K1541</f>
        <v>1104.4488900000001</v>
      </c>
      <c r="I1563" s="9">
        <f t="shared" si="742"/>
        <v>41.247805385424506</v>
      </c>
      <c r="J1563" s="9">
        <f t="shared" si="743"/>
        <v>75.807729960932818</v>
      </c>
    </row>
    <row r="1564" spans="1:10">
      <c r="A1564" s="8" t="s">
        <v>695</v>
      </c>
      <c r="B1564" s="1" t="s">
        <v>696</v>
      </c>
      <c r="C1564" s="1" t="s">
        <v>0</v>
      </c>
      <c r="D1564" s="9">
        <v>1264.8</v>
      </c>
      <c r="E1564" s="9">
        <f>E1565</f>
        <v>1264.8</v>
      </c>
      <c r="F1564" s="9">
        <f t="shared" ref="F1564:H1565" si="771">F1565</f>
        <v>99</v>
      </c>
      <c r="G1564" s="9">
        <f t="shared" si="771"/>
        <v>99</v>
      </c>
      <c r="H1564" s="9">
        <f t="shared" si="771"/>
        <v>99</v>
      </c>
      <c r="I1564" s="9">
        <f t="shared" si="742"/>
        <v>7.8273244781783688</v>
      </c>
      <c r="J1564" s="9">
        <f t="shared" si="743"/>
        <v>100</v>
      </c>
    </row>
    <row r="1565" spans="1:10" ht="25.5">
      <c r="A1565" s="8" t="s">
        <v>64</v>
      </c>
      <c r="B1565" s="1" t="s">
        <v>696</v>
      </c>
      <c r="C1565" s="1" t="s">
        <v>65</v>
      </c>
      <c r="D1565" s="9">
        <v>1264.8</v>
      </c>
      <c r="E1565" s="9">
        <f>E1566</f>
        <v>1264.8</v>
      </c>
      <c r="F1565" s="9">
        <f t="shared" si="771"/>
        <v>99</v>
      </c>
      <c r="G1565" s="9">
        <f t="shared" si="771"/>
        <v>99</v>
      </c>
      <c r="H1565" s="9">
        <f t="shared" si="771"/>
        <v>99</v>
      </c>
      <c r="I1565" s="9">
        <f t="shared" si="742"/>
        <v>7.8273244781783688</v>
      </c>
      <c r="J1565" s="9">
        <f t="shared" si="743"/>
        <v>100</v>
      </c>
    </row>
    <row r="1566" spans="1:10" ht="25.5">
      <c r="A1566" s="8" t="s">
        <v>66</v>
      </c>
      <c r="B1566" s="1" t="s">
        <v>696</v>
      </c>
      <c r="C1566" s="1" t="s">
        <v>67</v>
      </c>
      <c r="D1566" s="9">
        <v>1264.8</v>
      </c>
      <c r="E1566" s="9">
        <f>ведомство!H1544</f>
        <v>1264.8</v>
      </c>
      <c r="F1566" s="9">
        <f>ведомство!I1544</f>
        <v>99</v>
      </c>
      <c r="G1566" s="9">
        <f>ведомство!J1544</f>
        <v>99</v>
      </c>
      <c r="H1566" s="9">
        <f>ведомство!K1544</f>
        <v>99</v>
      </c>
      <c r="I1566" s="9">
        <f t="shared" si="742"/>
        <v>7.8273244781783688</v>
      </c>
      <c r="J1566" s="9">
        <f t="shared" si="743"/>
        <v>100</v>
      </c>
    </row>
    <row r="1567" spans="1:10" ht="25.5">
      <c r="A1567" s="8" t="s">
        <v>697</v>
      </c>
      <c r="B1567" s="1" t="s">
        <v>698</v>
      </c>
      <c r="C1567" s="1" t="s">
        <v>0</v>
      </c>
      <c r="D1567" s="9">
        <v>446975.8</v>
      </c>
      <c r="E1567" s="9">
        <f>E1568</f>
        <v>446975.8</v>
      </c>
      <c r="F1567" s="9">
        <f t="shared" ref="F1567:H1568" si="772">F1568</f>
        <v>212924.13800000001</v>
      </c>
      <c r="G1567" s="9">
        <f t="shared" si="772"/>
        <v>212924.13800000001</v>
      </c>
      <c r="H1567" s="9">
        <f t="shared" si="772"/>
        <v>212924.13870000001</v>
      </c>
      <c r="I1567" s="9">
        <f t="shared" si="742"/>
        <v>47.636614487853706</v>
      </c>
      <c r="J1567" s="9">
        <f t="shared" si="743"/>
        <v>100.00000032875558</v>
      </c>
    </row>
    <row r="1568" spans="1:10">
      <c r="A1568" s="8" t="s">
        <v>72</v>
      </c>
      <c r="B1568" s="1" t="s">
        <v>698</v>
      </c>
      <c r="C1568" s="1" t="s">
        <v>73</v>
      </c>
      <c r="D1568" s="9">
        <v>446975.8</v>
      </c>
      <c r="E1568" s="9">
        <f>E1569</f>
        <v>446975.8</v>
      </c>
      <c r="F1568" s="9">
        <f t="shared" si="772"/>
        <v>212924.13800000001</v>
      </c>
      <c r="G1568" s="9">
        <f t="shared" si="772"/>
        <v>212924.13800000001</v>
      </c>
      <c r="H1568" s="9">
        <f t="shared" si="772"/>
        <v>212924.13870000001</v>
      </c>
      <c r="I1568" s="9">
        <f t="shared" si="742"/>
        <v>47.636614487853706</v>
      </c>
      <c r="J1568" s="9">
        <f t="shared" si="743"/>
        <v>100.00000032875558</v>
      </c>
    </row>
    <row r="1569" spans="1:10">
      <c r="A1569" s="8" t="s">
        <v>74</v>
      </c>
      <c r="B1569" s="1" t="s">
        <v>698</v>
      </c>
      <c r="C1569" s="1" t="s">
        <v>75</v>
      </c>
      <c r="D1569" s="9">
        <v>446975.8</v>
      </c>
      <c r="E1569" s="9">
        <f>ведомство!H1547</f>
        <v>446975.8</v>
      </c>
      <c r="F1569" s="9">
        <f>ведомство!I1547</f>
        <v>212924.13800000001</v>
      </c>
      <c r="G1569" s="9">
        <f>ведомство!J1547</f>
        <v>212924.13800000001</v>
      </c>
      <c r="H1569" s="9">
        <f>ведомство!K1547</f>
        <v>212924.13870000001</v>
      </c>
      <c r="I1569" s="9">
        <f t="shared" si="742"/>
        <v>47.636614487853706</v>
      </c>
      <c r="J1569" s="9">
        <f t="shared" si="743"/>
        <v>100.00000032875558</v>
      </c>
    </row>
    <row r="1570" spans="1:10" ht="25.5">
      <c r="A1570" s="8" t="s">
        <v>669</v>
      </c>
      <c r="B1570" s="1" t="s">
        <v>670</v>
      </c>
      <c r="C1570" s="1" t="s">
        <v>0</v>
      </c>
      <c r="D1570" s="9">
        <v>25</v>
      </c>
      <c r="E1570" s="9">
        <f>E1571</f>
        <v>25</v>
      </c>
      <c r="F1570" s="9">
        <f t="shared" ref="F1570:H1571" si="773">F1571</f>
        <v>0</v>
      </c>
      <c r="G1570" s="9">
        <f t="shared" si="773"/>
        <v>0</v>
      </c>
      <c r="H1570" s="9">
        <f t="shared" si="773"/>
        <v>0</v>
      </c>
      <c r="I1570" s="9">
        <f t="shared" si="742"/>
        <v>0</v>
      </c>
      <c r="J1570" s="9">
        <v>0</v>
      </c>
    </row>
    <row r="1571" spans="1:10">
      <c r="A1571" s="8" t="s">
        <v>72</v>
      </c>
      <c r="B1571" s="1" t="s">
        <v>670</v>
      </c>
      <c r="C1571" s="1" t="s">
        <v>73</v>
      </c>
      <c r="D1571" s="9">
        <v>25</v>
      </c>
      <c r="E1571" s="9">
        <f>E1572</f>
        <v>25</v>
      </c>
      <c r="F1571" s="9">
        <f t="shared" si="773"/>
        <v>0</v>
      </c>
      <c r="G1571" s="9">
        <f t="shared" si="773"/>
        <v>0</v>
      </c>
      <c r="H1571" s="9">
        <f t="shared" si="773"/>
        <v>0</v>
      </c>
      <c r="I1571" s="9">
        <f t="shared" si="742"/>
        <v>0</v>
      </c>
      <c r="J1571" s="9">
        <v>0</v>
      </c>
    </row>
    <row r="1572" spans="1:10">
      <c r="A1572" s="8" t="s">
        <v>615</v>
      </c>
      <c r="B1572" s="1" t="s">
        <v>670</v>
      </c>
      <c r="C1572" s="1" t="s">
        <v>616</v>
      </c>
      <c r="D1572" s="9">
        <v>25</v>
      </c>
      <c r="E1572" s="9">
        <f>ведомство!H1471</f>
        <v>25</v>
      </c>
      <c r="F1572" s="9">
        <f>ведомство!I1471</f>
        <v>0</v>
      </c>
      <c r="G1572" s="9">
        <f>ведомство!J1471</f>
        <v>0</v>
      </c>
      <c r="H1572" s="9">
        <f>ведомство!K1471</f>
        <v>0</v>
      </c>
      <c r="I1572" s="9">
        <f t="shared" si="742"/>
        <v>0</v>
      </c>
      <c r="J1572" s="9">
        <v>0</v>
      </c>
    </row>
    <row r="1573" spans="1:10">
      <c r="A1573" s="4" t="s">
        <v>0</v>
      </c>
      <c r="B1573" s="17" t="s">
        <v>0</v>
      </c>
      <c r="C1573" s="5" t="s">
        <v>0</v>
      </c>
      <c r="D1573" s="7" t="s">
        <v>0</v>
      </c>
      <c r="E1573" s="7" t="s">
        <v>0</v>
      </c>
      <c r="F1573" s="7" t="s">
        <v>0</v>
      </c>
      <c r="G1573" s="7" t="s">
        <v>0</v>
      </c>
      <c r="H1573" s="7" t="s">
        <v>0</v>
      </c>
      <c r="I1573" s="7"/>
      <c r="J1573" s="7"/>
    </row>
    <row r="1574" spans="1:10" ht="25.5">
      <c r="A1574" s="4" t="s">
        <v>699</v>
      </c>
      <c r="B1574" s="5" t="s">
        <v>700</v>
      </c>
      <c r="C1574" s="5" t="s">
        <v>0</v>
      </c>
      <c r="D1574" s="7">
        <v>48629.1</v>
      </c>
      <c r="E1574" s="7">
        <f>E1575</f>
        <v>48629.1</v>
      </c>
      <c r="F1574" s="7">
        <f t="shared" ref="F1574:H1574" si="774">F1575</f>
        <v>37830</v>
      </c>
      <c r="G1574" s="7">
        <f t="shared" si="774"/>
        <v>35850</v>
      </c>
      <c r="H1574" s="7">
        <f t="shared" si="774"/>
        <v>35850</v>
      </c>
      <c r="I1574" s="7">
        <f t="shared" si="742"/>
        <v>73.721290338501021</v>
      </c>
      <c r="J1574" s="7">
        <f t="shared" si="743"/>
        <v>94.766058683584447</v>
      </c>
    </row>
    <row r="1575" spans="1:10" ht="25.5">
      <c r="A1575" s="8" t="s">
        <v>701</v>
      </c>
      <c r="B1575" s="1" t="s">
        <v>702</v>
      </c>
      <c r="C1575" s="1" t="s">
        <v>0</v>
      </c>
      <c r="D1575" s="9">
        <v>48629.1</v>
      </c>
      <c r="E1575" s="9">
        <f>E1576+E1578</f>
        <v>48629.1</v>
      </c>
      <c r="F1575" s="9">
        <f t="shared" ref="F1575:H1575" si="775">F1576+F1578</f>
        <v>37830</v>
      </c>
      <c r="G1575" s="9">
        <f t="shared" si="775"/>
        <v>35850</v>
      </c>
      <c r="H1575" s="9">
        <f t="shared" si="775"/>
        <v>35850</v>
      </c>
      <c r="I1575" s="9">
        <f t="shared" si="742"/>
        <v>73.721290338501021</v>
      </c>
      <c r="J1575" s="9">
        <f t="shared" si="743"/>
        <v>94.766058683584447</v>
      </c>
    </row>
    <row r="1576" spans="1:10" ht="25.5">
      <c r="A1576" s="8" t="s">
        <v>64</v>
      </c>
      <c r="B1576" s="1" t="s">
        <v>702</v>
      </c>
      <c r="C1576" s="1" t="s">
        <v>65</v>
      </c>
      <c r="D1576" s="9">
        <v>5000</v>
      </c>
      <c r="E1576" s="9">
        <f>E1577</f>
        <v>5000</v>
      </c>
      <c r="F1576" s="9">
        <f t="shared" ref="F1576:H1576" si="776">F1577</f>
        <v>160</v>
      </c>
      <c r="G1576" s="9">
        <f t="shared" si="776"/>
        <v>160</v>
      </c>
      <c r="H1576" s="9">
        <f t="shared" si="776"/>
        <v>160</v>
      </c>
      <c r="I1576" s="9">
        <f t="shared" si="742"/>
        <v>3.2</v>
      </c>
      <c r="J1576" s="9">
        <f t="shared" si="743"/>
        <v>100</v>
      </c>
    </row>
    <row r="1577" spans="1:10" ht="25.5">
      <c r="A1577" s="8" t="s">
        <v>66</v>
      </c>
      <c r="B1577" s="1" t="s">
        <v>702</v>
      </c>
      <c r="C1577" s="1" t="s">
        <v>67</v>
      </c>
      <c r="D1577" s="9">
        <v>5000</v>
      </c>
      <c r="E1577" s="9">
        <f>ведомство!H1551</f>
        <v>5000</v>
      </c>
      <c r="F1577" s="9">
        <f>ведомство!I1551</f>
        <v>160</v>
      </c>
      <c r="G1577" s="9">
        <f>ведомство!J1551</f>
        <v>160</v>
      </c>
      <c r="H1577" s="9">
        <f>ведомство!K1551</f>
        <v>160</v>
      </c>
      <c r="I1577" s="9">
        <f t="shared" si="742"/>
        <v>3.2</v>
      </c>
      <c r="J1577" s="9">
        <f t="shared" si="743"/>
        <v>100</v>
      </c>
    </row>
    <row r="1578" spans="1:10" ht="25.5">
      <c r="A1578" s="8" t="s">
        <v>80</v>
      </c>
      <c r="B1578" s="1" t="s">
        <v>702</v>
      </c>
      <c r="C1578" s="1" t="s">
        <v>81</v>
      </c>
      <c r="D1578" s="9">
        <v>43629.1</v>
      </c>
      <c r="E1578" s="9">
        <f>E1579</f>
        <v>43629.1</v>
      </c>
      <c r="F1578" s="9">
        <f t="shared" ref="F1578:H1578" si="777">F1579</f>
        <v>37670</v>
      </c>
      <c r="G1578" s="9">
        <f t="shared" si="777"/>
        <v>35690</v>
      </c>
      <c r="H1578" s="9">
        <f t="shared" si="777"/>
        <v>35690</v>
      </c>
      <c r="I1578" s="9">
        <f t="shared" si="742"/>
        <v>81.803200157692928</v>
      </c>
      <c r="J1578" s="9">
        <f t="shared" si="743"/>
        <v>94.743827979824786</v>
      </c>
    </row>
    <row r="1579" spans="1:10">
      <c r="A1579" s="8" t="s">
        <v>271</v>
      </c>
      <c r="B1579" s="1" t="s">
        <v>702</v>
      </c>
      <c r="C1579" s="1" t="s">
        <v>272</v>
      </c>
      <c r="D1579" s="9">
        <v>43629.1</v>
      </c>
      <c r="E1579" s="9">
        <f>ведомство!H1553</f>
        <v>43629.1</v>
      </c>
      <c r="F1579" s="9">
        <f>ведомство!I1553</f>
        <v>37670</v>
      </c>
      <c r="G1579" s="9">
        <f>ведомство!J1553</f>
        <v>35690</v>
      </c>
      <c r="H1579" s="9">
        <f>ведомство!K1553</f>
        <v>35690</v>
      </c>
      <c r="I1579" s="9">
        <f t="shared" si="742"/>
        <v>81.803200157692928</v>
      </c>
      <c r="J1579" s="9">
        <f t="shared" si="743"/>
        <v>94.743827979824786</v>
      </c>
    </row>
    <row r="1580" spans="1:10">
      <c r="A1580" s="4" t="s">
        <v>0</v>
      </c>
      <c r="B1580" s="17" t="s">
        <v>0</v>
      </c>
      <c r="C1580" s="5" t="s">
        <v>0</v>
      </c>
      <c r="D1580" s="7" t="s">
        <v>0</v>
      </c>
      <c r="E1580" s="7" t="s">
        <v>0</v>
      </c>
      <c r="F1580" s="7"/>
      <c r="G1580" s="7"/>
      <c r="H1580" s="7"/>
      <c r="I1580" s="7"/>
      <c r="J1580" s="7"/>
    </row>
    <row r="1581" spans="1:10" ht="25.5">
      <c r="A1581" s="4" t="s">
        <v>1049</v>
      </c>
      <c r="B1581" s="5" t="s">
        <v>1050</v>
      </c>
      <c r="C1581" s="5" t="s">
        <v>0</v>
      </c>
      <c r="D1581" s="7">
        <v>106083.8</v>
      </c>
      <c r="E1581" s="7">
        <f>E1585+E1590+E1597+E1600+E1603+E1608+E1611+E1582</f>
        <v>320411.00691</v>
      </c>
      <c r="F1581" s="7">
        <f t="shared" ref="F1581:H1581" si="778">F1585+F1590+F1597+F1600+F1603+F1608+F1611+F1582</f>
        <v>53859.795299999998</v>
      </c>
      <c r="G1581" s="7">
        <f t="shared" si="778"/>
        <v>53859.795299999998</v>
      </c>
      <c r="H1581" s="7">
        <f t="shared" si="778"/>
        <v>53239.20736</v>
      </c>
      <c r="I1581" s="7">
        <f t="shared" si="742"/>
        <v>16.615910880662824</v>
      </c>
      <c r="J1581" s="7">
        <f t="shared" si="743"/>
        <v>98.847771447063039</v>
      </c>
    </row>
    <row r="1582" spans="1:10" s="43" customFormat="1" ht="25.5">
      <c r="A1582" s="8" t="s">
        <v>1214</v>
      </c>
      <c r="B1582" s="25" t="s">
        <v>1215</v>
      </c>
      <c r="C1582" s="6"/>
      <c r="D1582" s="7"/>
      <c r="E1582" s="23">
        <f>E1583</f>
        <v>214327.21638</v>
      </c>
      <c r="F1582" s="23">
        <f t="shared" ref="F1582:H1583" si="779">F1583</f>
        <v>37304.264260000004</v>
      </c>
      <c r="G1582" s="23">
        <f t="shared" si="779"/>
        <v>37304.264260000004</v>
      </c>
      <c r="H1582" s="23">
        <f t="shared" si="779"/>
        <v>37304.264260000004</v>
      </c>
      <c r="I1582" s="9">
        <f t="shared" ref="I1582:I1584" si="780">H1582/E1582*100</f>
        <v>17.405285660902681</v>
      </c>
      <c r="J1582" s="9">
        <f t="shared" ref="J1582:J1584" si="781">H1582/F1582*100</f>
        <v>100</v>
      </c>
    </row>
    <row r="1583" spans="1:10" s="43" customFormat="1">
      <c r="A1583" s="8" t="s">
        <v>26</v>
      </c>
      <c r="B1583" s="25" t="s">
        <v>1215</v>
      </c>
      <c r="C1583" s="6">
        <v>500</v>
      </c>
      <c r="D1583" s="7"/>
      <c r="E1583" s="23">
        <f>E1584</f>
        <v>214327.21638</v>
      </c>
      <c r="F1583" s="23">
        <f t="shared" si="779"/>
        <v>37304.264260000004</v>
      </c>
      <c r="G1583" s="23">
        <f t="shared" si="779"/>
        <v>37304.264260000004</v>
      </c>
      <c r="H1583" s="23">
        <f t="shared" si="779"/>
        <v>37304.264260000004</v>
      </c>
      <c r="I1583" s="9">
        <f t="shared" si="780"/>
        <v>17.405285660902681</v>
      </c>
      <c r="J1583" s="9">
        <f t="shared" si="781"/>
        <v>100</v>
      </c>
    </row>
    <row r="1584" spans="1:10" s="43" customFormat="1">
      <c r="A1584" s="8" t="s">
        <v>56</v>
      </c>
      <c r="B1584" s="25" t="s">
        <v>1215</v>
      </c>
      <c r="C1584" s="6">
        <v>520</v>
      </c>
      <c r="D1584" s="7"/>
      <c r="E1584" s="23">
        <f>ведомство!H2552</f>
        <v>214327.21638</v>
      </c>
      <c r="F1584" s="23">
        <f>ведомство!I2552</f>
        <v>37304.264260000004</v>
      </c>
      <c r="G1584" s="23">
        <f>ведомство!J2552</f>
        <v>37304.264260000004</v>
      </c>
      <c r="H1584" s="23">
        <f>ведомство!K2552</f>
        <v>37304.264260000004</v>
      </c>
      <c r="I1584" s="9">
        <f t="shared" si="780"/>
        <v>17.405285660902681</v>
      </c>
      <c r="J1584" s="9">
        <f t="shared" si="781"/>
        <v>100</v>
      </c>
    </row>
    <row r="1585" spans="1:10" ht="25.5">
      <c r="A1585" s="8" t="s">
        <v>58</v>
      </c>
      <c r="B1585" s="1" t="s">
        <v>1051</v>
      </c>
      <c r="C1585" s="1" t="s">
        <v>0</v>
      </c>
      <c r="D1585" s="9">
        <v>9703</v>
      </c>
      <c r="E1585" s="9">
        <f>E1586+E1588</f>
        <v>9703</v>
      </c>
      <c r="F1585" s="9">
        <f t="shared" ref="F1585:H1585" si="782">F1586+F1588</f>
        <v>5520</v>
      </c>
      <c r="G1585" s="9">
        <f t="shared" si="782"/>
        <v>5520</v>
      </c>
      <c r="H1585" s="9">
        <f t="shared" si="782"/>
        <v>5347.6660300000003</v>
      </c>
      <c r="I1585" s="9">
        <f t="shared" si="742"/>
        <v>55.113532206534067</v>
      </c>
      <c r="J1585" s="9">
        <f t="shared" si="743"/>
        <v>96.878007789855076</v>
      </c>
    </row>
    <row r="1586" spans="1:10" ht="51">
      <c r="A1586" s="8" t="s">
        <v>60</v>
      </c>
      <c r="B1586" s="1" t="s">
        <v>1051</v>
      </c>
      <c r="C1586" s="1" t="s">
        <v>61</v>
      </c>
      <c r="D1586" s="9">
        <v>8570.2000000000007</v>
      </c>
      <c r="E1586" s="9">
        <f>E1587</f>
        <v>8570.2000000000007</v>
      </c>
      <c r="F1586" s="9">
        <f t="shared" ref="F1586:H1586" si="783">F1587</f>
        <v>4980</v>
      </c>
      <c r="G1586" s="9">
        <f t="shared" si="783"/>
        <v>4980</v>
      </c>
      <c r="H1586" s="9">
        <f t="shared" si="783"/>
        <v>4901.6953000000003</v>
      </c>
      <c r="I1586" s="9">
        <f t="shared" si="742"/>
        <v>57.194643065506057</v>
      </c>
      <c r="J1586" s="9">
        <f t="shared" si="743"/>
        <v>98.427616465863466</v>
      </c>
    </row>
    <row r="1587" spans="1:10" ht="25.5">
      <c r="A1587" s="8" t="s">
        <v>62</v>
      </c>
      <c r="B1587" s="1" t="s">
        <v>1051</v>
      </c>
      <c r="C1587" s="1" t="s">
        <v>63</v>
      </c>
      <c r="D1587" s="9">
        <v>8570.2000000000007</v>
      </c>
      <c r="E1587" s="9">
        <f>ведомство!H2503</f>
        <v>8570.2000000000007</v>
      </c>
      <c r="F1587" s="9">
        <f>ведомство!I2503</f>
        <v>4980</v>
      </c>
      <c r="G1587" s="9">
        <f>ведомство!J2503</f>
        <v>4980</v>
      </c>
      <c r="H1587" s="9">
        <f>ведомство!K2503</f>
        <v>4901.6953000000003</v>
      </c>
      <c r="I1587" s="9">
        <f t="shared" si="742"/>
        <v>57.194643065506057</v>
      </c>
      <c r="J1587" s="9">
        <f t="shared" si="743"/>
        <v>98.427616465863466</v>
      </c>
    </row>
    <row r="1588" spans="1:10" ht="25.5">
      <c r="A1588" s="8" t="s">
        <v>64</v>
      </c>
      <c r="B1588" s="1" t="s">
        <v>1051</v>
      </c>
      <c r="C1588" s="1" t="s">
        <v>65</v>
      </c>
      <c r="D1588" s="9">
        <v>1132.8</v>
      </c>
      <c r="E1588" s="9">
        <f>E1589</f>
        <v>1132.8</v>
      </c>
      <c r="F1588" s="9">
        <f t="shared" ref="F1588:H1588" si="784">F1589</f>
        <v>540</v>
      </c>
      <c r="G1588" s="9">
        <f t="shared" si="784"/>
        <v>540</v>
      </c>
      <c r="H1588" s="9">
        <f t="shared" si="784"/>
        <v>445.97073</v>
      </c>
      <c r="I1588" s="9">
        <f t="shared" si="742"/>
        <v>39.368885063559325</v>
      </c>
      <c r="J1588" s="9">
        <f t="shared" si="743"/>
        <v>82.587172222222222</v>
      </c>
    </row>
    <row r="1589" spans="1:10" ht="25.5">
      <c r="A1589" s="8" t="s">
        <v>66</v>
      </c>
      <c r="B1589" s="1" t="s">
        <v>1051</v>
      </c>
      <c r="C1589" s="1" t="s">
        <v>67</v>
      </c>
      <c r="D1589" s="9">
        <v>1132.8</v>
      </c>
      <c r="E1589" s="9">
        <f>ведомство!H2505</f>
        <v>1132.8</v>
      </c>
      <c r="F1589" s="9">
        <f>ведомство!I2505</f>
        <v>540</v>
      </c>
      <c r="G1589" s="9">
        <f>ведомство!J2505</f>
        <v>540</v>
      </c>
      <c r="H1589" s="9">
        <f>ведомство!K2505</f>
        <v>445.97073</v>
      </c>
      <c r="I1589" s="9">
        <f t="shared" si="742"/>
        <v>39.368885063559325</v>
      </c>
      <c r="J1589" s="9">
        <f t="shared" si="743"/>
        <v>82.587172222222222</v>
      </c>
    </row>
    <row r="1590" spans="1:10" ht="25.5">
      <c r="A1590" s="8" t="s">
        <v>76</v>
      </c>
      <c r="B1590" s="1" t="s">
        <v>1054</v>
      </c>
      <c r="C1590" s="1" t="s">
        <v>0</v>
      </c>
      <c r="D1590" s="9">
        <v>20047.900000000001</v>
      </c>
      <c r="E1590" s="9">
        <f>E1591+E1593+E1595</f>
        <v>20047.900000000001</v>
      </c>
      <c r="F1590" s="9">
        <f t="shared" ref="F1590:H1590" si="785">F1591+F1593+F1595</f>
        <v>4803.8</v>
      </c>
      <c r="G1590" s="9">
        <f t="shared" si="785"/>
        <v>4803.8</v>
      </c>
      <c r="H1590" s="9">
        <f t="shared" si="785"/>
        <v>4355.5460300000004</v>
      </c>
      <c r="I1590" s="9">
        <f t="shared" si="742"/>
        <v>21.725697105432491</v>
      </c>
      <c r="J1590" s="9">
        <f t="shared" si="743"/>
        <v>90.668762854406936</v>
      </c>
    </row>
    <row r="1591" spans="1:10" ht="51">
      <c r="A1591" s="8" t="s">
        <v>60</v>
      </c>
      <c r="B1591" s="1" t="s">
        <v>1054</v>
      </c>
      <c r="C1591" s="1" t="s">
        <v>61</v>
      </c>
      <c r="D1591" s="9">
        <v>6233.8</v>
      </c>
      <c r="E1591" s="9">
        <f>E1592</f>
        <v>6233.8</v>
      </c>
      <c r="F1591" s="9">
        <f t="shared" ref="F1591:H1591" si="786">F1592</f>
        <v>3618.1800000000003</v>
      </c>
      <c r="G1591" s="9">
        <f t="shared" si="786"/>
        <v>3618.1800000000003</v>
      </c>
      <c r="H1591" s="9">
        <f t="shared" si="786"/>
        <v>3283.8434500000003</v>
      </c>
      <c r="I1591" s="9">
        <f t="shared" si="742"/>
        <v>52.678036671051366</v>
      </c>
      <c r="J1591" s="9">
        <f t="shared" si="743"/>
        <v>90.759537944491427</v>
      </c>
    </row>
    <row r="1592" spans="1:10">
      <c r="A1592" s="8" t="s">
        <v>78</v>
      </c>
      <c r="B1592" s="1" t="s">
        <v>1054</v>
      </c>
      <c r="C1592" s="1" t="s">
        <v>79</v>
      </c>
      <c r="D1592" s="9">
        <v>6233.8</v>
      </c>
      <c r="E1592" s="9">
        <f>ведомство!H2535</f>
        <v>6233.8</v>
      </c>
      <c r="F1592" s="9">
        <f>ведомство!I2535</f>
        <v>3618.1800000000003</v>
      </c>
      <c r="G1592" s="9">
        <f>ведомство!J2535</f>
        <v>3618.1800000000003</v>
      </c>
      <c r="H1592" s="9">
        <f>ведомство!K2535</f>
        <v>3283.8434500000003</v>
      </c>
      <c r="I1592" s="9">
        <f t="shared" si="742"/>
        <v>52.678036671051366</v>
      </c>
      <c r="J1592" s="9">
        <f t="shared" si="743"/>
        <v>90.759537944491427</v>
      </c>
    </row>
    <row r="1593" spans="1:10" ht="25.5">
      <c r="A1593" s="8" t="s">
        <v>64</v>
      </c>
      <c r="B1593" s="1" t="s">
        <v>1054</v>
      </c>
      <c r="C1593" s="1" t="s">
        <v>65</v>
      </c>
      <c r="D1593" s="9">
        <v>11414.1</v>
      </c>
      <c r="E1593" s="9">
        <f>E1594</f>
        <v>11414.1</v>
      </c>
      <c r="F1593" s="9">
        <f t="shared" ref="F1593:H1593" si="787">F1594</f>
        <v>585.62</v>
      </c>
      <c r="G1593" s="9">
        <f t="shared" si="787"/>
        <v>585.62</v>
      </c>
      <c r="H1593" s="9">
        <f t="shared" si="787"/>
        <v>471.70258000000001</v>
      </c>
      <c r="I1593" s="9">
        <f t="shared" si="742"/>
        <v>4.132630518393916</v>
      </c>
      <c r="J1593" s="9">
        <f t="shared" si="743"/>
        <v>80.547553020730163</v>
      </c>
    </row>
    <row r="1594" spans="1:10" ht="25.5">
      <c r="A1594" s="8" t="s">
        <v>66</v>
      </c>
      <c r="B1594" s="1" t="s">
        <v>1054</v>
      </c>
      <c r="C1594" s="1" t="s">
        <v>67</v>
      </c>
      <c r="D1594" s="9">
        <v>11414.1</v>
      </c>
      <c r="E1594" s="9">
        <f>ведомство!H2537+ведомство!H2530+ведомство!H2520</f>
        <v>11414.1</v>
      </c>
      <c r="F1594" s="9">
        <f>ведомство!I2537+ведомство!I2530+ведомство!I2520</f>
        <v>585.62</v>
      </c>
      <c r="G1594" s="9">
        <f>ведомство!J2537+ведомство!J2530+ведомство!J2520</f>
        <v>585.62</v>
      </c>
      <c r="H1594" s="9">
        <f>ведомство!K2537+ведомство!K2530+ведомство!K2520</f>
        <v>471.70258000000001</v>
      </c>
      <c r="I1594" s="9">
        <f t="shared" ref="I1594:I1658" si="788">H1594/E1594*100</f>
        <v>4.132630518393916</v>
      </c>
      <c r="J1594" s="9">
        <f t="shared" ref="J1594:J1658" si="789">H1594/F1594*100</f>
        <v>80.547553020730163</v>
      </c>
    </row>
    <row r="1595" spans="1:10" ht="25.5">
      <c r="A1595" s="8" t="s">
        <v>80</v>
      </c>
      <c r="B1595" s="1" t="s">
        <v>1054</v>
      </c>
      <c r="C1595" s="1" t="s">
        <v>81</v>
      </c>
      <c r="D1595" s="9">
        <v>2400</v>
      </c>
      <c r="E1595" s="9">
        <f>E1596</f>
        <v>2400</v>
      </c>
      <c r="F1595" s="9">
        <f t="shared" ref="F1595:H1595" si="790">F1596</f>
        <v>600</v>
      </c>
      <c r="G1595" s="9">
        <f t="shared" si="790"/>
        <v>600</v>
      </c>
      <c r="H1595" s="9">
        <f t="shared" si="790"/>
        <v>600</v>
      </c>
      <c r="I1595" s="9">
        <f t="shared" si="788"/>
        <v>25</v>
      </c>
      <c r="J1595" s="9">
        <f t="shared" si="789"/>
        <v>100</v>
      </c>
    </row>
    <row r="1596" spans="1:10">
      <c r="A1596" s="8" t="s">
        <v>82</v>
      </c>
      <c r="B1596" s="1" t="s">
        <v>1054</v>
      </c>
      <c r="C1596" s="1" t="s">
        <v>83</v>
      </c>
      <c r="D1596" s="9">
        <v>2400</v>
      </c>
      <c r="E1596" s="9">
        <f>ведомство!H2599</f>
        <v>2400</v>
      </c>
      <c r="F1596" s="9">
        <f>ведомство!I2599</f>
        <v>600</v>
      </c>
      <c r="G1596" s="9">
        <f>ведомство!J2599</f>
        <v>600</v>
      </c>
      <c r="H1596" s="9">
        <f>ведомство!K2599</f>
        <v>600</v>
      </c>
      <c r="I1596" s="9">
        <f t="shared" si="788"/>
        <v>25</v>
      </c>
      <c r="J1596" s="9">
        <f t="shared" si="789"/>
        <v>100</v>
      </c>
    </row>
    <row r="1597" spans="1:10" ht="38.25">
      <c r="A1597" s="8" t="s">
        <v>37</v>
      </c>
      <c r="B1597" s="1" t="s">
        <v>1052</v>
      </c>
      <c r="C1597" s="1" t="s">
        <v>0</v>
      </c>
      <c r="D1597" s="9">
        <v>17776.900000000001</v>
      </c>
      <c r="E1597" s="9">
        <f>E1598</f>
        <v>17776.852200000001</v>
      </c>
      <c r="F1597" s="9">
        <f t="shared" ref="F1597:H1598" si="791">F1598</f>
        <v>231.77796000000001</v>
      </c>
      <c r="G1597" s="9">
        <f t="shared" si="791"/>
        <v>231.77796000000001</v>
      </c>
      <c r="H1597" s="9">
        <f t="shared" si="791"/>
        <v>231.77796000000001</v>
      </c>
      <c r="I1597" s="9">
        <f t="shared" si="788"/>
        <v>1.3038189067016037</v>
      </c>
      <c r="J1597" s="9">
        <f t="shared" si="789"/>
        <v>100</v>
      </c>
    </row>
    <row r="1598" spans="1:10" ht="25.5">
      <c r="A1598" s="8" t="s">
        <v>39</v>
      </c>
      <c r="B1598" s="1" t="s">
        <v>1052</v>
      </c>
      <c r="C1598" s="1" t="s">
        <v>40</v>
      </c>
      <c r="D1598" s="9">
        <v>17776.900000000001</v>
      </c>
      <c r="E1598" s="9">
        <f>E1599</f>
        <v>17776.852200000001</v>
      </c>
      <c r="F1598" s="9">
        <f t="shared" si="791"/>
        <v>231.77796000000001</v>
      </c>
      <c r="G1598" s="9">
        <f t="shared" si="791"/>
        <v>231.77796000000001</v>
      </c>
      <c r="H1598" s="9">
        <f t="shared" si="791"/>
        <v>231.77796000000001</v>
      </c>
      <c r="I1598" s="9">
        <f t="shared" si="788"/>
        <v>1.3038189067016037</v>
      </c>
      <c r="J1598" s="9">
        <f t="shared" si="789"/>
        <v>100</v>
      </c>
    </row>
    <row r="1599" spans="1:10">
      <c r="A1599" s="8" t="s">
        <v>41</v>
      </c>
      <c r="B1599" s="1" t="s">
        <v>1052</v>
      </c>
      <c r="C1599" s="1" t="s">
        <v>42</v>
      </c>
      <c r="D1599" s="9">
        <v>17776.900000000001</v>
      </c>
      <c r="E1599" s="9">
        <f>ведомство!H2508+ведомство!H2525+ведомство!H2544+ведомство!H2565</f>
        <v>17776.852200000001</v>
      </c>
      <c r="F1599" s="9">
        <f>ведомство!I2508+ведомство!I2525+ведомство!I2544+ведомство!I2565</f>
        <v>231.77796000000001</v>
      </c>
      <c r="G1599" s="9">
        <f>ведомство!J2508+ведомство!J2525+ведомство!J2544+ведомство!J2565</f>
        <v>231.77796000000001</v>
      </c>
      <c r="H1599" s="9">
        <f>ведомство!K2508+ведомство!K2525+ведомство!K2544+ведомство!K2565</f>
        <v>231.77796000000001</v>
      </c>
      <c r="I1599" s="9">
        <f t="shared" si="788"/>
        <v>1.3038189067016037</v>
      </c>
      <c r="J1599" s="9">
        <f t="shared" si="789"/>
        <v>100</v>
      </c>
    </row>
    <row r="1600" spans="1:10" ht="25.5">
      <c r="A1600" s="8" t="s">
        <v>107</v>
      </c>
      <c r="B1600" s="1" t="s">
        <v>1057</v>
      </c>
      <c r="C1600" s="1" t="s">
        <v>0</v>
      </c>
      <c r="D1600" s="9">
        <v>40794</v>
      </c>
      <c r="E1600" s="9">
        <f>E1601</f>
        <v>40794.038330000003</v>
      </c>
      <c r="F1600" s="9">
        <f t="shared" ref="F1600:H1601" si="792">F1601</f>
        <v>1790.40338</v>
      </c>
      <c r="G1600" s="9">
        <f t="shared" si="792"/>
        <v>1790.40338</v>
      </c>
      <c r="H1600" s="9">
        <f t="shared" si="792"/>
        <v>1790.40338</v>
      </c>
      <c r="I1600" s="9">
        <f t="shared" si="788"/>
        <v>4.3888848794931254</v>
      </c>
      <c r="J1600" s="9">
        <f t="shared" si="789"/>
        <v>100</v>
      </c>
    </row>
    <row r="1601" spans="1:10">
      <c r="A1601" s="8" t="s">
        <v>26</v>
      </c>
      <c r="B1601" s="1" t="s">
        <v>1057</v>
      </c>
      <c r="C1601" s="1" t="s">
        <v>27</v>
      </c>
      <c r="D1601" s="9">
        <v>40794</v>
      </c>
      <c r="E1601" s="9">
        <f>E1602</f>
        <v>40794.038330000003</v>
      </c>
      <c r="F1601" s="9">
        <f t="shared" si="792"/>
        <v>1790.40338</v>
      </c>
      <c r="G1601" s="9">
        <f t="shared" si="792"/>
        <v>1790.40338</v>
      </c>
      <c r="H1601" s="9">
        <f t="shared" si="792"/>
        <v>1790.40338</v>
      </c>
      <c r="I1601" s="9">
        <f t="shared" si="788"/>
        <v>4.3888848794931254</v>
      </c>
      <c r="J1601" s="9">
        <f t="shared" si="789"/>
        <v>100</v>
      </c>
    </row>
    <row r="1602" spans="1:10">
      <c r="A1602" s="8" t="s">
        <v>56</v>
      </c>
      <c r="B1602" s="1" t="s">
        <v>1057</v>
      </c>
      <c r="C1602" s="1" t="s">
        <v>57</v>
      </c>
      <c r="D1602" s="9">
        <v>40794</v>
      </c>
      <c r="E1602" s="9">
        <f>ведомство!H2555</f>
        <v>40794.038330000003</v>
      </c>
      <c r="F1602" s="9">
        <f>ведомство!I2555</f>
        <v>1790.40338</v>
      </c>
      <c r="G1602" s="9">
        <f>ведомство!J2555</f>
        <v>1790.40338</v>
      </c>
      <c r="H1602" s="9">
        <f>ведомство!K2555</f>
        <v>1790.40338</v>
      </c>
      <c r="I1602" s="9">
        <f t="shared" si="788"/>
        <v>4.3888848794931254</v>
      </c>
      <c r="J1602" s="9">
        <f t="shared" si="789"/>
        <v>100</v>
      </c>
    </row>
    <row r="1603" spans="1:10" ht="25.5">
      <c r="A1603" s="8" t="s">
        <v>617</v>
      </c>
      <c r="B1603" s="1" t="s">
        <v>1053</v>
      </c>
      <c r="C1603" s="1" t="s">
        <v>0</v>
      </c>
      <c r="D1603" s="9">
        <v>7312</v>
      </c>
      <c r="E1603" s="9">
        <f>E1604+E1606</f>
        <v>7312</v>
      </c>
      <c r="F1603" s="9">
        <f t="shared" ref="F1603:H1603" si="793">F1604+F1606</f>
        <v>2212</v>
      </c>
      <c r="G1603" s="9">
        <f t="shared" si="793"/>
        <v>2212</v>
      </c>
      <c r="H1603" s="9">
        <f t="shared" si="793"/>
        <v>2212</v>
      </c>
      <c r="I1603" s="9">
        <f t="shared" si="788"/>
        <v>30.251641137855579</v>
      </c>
      <c r="J1603" s="9">
        <f t="shared" si="789"/>
        <v>100</v>
      </c>
    </row>
    <row r="1604" spans="1:10" ht="25.5">
      <c r="A1604" s="8" t="s">
        <v>64</v>
      </c>
      <c r="B1604" s="1" t="s">
        <v>1053</v>
      </c>
      <c r="C1604" s="1" t="s">
        <v>65</v>
      </c>
      <c r="D1604" s="9">
        <v>5612</v>
      </c>
      <c r="E1604" s="9">
        <f>E1605</f>
        <v>5612</v>
      </c>
      <c r="F1604" s="9">
        <f t="shared" ref="F1604:H1604" si="794">F1605</f>
        <v>1112</v>
      </c>
      <c r="G1604" s="9">
        <f t="shared" si="794"/>
        <v>1112</v>
      </c>
      <c r="H1604" s="9">
        <f t="shared" si="794"/>
        <v>1112</v>
      </c>
      <c r="I1604" s="9">
        <f t="shared" si="788"/>
        <v>19.814682822523164</v>
      </c>
      <c r="J1604" s="9">
        <f t="shared" si="789"/>
        <v>100</v>
      </c>
    </row>
    <row r="1605" spans="1:10" ht="25.5">
      <c r="A1605" s="8" t="s">
        <v>66</v>
      </c>
      <c r="B1605" s="1" t="s">
        <v>1053</v>
      </c>
      <c r="C1605" s="1" t="s">
        <v>67</v>
      </c>
      <c r="D1605" s="9">
        <v>5612</v>
      </c>
      <c r="E1605" s="9">
        <f>ведомство!H2511</f>
        <v>5612</v>
      </c>
      <c r="F1605" s="9">
        <f>ведомство!I2511</f>
        <v>1112</v>
      </c>
      <c r="G1605" s="9">
        <f>ведомство!J2511</f>
        <v>1112</v>
      </c>
      <c r="H1605" s="9">
        <f>ведомство!K2511</f>
        <v>1112</v>
      </c>
      <c r="I1605" s="9">
        <f t="shared" si="788"/>
        <v>19.814682822523164</v>
      </c>
      <c r="J1605" s="9">
        <f t="shared" si="789"/>
        <v>100</v>
      </c>
    </row>
    <row r="1606" spans="1:10" ht="25.5">
      <c r="A1606" s="8" t="s">
        <v>80</v>
      </c>
      <c r="B1606" s="1" t="s">
        <v>1053</v>
      </c>
      <c r="C1606" s="1" t="s">
        <v>81</v>
      </c>
      <c r="D1606" s="9">
        <v>1700</v>
      </c>
      <c r="E1606" s="9">
        <f>E1607</f>
        <v>1700</v>
      </c>
      <c r="F1606" s="9">
        <f t="shared" ref="F1606:H1606" si="795">F1607</f>
        <v>1100</v>
      </c>
      <c r="G1606" s="9">
        <f t="shared" si="795"/>
        <v>1100</v>
      </c>
      <c r="H1606" s="9">
        <f t="shared" si="795"/>
        <v>1100</v>
      </c>
      <c r="I1606" s="9">
        <f t="shared" si="788"/>
        <v>64.705882352941174</v>
      </c>
      <c r="J1606" s="9">
        <f t="shared" si="789"/>
        <v>100</v>
      </c>
    </row>
    <row r="1607" spans="1:10" ht="25.5">
      <c r="A1607" s="8" t="s">
        <v>195</v>
      </c>
      <c r="B1607" s="1" t="s">
        <v>1053</v>
      </c>
      <c r="C1607" s="1" t="s">
        <v>196</v>
      </c>
      <c r="D1607" s="9">
        <v>1700</v>
      </c>
      <c r="E1607" s="9">
        <f>ведомство!H2513</f>
        <v>1700</v>
      </c>
      <c r="F1607" s="9">
        <f>ведомство!I2513</f>
        <v>1100</v>
      </c>
      <c r="G1607" s="9">
        <f>ведомство!J2513</f>
        <v>1100</v>
      </c>
      <c r="H1607" s="9">
        <f>ведомство!K2513</f>
        <v>1100</v>
      </c>
      <c r="I1607" s="9">
        <f t="shared" si="788"/>
        <v>64.705882352941174</v>
      </c>
      <c r="J1607" s="9">
        <f t="shared" si="789"/>
        <v>100</v>
      </c>
    </row>
    <row r="1608" spans="1:10" ht="38.25">
      <c r="A1608" s="8" t="s">
        <v>1055</v>
      </c>
      <c r="B1608" s="1" t="s">
        <v>1056</v>
      </c>
      <c r="C1608" s="1" t="s">
        <v>0</v>
      </c>
      <c r="D1608" s="9">
        <v>3200</v>
      </c>
      <c r="E1608" s="9">
        <f>E1609</f>
        <v>3200</v>
      </c>
      <c r="F1608" s="9">
        <f t="shared" ref="F1608:H1609" si="796">F1609</f>
        <v>0</v>
      </c>
      <c r="G1608" s="9">
        <f t="shared" si="796"/>
        <v>0</v>
      </c>
      <c r="H1608" s="9">
        <f t="shared" si="796"/>
        <v>0</v>
      </c>
      <c r="I1608" s="9">
        <f t="shared" si="788"/>
        <v>0</v>
      </c>
      <c r="J1608" s="9">
        <v>0</v>
      </c>
    </row>
    <row r="1609" spans="1:10">
      <c r="A1609" s="8" t="s">
        <v>26</v>
      </c>
      <c r="B1609" s="1" t="s">
        <v>1056</v>
      </c>
      <c r="C1609" s="1" t="s">
        <v>27</v>
      </c>
      <c r="D1609" s="9">
        <v>3200</v>
      </c>
      <c r="E1609" s="9">
        <f>E1610</f>
        <v>3200</v>
      </c>
      <c r="F1609" s="9">
        <f t="shared" si="796"/>
        <v>0</v>
      </c>
      <c r="G1609" s="9">
        <f t="shared" si="796"/>
        <v>0</v>
      </c>
      <c r="H1609" s="9">
        <f t="shared" si="796"/>
        <v>0</v>
      </c>
      <c r="I1609" s="9">
        <f t="shared" si="788"/>
        <v>0</v>
      </c>
      <c r="J1609" s="9">
        <v>0</v>
      </c>
    </row>
    <row r="1610" spans="1:10">
      <c r="A1610" s="8" t="s">
        <v>56</v>
      </c>
      <c r="B1610" s="1" t="s">
        <v>1056</v>
      </c>
      <c r="C1610" s="1" t="s">
        <v>57</v>
      </c>
      <c r="D1610" s="9">
        <v>3200</v>
      </c>
      <c r="E1610" s="9">
        <f>ведомство!H2547</f>
        <v>3200</v>
      </c>
      <c r="F1610" s="9">
        <f>ведомство!I2547</f>
        <v>0</v>
      </c>
      <c r="G1610" s="9">
        <f>ведомство!J2547</f>
        <v>0</v>
      </c>
      <c r="H1610" s="9">
        <f>ведомство!K2547</f>
        <v>0</v>
      </c>
      <c r="I1610" s="9">
        <f t="shared" si="788"/>
        <v>0</v>
      </c>
      <c r="J1610" s="9">
        <v>0</v>
      </c>
    </row>
    <row r="1611" spans="1:10" ht="51">
      <c r="A1611" s="8" t="s">
        <v>184</v>
      </c>
      <c r="B1611" s="1" t="s">
        <v>1058</v>
      </c>
      <c r="C1611" s="1" t="s">
        <v>0</v>
      </c>
      <c r="D1611" s="9">
        <v>7250</v>
      </c>
      <c r="E1611" s="9">
        <f>E1612</f>
        <v>7250</v>
      </c>
      <c r="F1611" s="9">
        <f t="shared" ref="F1611:H1612" si="797">F1612</f>
        <v>1997.5497</v>
      </c>
      <c r="G1611" s="9">
        <f t="shared" si="797"/>
        <v>1997.5497</v>
      </c>
      <c r="H1611" s="9">
        <f t="shared" si="797"/>
        <v>1997.5497</v>
      </c>
      <c r="I1611" s="9">
        <f t="shared" si="788"/>
        <v>27.552409655172415</v>
      </c>
      <c r="J1611" s="9">
        <f t="shared" si="789"/>
        <v>100</v>
      </c>
    </row>
    <row r="1612" spans="1:10">
      <c r="A1612" s="8" t="s">
        <v>26</v>
      </c>
      <c r="B1612" s="1" t="s">
        <v>1058</v>
      </c>
      <c r="C1612" s="1" t="s">
        <v>27</v>
      </c>
      <c r="D1612" s="9">
        <v>7250</v>
      </c>
      <c r="E1612" s="9">
        <f>E1613</f>
        <v>7250</v>
      </c>
      <c r="F1612" s="9">
        <f t="shared" si="797"/>
        <v>1997.5497</v>
      </c>
      <c r="G1612" s="9">
        <f t="shared" si="797"/>
        <v>1997.5497</v>
      </c>
      <c r="H1612" s="9">
        <f t="shared" si="797"/>
        <v>1997.5497</v>
      </c>
      <c r="I1612" s="9">
        <f t="shared" si="788"/>
        <v>27.552409655172415</v>
      </c>
      <c r="J1612" s="9">
        <f t="shared" si="789"/>
        <v>100</v>
      </c>
    </row>
    <row r="1613" spans="1:10">
      <c r="A1613" s="8" t="s">
        <v>56</v>
      </c>
      <c r="B1613" s="1" t="s">
        <v>1058</v>
      </c>
      <c r="C1613" s="1" t="s">
        <v>57</v>
      </c>
      <c r="D1613" s="9">
        <v>7250</v>
      </c>
      <c r="E1613" s="9">
        <f>ведомство!H2558</f>
        <v>7250</v>
      </c>
      <c r="F1613" s="9">
        <f>ведомство!I2558</f>
        <v>1997.5497</v>
      </c>
      <c r="G1613" s="9">
        <f>ведомство!J2558</f>
        <v>1997.5497</v>
      </c>
      <c r="H1613" s="9">
        <f>ведомство!K2558</f>
        <v>1997.5497</v>
      </c>
      <c r="I1613" s="9">
        <f t="shared" si="788"/>
        <v>27.552409655172415</v>
      </c>
      <c r="J1613" s="9">
        <f t="shared" si="789"/>
        <v>100</v>
      </c>
    </row>
    <row r="1614" spans="1:10">
      <c r="A1614" s="4" t="s">
        <v>0</v>
      </c>
      <c r="B1614" s="17" t="s">
        <v>0</v>
      </c>
      <c r="C1614" s="5" t="s">
        <v>0</v>
      </c>
      <c r="D1614" s="7" t="s">
        <v>0</v>
      </c>
      <c r="E1614" s="7" t="s">
        <v>0</v>
      </c>
      <c r="F1614" s="7"/>
      <c r="G1614" s="7"/>
      <c r="H1614" s="7"/>
      <c r="I1614" s="7"/>
      <c r="J1614" s="7"/>
    </row>
    <row r="1615" spans="1:10" ht="38.25">
      <c r="A1615" s="4" t="s">
        <v>898</v>
      </c>
      <c r="B1615" s="5" t="s">
        <v>899</v>
      </c>
      <c r="C1615" s="5" t="s">
        <v>0</v>
      </c>
      <c r="D1615" s="7">
        <v>57880</v>
      </c>
      <c r="E1615" s="7">
        <f>E1616+E1624</f>
        <v>57880</v>
      </c>
      <c r="F1615" s="7">
        <f>F1616+F1624</f>
        <v>30033</v>
      </c>
      <c r="G1615" s="7">
        <f t="shared" ref="G1615:H1615" si="798">G1616+G1624</f>
        <v>30033</v>
      </c>
      <c r="H1615" s="7">
        <f t="shared" si="798"/>
        <v>25263.34087</v>
      </c>
      <c r="I1615" s="7">
        <f t="shared" si="788"/>
        <v>43.647790031098829</v>
      </c>
      <c r="J1615" s="7">
        <f t="shared" si="789"/>
        <v>84.118605766989646</v>
      </c>
    </row>
    <row r="1616" spans="1:10" ht="25.5">
      <c r="A1616" s="8" t="s">
        <v>58</v>
      </c>
      <c r="B1616" s="1" t="s">
        <v>900</v>
      </c>
      <c r="C1616" s="1" t="s">
        <v>0</v>
      </c>
      <c r="D1616" s="9">
        <v>53830</v>
      </c>
      <c r="E1616" s="9">
        <f>E1617+E1619+E1621</f>
        <v>53830</v>
      </c>
      <c r="F1616" s="9">
        <f>F1617+F1619+F1621</f>
        <v>29183</v>
      </c>
      <c r="G1616" s="9">
        <f t="shared" ref="G1616:H1616" si="799">G1617+G1619+G1621</f>
        <v>29183</v>
      </c>
      <c r="H1616" s="9">
        <f t="shared" si="799"/>
        <v>24891.267370000001</v>
      </c>
      <c r="I1616" s="9">
        <f t="shared" si="788"/>
        <v>46.240511554895043</v>
      </c>
      <c r="J1616" s="9">
        <f t="shared" si="789"/>
        <v>85.293723640475633</v>
      </c>
    </row>
    <row r="1617" spans="1:10" ht="51">
      <c r="A1617" s="8" t="s">
        <v>60</v>
      </c>
      <c r="B1617" s="1" t="s">
        <v>900</v>
      </c>
      <c r="C1617" s="1" t="s">
        <v>61</v>
      </c>
      <c r="D1617" s="9">
        <v>51457.599999999999</v>
      </c>
      <c r="E1617" s="9">
        <f>E1618</f>
        <v>51457.599999999999</v>
      </c>
      <c r="F1617" s="9">
        <f>F1618</f>
        <v>27915</v>
      </c>
      <c r="G1617" s="9">
        <f t="shared" ref="G1617:H1617" si="800">G1618</f>
        <v>27915</v>
      </c>
      <c r="H1617" s="9">
        <f t="shared" si="800"/>
        <v>24179.594160000001</v>
      </c>
      <c r="I1617" s="9">
        <f t="shared" si="788"/>
        <v>46.989354653151331</v>
      </c>
      <c r="J1617" s="9">
        <f t="shared" si="789"/>
        <v>86.618642880171947</v>
      </c>
    </row>
    <row r="1618" spans="1:10" ht="25.5">
      <c r="A1618" s="8" t="s">
        <v>62</v>
      </c>
      <c r="B1618" s="1" t="s">
        <v>900</v>
      </c>
      <c r="C1618" s="1" t="s">
        <v>63</v>
      </c>
      <c r="D1618" s="9">
        <v>51457.599999999999</v>
      </c>
      <c r="E1618" s="9">
        <f>ведомство!H2049</f>
        <v>51457.599999999999</v>
      </c>
      <c r="F1618" s="9">
        <f>ведомство!I2049</f>
        <v>27915</v>
      </c>
      <c r="G1618" s="9">
        <f>ведомство!J2049</f>
        <v>27915</v>
      </c>
      <c r="H1618" s="9">
        <f>ведомство!K2049</f>
        <v>24179.594160000001</v>
      </c>
      <c r="I1618" s="9">
        <f t="shared" si="788"/>
        <v>46.989354653151331</v>
      </c>
      <c r="J1618" s="9">
        <f t="shared" si="789"/>
        <v>86.618642880171947</v>
      </c>
    </row>
    <row r="1619" spans="1:10" ht="25.5">
      <c r="A1619" s="8" t="s">
        <v>64</v>
      </c>
      <c r="B1619" s="1" t="s">
        <v>900</v>
      </c>
      <c r="C1619" s="1" t="s">
        <v>65</v>
      </c>
      <c r="D1619" s="9">
        <v>2228.4</v>
      </c>
      <c r="E1619" s="9">
        <f>E1620</f>
        <v>2228.4</v>
      </c>
      <c r="F1619" s="9">
        <f>F1620</f>
        <v>1195</v>
      </c>
      <c r="G1619" s="9">
        <f t="shared" ref="G1619:H1619" si="801">G1620</f>
        <v>1195</v>
      </c>
      <c r="H1619" s="9">
        <f t="shared" si="801"/>
        <v>711.08208999999999</v>
      </c>
      <c r="I1619" s="9">
        <f t="shared" si="788"/>
        <v>31.909984293663612</v>
      </c>
      <c r="J1619" s="9">
        <f t="shared" si="789"/>
        <v>59.504777405857745</v>
      </c>
    </row>
    <row r="1620" spans="1:10" ht="25.5">
      <c r="A1620" s="8" t="s">
        <v>66</v>
      </c>
      <c r="B1620" s="1" t="s">
        <v>900</v>
      </c>
      <c r="C1620" s="1" t="s">
        <v>67</v>
      </c>
      <c r="D1620" s="9">
        <v>2228.4</v>
      </c>
      <c r="E1620" s="9">
        <f>ведомство!H2051</f>
        <v>2228.4</v>
      </c>
      <c r="F1620" s="9">
        <f>ведомство!I2051</f>
        <v>1195</v>
      </c>
      <c r="G1620" s="9">
        <f>ведомство!J2051</f>
        <v>1195</v>
      </c>
      <c r="H1620" s="9">
        <f>ведомство!K2051</f>
        <v>711.08208999999999</v>
      </c>
      <c r="I1620" s="9">
        <f t="shared" si="788"/>
        <v>31.909984293663612</v>
      </c>
      <c r="J1620" s="9">
        <f t="shared" si="789"/>
        <v>59.504777405857745</v>
      </c>
    </row>
    <row r="1621" spans="1:10">
      <c r="A1621" s="8" t="s">
        <v>72</v>
      </c>
      <c r="B1621" s="1" t="s">
        <v>900</v>
      </c>
      <c r="C1621" s="1" t="s">
        <v>73</v>
      </c>
      <c r="D1621" s="9">
        <v>144</v>
      </c>
      <c r="E1621" s="9">
        <f>E1622+E1623</f>
        <v>144</v>
      </c>
      <c r="F1621" s="9">
        <f>F1622+F1623</f>
        <v>73</v>
      </c>
      <c r="G1621" s="9">
        <f t="shared" ref="G1621:H1621" si="802">G1622+G1623</f>
        <v>73</v>
      </c>
      <c r="H1621" s="9">
        <f t="shared" si="802"/>
        <v>0.59112000000000009</v>
      </c>
      <c r="I1621" s="9">
        <f t="shared" si="788"/>
        <v>0.41050000000000009</v>
      </c>
      <c r="J1621" s="9">
        <f t="shared" si="789"/>
        <v>0.8097534246575343</v>
      </c>
    </row>
    <row r="1622" spans="1:10">
      <c r="A1622" s="8" t="s">
        <v>84</v>
      </c>
      <c r="B1622" s="1" t="s">
        <v>900</v>
      </c>
      <c r="C1622" s="1" t="s">
        <v>85</v>
      </c>
      <c r="D1622" s="9">
        <v>140</v>
      </c>
      <c r="E1622" s="9">
        <f>ведомство!H2053</f>
        <v>140</v>
      </c>
      <c r="F1622" s="9">
        <f>ведомство!I2053</f>
        <v>70</v>
      </c>
      <c r="G1622" s="9">
        <f>ведомство!J2053</f>
        <v>70</v>
      </c>
      <c r="H1622" s="9">
        <f>ведомство!K2053</f>
        <v>0</v>
      </c>
      <c r="I1622" s="9">
        <f t="shared" si="788"/>
        <v>0</v>
      </c>
      <c r="J1622" s="9">
        <f t="shared" si="789"/>
        <v>0</v>
      </c>
    </row>
    <row r="1623" spans="1:10">
      <c r="A1623" s="8" t="s">
        <v>74</v>
      </c>
      <c r="B1623" s="1" t="s">
        <v>900</v>
      </c>
      <c r="C1623" s="1" t="s">
        <v>75</v>
      </c>
      <c r="D1623" s="9">
        <v>4</v>
      </c>
      <c r="E1623" s="9">
        <f>ведомство!H2054</f>
        <v>4</v>
      </c>
      <c r="F1623" s="9">
        <f>ведомство!I2054</f>
        <v>3</v>
      </c>
      <c r="G1623" s="9">
        <f>ведомство!J2054</f>
        <v>3</v>
      </c>
      <c r="H1623" s="9">
        <f>ведомство!K2054</f>
        <v>0.59112000000000009</v>
      </c>
      <c r="I1623" s="9">
        <f t="shared" si="788"/>
        <v>14.778000000000002</v>
      </c>
      <c r="J1623" s="9">
        <f t="shared" si="789"/>
        <v>19.704000000000001</v>
      </c>
    </row>
    <row r="1624" spans="1:10">
      <c r="A1624" s="8" t="s">
        <v>609</v>
      </c>
      <c r="B1624" s="1" t="s">
        <v>901</v>
      </c>
      <c r="C1624" s="1" t="s">
        <v>0</v>
      </c>
      <c r="D1624" s="9">
        <v>4050</v>
      </c>
      <c r="E1624" s="9">
        <f>E1625</f>
        <v>4050</v>
      </c>
      <c r="F1624" s="9">
        <f>F1625</f>
        <v>850</v>
      </c>
      <c r="G1624" s="9">
        <f t="shared" ref="G1624:H1625" si="803">G1625</f>
        <v>850</v>
      </c>
      <c r="H1624" s="9">
        <f t="shared" si="803"/>
        <v>372.07350000000002</v>
      </c>
      <c r="I1624" s="9">
        <f t="shared" si="788"/>
        <v>9.1870000000000012</v>
      </c>
      <c r="J1624" s="9">
        <f t="shared" si="789"/>
        <v>43.773352941176476</v>
      </c>
    </row>
    <row r="1625" spans="1:10" ht="25.5">
      <c r="A1625" s="8" t="s">
        <v>64</v>
      </c>
      <c r="B1625" s="1" t="s">
        <v>901</v>
      </c>
      <c r="C1625" s="1" t="s">
        <v>65</v>
      </c>
      <c r="D1625" s="9">
        <v>4050</v>
      </c>
      <c r="E1625" s="9">
        <f>E1626</f>
        <v>4050</v>
      </c>
      <c r="F1625" s="9">
        <f>F1626</f>
        <v>850</v>
      </c>
      <c r="G1625" s="9">
        <f t="shared" si="803"/>
        <v>850</v>
      </c>
      <c r="H1625" s="9">
        <f t="shared" si="803"/>
        <v>372.07350000000002</v>
      </c>
      <c r="I1625" s="9">
        <f t="shared" si="788"/>
        <v>9.1870000000000012</v>
      </c>
      <c r="J1625" s="9">
        <f t="shared" si="789"/>
        <v>43.773352941176476</v>
      </c>
    </row>
    <row r="1626" spans="1:10" ht="25.5">
      <c r="A1626" s="8" t="s">
        <v>66</v>
      </c>
      <c r="B1626" s="1" t="s">
        <v>901</v>
      </c>
      <c r="C1626" s="1" t="s">
        <v>67</v>
      </c>
      <c r="D1626" s="9">
        <v>4050</v>
      </c>
      <c r="E1626" s="9">
        <f>ведомство!H2057</f>
        <v>4050</v>
      </c>
      <c r="F1626" s="9">
        <f>ведомство!I2057</f>
        <v>850</v>
      </c>
      <c r="G1626" s="9">
        <f>ведомство!J2057</f>
        <v>850</v>
      </c>
      <c r="H1626" s="9">
        <f>ведомство!K2057</f>
        <v>372.07350000000002</v>
      </c>
      <c r="I1626" s="9">
        <f t="shared" si="788"/>
        <v>9.1870000000000012</v>
      </c>
      <c r="J1626" s="9">
        <f t="shared" si="789"/>
        <v>43.773352941176476</v>
      </c>
    </row>
    <row r="1627" spans="1:10">
      <c r="A1627" s="4" t="s">
        <v>0</v>
      </c>
      <c r="B1627" s="17" t="s">
        <v>0</v>
      </c>
      <c r="C1627" s="5" t="s">
        <v>0</v>
      </c>
      <c r="D1627" s="7" t="s">
        <v>0</v>
      </c>
      <c r="E1627" s="7" t="s">
        <v>0</v>
      </c>
      <c r="F1627" s="7"/>
      <c r="G1627" s="7"/>
      <c r="H1627" s="7"/>
      <c r="I1627" s="7"/>
      <c r="J1627" s="7"/>
    </row>
    <row r="1628" spans="1:10" ht="38.25">
      <c r="A1628" s="4" t="s">
        <v>596</v>
      </c>
      <c r="B1628" s="5" t="s">
        <v>597</v>
      </c>
      <c r="C1628" s="5" t="s">
        <v>0</v>
      </c>
      <c r="D1628" s="7">
        <v>5177107.0999999996</v>
      </c>
      <c r="E1628" s="7">
        <f>E1629+E1665+E1674+E1692</f>
        <v>5177107.0999999996</v>
      </c>
      <c r="F1628" s="7">
        <f t="shared" ref="F1628:H1628" si="804">F1629+F1665+F1674+F1692</f>
        <v>2372269.0337800002</v>
      </c>
      <c r="G1628" s="7">
        <f t="shared" si="804"/>
        <v>2371608.9137800001</v>
      </c>
      <c r="H1628" s="7">
        <f t="shared" si="804"/>
        <v>2354194.3544399999</v>
      </c>
      <c r="I1628" s="7">
        <f t="shared" si="788"/>
        <v>45.473163080593793</v>
      </c>
      <c r="J1628" s="7">
        <f t="shared" si="789"/>
        <v>99.238084758405336</v>
      </c>
    </row>
    <row r="1629" spans="1:10" ht="38.25">
      <c r="A1629" s="4" t="s">
        <v>598</v>
      </c>
      <c r="B1629" s="5" t="s">
        <v>599</v>
      </c>
      <c r="C1629" s="5" t="s">
        <v>0</v>
      </c>
      <c r="D1629" s="7">
        <v>197192.8</v>
      </c>
      <c r="E1629" s="24">
        <f>E1630+E1633+E1636+E1645+E1652+E1655+E1658+E1661</f>
        <v>197192.80000000002</v>
      </c>
      <c r="F1629" s="24">
        <f t="shared" ref="F1629:H1629" si="805">F1630+F1633+F1636+F1645+F1652+F1655+F1658+F1661</f>
        <v>106270.92789000001</v>
      </c>
      <c r="G1629" s="24">
        <f t="shared" si="805"/>
        <v>105610.80789000001</v>
      </c>
      <c r="H1629" s="24">
        <f t="shared" si="805"/>
        <v>88729.337010000003</v>
      </c>
      <c r="I1629" s="7">
        <f t="shared" si="788"/>
        <v>44.996235668847945</v>
      </c>
      <c r="J1629" s="7">
        <f t="shared" si="789"/>
        <v>83.493518661889226</v>
      </c>
    </row>
    <row r="1630" spans="1:10" ht="25.5">
      <c r="A1630" s="8" t="s">
        <v>624</v>
      </c>
      <c r="B1630" s="1" t="s">
        <v>625</v>
      </c>
      <c r="C1630" s="1" t="s">
        <v>0</v>
      </c>
      <c r="D1630" s="9">
        <v>31272.5</v>
      </c>
      <c r="E1630" s="9">
        <f>E1631</f>
        <v>31272.5</v>
      </c>
      <c r="F1630" s="9">
        <f t="shared" ref="F1630:H1631" si="806">F1631</f>
        <v>26581.599999999999</v>
      </c>
      <c r="G1630" s="9">
        <f t="shared" si="806"/>
        <v>26581.599999999999</v>
      </c>
      <c r="H1630" s="9">
        <f t="shared" si="806"/>
        <v>19158.83612</v>
      </c>
      <c r="I1630" s="9">
        <f t="shared" si="788"/>
        <v>61.264165384922855</v>
      </c>
      <c r="J1630" s="9">
        <f t="shared" si="789"/>
        <v>72.07555647515575</v>
      </c>
    </row>
    <row r="1631" spans="1:10">
      <c r="A1631" s="8" t="s">
        <v>26</v>
      </c>
      <c r="B1631" s="1" t="s">
        <v>625</v>
      </c>
      <c r="C1631" s="1" t="s">
        <v>27</v>
      </c>
      <c r="D1631" s="9">
        <v>31272.5</v>
      </c>
      <c r="E1631" s="9">
        <f>E1632</f>
        <v>31272.5</v>
      </c>
      <c r="F1631" s="9">
        <f t="shared" si="806"/>
        <v>26581.599999999999</v>
      </c>
      <c r="G1631" s="9">
        <f t="shared" si="806"/>
        <v>26581.599999999999</v>
      </c>
      <c r="H1631" s="9">
        <f t="shared" si="806"/>
        <v>19158.83612</v>
      </c>
      <c r="I1631" s="9">
        <f t="shared" si="788"/>
        <v>61.264165384922855</v>
      </c>
      <c r="J1631" s="9">
        <f t="shared" si="789"/>
        <v>72.07555647515575</v>
      </c>
    </row>
    <row r="1632" spans="1:10">
      <c r="A1632" s="8" t="s">
        <v>28</v>
      </c>
      <c r="B1632" s="1" t="s">
        <v>625</v>
      </c>
      <c r="C1632" s="1" t="s">
        <v>29</v>
      </c>
      <c r="D1632" s="9">
        <v>31272.5</v>
      </c>
      <c r="E1632" s="9">
        <f>ведомство!H1411</f>
        <v>31272.5</v>
      </c>
      <c r="F1632" s="9">
        <f>ведомство!I1411</f>
        <v>26581.599999999999</v>
      </c>
      <c r="G1632" s="9">
        <f>ведомство!J1411</f>
        <v>26581.599999999999</v>
      </c>
      <c r="H1632" s="9">
        <f>ведомство!K1411</f>
        <v>19158.83612</v>
      </c>
      <c r="I1632" s="9">
        <f t="shared" si="788"/>
        <v>61.264165384922855</v>
      </c>
      <c r="J1632" s="9">
        <f t="shared" si="789"/>
        <v>72.07555647515575</v>
      </c>
    </row>
    <row r="1633" spans="1:10" ht="38.25">
      <c r="A1633" s="8" t="s">
        <v>605</v>
      </c>
      <c r="B1633" s="1" t="s">
        <v>606</v>
      </c>
      <c r="C1633" s="1" t="s">
        <v>0</v>
      </c>
      <c r="D1633" s="9">
        <v>1287.2</v>
      </c>
      <c r="E1633" s="9">
        <f>E1634</f>
        <v>1287.2</v>
      </c>
      <c r="F1633" s="9">
        <f t="shared" ref="F1633:H1634" si="807">F1634</f>
        <v>0</v>
      </c>
      <c r="G1633" s="9">
        <f t="shared" si="807"/>
        <v>0</v>
      </c>
      <c r="H1633" s="9">
        <f t="shared" si="807"/>
        <v>0</v>
      </c>
      <c r="I1633" s="9">
        <f t="shared" si="788"/>
        <v>0</v>
      </c>
      <c r="J1633" s="9">
        <v>0</v>
      </c>
    </row>
    <row r="1634" spans="1:10">
      <c r="A1634" s="8" t="s">
        <v>26</v>
      </c>
      <c r="B1634" s="1" t="s">
        <v>606</v>
      </c>
      <c r="C1634" s="1" t="s">
        <v>27</v>
      </c>
      <c r="D1634" s="9">
        <v>1287.2</v>
      </c>
      <c r="E1634" s="9">
        <f>E1635</f>
        <v>1287.2</v>
      </c>
      <c r="F1634" s="9">
        <f t="shared" si="807"/>
        <v>0</v>
      </c>
      <c r="G1634" s="9">
        <f t="shared" si="807"/>
        <v>0</v>
      </c>
      <c r="H1634" s="9">
        <f t="shared" si="807"/>
        <v>0</v>
      </c>
      <c r="I1634" s="9">
        <f t="shared" si="788"/>
        <v>0</v>
      </c>
      <c r="J1634" s="9">
        <v>0</v>
      </c>
    </row>
    <row r="1635" spans="1:10">
      <c r="A1635" s="8" t="s">
        <v>28</v>
      </c>
      <c r="B1635" s="1" t="s">
        <v>606</v>
      </c>
      <c r="C1635" s="1" t="s">
        <v>29</v>
      </c>
      <c r="D1635" s="9">
        <v>1287.2</v>
      </c>
      <c r="E1635" s="9">
        <f>ведомство!H1363</f>
        <v>1287.2</v>
      </c>
      <c r="F1635" s="9">
        <f>ведомство!I1363</f>
        <v>0</v>
      </c>
      <c r="G1635" s="9">
        <f>ведомство!J1363</f>
        <v>0</v>
      </c>
      <c r="H1635" s="9">
        <f>ведомство!K1363</f>
        <v>0</v>
      </c>
      <c r="I1635" s="9">
        <f t="shared" si="788"/>
        <v>0</v>
      </c>
      <c r="J1635" s="9">
        <v>0</v>
      </c>
    </row>
    <row r="1636" spans="1:10" ht="25.5">
      <c r="A1636" s="8" t="s">
        <v>58</v>
      </c>
      <c r="B1636" s="1" t="s">
        <v>608</v>
      </c>
      <c r="C1636" s="1" t="s">
        <v>0</v>
      </c>
      <c r="D1636" s="9">
        <v>66927.3</v>
      </c>
      <c r="E1636" s="9">
        <f>E1637+E1639+E1641+E1643</f>
        <v>66927.3</v>
      </c>
      <c r="F1636" s="9">
        <f t="shared" ref="F1636:H1636" si="808">F1637+F1639+F1641+F1643</f>
        <v>34154</v>
      </c>
      <c r="G1636" s="9">
        <f t="shared" si="808"/>
        <v>34154</v>
      </c>
      <c r="H1636" s="9">
        <f t="shared" si="808"/>
        <v>28041.539019999997</v>
      </c>
      <c r="I1636" s="9">
        <f t="shared" si="788"/>
        <v>41.898506319543735</v>
      </c>
      <c r="J1636" s="9">
        <f t="shared" si="789"/>
        <v>82.103235404345014</v>
      </c>
    </row>
    <row r="1637" spans="1:10" ht="51">
      <c r="A1637" s="8" t="s">
        <v>60</v>
      </c>
      <c r="B1637" s="1" t="s">
        <v>608</v>
      </c>
      <c r="C1637" s="1" t="s">
        <v>61</v>
      </c>
      <c r="D1637" s="9">
        <v>64279.6</v>
      </c>
      <c r="E1637" s="9">
        <f>E1638</f>
        <v>64279.6</v>
      </c>
      <c r="F1637" s="9">
        <f t="shared" ref="F1637:H1637" si="809">F1638</f>
        <v>33150</v>
      </c>
      <c r="G1637" s="9">
        <f t="shared" si="809"/>
        <v>33150</v>
      </c>
      <c r="H1637" s="9">
        <f t="shared" si="809"/>
        <v>27189.220529999999</v>
      </c>
      <c r="I1637" s="9">
        <f t="shared" si="788"/>
        <v>42.298366091263787</v>
      </c>
      <c r="J1637" s="9">
        <f t="shared" si="789"/>
        <v>82.018764796380083</v>
      </c>
    </row>
    <row r="1638" spans="1:10" ht="25.5">
      <c r="A1638" s="8" t="s">
        <v>62</v>
      </c>
      <c r="B1638" s="1" t="s">
        <v>608</v>
      </c>
      <c r="C1638" s="1" t="s">
        <v>63</v>
      </c>
      <c r="D1638" s="9">
        <v>64279.6</v>
      </c>
      <c r="E1638" s="9">
        <f>ведомство!H1369</f>
        <v>64279.6</v>
      </c>
      <c r="F1638" s="9">
        <f>ведомство!I1369</f>
        <v>33150</v>
      </c>
      <c r="G1638" s="9">
        <f>ведомство!J1369</f>
        <v>33150</v>
      </c>
      <c r="H1638" s="9">
        <f>ведомство!K1369</f>
        <v>27189.220529999999</v>
      </c>
      <c r="I1638" s="9">
        <f t="shared" si="788"/>
        <v>42.298366091263787</v>
      </c>
      <c r="J1638" s="9">
        <f t="shared" si="789"/>
        <v>82.018764796380083</v>
      </c>
    </row>
    <row r="1639" spans="1:10" ht="25.5">
      <c r="A1639" s="8" t="s">
        <v>64</v>
      </c>
      <c r="B1639" s="1" t="s">
        <v>608</v>
      </c>
      <c r="C1639" s="1" t="s">
        <v>65</v>
      </c>
      <c r="D1639" s="9">
        <v>2537.4</v>
      </c>
      <c r="E1639" s="9">
        <f>E1640</f>
        <v>2537.4</v>
      </c>
      <c r="F1639" s="9">
        <f t="shared" ref="F1639:H1639" si="810">F1640</f>
        <v>1000</v>
      </c>
      <c r="G1639" s="9">
        <f t="shared" si="810"/>
        <v>1000</v>
      </c>
      <c r="H1639" s="9">
        <f t="shared" si="810"/>
        <v>850.57149000000004</v>
      </c>
      <c r="I1639" s="9">
        <f t="shared" si="788"/>
        <v>33.52137975880823</v>
      </c>
      <c r="J1639" s="9">
        <f t="shared" si="789"/>
        <v>85.057148999999995</v>
      </c>
    </row>
    <row r="1640" spans="1:10" ht="25.5">
      <c r="A1640" s="8" t="s">
        <v>66</v>
      </c>
      <c r="B1640" s="1" t="s">
        <v>608</v>
      </c>
      <c r="C1640" s="1" t="s">
        <v>67</v>
      </c>
      <c r="D1640" s="9">
        <v>2537.4</v>
      </c>
      <c r="E1640" s="9">
        <f>ведомство!H1371</f>
        <v>2537.4</v>
      </c>
      <c r="F1640" s="9">
        <f>ведомство!I1371</f>
        <v>1000</v>
      </c>
      <c r="G1640" s="9">
        <f>ведомство!J1371</f>
        <v>1000</v>
      </c>
      <c r="H1640" s="9">
        <f>ведомство!K1371</f>
        <v>850.57149000000004</v>
      </c>
      <c r="I1640" s="9">
        <f t="shared" si="788"/>
        <v>33.52137975880823</v>
      </c>
      <c r="J1640" s="9">
        <f t="shared" si="789"/>
        <v>85.057148999999995</v>
      </c>
    </row>
    <row r="1641" spans="1:10">
      <c r="A1641" s="8" t="s">
        <v>68</v>
      </c>
      <c r="B1641" s="1" t="s">
        <v>608</v>
      </c>
      <c r="C1641" s="1" t="s">
        <v>69</v>
      </c>
      <c r="D1641" s="9">
        <v>60</v>
      </c>
      <c r="E1641" s="9">
        <f>E1642</f>
        <v>60</v>
      </c>
      <c r="F1641" s="9">
        <f t="shared" ref="F1641:H1641" si="811">F1642</f>
        <v>0</v>
      </c>
      <c r="G1641" s="9">
        <f t="shared" si="811"/>
        <v>0</v>
      </c>
      <c r="H1641" s="9">
        <f t="shared" si="811"/>
        <v>0</v>
      </c>
      <c r="I1641" s="9">
        <f t="shared" si="788"/>
        <v>0</v>
      </c>
      <c r="J1641" s="9">
        <v>0</v>
      </c>
    </row>
    <row r="1642" spans="1:10">
      <c r="A1642" s="8" t="s">
        <v>70</v>
      </c>
      <c r="B1642" s="1" t="s">
        <v>608</v>
      </c>
      <c r="C1642" s="1" t="s">
        <v>71</v>
      </c>
      <c r="D1642" s="9">
        <v>60</v>
      </c>
      <c r="E1642" s="9">
        <f>ведомство!H1373</f>
        <v>60</v>
      </c>
      <c r="F1642" s="9">
        <f>ведомство!I1373</f>
        <v>0</v>
      </c>
      <c r="G1642" s="9">
        <f>ведомство!J1373</f>
        <v>0</v>
      </c>
      <c r="H1642" s="9">
        <f>ведомство!K1373</f>
        <v>0</v>
      </c>
      <c r="I1642" s="9">
        <f t="shared" si="788"/>
        <v>0</v>
      </c>
      <c r="J1642" s="9">
        <v>0</v>
      </c>
    </row>
    <row r="1643" spans="1:10">
      <c r="A1643" s="8" t="s">
        <v>72</v>
      </c>
      <c r="B1643" s="1" t="s">
        <v>608</v>
      </c>
      <c r="C1643" s="1" t="s">
        <v>73</v>
      </c>
      <c r="D1643" s="9">
        <v>50.3</v>
      </c>
      <c r="E1643" s="9">
        <f>E1644</f>
        <v>50.3</v>
      </c>
      <c r="F1643" s="9">
        <f t="shared" ref="F1643:H1643" si="812">F1644</f>
        <v>4</v>
      </c>
      <c r="G1643" s="9">
        <f t="shared" si="812"/>
        <v>4</v>
      </c>
      <c r="H1643" s="9">
        <f t="shared" si="812"/>
        <v>1.7470000000000001</v>
      </c>
      <c r="I1643" s="9">
        <f t="shared" si="788"/>
        <v>3.4731610337972176</v>
      </c>
      <c r="J1643" s="9">
        <f t="shared" si="789"/>
        <v>43.675000000000004</v>
      </c>
    </row>
    <row r="1644" spans="1:10">
      <c r="A1644" s="8" t="s">
        <v>74</v>
      </c>
      <c r="B1644" s="1" t="s">
        <v>608</v>
      </c>
      <c r="C1644" s="1" t="s">
        <v>75</v>
      </c>
      <c r="D1644" s="9">
        <v>50.3</v>
      </c>
      <c r="E1644" s="9">
        <f>ведомство!H1375</f>
        <v>50.3</v>
      </c>
      <c r="F1644" s="9">
        <f>ведомство!I1375</f>
        <v>4</v>
      </c>
      <c r="G1644" s="9">
        <f>ведомство!J1375</f>
        <v>4</v>
      </c>
      <c r="H1644" s="9">
        <f>ведомство!K1375</f>
        <v>1.7470000000000001</v>
      </c>
      <c r="I1644" s="9">
        <f t="shared" si="788"/>
        <v>3.4731610337972176</v>
      </c>
      <c r="J1644" s="9">
        <f t="shared" si="789"/>
        <v>43.675000000000004</v>
      </c>
    </row>
    <row r="1645" spans="1:10">
      <c r="A1645" s="8" t="s">
        <v>609</v>
      </c>
      <c r="B1645" s="1" t="s">
        <v>610</v>
      </c>
      <c r="C1645" s="1" t="s">
        <v>0</v>
      </c>
      <c r="D1645" s="9">
        <v>37207.699999999997</v>
      </c>
      <c r="E1645" s="9">
        <f>E1646+E1648</f>
        <v>37207.699999999997</v>
      </c>
      <c r="F1645" s="9">
        <f t="shared" ref="F1645:H1645" si="813">F1646+F1648</f>
        <v>14648.12789</v>
      </c>
      <c r="G1645" s="9">
        <f t="shared" si="813"/>
        <v>14648.12789</v>
      </c>
      <c r="H1645" s="9">
        <f t="shared" si="813"/>
        <v>14643.277890000001</v>
      </c>
      <c r="I1645" s="9">
        <f t="shared" si="788"/>
        <v>39.355504075769268</v>
      </c>
      <c r="J1645" s="9">
        <f t="shared" si="789"/>
        <v>99.966889966851596</v>
      </c>
    </row>
    <row r="1646" spans="1:10" ht="25.5">
      <c r="A1646" s="8" t="s">
        <v>64</v>
      </c>
      <c r="B1646" s="1" t="s">
        <v>610</v>
      </c>
      <c r="C1646" s="1" t="s">
        <v>65</v>
      </c>
      <c r="D1646" s="9">
        <v>6974.7</v>
      </c>
      <c r="E1646" s="9">
        <f>E1647</f>
        <v>6974.7</v>
      </c>
      <c r="F1646" s="9">
        <f t="shared" ref="F1646:H1646" si="814">F1647</f>
        <v>3994.7</v>
      </c>
      <c r="G1646" s="9">
        <f t="shared" si="814"/>
        <v>3994.7</v>
      </c>
      <c r="H1646" s="9">
        <f t="shared" si="814"/>
        <v>3989.85</v>
      </c>
      <c r="I1646" s="9">
        <f t="shared" si="788"/>
        <v>57.204610951008647</v>
      </c>
      <c r="J1646" s="9">
        <f t="shared" si="789"/>
        <v>99.878589130598044</v>
      </c>
    </row>
    <row r="1647" spans="1:10" ht="25.5">
      <c r="A1647" s="8" t="s">
        <v>66</v>
      </c>
      <c r="B1647" s="1" t="s">
        <v>610</v>
      </c>
      <c r="C1647" s="1" t="s">
        <v>67</v>
      </c>
      <c r="D1647" s="9">
        <v>6974.7</v>
      </c>
      <c r="E1647" s="9">
        <f>ведомство!H1378</f>
        <v>6974.7</v>
      </c>
      <c r="F1647" s="9">
        <f>ведомство!I1378</f>
        <v>3994.7</v>
      </c>
      <c r="G1647" s="9">
        <f>ведомство!J1378</f>
        <v>3994.7</v>
      </c>
      <c r="H1647" s="9">
        <f>ведомство!K1378</f>
        <v>3989.85</v>
      </c>
      <c r="I1647" s="9">
        <f t="shared" si="788"/>
        <v>57.204610951008647</v>
      </c>
      <c r="J1647" s="9">
        <f t="shared" si="789"/>
        <v>99.878589130598044</v>
      </c>
    </row>
    <row r="1648" spans="1:10">
      <c r="A1648" s="8" t="s">
        <v>72</v>
      </c>
      <c r="B1648" s="1" t="s">
        <v>610</v>
      </c>
      <c r="C1648" s="1" t="s">
        <v>73</v>
      </c>
      <c r="D1648" s="9">
        <v>30233</v>
      </c>
      <c r="E1648" s="9">
        <f>E1649+E1651+E1650</f>
        <v>30233</v>
      </c>
      <c r="F1648" s="9">
        <f t="shared" ref="F1648:H1648" si="815">F1649+F1651+F1650</f>
        <v>10653.427890000001</v>
      </c>
      <c r="G1648" s="9">
        <f t="shared" si="815"/>
        <v>10653.427890000001</v>
      </c>
      <c r="H1648" s="9">
        <f t="shared" si="815"/>
        <v>10653.427890000001</v>
      </c>
      <c r="I1648" s="9">
        <f t="shared" si="788"/>
        <v>35.237746469090069</v>
      </c>
      <c r="J1648" s="9">
        <f t="shared" si="789"/>
        <v>100</v>
      </c>
    </row>
    <row r="1649" spans="1:10">
      <c r="A1649" s="8" t="s">
        <v>84</v>
      </c>
      <c r="B1649" s="1" t="s">
        <v>610</v>
      </c>
      <c r="C1649" s="1" t="s">
        <v>85</v>
      </c>
      <c r="D1649" s="9">
        <v>29233</v>
      </c>
      <c r="E1649" s="9">
        <f>ведомство!H1389</f>
        <v>29233</v>
      </c>
      <c r="F1649" s="9">
        <f>ведомство!I1389</f>
        <v>10153.427890000001</v>
      </c>
      <c r="G1649" s="9">
        <f>ведомство!J1389</f>
        <v>10153.427890000001</v>
      </c>
      <c r="H1649" s="9">
        <f>ведомство!K1389</f>
        <v>10153.427890000001</v>
      </c>
      <c r="I1649" s="9">
        <f t="shared" si="788"/>
        <v>34.732760544590022</v>
      </c>
      <c r="J1649" s="9">
        <f t="shared" si="789"/>
        <v>100</v>
      </c>
    </row>
    <row r="1650" spans="1:10" s="50" customFormat="1">
      <c r="A1650" s="8" t="s">
        <v>74</v>
      </c>
      <c r="B1650" s="1" t="s">
        <v>610</v>
      </c>
      <c r="C1650" s="1">
        <v>850</v>
      </c>
      <c r="D1650" s="9"/>
      <c r="E1650" s="9">
        <f>ведомство!H1390</f>
        <v>1000</v>
      </c>
      <c r="F1650" s="9">
        <f>ведомство!I1390</f>
        <v>500</v>
      </c>
      <c r="G1650" s="9">
        <f>ведомство!J1390</f>
        <v>500</v>
      </c>
      <c r="H1650" s="9">
        <f>ведомство!K1390</f>
        <v>500</v>
      </c>
      <c r="I1650" s="9">
        <f t="shared" ref="I1650" si="816">H1650/E1650*100</f>
        <v>50</v>
      </c>
      <c r="J1650" s="9">
        <f t="shared" ref="J1650" si="817">H1650/F1650*100</f>
        <v>100</v>
      </c>
    </row>
    <row r="1651" spans="1:10">
      <c r="A1651" s="8" t="s">
        <v>615</v>
      </c>
      <c r="B1651" s="1" t="s">
        <v>610</v>
      </c>
      <c r="C1651" s="1" t="s">
        <v>616</v>
      </c>
      <c r="D1651" s="9">
        <v>1000</v>
      </c>
      <c r="E1651" s="9">
        <f>ведомство!H1391</f>
        <v>0</v>
      </c>
      <c r="F1651" s="9">
        <f>ведомство!I1391</f>
        <v>0</v>
      </c>
      <c r="G1651" s="9">
        <f>ведомство!J1391</f>
        <v>0</v>
      </c>
      <c r="H1651" s="9">
        <f>ведомство!K1391</f>
        <v>0</v>
      </c>
      <c r="I1651" s="9">
        <v>0</v>
      </c>
      <c r="J1651" s="9">
        <v>0</v>
      </c>
    </row>
    <row r="1652" spans="1:10" ht="38.25">
      <c r="A1652" s="8" t="s">
        <v>657</v>
      </c>
      <c r="B1652" s="1" t="s">
        <v>658</v>
      </c>
      <c r="C1652" s="1" t="s">
        <v>0</v>
      </c>
      <c r="D1652" s="9">
        <v>3990</v>
      </c>
      <c r="E1652" s="9">
        <f>E1653</f>
        <v>3990</v>
      </c>
      <c r="F1652" s="9">
        <f t="shared" ref="F1652:H1653" si="818">F1653</f>
        <v>1785</v>
      </c>
      <c r="G1652" s="9">
        <f t="shared" si="818"/>
        <v>1124.8800000000001</v>
      </c>
      <c r="H1652" s="9">
        <f t="shared" si="818"/>
        <v>1124.8800000000001</v>
      </c>
      <c r="I1652" s="9">
        <f t="shared" si="788"/>
        <v>28.192481203007517</v>
      </c>
      <c r="J1652" s="9">
        <f t="shared" si="789"/>
        <v>63.018487394957987</v>
      </c>
    </row>
    <row r="1653" spans="1:10">
      <c r="A1653" s="8" t="s">
        <v>26</v>
      </c>
      <c r="B1653" s="1" t="s">
        <v>658</v>
      </c>
      <c r="C1653" s="1" t="s">
        <v>27</v>
      </c>
      <c r="D1653" s="9">
        <v>3990</v>
      </c>
      <c r="E1653" s="9">
        <f>E1654</f>
        <v>3990</v>
      </c>
      <c r="F1653" s="9">
        <f t="shared" si="818"/>
        <v>1785</v>
      </c>
      <c r="G1653" s="9">
        <f t="shared" si="818"/>
        <v>1124.8800000000001</v>
      </c>
      <c r="H1653" s="9">
        <f t="shared" si="818"/>
        <v>1124.8800000000001</v>
      </c>
      <c r="I1653" s="9">
        <f t="shared" si="788"/>
        <v>28.192481203007517</v>
      </c>
      <c r="J1653" s="9">
        <f t="shared" si="789"/>
        <v>63.018487394957987</v>
      </c>
    </row>
    <row r="1654" spans="1:10">
      <c r="A1654" s="8" t="s">
        <v>56</v>
      </c>
      <c r="B1654" s="1" t="s">
        <v>658</v>
      </c>
      <c r="C1654" s="1" t="s">
        <v>57</v>
      </c>
      <c r="D1654" s="9">
        <v>3990</v>
      </c>
      <c r="E1654" s="9">
        <f>ведомство!H1449</f>
        <v>3990</v>
      </c>
      <c r="F1654" s="9">
        <f>ведомство!I1449</f>
        <v>1785</v>
      </c>
      <c r="G1654" s="9">
        <f>ведомство!J1449</f>
        <v>1124.8800000000001</v>
      </c>
      <c r="H1654" s="9">
        <f>ведомство!K1449</f>
        <v>1124.8800000000001</v>
      </c>
      <c r="I1654" s="9">
        <f t="shared" si="788"/>
        <v>28.192481203007517</v>
      </c>
      <c r="J1654" s="9">
        <f t="shared" si="789"/>
        <v>63.018487394957987</v>
      </c>
    </row>
    <row r="1655" spans="1:10" ht="76.5">
      <c r="A1655" s="8" t="s">
        <v>659</v>
      </c>
      <c r="B1655" s="1" t="s">
        <v>660</v>
      </c>
      <c r="C1655" s="1" t="s">
        <v>0</v>
      </c>
      <c r="D1655" s="9">
        <v>1500</v>
      </c>
      <c r="E1655" s="9">
        <f>E1656</f>
        <v>1500</v>
      </c>
      <c r="F1655" s="9">
        <f t="shared" ref="F1655:H1656" si="819">F1656</f>
        <v>1500</v>
      </c>
      <c r="G1655" s="9">
        <f t="shared" si="819"/>
        <v>1500</v>
      </c>
      <c r="H1655" s="9">
        <f t="shared" si="819"/>
        <v>1500</v>
      </c>
      <c r="I1655" s="9">
        <f t="shared" si="788"/>
        <v>100</v>
      </c>
      <c r="J1655" s="9">
        <f t="shared" si="789"/>
        <v>100</v>
      </c>
    </row>
    <row r="1656" spans="1:10">
      <c r="A1656" s="8" t="s">
        <v>26</v>
      </c>
      <c r="B1656" s="1" t="s">
        <v>660</v>
      </c>
      <c r="C1656" s="1" t="s">
        <v>27</v>
      </c>
      <c r="D1656" s="9">
        <v>1500</v>
      </c>
      <c r="E1656" s="9">
        <f>E1657</f>
        <v>1500</v>
      </c>
      <c r="F1656" s="9">
        <f t="shared" si="819"/>
        <v>1500</v>
      </c>
      <c r="G1656" s="9">
        <f t="shared" si="819"/>
        <v>1500</v>
      </c>
      <c r="H1656" s="9">
        <f t="shared" si="819"/>
        <v>1500</v>
      </c>
      <c r="I1656" s="9">
        <f t="shared" si="788"/>
        <v>100</v>
      </c>
      <c r="J1656" s="9">
        <f t="shared" si="789"/>
        <v>100</v>
      </c>
    </row>
    <row r="1657" spans="1:10">
      <c r="A1657" s="8" t="s">
        <v>56</v>
      </c>
      <c r="B1657" s="1" t="s">
        <v>660</v>
      </c>
      <c r="C1657" s="1" t="s">
        <v>57</v>
      </c>
      <c r="D1657" s="9">
        <v>1500</v>
      </c>
      <c r="E1657" s="9">
        <f>ведомство!H1452</f>
        <v>1500</v>
      </c>
      <c r="F1657" s="9">
        <f>ведомство!I1452</f>
        <v>1500</v>
      </c>
      <c r="G1657" s="9">
        <f>ведомство!J1452</f>
        <v>1500</v>
      </c>
      <c r="H1657" s="9">
        <f>ведомство!K1452</f>
        <v>1500</v>
      </c>
      <c r="I1657" s="9">
        <f t="shared" si="788"/>
        <v>100</v>
      </c>
      <c r="J1657" s="9">
        <f t="shared" si="789"/>
        <v>100</v>
      </c>
    </row>
    <row r="1658" spans="1:10" ht="25.5">
      <c r="A1658" s="8" t="s">
        <v>600</v>
      </c>
      <c r="B1658" s="1" t="s">
        <v>601</v>
      </c>
      <c r="C1658" s="1" t="s">
        <v>0</v>
      </c>
      <c r="D1658" s="9">
        <v>34721.699999999997</v>
      </c>
      <c r="E1658" s="9">
        <f>E1659</f>
        <v>34721.699999999997</v>
      </c>
      <c r="F1658" s="9">
        <f t="shared" ref="F1658:H1659" si="820">F1659</f>
        <v>17458.400000000001</v>
      </c>
      <c r="G1658" s="9">
        <f t="shared" si="820"/>
        <v>17458.400000000001</v>
      </c>
      <c r="H1658" s="9">
        <f t="shared" si="820"/>
        <v>16046.771049999999</v>
      </c>
      <c r="I1658" s="9">
        <f t="shared" si="788"/>
        <v>46.21539570355138</v>
      </c>
      <c r="J1658" s="9">
        <f t="shared" si="789"/>
        <v>91.914328059845104</v>
      </c>
    </row>
    <row r="1659" spans="1:10">
      <c r="A1659" s="8" t="s">
        <v>26</v>
      </c>
      <c r="B1659" s="1" t="s">
        <v>601</v>
      </c>
      <c r="C1659" s="1" t="s">
        <v>27</v>
      </c>
      <c r="D1659" s="9">
        <v>34721.699999999997</v>
      </c>
      <c r="E1659" s="9">
        <f>E1660</f>
        <v>34721.699999999997</v>
      </c>
      <c r="F1659" s="9">
        <f t="shared" si="820"/>
        <v>17458.400000000001</v>
      </c>
      <c r="G1659" s="9">
        <f t="shared" si="820"/>
        <v>17458.400000000001</v>
      </c>
      <c r="H1659" s="9">
        <f t="shared" si="820"/>
        <v>16046.771049999999</v>
      </c>
      <c r="I1659" s="9">
        <f t="shared" ref="I1659:I1722" si="821">H1659/E1659*100</f>
        <v>46.21539570355138</v>
      </c>
      <c r="J1659" s="9">
        <f t="shared" ref="J1659:J1722" si="822">H1659/F1659*100</f>
        <v>91.914328059845104</v>
      </c>
    </row>
    <row r="1660" spans="1:10">
      <c r="A1660" s="8" t="s">
        <v>28</v>
      </c>
      <c r="B1660" s="1" t="s">
        <v>601</v>
      </c>
      <c r="C1660" s="1" t="s">
        <v>29</v>
      </c>
      <c r="D1660" s="9">
        <v>34721.699999999997</v>
      </c>
      <c r="E1660" s="9">
        <f>ведомство!H1354</f>
        <v>34721.699999999997</v>
      </c>
      <c r="F1660" s="9">
        <f>ведомство!I1354</f>
        <v>17458.400000000001</v>
      </c>
      <c r="G1660" s="9">
        <f>ведомство!J1354</f>
        <v>17458.400000000001</v>
      </c>
      <c r="H1660" s="9">
        <f>ведомство!K1354</f>
        <v>16046.771049999999</v>
      </c>
      <c r="I1660" s="9">
        <f t="shared" si="821"/>
        <v>46.21539570355138</v>
      </c>
      <c r="J1660" s="9">
        <f t="shared" si="822"/>
        <v>91.914328059845104</v>
      </c>
    </row>
    <row r="1661" spans="1:10" ht="25.5">
      <c r="A1661" s="8" t="s">
        <v>602</v>
      </c>
      <c r="B1661" s="1" t="s">
        <v>603</v>
      </c>
      <c r="C1661" s="1" t="s">
        <v>0</v>
      </c>
      <c r="D1661" s="9">
        <v>20286.400000000001</v>
      </c>
      <c r="E1661" s="9">
        <f>E1662</f>
        <v>20286.400000000001</v>
      </c>
      <c r="F1661" s="9">
        <f t="shared" ref="F1661:H1662" si="823">F1662</f>
        <v>10143.799999999999</v>
      </c>
      <c r="G1661" s="9">
        <f t="shared" si="823"/>
        <v>10143.799999999999</v>
      </c>
      <c r="H1661" s="9">
        <f t="shared" si="823"/>
        <v>8214.0329299999994</v>
      </c>
      <c r="I1661" s="9">
        <f t="shared" si="821"/>
        <v>40.490342939111912</v>
      </c>
      <c r="J1661" s="9">
        <f t="shared" si="822"/>
        <v>80.975895916717604</v>
      </c>
    </row>
    <row r="1662" spans="1:10">
      <c r="A1662" s="8" t="s">
        <v>26</v>
      </c>
      <c r="B1662" s="1" t="s">
        <v>603</v>
      </c>
      <c r="C1662" s="1" t="s">
        <v>27</v>
      </c>
      <c r="D1662" s="9">
        <v>20286.400000000001</v>
      </c>
      <c r="E1662" s="9">
        <f>E1663</f>
        <v>20286.400000000001</v>
      </c>
      <c r="F1662" s="9">
        <f t="shared" si="823"/>
        <v>10143.799999999999</v>
      </c>
      <c r="G1662" s="9">
        <f t="shared" si="823"/>
        <v>10143.799999999999</v>
      </c>
      <c r="H1662" s="9">
        <f t="shared" si="823"/>
        <v>8214.0329299999994</v>
      </c>
      <c r="I1662" s="9">
        <f t="shared" si="821"/>
        <v>40.490342939111912</v>
      </c>
      <c r="J1662" s="9">
        <f t="shared" si="822"/>
        <v>80.975895916717604</v>
      </c>
    </row>
    <row r="1663" spans="1:10">
      <c r="A1663" s="8" t="s">
        <v>28</v>
      </c>
      <c r="B1663" s="1" t="s">
        <v>603</v>
      </c>
      <c r="C1663" s="1" t="s">
        <v>29</v>
      </c>
      <c r="D1663" s="9">
        <v>20286.400000000001</v>
      </c>
      <c r="E1663" s="9">
        <f>ведомство!H1357</f>
        <v>20286.400000000001</v>
      </c>
      <c r="F1663" s="9">
        <f>ведомство!I1357</f>
        <v>10143.799999999999</v>
      </c>
      <c r="G1663" s="9">
        <f>ведомство!J1357</f>
        <v>10143.799999999999</v>
      </c>
      <c r="H1663" s="9">
        <f>ведомство!K1357</f>
        <v>8214.0329299999994</v>
      </c>
      <c r="I1663" s="9">
        <f t="shared" si="821"/>
        <v>40.490342939111912</v>
      </c>
      <c r="J1663" s="9">
        <f t="shared" si="822"/>
        <v>80.975895916717604</v>
      </c>
    </row>
    <row r="1664" spans="1:10">
      <c r="A1664" s="4" t="s">
        <v>0</v>
      </c>
      <c r="B1664" s="17" t="s">
        <v>0</v>
      </c>
      <c r="C1664" s="5" t="s">
        <v>0</v>
      </c>
      <c r="D1664" s="7" t="s">
        <v>0</v>
      </c>
      <c r="E1664" s="7" t="s">
        <v>0</v>
      </c>
      <c r="F1664" s="7" t="s">
        <v>0</v>
      </c>
      <c r="G1664" s="7" t="s">
        <v>0</v>
      </c>
      <c r="H1664" s="7" t="s">
        <v>0</v>
      </c>
      <c r="I1664" s="7"/>
      <c r="J1664" s="7"/>
    </row>
    <row r="1665" spans="1:10" ht="25.5">
      <c r="A1665" s="4" t="s">
        <v>628</v>
      </c>
      <c r="B1665" s="5" t="s">
        <v>629</v>
      </c>
      <c r="C1665" s="5" t="s">
        <v>0</v>
      </c>
      <c r="D1665" s="7">
        <v>1476910</v>
      </c>
      <c r="E1665" s="7">
        <f>E1666</f>
        <v>1476910</v>
      </c>
      <c r="F1665" s="7">
        <f t="shared" ref="F1665:H1667" si="824">F1666</f>
        <v>564631.60589000001</v>
      </c>
      <c r="G1665" s="7">
        <f t="shared" si="824"/>
        <v>564631.60589000001</v>
      </c>
      <c r="H1665" s="7">
        <f t="shared" si="824"/>
        <v>564631.60589000001</v>
      </c>
      <c r="I1665" s="7">
        <f t="shared" si="821"/>
        <v>38.230603482270418</v>
      </c>
      <c r="J1665" s="7">
        <f t="shared" si="822"/>
        <v>100</v>
      </c>
    </row>
    <row r="1666" spans="1:10">
      <c r="A1666" s="8" t="s">
        <v>630</v>
      </c>
      <c r="B1666" s="1" t="s">
        <v>631</v>
      </c>
      <c r="C1666" s="1" t="s">
        <v>0</v>
      </c>
      <c r="D1666" s="9">
        <v>1476910</v>
      </c>
      <c r="E1666" s="9">
        <f>E1667</f>
        <v>1476910</v>
      </c>
      <c r="F1666" s="9">
        <f t="shared" si="824"/>
        <v>564631.60589000001</v>
      </c>
      <c r="G1666" s="9">
        <f t="shared" si="824"/>
        <v>564631.60589000001</v>
      </c>
      <c r="H1666" s="9">
        <f t="shared" si="824"/>
        <v>564631.60589000001</v>
      </c>
      <c r="I1666" s="9">
        <f t="shared" si="821"/>
        <v>38.230603482270418</v>
      </c>
      <c r="J1666" s="9">
        <f t="shared" si="822"/>
        <v>100</v>
      </c>
    </row>
    <row r="1667" spans="1:10">
      <c r="A1667" s="8" t="s">
        <v>632</v>
      </c>
      <c r="B1667" s="1" t="s">
        <v>631</v>
      </c>
      <c r="C1667" s="1" t="s">
        <v>633</v>
      </c>
      <c r="D1667" s="9">
        <v>1476910</v>
      </c>
      <c r="E1667" s="9">
        <f>E1668</f>
        <v>1476910</v>
      </c>
      <c r="F1667" s="9">
        <f t="shared" si="824"/>
        <v>564631.60589000001</v>
      </c>
      <c r="G1667" s="9">
        <f t="shared" si="824"/>
        <v>564631.60589000001</v>
      </c>
      <c r="H1667" s="9">
        <f t="shared" si="824"/>
        <v>564631.60589000001</v>
      </c>
      <c r="I1667" s="9">
        <f t="shared" si="821"/>
        <v>38.230603482270418</v>
      </c>
      <c r="J1667" s="9">
        <f t="shared" si="822"/>
        <v>100</v>
      </c>
    </row>
    <row r="1668" spans="1:10" ht="25.5">
      <c r="A1668" s="8" t="s">
        <v>634</v>
      </c>
      <c r="B1668" s="1" t="s">
        <v>631</v>
      </c>
      <c r="C1668" s="1" t="s">
        <v>635</v>
      </c>
      <c r="D1668" s="9">
        <v>1476910</v>
      </c>
      <c r="E1668" s="9">
        <f>ведомство!H1419</f>
        <v>1476910</v>
      </c>
      <c r="F1668" s="9">
        <f>ведомство!I1419</f>
        <v>564631.60589000001</v>
      </c>
      <c r="G1668" s="9">
        <f>ведомство!J1419</f>
        <v>564631.60589000001</v>
      </c>
      <c r="H1668" s="9">
        <f>ведомство!K1419</f>
        <v>564631.60589000001</v>
      </c>
      <c r="I1668" s="9">
        <f t="shared" si="821"/>
        <v>38.230603482270418</v>
      </c>
      <c r="J1668" s="9">
        <f t="shared" si="822"/>
        <v>100</v>
      </c>
    </row>
    <row r="1669" spans="1:10" ht="76.5">
      <c r="A1669" s="15" t="s">
        <v>636</v>
      </c>
      <c r="B1669" s="10" t="s">
        <v>0</v>
      </c>
      <c r="C1669" s="10" t="s">
        <v>0</v>
      </c>
      <c r="D1669" s="9">
        <v>711.1</v>
      </c>
      <c r="E1669" s="9">
        <f>ведомство!H1420</f>
        <v>711.1</v>
      </c>
      <c r="F1669" s="9">
        <f>ведомство!I1420</f>
        <v>0</v>
      </c>
      <c r="G1669" s="9">
        <f>ведомство!J1420</f>
        <v>0</v>
      </c>
      <c r="H1669" s="9">
        <f>ведомство!K1420</f>
        <v>0</v>
      </c>
      <c r="I1669" s="9">
        <f t="shared" si="821"/>
        <v>0</v>
      </c>
      <c r="J1669" s="9">
        <v>0</v>
      </c>
    </row>
    <row r="1670" spans="1:10" ht="89.25">
      <c r="A1670" s="15" t="s">
        <v>637</v>
      </c>
      <c r="B1670" s="10" t="s">
        <v>0</v>
      </c>
      <c r="C1670" s="10" t="s">
        <v>0</v>
      </c>
      <c r="D1670" s="9">
        <v>2012</v>
      </c>
      <c r="E1670" s="9">
        <f>ведомство!H1421</f>
        <v>2012</v>
      </c>
      <c r="F1670" s="9">
        <f>ведомство!I1421</f>
        <v>0</v>
      </c>
      <c r="G1670" s="9">
        <f>ведомство!J1421</f>
        <v>0</v>
      </c>
      <c r="H1670" s="9">
        <f>ведомство!K1421</f>
        <v>0</v>
      </c>
      <c r="I1670" s="9">
        <f t="shared" si="821"/>
        <v>0</v>
      </c>
      <c r="J1670" s="9">
        <v>0</v>
      </c>
    </row>
    <row r="1671" spans="1:10" ht="89.25">
      <c r="A1671" s="15" t="s">
        <v>638</v>
      </c>
      <c r="B1671" s="10" t="s">
        <v>0</v>
      </c>
      <c r="C1671" s="10" t="s">
        <v>0</v>
      </c>
      <c r="D1671" s="9">
        <v>453.3</v>
      </c>
      <c r="E1671" s="9">
        <f>ведомство!H1422</f>
        <v>453.3</v>
      </c>
      <c r="F1671" s="9">
        <f>ведомство!I1422</f>
        <v>0</v>
      </c>
      <c r="G1671" s="9">
        <f>ведомство!J1422</f>
        <v>0</v>
      </c>
      <c r="H1671" s="9">
        <f>ведомство!K1422</f>
        <v>0</v>
      </c>
      <c r="I1671" s="9">
        <f t="shared" si="821"/>
        <v>0</v>
      </c>
      <c r="J1671" s="9">
        <v>0</v>
      </c>
    </row>
    <row r="1672" spans="1:10" ht="89.25">
      <c r="A1672" s="15" t="s">
        <v>639</v>
      </c>
      <c r="B1672" s="10" t="s">
        <v>0</v>
      </c>
      <c r="C1672" s="10" t="s">
        <v>0</v>
      </c>
      <c r="D1672" s="9">
        <v>100.7</v>
      </c>
      <c r="E1672" s="9">
        <f>ведомство!H1423</f>
        <v>100.7</v>
      </c>
      <c r="F1672" s="9">
        <f>ведомство!I1423</f>
        <v>0</v>
      </c>
      <c r="G1672" s="9">
        <f>ведомство!J1423</f>
        <v>0</v>
      </c>
      <c r="H1672" s="9">
        <f>ведомство!K1423</f>
        <v>0</v>
      </c>
      <c r="I1672" s="9">
        <f t="shared" si="821"/>
        <v>0</v>
      </c>
      <c r="J1672" s="9">
        <v>0</v>
      </c>
    </row>
    <row r="1673" spans="1:10">
      <c r="A1673" s="4" t="s">
        <v>0</v>
      </c>
      <c r="B1673" s="17" t="s">
        <v>0</v>
      </c>
      <c r="C1673" s="5" t="s">
        <v>0</v>
      </c>
      <c r="D1673" s="7" t="s">
        <v>0</v>
      </c>
      <c r="E1673" s="7" t="s">
        <v>0</v>
      </c>
      <c r="F1673" s="7" t="s">
        <v>0</v>
      </c>
      <c r="G1673" s="7" t="s">
        <v>0</v>
      </c>
      <c r="H1673" s="7" t="s">
        <v>0</v>
      </c>
      <c r="I1673" s="7"/>
      <c r="J1673" s="7"/>
    </row>
    <row r="1674" spans="1:10" ht="25.5">
      <c r="A1674" s="4" t="s">
        <v>643</v>
      </c>
      <c r="B1674" s="5" t="s">
        <v>644</v>
      </c>
      <c r="C1674" s="5" t="s">
        <v>0</v>
      </c>
      <c r="D1674" s="7">
        <v>3475204.5</v>
      </c>
      <c r="E1674" s="7">
        <f>E1675+E1678+E1682+E1685+E1688</f>
        <v>3475204.5</v>
      </c>
      <c r="F1674" s="7">
        <f t="shared" ref="F1674:H1674" si="825">F1675+F1678+F1682+F1685+F1688</f>
        <v>1687566</v>
      </c>
      <c r="G1674" s="7">
        <f t="shared" si="825"/>
        <v>1687566</v>
      </c>
      <c r="H1674" s="7">
        <f t="shared" si="825"/>
        <v>1687566</v>
      </c>
      <c r="I1674" s="7">
        <f t="shared" si="821"/>
        <v>48.560192644778169</v>
      </c>
      <c r="J1674" s="7">
        <f t="shared" si="822"/>
        <v>100</v>
      </c>
    </row>
    <row r="1675" spans="1:10" ht="38.25">
      <c r="A1675" s="8" t="s">
        <v>652</v>
      </c>
      <c r="B1675" s="1" t="s">
        <v>653</v>
      </c>
      <c r="C1675" s="1" t="s">
        <v>0</v>
      </c>
      <c r="D1675" s="9">
        <v>207668</v>
      </c>
      <c r="E1675" s="9">
        <f>E1676</f>
        <v>207668</v>
      </c>
      <c r="F1675" s="9">
        <f t="shared" ref="F1675:H1676" si="826">F1676</f>
        <v>67838</v>
      </c>
      <c r="G1675" s="9">
        <f t="shared" si="826"/>
        <v>67838</v>
      </c>
      <c r="H1675" s="9">
        <f t="shared" si="826"/>
        <v>67838</v>
      </c>
      <c r="I1675" s="9">
        <f t="shared" si="821"/>
        <v>32.666563938594294</v>
      </c>
      <c r="J1675" s="9">
        <f t="shared" si="822"/>
        <v>100</v>
      </c>
    </row>
    <row r="1676" spans="1:10">
      <c r="A1676" s="8" t="s">
        <v>26</v>
      </c>
      <c r="B1676" s="1" t="s">
        <v>653</v>
      </c>
      <c r="C1676" s="1" t="s">
        <v>27</v>
      </c>
      <c r="D1676" s="9">
        <v>207668</v>
      </c>
      <c r="E1676" s="9">
        <f>E1677</f>
        <v>207668</v>
      </c>
      <c r="F1676" s="9">
        <f t="shared" si="826"/>
        <v>67838</v>
      </c>
      <c r="G1676" s="9">
        <f t="shared" si="826"/>
        <v>67838</v>
      </c>
      <c r="H1676" s="9">
        <f t="shared" si="826"/>
        <v>67838</v>
      </c>
      <c r="I1676" s="9">
        <f t="shared" si="821"/>
        <v>32.666563938594294</v>
      </c>
      <c r="J1676" s="9">
        <f t="shared" si="822"/>
        <v>100</v>
      </c>
    </row>
    <row r="1677" spans="1:10">
      <c r="A1677" s="8" t="s">
        <v>647</v>
      </c>
      <c r="B1677" s="1" t="s">
        <v>653</v>
      </c>
      <c r="C1677" s="1" t="s">
        <v>648</v>
      </c>
      <c r="D1677" s="9">
        <v>207668</v>
      </c>
      <c r="E1677" s="9">
        <f>ведомство!H1440</f>
        <v>207668</v>
      </c>
      <c r="F1677" s="9">
        <f>ведомство!I1440</f>
        <v>67838</v>
      </c>
      <c r="G1677" s="9">
        <f>ведомство!J1440</f>
        <v>67838</v>
      </c>
      <c r="H1677" s="9">
        <f>ведомство!K1440</f>
        <v>67838</v>
      </c>
      <c r="I1677" s="9">
        <f t="shared" si="821"/>
        <v>32.666563938594294</v>
      </c>
      <c r="J1677" s="9">
        <f t="shared" si="822"/>
        <v>100</v>
      </c>
    </row>
    <row r="1678" spans="1:10">
      <c r="A1678" s="8" t="s">
        <v>645</v>
      </c>
      <c r="B1678" s="1" t="s">
        <v>646</v>
      </c>
      <c r="C1678" s="1" t="s">
        <v>0</v>
      </c>
      <c r="D1678" s="9">
        <v>223173</v>
      </c>
      <c r="E1678" s="9">
        <f>E1679</f>
        <v>223173</v>
      </c>
      <c r="F1678" s="9">
        <f t="shared" ref="F1678:H1678" si="827">F1679</f>
        <v>113298</v>
      </c>
      <c r="G1678" s="9">
        <f t="shared" si="827"/>
        <v>113298</v>
      </c>
      <c r="H1678" s="9">
        <f t="shared" si="827"/>
        <v>113298</v>
      </c>
      <c r="I1678" s="9">
        <f t="shared" si="821"/>
        <v>50.766893844685512</v>
      </c>
      <c r="J1678" s="9">
        <f t="shared" si="822"/>
        <v>100</v>
      </c>
    </row>
    <row r="1679" spans="1:10">
      <c r="A1679" s="8" t="s">
        <v>26</v>
      </c>
      <c r="B1679" s="1" t="s">
        <v>646</v>
      </c>
      <c r="C1679" s="1" t="s">
        <v>27</v>
      </c>
      <c r="D1679" s="9">
        <v>223173</v>
      </c>
      <c r="E1679" s="9">
        <f>E1680+E1681</f>
        <v>223173</v>
      </c>
      <c r="F1679" s="9">
        <f t="shared" ref="F1679:H1679" si="828">F1680+F1681</f>
        <v>113298</v>
      </c>
      <c r="G1679" s="9">
        <f t="shared" si="828"/>
        <v>113298</v>
      </c>
      <c r="H1679" s="9">
        <f t="shared" si="828"/>
        <v>113298</v>
      </c>
      <c r="I1679" s="9">
        <f t="shared" si="821"/>
        <v>50.766893844685512</v>
      </c>
      <c r="J1679" s="9">
        <f t="shared" si="822"/>
        <v>100</v>
      </c>
    </row>
    <row r="1680" spans="1:10">
      <c r="A1680" s="8" t="s">
        <v>647</v>
      </c>
      <c r="B1680" s="1" t="s">
        <v>646</v>
      </c>
      <c r="C1680" s="1" t="s">
        <v>648</v>
      </c>
      <c r="D1680" s="9">
        <v>135022.1</v>
      </c>
      <c r="E1680" s="9">
        <f>ведомство!H1431</f>
        <v>135022.1</v>
      </c>
      <c r="F1680" s="9">
        <f>ведомство!I1431</f>
        <v>67510.100000000006</v>
      </c>
      <c r="G1680" s="9">
        <f>ведомство!J1431</f>
        <v>67510.100000000006</v>
      </c>
      <c r="H1680" s="9">
        <f>ведомство!K1431</f>
        <v>67510.100000000006</v>
      </c>
      <c r="I1680" s="9">
        <f t="shared" si="821"/>
        <v>49.999296411476344</v>
      </c>
      <c r="J1680" s="9">
        <f t="shared" si="822"/>
        <v>100</v>
      </c>
    </row>
    <row r="1681" spans="1:10">
      <c r="A1681" s="8" t="s">
        <v>28</v>
      </c>
      <c r="B1681" s="1" t="s">
        <v>646</v>
      </c>
      <c r="C1681" s="1" t="s">
        <v>29</v>
      </c>
      <c r="D1681" s="9">
        <v>88150.9</v>
      </c>
      <c r="E1681" s="9">
        <f>ведомство!H1456</f>
        <v>88150.9</v>
      </c>
      <c r="F1681" s="9">
        <f>ведомство!I1456</f>
        <v>45787.9</v>
      </c>
      <c r="G1681" s="9">
        <f>ведомство!J1456</f>
        <v>45787.9</v>
      </c>
      <c r="H1681" s="9">
        <f>ведомство!K1456</f>
        <v>45787.9</v>
      </c>
      <c r="I1681" s="9">
        <f t="shared" si="821"/>
        <v>51.942634732033369</v>
      </c>
      <c r="J1681" s="9">
        <f t="shared" si="822"/>
        <v>100</v>
      </c>
    </row>
    <row r="1682" spans="1:10" ht="25.5">
      <c r="A1682" s="8" t="s">
        <v>649</v>
      </c>
      <c r="B1682" s="1" t="s">
        <v>650</v>
      </c>
      <c r="C1682" s="1" t="s">
        <v>0</v>
      </c>
      <c r="D1682" s="9">
        <v>1085406.8999999999</v>
      </c>
      <c r="E1682" s="9">
        <f>E1683</f>
        <v>1085406.8999999999</v>
      </c>
      <c r="F1682" s="9">
        <f t="shared" ref="F1682:H1683" si="829">F1683</f>
        <v>576646.9</v>
      </c>
      <c r="G1682" s="9">
        <f t="shared" si="829"/>
        <v>576646.9</v>
      </c>
      <c r="H1682" s="9">
        <f t="shared" si="829"/>
        <v>576646.9</v>
      </c>
      <c r="I1682" s="9">
        <f t="shared" si="821"/>
        <v>53.127255778455073</v>
      </c>
      <c r="J1682" s="9">
        <f t="shared" si="822"/>
        <v>100</v>
      </c>
    </row>
    <row r="1683" spans="1:10">
      <c r="A1683" s="8" t="s">
        <v>26</v>
      </c>
      <c r="B1683" s="1" t="s">
        <v>650</v>
      </c>
      <c r="C1683" s="1" t="s">
        <v>27</v>
      </c>
      <c r="D1683" s="9">
        <v>1085406.8999999999</v>
      </c>
      <c r="E1683" s="9">
        <f>E1684</f>
        <v>1085406.8999999999</v>
      </c>
      <c r="F1683" s="9">
        <f t="shared" si="829"/>
        <v>576646.9</v>
      </c>
      <c r="G1683" s="9">
        <f t="shared" si="829"/>
        <v>576646.9</v>
      </c>
      <c r="H1683" s="9">
        <f t="shared" si="829"/>
        <v>576646.9</v>
      </c>
      <c r="I1683" s="9">
        <f t="shared" si="821"/>
        <v>53.127255778455073</v>
      </c>
      <c r="J1683" s="9">
        <f t="shared" si="822"/>
        <v>100</v>
      </c>
    </row>
    <row r="1684" spans="1:10">
      <c r="A1684" s="8" t="s">
        <v>647</v>
      </c>
      <c r="B1684" s="1" t="s">
        <v>650</v>
      </c>
      <c r="C1684" s="1" t="s">
        <v>648</v>
      </c>
      <c r="D1684" s="9">
        <v>1085406.8999999999</v>
      </c>
      <c r="E1684" s="9">
        <f>ведомство!H1434</f>
        <v>1085406.8999999999</v>
      </c>
      <c r="F1684" s="9">
        <f>ведомство!I1434</f>
        <v>576646.9</v>
      </c>
      <c r="G1684" s="9">
        <f>ведомство!J1434</f>
        <v>576646.9</v>
      </c>
      <c r="H1684" s="9">
        <f>ведомство!K1434</f>
        <v>576646.9</v>
      </c>
      <c r="I1684" s="9">
        <f t="shared" si="821"/>
        <v>53.127255778455073</v>
      </c>
      <c r="J1684" s="9">
        <f t="shared" si="822"/>
        <v>100</v>
      </c>
    </row>
    <row r="1685" spans="1:10" ht="25.5">
      <c r="A1685" s="8" t="s">
        <v>654</v>
      </c>
      <c r="B1685" s="1" t="s">
        <v>655</v>
      </c>
      <c r="C1685" s="1" t="s">
        <v>0</v>
      </c>
      <c r="D1685" s="9">
        <v>60287.5</v>
      </c>
      <c r="E1685" s="9">
        <f>E1686</f>
        <v>60287.5</v>
      </c>
      <c r="F1685" s="9">
        <f t="shared" ref="F1685:H1686" si="830">F1686</f>
        <v>0</v>
      </c>
      <c r="G1685" s="9">
        <f t="shared" si="830"/>
        <v>0</v>
      </c>
      <c r="H1685" s="9">
        <f t="shared" si="830"/>
        <v>0</v>
      </c>
      <c r="I1685" s="9">
        <f t="shared" si="821"/>
        <v>0</v>
      </c>
      <c r="J1685" s="9">
        <v>0</v>
      </c>
    </row>
    <row r="1686" spans="1:10">
      <c r="A1686" s="8" t="s">
        <v>26</v>
      </c>
      <c r="B1686" s="1" t="s">
        <v>655</v>
      </c>
      <c r="C1686" s="1" t="s">
        <v>27</v>
      </c>
      <c r="D1686" s="9">
        <v>60287.5</v>
      </c>
      <c r="E1686" s="9">
        <f>E1687</f>
        <v>60287.5</v>
      </c>
      <c r="F1686" s="9">
        <f t="shared" si="830"/>
        <v>0</v>
      </c>
      <c r="G1686" s="9">
        <f t="shared" si="830"/>
        <v>0</v>
      </c>
      <c r="H1686" s="9">
        <f t="shared" si="830"/>
        <v>0</v>
      </c>
      <c r="I1686" s="9">
        <f t="shared" si="821"/>
        <v>0</v>
      </c>
      <c r="J1686" s="9">
        <v>0</v>
      </c>
    </row>
    <row r="1687" spans="1:10">
      <c r="A1687" s="8" t="s">
        <v>647</v>
      </c>
      <c r="B1687" s="1" t="s">
        <v>655</v>
      </c>
      <c r="C1687" s="1" t="s">
        <v>648</v>
      </c>
      <c r="D1687" s="9">
        <v>60287.5</v>
      </c>
      <c r="E1687" s="9">
        <f>ведомство!H1443</f>
        <v>60287.5</v>
      </c>
      <c r="F1687" s="9">
        <f>ведомство!I1443</f>
        <v>0</v>
      </c>
      <c r="G1687" s="9">
        <f>ведомство!J1443</f>
        <v>0</v>
      </c>
      <c r="H1687" s="9">
        <f>ведомство!K1443</f>
        <v>0</v>
      </c>
      <c r="I1687" s="9">
        <f t="shared" si="821"/>
        <v>0</v>
      </c>
      <c r="J1687" s="23" t="s">
        <v>1226</v>
      </c>
    </row>
    <row r="1688" spans="1:10">
      <c r="A1688" s="8" t="s">
        <v>661</v>
      </c>
      <c r="B1688" s="1" t="s">
        <v>662</v>
      </c>
      <c r="C1688" s="1" t="s">
        <v>0</v>
      </c>
      <c r="D1688" s="9">
        <v>1898669.1</v>
      </c>
      <c r="E1688" s="9">
        <f>E1689</f>
        <v>1898669.1</v>
      </c>
      <c r="F1688" s="9">
        <f t="shared" ref="F1688:H1689" si="831">F1689</f>
        <v>929783.1</v>
      </c>
      <c r="G1688" s="9">
        <f t="shared" si="831"/>
        <v>929783.1</v>
      </c>
      <c r="H1688" s="9">
        <f t="shared" si="831"/>
        <v>929783.1</v>
      </c>
      <c r="I1688" s="9">
        <f t="shared" si="821"/>
        <v>48.970255006520091</v>
      </c>
      <c r="J1688" s="9">
        <f t="shared" si="822"/>
        <v>100</v>
      </c>
    </row>
    <row r="1689" spans="1:10">
      <c r="A1689" s="8" t="s">
        <v>26</v>
      </c>
      <c r="B1689" s="1" t="s">
        <v>662</v>
      </c>
      <c r="C1689" s="1" t="s">
        <v>27</v>
      </c>
      <c r="D1689" s="9">
        <v>1898669.1</v>
      </c>
      <c r="E1689" s="9">
        <f>E1690</f>
        <v>1898669.1</v>
      </c>
      <c r="F1689" s="9">
        <f t="shared" si="831"/>
        <v>929783.1</v>
      </c>
      <c r="G1689" s="9">
        <f t="shared" si="831"/>
        <v>929783.1</v>
      </c>
      <c r="H1689" s="9">
        <f t="shared" si="831"/>
        <v>929783.1</v>
      </c>
      <c r="I1689" s="9">
        <f t="shared" si="821"/>
        <v>48.970255006520091</v>
      </c>
      <c r="J1689" s="9">
        <f t="shared" si="822"/>
        <v>100</v>
      </c>
    </row>
    <row r="1690" spans="1:10">
      <c r="A1690" s="8" t="s">
        <v>56</v>
      </c>
      <c r="B1690" s="1" t="s">
        <v>662</v>
      </c>
      <c r="C1690" s="1" t="s">
        <v>57</v>
      </c>
      <c r="D1690" s="9">
        <v>1898669.1</v>
      </c>
      <c r="E1690" s="9">
        <f>ведомство!H1459</f>
        <v>1898669.1</v>
      </c>
      <c r="F1690" s="9">
        <f>ведомство!I1459</f>
        <v>929783.1</v>
      </c>
      <c r="G1690" s="9">
        <f>ведомство!J1459</f>
        <v>929783.1</v>
      </c>
      <c r="H1690" s="9">
        <f>ведомство!K1459</f>
        <v>929783.1</v>
      </c>
      <c r="I1690" s="9">
        <f t="shared" si="821"/>
        <v>48.970255006520091</v>
      </c>
      <c r="J1690" s="9">
        <f t="shared" si="822"/>
        <v>100</v>
      </c>
    </row>
    <row r="1691" spans="1:10">
      <c r="A1691" s="4" t="s">
        <v>0</v>
      </c>
      <c r="B1691" s="17" t="s">
        <v>0</v>
      </c>
      <c r="C1691" s="5" t="s">
        <v>0</v>
      </c>
      <c r="D1691" s="7" t="s">
        <v>0</v>
      </c>
      <c r="E1691" s="7" t="s">
        <v>0</v>
      </c>
      <c r="F1691" s="7" t="s">
        <v>0</v>
      </c>
      <c r="G1691" s="7" t="s">
        <v>0</v>
      </c>
      <c r="H1691" s="7" t="s">
        <v>0</v>
      </c>
      <c r="I1691" s="7"/>
      <c r="J1691" s="7"/>
    </row>
    <row r="1692" spans="1:10" ht="38.25">
      <c r="A1692" s="4" t="s">
        <v>1085</v>
      </c>
      <c r="B1692" s="5" t="s">
        <v>1086</v>
      </c>
      <c r="C1692" s="5" t="s">
        <v>0</v>
      </c>
      <c r="D1692" s="7">
        <v>27799.8</v>
      </c>
      <c r="E1692" s="7">
        <f>E1693</f>
        <v>27799.8</v>
      </c>
      <c r="F1692" s="7">
        <f t="shared" ref="F1692:H1692" si="832">F1693</f>
        <v>13800.5</v>
      </c>
      <c r="G1692" s="7">
        <f t="shared" si="832"/>
        <v>13800.5</v>
      </c>
      <c r="H1692" s="7">
        <f t="shared" si="832"/>
        <v>13267.411539999999</v>
      </c>
      <c r="I1692" s="7">
        <f t="shared" si="821"/>
        <v>47.724845286656738</v>
      </c>
      <c r="J1692" s="7">
        <f t="shared" si="822"/>
        <v>96.137180102170205</v>
      </c>
    </row>
    <row r="1693" spans="1:10" ht="25.5">
      <c r="A1693" s="8" t="s">
        <v>58</v>
      </c>
      <c r="B1693" s="1" t="s">
        <v>1087</v>
      </c>
      <c r="C1693" s="1" t="s">
        <v>0</v>
      </c>
      <c r="D1693" s="9">
        <v>27799.8</v>
      </c>
      <c r="E1693" s="9">
        <f>E1694+E1696+E1698</f>
        <v>27799.8</v>
      </c>
      <c r="F1693" s="9">
        <f t="shared" ref="F1693:H1693" si="833">F1694+F1696+F1698</f>
        <v>13800.5</v>
      </c>
      <c r="G1693" s="9">
        <f t="shared" si="833"/>
        <v>13800.5</v>
      </c>
      <c r="H1693" s="9">
        <f t="shared" si="833"/>
        <v>13267.411539999999</v>
      </c>
      <c r="I1693" s="9">
        <f t="shared" si="821"/>
        <v>47.724845286656738</v>
      </c>
      <c r="J1693" s="9">
        <f t="shared" si="822"/>
        <v>96.137180102170205</v>
      </c>
    </row>
    <row r="1694" spans="1:10" ht="51">
      <c r="A1694" s="8" t="s">
        <v>60</v>
      </c>
      <c r="B1694" s="1" t="s">
        <v>1087</v>
      </c>
      <c r="C1694" s="1" t="s">
        <v>61</v>
      </c>
      <c r="D1694" s="9">
        <v>25985.5</v>
      </c>
      <c r="E1694" s="9">
        <f>E1695</f>
        <v>25985.5</v>
      </c>
      <c r="F1694" s="9">
        <f t="shared" ref="F1694:H1694" si="834">F1695</f>
        <v>12999</v>
      </c>
      <c r="G1694" s="9">
        <f t="shared" si="834"/>
        <v>12999</v>
      </c>
      <c r="H1694" s="9">
        <f t="shared" si="834"/>
        <v>12513.877919999999</v>
      </c>
      <c r="I1694" s="9">
        <f t="shared" si="821"/>
        <v>48.157156568086045</v>
      </c>
      <c r="J1694" s="9">
        <f t="shared" si="822"/>
        <v>96.26800461573967</v>
      </c>
    </row>
    <row r="1695" spans="1:10" ht="25.5">
      <c r="A1695" s="8" t="s">
        <v>62</v>
      </c>
      <c r="B1695" s="1" t="s">
        <v>1087</v>
      </c>
      <c r="C1695" s="1" t="s">
        <v>63</v>
      </c>
      <c r="D1695" s="9">
        <v>25985.5</v>
      </c>
      <c r="E1695" s="9">
        <f>ведомство!H2656</f>
        <v>25985.5</v>
      </c>
      <c r="F1695" s="9">
        <f>ведомство!I2656</f>
        <v>12999</v>
      </c>
      <c r="G1695" s="9">
        <f>ведомство!J2656</f>
        <v>12999</v>
      </c>
      <c r="H1695" s="9">
        <f>ведомство!K2656</f>
        <v>12513.877919999999</v>
      </c>
      <c r="I1695" s="9">
        <f t="shared" si="821"/>
        <v>48.157156568086045</v>
      </c>
      <c r="J1695" s="9">
        <f t="shared" si="822"/>
        <v>96.26800461573967</v>
      </c>
    </row>
    <row r="1696" spans="1:10" ht="25.5">
      <c r="A1696" s="8" t="s">
        <v>64</v>
      </c>
      <c r="B1696" s="1" t="s">
        <v>1087</v>
      </c>
      <c r="C1696" s="1" t="s">
        <v>65</v>
      </c>
      <c r="D1696" s="9">
        <v>1812.3</v>
      </c>
      <c r="E1696" s="9">
        <f>E1697</f>
        <v>1812.3</v>
      </c>
      <c r="F1696" s="9">
        <f t="shared" ref="F1696:H1696" si="835">F1697</f>
        <v>800</v>
      </c>
      <c r="G1696" s="9">
        <f t="shared" si="835"/>
        <v>800</v>
      </c>
      <c r="H1696" s="9">
        <f t="shared" si="835"/>
        <v>753.53362000000004</v>
      </c>
      <c r="I1696" s="9">
        <f t="shared" si="821"/>
        <v>41.578856701429132</v>
      </c>
      <c r="J1696" s="9">
        <f t="shared" si="822"/>
        <v>94.191702500000005</v>
      </c>
    </row>
    <row r="1697" spans="1:10" ht="25.5">
      <c r="A1697" s="8" t="s">
        <v>66</v>
      </c>
      <c r="B1697" s="1" t="s">
        <v>1087</v>
      </c>
      <c r="C1697" s="1" t="s">
        <v>67</v>
      </c>
      <c r="D1697" s="9">
        <v>1812.3</v>
      </c>
      <c r="E1697" s="9">
        <f>ведомство!H2658</f>
        <v>1812.3</v>
      </c>
      <c r="F1697" s="9">
        <f>ведомство!I2658</f>
        <v>800</v>
      </c>
      <c r="G1697" s="9">
        <f>ведомство!J2658</f>
        <v>800</v>
      </c>
      <c r="H1697" s="9">
        <f>ведомство!K2658</f>
        <v>753.53362000000004</v>
      </c>
      <c r="I1697" s="9">
        <f t="shared" si="821"/>
        <v>41.578856701429132</v>
      </c>
      <c r="J1697" s="9">
        <f t="shared" si="822"/>
        <v>94.191702500000005</v>
      </c>
    </row>
    <row r="1698" spans="1:10">
      <c r="A1698" s="8" t="s">
        <v>72</v>
      </c>
      <c r="B1698" s="1" t="s">
        <v>1087</v>
      </c>
      <c r="C1698" s="1" t="s">
        <v>73</v>
      </c>
      <c r="D1698" s="9">
        <v>2</v>
      </c>
      <c r="E1698" s="9">
        <f>E1699</f>
        <v>2</v>
      </c>
      <c r="F1698" s="9">
        <f t="shared" ref="F1698:H1698" si="836">F1699</f>
        <v>1.5</v>
      </c>
      <c r="G1698" s="9">
        <f t="shared" si="836"/>
        <v>1.5</v>
      </c>
      <c r="H1698" s="9">
        <f t="shared" si="836"/>
        <v>0</v>
      </c>
      <c r="I1698" s="9">
        <f t="shared" si="821"/>
        <v>0</v>
      </c>
      <c r="J1698" s="9">
        <f t="shared" si="822"/>
        <v>0</v>
      </c>
    </row>
    <row r="1699" spans="1:10">
      <c r="A1699" s="8" t="s">
        <v>74</v>
      </c>
      <c r="B1699" s="1" t="s">
        <v>1087</v>
      </c>
      <c r="C1699" s="1" t="s">
        <v>75</v>
      </c>
      <c r="D1699" s="9">
        <v>2</v>
      </c>
      <c r="E1699" s="9">
        <f>ведомство!H2660</f>
        <v>2</v>
      </c>
      <c r="F1699" s="9">
        <f>ведомство!I2660</f>
        <v>1.5</v>
      </c>
      <c r="G1699" s="9">
        <f>ведомство!J2660</f>
        <v>1.5</v>
      </c>
      <c r="H1699" s="9">
        <f>ведомство!K2660</f>
        <v>0</v>
      </c>
      <c r="I1699" s="9">
        <f t="shared" si="821"/>
        <v>0</v>
      </c>
      <c r="J1699" s="9">
        <f t="shared" si="822"/>
        <v>0</v>
      </c>
    </row>
    <row r="1700" spans="1:10">
      <c r="A1700" s="4" t="s">
        <v>0</v>
      </c>
      <c r="B1700" s="17" t="s">
        <v>0</v>
      </c>
      <c r="C1700" s="5" t="s">
        <v>0</v>
      </c>
      <c r="D1700" s="7" t="s">
        <v>0</v>
      </c>
      <c r="E1700" s="7" t="s">
        <v>0</v>
      </c>
      <c r="F1700" s="7"/>
      <c r="G1700" s="7"/>
      <c r="H1700" s="7"/>
      <c r="I1700" s="7"/>
      <c r="J1700" s="7"/>
    </row>
    <row r="1701" spans="1:10" ht="38.25">
      <c r="A1701" s="35" t="s">
        <v>734</v>
      </c>
      <c r="B1701" s="5" t="s">
        <v>735</v>
      </c>
      <c r="C1701" s="5" t="s">
        <v>0</v>
      </c>
      <c r="D1701" s="7">
        <v>1365696.9</v>
      </c>
      <c r="E1701" s="7">
        <f>E1702+E1709+E1719+E1727+E1742</f>
        <v>1360664.46175</v>
      </c>
      <c r="F1701" s="7">
        <f t="shared" ref="F1701:H1701" si="837">F1702+F1709+F1719+F1727+F1742</f>
        <v>668117.08383000002</v>
      </c>
      <c r="G1701" s="7">
        <f t="shared" si="837"/>
        <v>657198.86819999991</v>
      </c>
      <c r="H1701" s="7">
        <f t="shared" si="837"/>
        <v>633548.54078000004</v>
      </c>
      <c r="I1701" s="7">
        <f t="shared" si="821"/>
        <v>46.561702652626806</v>
      </c>
      <c r="J1701" s="7">
        <f t="shared" si="822"/>
        <v>94.825975283877668</v>
      </c>
    </row>
    <row r="1702" spans="1:10" ht="51">
      <c r="A1702" s="4" t="s">
        <v>972</v>
      </c>
      <c r="B1702" s="5" t="s">
        <v>973</v>
      </c>
      <c r="C1702" s="5" t="s">
        <v>0</v>
      </c>
      <c r="D1702" s="7">
        <v>8492.5</v>
      </c>
      <c r="E1702" s="7">
        <f>E1703</f>
        <v>8492.5</v>
      </c>
      <c r="F1702" s="7">
        <f t="shared" ref="F1702:H1702" si="838">F1703</f>
        <v>5345.6360000000004</v>
      </c>
      <c r="G1702" s="7">
        <f t="shared" si="838"/>
        <v>4634.6360000000004</v>
      </c>
      <c r="H1702" s="7">
        <f t="shared" si="838"/>
        <v>4419.8472999999994</v>
      </c>
      <c r="I1702" s="7">
        <f t="shared" si="821"/>
        <v>52.044124816014126</v>
      </c>
      <c r="J1702" s="7">
        <f t="shared" si="822"/>
        <v>82.681411528955564</v>
      </c>
    </row>
    <row r="1703" spans="1:10" ht="25.5">
      <c r="A1703" s="8" t="s">
        <v>76</v>
      </c>
      <c r="B1703" s="1" t="s">
        <v>974</v>
      </c>
      <c r="C1703" s="1" t="s">
        <v>0</v>
      </c>
      <c r="D1703" s="9">
        <v>8492.5</v>
      </c>
      <c r="E1703" s="9">
        <f>E1704+E1706</f>
        <v>8492.5</v>
      </c>
      <c r="F1703" s="9">
        <f t="shared" ref="F1703:H1703" si="839">F1704+F1706</f>
        <v>5345.6360000000004</v>
      </c>
      <c r="G1703" s="9">
        <f t="shared" si="839"/>
        <v>4634.6360000000004</v>
      </c>
      <c r="H1703" s="9">
        <f t="shared" si="839"/>
        <v>4419.8472999999994</v>
      </c>
      <c r="I1703" s="9">
        <f t="shared" si="821"/>
        <v>52.044124816014126</v>
      </c>
      <c r="J1703" s="9">
        <f t="shared" si="822"/>
        <v>82.681411528955564</v>
      </c>
    </row>
    <row r="1704" spans="1:10" ht="51">
      <c r="A1704" s="8" t="s">
        <v>60</v>
      </c>
      <c r="B1704" s="1" t="s">
        <v>974</v>
      </c>
      <c r="C1704" s="1" t="s">
        <v>61</v>
      </c>
      <c r="D1704" s="9">
        <v>4694.3999999999996</v>
      </c>
      <c r="E1704" s="9">
        <f>E1705</f>
        <v>4694.3999999999996</v>
      </c>
      <c r="F1704" s="9">
        <f t="shared" ref="F1704:H1704" si="840">F1705</f>
        <v>2367</v>
      </c>
      <c r="G1704" s="9">
        <f t="shared" si="840"/>
        <v>2354</v>
      </c>
      <c r="H1704" s="9">
        <f t="shared" si="840"/>
        <v>2276.70327</v>
      </c>
      <c r="I1704" s="9">
        <f t="shared" si="821"/>
        <v>48.498280291411042</v>
      </c>
      <c r="J1704" s="9">
        <f t="shared" si="822"/>
        <v>96.185182509505708</v>
      </c>
    </row>
    <row r="1705" spans="1:10">
      <c r="A1705" s="8" t="s">
        <v>78</v>
      </c>
      <c r="B1705" s="1" t="s">
        <v>974</v>
      </c>
      <c r="C1705" s="1" t="s">
        <v>79</v>
      </c>
      <c r="D1705" s="9">
        <v>4694.3999999999996</v>
      </c>
      <c r="E1705" s="9">
        <f>ведомство!H2301</f>
        <v>4694.3999999999996</v>
      </c>
      <c r="F1705" s="9">
        <f>ведомство!I2301</f>
        <v>2367</v>
      </c>
      <c r="G1705" s="9">
        <f>ведомство!J2301</f>
        <v>2354</v>
      </c>
      <c r="H1705" s="9">
        <f>ведомство!K2301</f>
        <v>2276.70327</v>
      </c>
      <c r="I1705" s="9">
        <f t="shared" si="821"/>
        <v>48.498280291411042</v>
      </c>
      <c r="J1705" s="9">
        <f t="shared" si="822"/>
        <v>96.185182509505708</v>
      </c>
    </row>
    <row r="1706" spans="1:10" ht="25.5">
      <c r="A1706" s="8" t="s">
        <v>64</v>
      </c>
      <c r="B1706" s="1" t="s">
        <v>974</v>
      </c>
      <c r="C1706" s="1" t="s">
        <v>65</v>
      </c>
      <c r="D1706" s="9">
        <v>3798.1</v>
      </c>
      <c r="E1706" s="9">
        <f>E1707</f>
        <v>3798.1</v>
      </c>
      <c r="F1706" s="9">
        <f t="shared" ref="F1706:H1706" si="841">F1707</f>
        <v>2978.636</v>
      </c>
      <c r="G1706" s="9">
        <f t="shared" si="841"/>
        <v>2280.636</v>
      </c>
      <c r="H1706" s="9">
        <f t="shared" si="841"/>
        <v>2143.1440299999999</v>
      </c>
      <c r="I1706" s="9">
        <f t="shared" si="821"/>
        <v>56.4267404755009</v>
      </c>
      <c r="J1706" s="9">
        <f t="shared" si="822"/>
        <v>71.950517955198279</v>
      </c>
    </row>
    <row r="1707" spans="1:10" ht="25.5">
      <c r="A1707" s="8" t="s">
        <v>66</v>
      </c>
      <c r="B1707" s="1" t="s">
        <v>974</v>
      </c>
      <c r="C1707" s="1" t="s">
        <v>67</v>
      </c>
      <c r="D1707" s="9">
        <v>3798.1</v>
      </c>
      <c r="E1707" s="9">
        <f>ведомство!H2303</f>
        <v>3798.1</v>
      </c>
      <c r="F1707" s="9">
        <f>ведомство!I2303</f>
        <v>2978.636</v>
      </c>
      <c r="G1707" s="9">
        <f>ведомство!J2303</f>
        <v>2280.636</v>
      </c>
      <c r="H1707" s="9">
        <f>ведомство!K2303</f>
        <v>2143.1440299999999</v>
      </c>
      <c r="I1707" s="9">
        <f t="shared" si="821"/>
        <v>56.4267404755009</v>
      </c>
      <c r="J1707" s="9">
        <f t="shared" si="822"/>
        <v>71.950517955198279</v>
      </c>
    </row>
    <row r="1708" spans="1:10">
      <c r="A1708" s="4" t="s">
        <v>0</v>
      </c>
      <c r="B1708" s="17" t="s">
        <v>0</v>
      </c>
      <c r="C1708" s="5" t="s">
        <v>0</v>
      </c>
      <c r="D1708" s="7" t="s">
        <v>0</v>
      </c>
      <c r="E1708" s="7" t="s">
        <v>0</v>
      </c>
      <c r="F1708" s="7" t="s">
        <v>0</v>
      </c>
      <c r="G1708" s="7" t="s">
        <v>0</v>
      </c>
      <c r="H1708" s="7" t="s">
        <v>0</v>
      </c>
      <c r="I1708" s="7"/>
      <c r="J1708" s="7"/>
    </row>
    <row r="1709" spans="1:10" ht="51">
      <c r="A1709" s="35" t="s">
        <v>975</v>
      </c>
      <c r="B1709" s="5" t="s">
        <v>976</v>
      </c>
      <c r="C1709" s="5" t="s">
        <v>0</v>
      </c>
      <c r="D1709" s="7">
        <v>353436.5</v>
      </c>
      <c r="E1709" s="7">
        <f>E1710+E1713</f>
        <v>353436.5</v>
      </c>
      <c r="F1709" s="7">
        <f t="shared" ref="F1709:H1709" si="842">F1710+F1713</f>
        <v>163463.74</v>
      </c>
      <c r="G1709" s="7">
        <f t="shared" si="842"/>
        <v>163463.74</v>
      </c>
      <c r="H1709" s="7">
        <f t="shared" si="842"/>
        <v>163463.74</v>
      </c>
      <c r="I1709" s="7">
        <f t="shared" si="821"/>
        <v>46.249818567125914</v>
      </c>
      <c r="J1709" s="7">
        <f t="shared" si="822"/>
        <v>100</v>
      </c>
    </row>
    <row r="1710" spans="1:10" ht="25.5">
      <c r="A1710" s="26" t="s">
        <v>76</v>
      </c>
      <c r="B1710" s="1" t="s">
        <v>977</v>
      </c>
      <c r="C1710" s="1" t="s">
        <v>0</v>
      </c>
      <c r="D1710" s="9">
        <v>221727.5</v>
      </c>
      <c r="E1710" s="9">
        <f>E1711</f>
        <v>221727.5</v>
      </c>
      <c r="F1710" s="9">
        <f t="shared" ref="F1710:H1711" si="843">F1711</f>
        <v>68976.399999999994</v>
      </c>
      <c r="G1710" s="9">
        <f t="shared" si="843"/>
        <v>68976.399999999994</v>
      </c>
      <c r="H1710" s="9">
        <f t="shared" si="843"/>
        <v>68976.399999999994</v>
      </c>
      <c r="I1710" s="9">
        <f t="shared" si="821"/>
        <v>31.108635600004508</v>
      </c>
      <c r="J1710" s="9">
        <f t="shared" si="822"/>
        <v>100</v>
      </c>
    </row>
    <row r="1711" spans="1:10" ht="25.5">
      <c r="A1711" s="8" t="s">
        <v>80</v>
      </c>
      <c r="B1711" s="1" t="s">
        <v>977</v>
      </c>
      <c r="C1711" s="1" t="s">
        <v>81</v>
      </c>
      <c r="D1711" s="9">
        <v>221727.5</v>
      </c>
      <c r="E1711" s="9">
        <f>E1712</f>
        <v>221727.5</v>
      </c>
      <c r="F1711" s="9">
        <f t="shared" si="843"/>
        <v>68976.399999999994</v>
      </c>
      <c r="G1711" s="9">
        <f t="shared" si="843"/>
        <v>68976.399999999994</v>
      </c>
      <c r="H1711" s="9">
        <f t="shared" si="843"/>
        <v>68976.399999999994</v>
      </c>
      <c r="I1711" s="9">
        <f t="shared" si="821"/>
        <v>31.108635600004508</v>
      </c>
      <c r="J1711" s="9">
        <f t="shared" si="822"/>
        <v>100</v>
      </c>
    </row>
    <row r="1712" spans="1:10">
      <c r="A1712" s="8" t="s">
        <v>82</v>
      </c>
      <c r="B1712" s="1" t="s">
        <v>977</v>
      </c>
      <c r="C1712" s="1" t="s">
        <v>83</v>
      </c>
      <c r="D1712" s="9">
        <v>221727.5</v>
      </c>
      <c r="E1712" s="9">
        <f>ведомство!H809</f>
        <v>221727.5</v>
      </c>
      <c r="F1712" s="9">
        <f>ведомство!I809</f>
        <v>68976.399999999994</v>
      </c>
      <c r="G1712" s="9">
        <f>ведомство!J809</f>
        <v>68976.399999999994</v>
      </c>
      <c r="H1712" s="9">
        <f>ведомство!K809</f>
        <v>68976.399999999994</v>
      </c>
      <c r="I1712" s="9">
        <f t="shared" si="821"/>
        <v>31.108635600004508</v>
      </c>
      <c r="J1712" s="9">
        <f t="shared" si="822"/>
        <v>100</v>
      </c>
    </row>
    <row r="1713" spans="1:10" ht="25.5">
      <c r="A1713" s="26" t="s">
        <v>748</v>
      </c>
      <c r="B1713" s="1" t="s">
        <v>978</v>
      </c>
      <c r="C1713" s="1" t="s">
        <v>0</v>
      </c>
      <c r="D1713" s="9">
        <v>131709</v>
      </c>
      <c r="E1713" s="9">
        <f>E1714+E1716</f>
        <v>131709</v>
      </c>
      <c r="F1713" s="9">
        <f t="shared" ref="F1713:H1713" si="844">F1714+F1716</f>
        <v>94487.34</v>
      </c>
      <c r="G1713" s="9">
        <f t="shared" si="844"/>
        <v>94487.34</v>
      </c>
      <c r="H1713" s="9">
        <f t="shared" si="844"/>
        <v>94487.34</v>
      </c>
      <c r="I1713" s="9">
        <f t="shared" si="821"/>
        <v>71.739471106758074</v>
      </c>
      <c r="J1713" s="9">
        <f t="shared" si="822"/>
        <v>100</v>
      </c>
    </row>
    <row r="1714" spans="1:10" ht="25.5">
      <c r="A1714" s="8" t="s">
        <v>39</v>
      </c>
      <c r="B1714" s="1" t="s">
        <v>978</v>
      </c>
      <c r="C1714" s="1" t="s">
        <v>40</v>
      </c>
      <c r="D1714" s="9">
        <v>49600</v>
      </c>
      <c r="E1714" s="9">
        <f>E1715</f>
        <v>49600</v>
      </c>
      <c r="F1714" s="9">
        <f t="shared" ref="F1714:H1714" si="845">F1715</f>
        <v>33028.74</v>
      </c>
      <c r="G1714" s="9">
        <f t="shared" si="845"/>
        <v>33028.74</v>
      </c>
      <c r="H1714" s="9">
        <f t="shared" si="845"/>
        <v>33028.74</v>
      </c>
      <c r="I1714" s="9">
        <f t="shared" si="821"/>
        <v>66.590201612903215</v>
      </c>
      <c r="J1714" s="9">
        <f t="shared" si="822"/>
        <v>100</v>
      </c>
    </row>
    <row r="1715" spans="1:10" ht="76.5">
      <c r="A1715" s="8" t="s">
        <v>410</v>
      </c>
      <c r="B1715" s="1" t="s">
        <v>978</v>
      </c>
      <c r="C1715" s="1" t="s">
        <v>411</v>
      </c>
      <c r="D1715" s="9">
        <v>49600</v>
      </c>
      <c r="E1715" s="9">
        <f>ведомство!H812</f>
        <v>49600</v>
      </c>
      <c r="F1715" s="9">
        <f>ведомство!I812</f>
        <v>33028.74</v>
      </c>
      <c r="G1715" s="9">
        <f>ведомство!J812</f>
        <v>33028.74</v>
      </c>
      <c r="H1715" s="9">
        <f>ведомство!K812</f>
        <v>33028.74</v>
      </c>
      <c r="I1715" s="9">
        <f t="shared" si="821"/>
        <v>66.590201612903215</v>
      </c>
      <c r="J1715" s="9">
        <f t="shared" si="822"/>
        <v>100</v>
      </c>
    </row>
    <row r="1716" spans="1:10" ht="25.5">
      <c r="A1716" s="8" t="s">
        <v>80</v>
      </c>
      <c r="B1716" s="1" t="s">
        <v>978</v>
      </c>
      <c r="C1716" s="1" t="s">
        <v>81</v>
      </c>
      <c r="D1716" s="9">
        <v>82109</v>
      </c>
      <c r="E1716" s="9">
        <f>E1717</f>
        <v>82109</v>
      </c>
      <c r="F1716" s="9">
        <f t="shared" ref="F1716:H1716" si="846">F1717</f>
        <v>61458.6</v>
      </c>
      <c r="G1716" s="9">
        <f t="shared" si="846"/>
        <v>61458.6</v>
      </c>
      <c r="H1716" s="9">
        <f t="shared" si="846"/>
        <v>61458.6</v>
      </c>
      <c r="I1716" s="9">
        <f t="shared" si="821"/>
        <v>74.85001644155939</v>
      </c>
      <c r="J1716" s="9">
        <f t="shared" si="822"/>
        <v>100</v>
      </c>
    </row>
    <row r="1717" spans="1:10">
      <c r="A1717" s="8" t="s">
        <v>82</v>
      </c>
      <c r="B1717" s="1" t="s">
        <v>978</v>
      </c>
      <c r="C1717" s="1" t="s">
        <v>83</v>
      </c>
      <c r="D1717" s="9">
        <v>82109</v>
      </c>
      <c r="E1717" s="9">
        <f>ведомство!H814</f>
        <v>82109</v>
      </c>
      <c r="F1717" s="9">
        <f>ведомство!I814</f>
        <v>61458.6</v>
      </c>
      <c r="G1717" s="9">
        <f>ведомство!J814</f>
        <v>61458.6</v>
      </c>
      <c r="H1717" s="9">
        <f>ведомство!K814</f>
        <v>61458.6</v>
      </c>
      <c r="I1717" s="9">
        <f t="shared" si="821"/>
        <v>74.85001644155939</v>
      </c>
      <c r="J1717" s="9">
        <f t="shared" si="822"/>
        <v>100</v>
      </c>
    </row>
    <row r="1718" spans="1:10">
      <c r="A1718" s="4" t="s">
        <v>0</v>
      </c>
      <c r="B1718" s="17" t="s">
        <v>0</v>
      </c>
      <c r="C1718" s="5" t="s">
        <v>0</v>
      </c>
      <c r="D1718" s="7" t="s">
        <v>0</v>
      </c>
      <c r="E1718" s="7" t="s">
        <v>0</v>
      </c>
      <c r="F1718" s="7" t="s">
        <v>0</v>
      </c>
      <c r="G1718" s="7" t="s">
        <v>0</v>
      </c>
      <c r="H1718" s="7" t="s">
        <v>0</v>
      </c>
      <c r="I1718" s="7"/>
      <c r="J1718" s="7"/>
    </row>
    <row r="1719" spans="1:10" ht="25.5">
      <c r="A1719" s="35" t="s">
        <v>979</v>
      </c>
      <c r="B1719" s="5" t="s">
        <v>980</v>
      </c>
      <c r="C1719" s="5" t="s">
        <v>0</v>
      </c>
      <c r="D1719" s="7">
        <v>78809.600000000006</v>
      </c>
      <c r="E1719" s="7">
        <f>E1720+E1723</f>
        <v>78809.599999999991</v>
      </c>
      <c r="F1719" s="7">
        <f t="shared" ref="F1719:H1719" si="847">F1720+F1723</f>
        <v>45806.8</v>
      </c>
      <c r="G1719" s="7">
        <f t="shared" si="847"/>
        <v>42612.25</v>
      </c>
      <c r="H1719" s="7">
        <f t="shared" si="847"/>
        <v>42612.25</v>
      </c>
      <c r="I1719" s="7">
        <f t="shared" si="821"/>
        <v>54.069872198310875</v>
      </c>
      <c r="J1719" s="7">
        <f t="shared" si="822"/>
        <v>93.026035435786824</v>
      </c>
    </row>
    <row r="1720" spans="1:10" ht="25.5">
      <c r="A1720" s="8" t="s">
        <v>76</v>
      </c>
      <c r="B1720" s="1" t="s">
        <v>981</v>
      </c>
      <c r="C1720" s="1" t="s">
        <v>0</v>
      </c>
      <c r="D1720" s="9">
        <v>66082.7</v>
      </c>
      <c r="E1720" s="9">
        <f>E1721</f>
        <v>66082.7</v>
      </c>
      <c r="F1720" s="9">
        <f t="shared" ref="F1720:H1721" si="848">F1721</f>
        <v>36079.9</v>
      </c>
      <c r="G1720" s="9">
        <f t="shared" si="848"/>
        <v>32885.35</v>
      </c>
      <c r="H1720" s="9">
        <f t="shared" si="848"/>
        <v>32885.35</v>
      </c>
      <c r="I1720" s="9">
        <f t="shared" si="821"/>
        <v>49.763932163788702</v>
      </c>
      <c r="J1720" s="9">
        <f t="shared" si="822"/>
        <v>91.145901180435644</v>
      </c>
    </row>
    <row r="1721" spans="1:10" ht="25.5">
      <c r="A1721" s="8" t="s">
        <v>80</v>
      </c>
      <c r="B1721" s="1" t="s">
        <v>981</v>
      </c>
      <c r="C1721" s="1" t="s">
        <v>81</v>
      </c>
      <c r="D1721" s="9">
        <v>66082.7</v>
      </c>
      <c r="E1721" s="9">
        <f>E1722</f>
        <v>66082.7</v>
      </c>
      <c r="F1721" s="9">
        <f t="shared" si="848"/>
        <v>36079.9</v>
      </c>
      <c r="G1721" s="9">
        <f t="shared" si="848"/>
        <v>32885.35</v>
      </c>
      <c r="H1721" s="9">
        <f t="shared" si="848"/>
        <v>32885.35</v>
      </c>
      <c r="I1721" s="9">
        <f t="shared" si="821"/>
        <v>49.763932163788702</v>
      </c>
      <c r="J1721" s="9">
        <f t="shared" si="822"/>
        <v>91.145901180435644</v>
      </c>
    </row>
    <row r="1722" spans="1:10">
      <c r="A1722" s="8" t="s">
        <v>82</v>
      </c>
      <c r="B1722" s="1" t="s">
        <v>981</v>
      </c>
      <c r="C1722" s="1" t="s">
        <v>83</v>
      </c>
      <c r="D1722" s="9">
        <v>66082.7</v>
      </c>
      <c r="E1722" s="9">
        <f>ведомство!H818</f>
        <v>66082.7</v>
      </c>
      <c r="F1722" s="9">
        <f>ведомство!I818</f>
        <v>36079.9</v>
      </c>
      <c r="G1722" s="9">
        <f>ведомство!J818</f>
        <v>32885.35</v>
      </c>
      <c r="H1722" s="9">
        <f>ведомство!K818</f>
        <v>32885.35</v>
      </c>
      <c r="I1722" s="9">
        <f t="shared" si="821"/>
        <v>49.763932163788702</v>
      </c>
      <c r="J1722" s="9">
        <f t="shared" si="822"/>
        <v>91.145901180435644</v>
      </c>
    </row>
    <row r="1723" spans="1:10" ht="25.5">
      <c r="A1723" s="26" t="s">
        <v>748</v>
      </c>
      <c r="B1723" s="1" t="s">
        <v>982</v>
      </c>
      <c r="C1723" s="1" t="s">
        <v>0</v>
      </c>
      <c r="D1723" s="9">
        <v>12726.9</v>
      </c>
      <c r="E1723" s="9">
        <f>E1724</f>
        <v>12726.9</v>
      </c>
      <c r="F1723" s="9">
        <f t="shared" ref="F1723:H1724" si="849">F1724</f>
        <v>9726.9</v>
      </c>
      <c r="G1723" s="9">
        <f t="shared" si="849"/>
        <v>9726.9</v>
      </c>
      <c r="H1723" s="9">
        <f t="shared" si="849"/>
        <v>9726.9</v>
      </c>
      <c r="I1723" s="9">
        <f t="shared" ref="I1723:I1787" si="850">H1723/E1723*100</f>
        <v>76.427881102232277</v>
      </c>
      <c r="J1723" s="9">
        <f t="shared" ref="J1723:J1786" si="851">H1723/F1723*100</f>
        <v>100</v>
      </c>
    </row>
    <row r="1724" spans="1:10" ht="25.5">
      <c r="A1724" s="8" t="s">
        <v>80</v>
      </c>
      <c r="B1724" s="1" t="s">
        <v>982</v>
      </c>
      <c r="C1724" s="1" t="s">
        <v>81</v>
      </c>
      <c r="D1724" s="9">
        <v>12726.9</v>
      </c>
      <c r="E1724" s="9">
        <f>E1725</f>
        <v>12726.9</v>
      </c>
      <c r="F1724" s="9">
        <f t="shared" si="849"/>
        <v>9726.9</v>
      </c>
      <c r="G1724" s="9">
        <f t="shared" si="849"/>
        <v>9726.9</v>
      </c>
      <c r="H1724" s="9">
        <f t="shared" si="849"/>
        <v>9726.9</v>
      </c>
      <c r="I1724" s="9">
        <f t="shared" si="850"/>
        <v>76.427881102232277</v>
      </c>
      <c r="J1724" s="9">
        <f t="shared" si="851"/>
        <v>100</v>
      </c>
    </row>
    <row r="1725" spans="1:10">
      <c r="A1725" s="8" t="s">
        <v>82</v>
      </c>
      <c r="B1725" s="1" t="s">
        <v>982</v>
      </c>
      <c r="C1725" s="1" t="s">
        <v>83</v>
      </c>
      <c r="D1725" s="9">
        <v>12726.9</v>
      </c>
      <c r="E1725" s="9">
        <f>ведомство!H821</f>
        <v>12726.9</v>
      </c>
      <c r="F1725" s="9">
        <f>ведомство!I821</f>
        <v>9726.9</v>
      </c>
      <c r="G1725" s="9">
        <f>ведомство!J821</f>
        <v>9726.9</v>
      </c>
      <c r="H1725" s="9">
        <f>ведомство!K821</f>
        <v>9726.9</v>
      </c>
      <c r="I1725" s="9">
        <f t="shared" si="850"/>
        <v>76.427881102232277</v>
      </c>
      <c r="J1725" s="9">
        <f t="shared" si="851"/>
        <v>100</v>
      </c>
    </row>
    <row r="1726" spans="1:10">
      <c r="A1726" s="4" t="s">
        <v>0</v>
      </c>
      <c r="B1726" s="17" t="s">
        <v>0</v>
      </c>
      <c r="C1726" s="5" t="s">
        <v>0</v>
      </c>
      <c r="D1726" s="7" t="s">
        <v>0</v>
      </c>
      <c r="E1726" s="7" t="s">
        <v>0</v>
      </c>
      <c r="F1726" s="7" t="s">
        <v>0</v>
      </c>
      <c r="G1726" s="7" t="s">
        <v>0</v>
      </c>
      <c r="H1726" s="7" t="s">
        <v>0</v>
      </c>
      <c r="I1726" s="7"/>
      <c r="J1726" s="7"/>
    </row>
    <row r="1727" spans="1:10" ht="38.25">
      <c r="A1727" s="4" t="s">
        <v>1070</v>
      </c>
      <c r="B1727" s="5" t="s">
        <v>1071</v>
      </c>
      <c r="C1727" s="5" t="s">
        <v>0</v>
      </c>
      <c r="D1727" s="7">
        <v>86643.4</v>
      </c>
      <c r="E1727" s="7">
        <f>E1728+E1735+E1738</f>
        <v>86643.4</v>
      </c>
      <c r="F1727" s="7">
        <f t="shared" ref="F1727:H1727" si="852">F1728+F1735+F1738</f>
        <v>37761</v>
      </c>
      <c r="G1727" s="7">
        <f t="shared" si="852"/>
        <v>37761</v>
      </c>
      <c r="H1727" s="7">
        <f t="shared" si="852"/>
        <v>34977.108549999997</v>
      </c>
      <c r="I1727" s="7">
        <f t="shared" si="850"/>
        <v>40.369039707583035</v>
      </c>
      <c r="J1727" s="7">
        <f t="shared" si="851"/>
        <v>92.62760136119276</v>
      </c>
    </row>
    <row r="1728" spans="1:10" ht="25.5">
      <c r="A1728" s="8" t="s">
        <v>58</v>
      </c>
      <c r="B1728" s="1" t="s">
        <v>1077</v>
      </c>
      <c r="C1728" s="1" t="s">
        <v>0</v>
      </c>
      <c r="D1728" s="9">
        <v>21141.7</v>
      </c>
      <c r="E1728" s="9">
        <f>E1729+E1731+E1733</f>
        <v>21141.7</v>
      </c>
      <c r="F1728" s="9">
        <f t="shared" ref="F1728:H1728" si="853">F1729+F1731+F1733</f>
        <v>10690</v>
      </c>
      <c r="G1728" s="9">
        <f t="shared" si="853"/>
        <v>10690</v>
      </c>
      <c r="H1728" s="9">
        <f t="shared" si="853"/>
        <v>9532.0050900000006</v>
      </c>
      <c r="I1728" s="9">
        <f t="shared" si="850"/>
        <v>45.086275417776243</v>
      </c>
      <c r="J1728" s="9">
        <f t="shared" si="851"/>
        <v>89.167493826005611</v>
      </c>
    </row>
    <row r="1729" spans="1:10" ht="51">
      <c r="A1729" s="8" t="s">
        <v>60</v>
      </c>
      <c r="B1729" s="1" t="s">
        <v>1077</v>
      </c>
      <c r="C1729" s="1" t="s">
        <v>61</v>
      </c>
      <c r="D1729" s="9">
        <v>20194.5</v>
      </c>
      <c r="E1729" s="9">
        <f>E1730</f>
        <v>20194.5</v>
      </c>
      <c r="F1729" s="9">
        <f t="shared" ref="F1729:H1729" si="854">F1730</f>
        <v>10250</v>
      </c>
      <c r="G1729" s="9">
        <f t="shared" si="854"/>
        <v>10250</v>
      </c>
      <c r="H1729" s="9">
        <f t="shared" si="854"/>
        <v>9164.0835800000004</v>
      </c>
      <c r="I1729" s="9">
        <f t="shared" si="850"/>
        <v>45.379106093243209</v>
      </c>
      <c r="J1729" s="9">
        <f t="shared" si="851"/>
        <v>89.405693463414636</v>
      </c>
    </row>
    <row r="1730" spans="1:10" ht="25.5">
      <c r="A1730" s="8" t="s">
        <v>62</v>
      </c>
      <c r="B1730" s="1" t="s">
        <v>1077</v>
      </c>
      <c r="C1730" s="1" t="s">
        <v>63</v>
      </c>
      <c r="D1730" s="9">
        <v>20194.5</v>
      </c>
      <c r="E1730" s="9">
        <f>ведомство!H2624</f>
        <v>20194.5</v>
      </c>
      <c r="F1730" s="9">
        <f>ведомство!I2624</f>
        <v>10250</v>
      </c>
      <c r="G1730" s="9">
        <f>ведомство!J2624</f>
        <v>10250</v>
      </c>
      <c r="H1730" s="9">
        <f>ведомство!K2624</f>
        <v>9164.0835800000004</v>
      </c>
      <c r="I1730" s="9">
        <f t="shared" si="850"/>
        <v>45.379106093243209</v>
      </c>
      <c r="J1730" s="9">
        <f t="shared" si="851"/>
        <v>89.405693463414636</v>
      </c>
    </row>
    <row r="1731" spans="1:10" ht="25.5">
      <c r="A1731" s="8" t="s">
        <v>64</v>
      </c>
      <c r="B1731" s="1" t="s">
        <v>1077</v>
      </c>
      <c r="C1731" s="1" t="s">
        <v>65</v>
      </c>
      <c r="D1731" s="9">
        <v>945.2</v>
      </c>
      <c r="E1731" s="9">
        <f>E1732</f>
        <v>945.2</v>
      </c>
      <c r="F1731" s="9">
        <f t="shared" ref="F1731:H1731" si="855">F1732</f>
        <v>440</v>
      </c>
      <c r="G1731" s="9">
        <f t="shared" si="855"/>
        <v>440</v>
      </c>
      <c r="H1731" s="9">
        <f t="shared" si="855"/>
        <v>367.92151000000001</v>
      </c>
      <c r="I1731" s="9">
        <f t="shared" si="850"/>
        <v>38.925254972492596</v>
      </c>
      <c r="J1731" s="9">
        <f t="shared" si="851"/>
        <v>83.618525000000005</v>
      </c>
    </row>
    <row r="1732" spans="1:10" ht="25.5">
      <c r="A1732" s="8" t="s">
        <v>66</v>
      </c>
      <c r="B1732" s="1" t="s">
        <v>1077</v>
      </c>
      <c r="C1732" s="1" t="s">
        <v>67</v>
      </c>
      <c r="D1732" s="9">
        <v>945.2</v>
      </c>
      <c r="E1732" s="9">
        <f>ведомство!H2626</f>
        <v>945.2</v>
      </c>
      <c r="F1732" s="9">
        <f>ведомство!I2626</f>
        <v>440</v>
      </c>
      <c r="G1732" s="9">
        <f>ведомство!J2626</f>
        <v>440</v>
      </c>
      <c r="H1732" s="9">
        <f>ведомство!K2626</f>
        <v>367.92151000000001</v>
      </c>
      <c r="I1732" s="9">
        <f t="shared" si="850"/>
        <v>38.925254972492596</v>
      </c>
      <c r="J1732" s="9">
        <f t="shared" si="851"/>
        <v>83.618525000000005</v>
      </c>
    </row>
    <row r="1733" spans="1:10">
      <c r="A1733" s="8" t="s">
        <v>72</v>
      </c>
      <c r="B1733" s="1" t="s">
        <v>1077</v>
      </c>
      <c r="C1733" s="1" t="s">
        <v>73</v>
      </c>
      <c r="D1733" s="9">
        <v>2</v>
      </c>
      <c r="E1733" s="9">
        <f>E1734</f>
        <v>2</v>
      </c>
      <c r="F1733" s="9">
        <f t="shared" ref="F1733:H1733" si="856">F1734</f>
        <v>0</v>
      </c>
      <c r="G1733" s="9">
        <f t="shared" si="856"/>
        <v>0</v>
      </c>
      <c r="H1733" s="9">
        <f t="shared" si="856"/>
        <v>0</v>
      </c>
      <c r="I1733" s="9">
        <f t="shared" si="850"/>
        <v>0</v>
      </c>
      <c r="J1733" s="9">
        <v>0</v>
      </c>
    </row>
    <row r="1734" spans="1:10">
      <c r="A1734" s="8" t="s">
        <v>74</v>
      </c>
      <c r="B1734" s="1" t="s">
        <v>1077</v>
      </c>
      <c r="C1734" s="1" t="s">
        <v>75</v>
      </c>
      <c r="D1734" s="9">
        <v>2</v>
      </c>
      <c r="E1734" s="9">
        <f>ведомство!H2628</f>
        <v>2</v>
      </c>
      <c r="F1734" s="9">
        <f>ведомство!I2628</f>
        <v>0</v>
      </c>
      <c r="G1734" s="9">
        <f>ведомство!J2628</f>
        <v>0</v>
      </c>
      <c r="H1734" s="9">
        <f>ведомство!K2628</f>
        <v>0</v>
      </c>
      <c r="I1734" s="9">
        <f t="shared" si="850"/>
        <v>0</v>
      </c>
      <c r="J1734" s="9">
        <v>0</v>
      </c>
    </row>
    <row r="1735" spans="1:10" ht="25.5">
      <c r="A1735" s="8" t="s">
        <v>76</v>
      </c>
      <c r="B1735" s="1" t="s">
        <v>1072</v>
      </c>
      <c r="C1735" s="1" t="s">
        <v>0</v>
      </c>
      <c r="D1735" s="9">
        <v>40142.699999999997</v>
      </c>
      <c r="E1735" s="9">
        <f>E1736</f>
        <v>40142.699999999997</v>
      </c>
      <c r="F1735" s="9">
        <f t="shared" ref="F1735:H1736" si="857">F1736</f>
        <v>20071</v>
      </c>
      <c r="G1735" s="9">
        <f t="shared" si="857"/>
        <v>20071</v>
      </c>
      <c r="H1735" s="9">
        <f t="shared" si="857"/>
        <v>20071</v>
      </c>
      <c r="I1735" s="9">
        <f t="shared" si="850"/>
        <v>49.999128110465918</v>
      </c>
      <c r="J1735" s="9">
        <f t="shared" si="851"/>
        <v>100</v>
      </c>
    </row>
    <row r="1736" spans="1:10" ht="25.5">
      <c r="A1736" s="8" t="s">
        <v>80</v>
      </c>
      <c r="B1736" s="1" t="s">
        <v>1072</v>
      </c>
      <c r="C1736" s="1" t="s">
        <v>81</v>
      </c>
      <c r="D1736" s="9">
        <v>40142.699999999997</v>
      </c>
      <c r="E1736" s="9">
        <f>E1737</f>
        <v>40142.699999999997</v>
      </c>
      <c r="F1736" s="9">
        <f t="shared" si="857"/>
        <v>20071</v>
      </c>
      <c r="G1736" s="9">
        <f t="shared" si="857"/>
        <v>20071</v>
      </c>
      <c r="H1736" s="9">
        <f t="shared" si="857"/>
        <v>20071</v>
      </c>
      <c r="I1736" s="9">
        <f t="shared" si="850"/>
        <v>49.999128110465918</v>
      </c>
      <c r="J1736" s="9">
        <f t="shared" si="851"/>
        <v>100</v>
      </c>
    </row>
    <row r="1737" spans="1:10">
      <c r="A1737" s="8" t="s">
        <v>82</v>
      </c>
      <c r="B1737" s="1" t="s">
        <v>1072</v>
      </c>
      <c r="C1737" s="1" t="s">
        <v>83</v>
      </c>
      <c r="D1737" s="9">
        <v>40142.699999999997</v>
      </c>
      <c r="E1737" s="9">
        <f>ведомство!H2604</f>
        <v>40142.699999999997</v>
      </c>
      <c r="F1737" s="9">
        <f>ведомство!I2604</f>
        <v>20071</v>
      </c>
      <c r="G1737" s="9">
        <f>ведомство!J2604</f>
        <v>20071</v>
      </c>
      <c r="H1737" s="9">
        <f>ведомство!K2604</f>
        <v>20071</v>
      </c>
      <c r="I1737" s="9">
        <f t="shared" si="850"/>
        <v>49.999128110465918</v>
      </c>
      <c r="J1737" s="9">
        <f t="shared" si="851"/>
        <v>100</v>
      </c>
    </row>
    <row r="1738" spans="1:10">
      <c r="A1738" s="8" t="s">
        <v>1074</v>
      </c>
      <c r="B1738" s="1" t="s">
        <v>1078</v>
      </c>
      <c r="C1738" s="1" t="s">
        <v>0</v>
      </c>
      <c r="D1738" s="9">
        <v>25359</v>
      </c>
      <c r="E1738" s="9">
        <f>E1739</f>
        <v>25359</v>
      </c>
      <c r="F1738" s="9">
        <f t="shared" ref="F1738:H1739" si="858">F1739</f>
        <v>7000</v>
      </c>
      <c r="G1738" s="9">
        <f t="shared" si="858"/>
        <v>7000</v>
      </c>
      <c r="H1738" s="9">
        <f t="shared" si="858"/>
        <v>5374.1034600000003</v>
      </c>
      <c r="I1738" s="9">
        <f t="shared" si="850"/>
        <v>21.192095350763044</v>
      </c>
      <c r="J1738" s="9">
        <f t="shared" si="851"/>
        <v>76.772906571428578</v>
      </c>
    </row>
    <row r="1739" spans="1:10" ht="25.5">
      <c r="A1739" s="8" t="s">
        <v>64</v>
      </c>
      <c r="B1739" s="1" t="s">
        <v>1078</v>
      </c>
      <c r="C1739" s="1" t="s">
        <v>65</v>
      </c>
      <c r="D1739" s="9">
        <v>25359</v>
      </c>
      <c r="E1739" s="9">
        <f>E1740</f>
        <v>25359</v>
      </c>
      <c r="F1739" s="9">
        <f t="shared" si="858"/>
        <v>7000</v>
      </c>
      <c r="G1739" s="9">
        <f t="shared" si="858"/>
        <v>7000</v>
      </c>
      <c r="H1739" s="9">
        <f t="shared" si="858"/>
        <v>5374.1034600000003</v>
      </c>
      <c r="I1739" s="9">
        <f t="shared" si="850"/>
        <v>21.192095350763044</v>
      </c>
      <c r="J1739" s="9">
        <f t="shared" si="851"/>
        <v>76.772906571428578</v>
      </c>
    </row>
    <row r="1740" spans="1:10" ht="25.5">
      <c r="A1740" s="8" t="s">
        <v>66</v>
      </c>
      <c r="B1740" s="1" t="s">
        <v>1078</v>
      </c>
      <c r="C1740" s="1" t="s">
        <v>67</v>
      </c>
      <c r="D1740" s="9">
        <v>25359</v>
      </c>
      <c r="E1740" s="9">
        <f>ведомство!H2631</f>
        <v>25359</v>
      </c>
      <c r="F1740" s="9">
        <f>ведомство!I2631</f>
        <v>7000</v>
      </c>
      <c r="G1740" s="9">
        <f>ведомство!J2631</f>
        <v>7000</v>
      </c>
      <c r="H1740" s="9">
        <f>ведомство!K2631</f>
        <v>5374.1034600000003</v>
      </c>
      <c r="I1740" s="9">
        <f t="shared" si="850"/>
        <v>21.192095350763044</v>
      </c>
      <c r="J1740" s="9">
        <f t="shared" si="851"/>
        <v>76.772906571428578</v>
      </c>
    </row>
    <row r="1741" spans="1:10">
      <c r="A1741" s="4" t="s">
        <v>0</v>
      </c>
      <c r="B1741" s="17" t="s">
        <v>0</v>
      </c>
      <c r="C1741" s="5" t="s">
        <v>0</v>
      </c>
      <c r="D1741" s="7" t="s">
        <v>0</v>
      </c>
      <c r="E1741" s="7" t="s">
        <v>0</v>
      </c>
      <c r="F1741" s="7" t="s">
        <v>0</v>
      </c>
      <c r="G1741" s="7" t="s">
        <v>0</v>
      </c>
      <c r="H1741" s="7" t="s">
        <v>0</v>
      </c>
      <c r="I1741" s="7"/>
      <c r="J1741" s="7"/>
    </row>
    <row r="1742" spans="1:10" ht="25.5">
      <c r="A1742" s="35" t="s">
        <v>736</v>
      </c>
      <c r="B1742" s="5" t="s">
        <v>737</v>
      </c>
      <c r="C1742" s="5" t="s">
        <v>0</v>
      </c>
      <c r="D1742" s="7">
        <v>838314.9</v>
      </c>
      <c r="E1742" s="7">
        <f>E1743+E1750+E1757+E1760+E1770</f>
        <v>833282.46175000002</v>
      </c>
      <c r="F1742" s="7">
        <f t="shared" ref="F1742:H1742" si="859">F1743+F1750+F1757+F1760+F1770</f>
        <v>415739.90783000004</v>
      </c>
      <c r="G1742" s="7">
        <f t="shared" si="859"/>
        <v>408727.24219999998</v>
      </c>
      <c r="H1742" s="7">
        <f t="shared" si="859"/>
        <v>388075.59493000002</v>
      </c>
      <c r="I1742" s="7">
        <f t="shared" si="850"/>
        <v>46.571914416030253</v>
      </c>
      <c r="J1742" s="7">
        <f t="shared" si="851"/>
        <v>93.345764412082318</v>
      </c>
    </row>
    <row r="1743" spans="1:10" ht="76.5">
      <c r="A1743" s="8" t="s">
        <v>1061</v>
      </c>
      <c r="B1743" s="1" t="s">
        <v>1062</v>
      </c>
      <c r="C1743" s="1" t="s">
        <v>0</v>
      </c>
      <c r="D1743" s="9">
        <v>73927.600000000006</v>
      </c>
      <c r="E1743" s="9">
        <f>E1744+E1746+E1748</f>
        <v>73927.599999999991</v>
      </c>
      <c r="F1743" s="9">
        <f t="shared" ref="F1743:H1743" si="860">F1744+F1746+F1748</f>
        <v>38145.699999999997</v>
      </c>
      <c r="G1743" s="9">
        <f t="shared" si="860"/>
        <v>38145.699999999997</v>
      </c>
      <c r="H1743" s="9">
        <f t="shared" si="860"/>
        <v>35913.401330000001</v>
      </c>
      <c r="I1743" s="9">
        <f t="shared" si="850"/>
        <v>48.579152211082203</v>
      </c>
      <c r="J1743" s="9">
        <f t="shared" si="851"/>
        <v>94.147967739483093</v>
      </c>
    </row>
    <row r="1744" spans="1:10" ht="51">
      <c r="A1744" s="8" t="s">
        <v>60</v>
      </c>
      <c r="B1744" s="1" t="s">
        <v>1062</v>
      </c>
      <c r="C1744" s="1" t="s">
        <v>61</v>
      </c>
      <c r="D1744" s="9">
        <v>58765.9</v>
      </c>
      <c r="E1744" s="9">
        <f>E1745</f>
        <v>58765.9</v>
      </c>
      <c r="F1744" s="9">
        <f t="shared" ref="F1744:H1744" si="861">F1745</f>
        <v>32907.199999999997</v>
      </c>
      <c r="G1744" s="9">
        <f t="shared" si="861"/>
        <v>32907.199999999997</v>
      </c>
      <c r="H1744" s="9">
        <f t="shared" si="861"/>
        <v>30959.914670000002</v>
      </c>
      <c r="I1744" s="9">
        <f t="shared" si="850"/>
        <v>52.683468933514163</v>
      </c>
      <c r="J1744" s="9">
        <f t="shared" si="851"/>
        <v>94.082494621237927</v>
      </c>
    </row>
    <row r="1745" spans="1:10" ht="25.5">
      <c r="A1745" s="8" t="s">
        <v>62</v>
      </c>
      <c r="B1745" s="1" t="s">
        <v>1062</v>
      </c>
      <c r="C1745" s="1" t="s">
        <v>63</v>
      </c>
      <c r="D1745" s="9">
        <v>58765.9</v>
      </c>
      <c r="E1745" s="9">
        <f>ведомство!H2574</f>
        <v>58765.9</v>
      </c>
      <c r="F1745" s="9">
        <f>ведомство!I2574</f>
        <v>32907.199999999997</v>
      </c>
      <c r="G1745" s="9">
        <f>ведомство!J2574</f>
        <v>32907.199999999997</v>
      </c>
      <c r="H1745" s="9">
        <f>ведомство!K2574</f>
        <v>30959.914670000002</v>
      </c>
      <c r="I1745" s="9">
        <f t="shared" si="850"/>
        <v>52.683468933514163</v>
      </c>
      <c r="J1745" s="9">
        <f t="shared" si="851"/>
        <v>94.082494621237927</v>
      </c>
    </row>
    <row r="1746" spans="1:10" ht="25.5">
      <c r="A1746" s="8" t="s">
        <v>64</v>
      </c>
      <c r="B1746" s="1" t="s">
        <v>1062</v>
      </c>
      <c r="C1746" s="1" t="s">
        <v>65</v>
      </c>
      <c r="D1746" s="9">
        <v>14523</v>
      </c>
      <c r="E1746" s="9">
        <f>E1747</f>
        <v>14523</v>
      </c>
      <c r="F1746" s="9">
        <f t="shared" ref="F1746:H1746" si="862">F1747</f>
        <v>5036.5</v>
      </c>
      <c r="G1746" s="9">
        <f t="shared" si="862"/>
        <v>5036.5</v>
      </c>
      <c r="H1746" s="9">
        <f t="shared" si="862"/>
        <v>4760.0672400000003</v>
      </c>
      <c r="I1746" s="9">
        <f t="shared" si="850"/>
        <v>32.776060318116095</v>
      </c>
      <c r="J1746" s="9">
        <f t="shared" si="851"/>
        <v>94.511411496078637</v>
      </c>
    </row>
    <row r="1747" spans="1:10" ht="25.5">
      <c r="A1747" s="8" t="s">
        <v>66</v>
      </c>
      <c r="B1747" s="1" t="s">
        <v>1062</v>
      </c>
      <c r="C1747" s="1" t="s">
        <v>67</v>
      </c>
      <c r="D1747" s="9">
        <v>14523</v>
      </c>
      <c r="E1747" s="9">
        <f>ведомство!H2576</f>
        <v>14523</v>
      </c>
      <c r="F1747" s="9">
        <f>ведомство!I2576</f>
        <v>5036.5</v>
      </c>
      <c r="G1747" s="9">
        <f>ведомство!J2576</f>
        <v>5036.5</v>
      </c>
      <c r="H1747" s="9">
        <f>ведомство!K2576</f>
        <v>4760.0672400000003</v>
      </c>
      <c r="I1747" s="9">
        <f t="shared" si="850"/>
        <v>32.776060318116095</v>
      </c>
      <c r="J1747" s="9">
        <f t="shared" si="851"/>
        <v>94.511411496078637</v>
      </c>
    </row>
    <row r="1748" spans="1:10">
      <c r="A1748" s="8" t="s">
        <v>72</v>
      </c>
      <c r="B1748" s="1" t="s">
        <v>1062</v>
      </c>
      <c r="C1748" s="1" t="s">
        <v>73</v>
      </c>
      <c r="D1748" s="9">
        <v>638.70000000000005</v>
      </c>
      <c r="E1748" s="9">
        <f>E1749</f>
        <v>638.70000000000005</v>
      </c>
      <c r="F1748" s="9">
        <f t="shared" ref="F1748:H1748" si="863">F1749</f>
        <v>202</v>
      </c>
      <c r="G1748" s="9">
        <f t="shared" si="863"/>
        <v>202</v>
      </c>
      <c r="H1748" s="9">
        <f t="shared" si="863"/>
        <v>193.41942</v>
      </c>
      <c r="I1748" s="9">
        <f t="shared" si="850"/>
        <v>30.283297322686703</v>
      </c>
      <c r="J1748" s="9">
        <f t="shared" si="851"/>
        <v>95.752188118811887</v>
      </c>
    </row>
    <row r="1749" spans="1:10">
      <c r="A1749" s="8" t="s">
        <v>74</v>
      </c>
      <c r="B1749" s="1" t="s">
        <v>1062</v>
      </c>
      <c r="C1749" s="1" t="s">
        <v>75</v>
      </c>
      <c r="D1749" s="9">
        <v>638.70000000000005</v>
      </c>
      <c r="E1749" s="9">
        <f>ведомство!H2578</f>
        <v>638.70000000000005</v>
      </c>
      <c r="F1749" s="9">
        <f>ведомство!I2578</f>
        <v>202</v>
      </c>
      <c r="G1749" s="9">
        <f>ведомство!J2578</f>
        <v>202</v>
      </c>
      <c r="H1749" s="9">
        <f>ведомство!K2578</f>
        <v>193.41942</v>
      </c>
      <c r="I1749" s="9">
        <f t="shared" si="850"/>
        <v>30.283297322686703</v>
      </c>
      <c r="J1749" s="9">
        <f t="shared" si="851"/>
        <v>95.752188118811887</v>
      </c>
    </row>
    <row r="1750" spans="1:10" ht="25.5">
      <c r="A1750" s="8" t="s">
        <v>58</v>
      </c>
      <c r="B1750" s="1" t="s">
        <v>738</v>
      </c>
      <c r="C1750" s="1" t="s">
        <v>0</v>
      </c>
      <c r="D1750" s="9">
        <v>410713.59999999998</v>
      </c>
      <c r="E1750" s="9">
        <f>E1751+E1753+E1755</f>
        <v>436803.75907000003</v>
      </c>
      <c r="F1750" s="9">
        <f t="shared" ref="F1750:H1750" si="864">F1751+F1753+F1755</f>
        <v>225942.28515000001</v>
      </c>
      <c r="G1750" s="9">
        <f t="shared" si="864"/>
        <v>221836.68515</v>
      </c>
      <c r="H1750" s="9">
        <f t="shared" si="864"/>
        <v>209432.15857000003</v>
      </c>
      <c r="I1750" s="9">
        <f t="shared" si="850"/>
        <v>47.946510125256836</v>
      </c>
      <c r="J1750" s="9">
        <f t="shared" si="851"/>
        <v>92.692768169075066</v>
      </c>
    </row>
    <row r="1751" spans="1:10" ht="51">
      <c r="A1751" s="8" t="s">
        <v>60</v>
      </c>
      <c r="B1751" s="1" t="s">
        <v>738</v>
      </c>
      <c r="C1751" s="1" t="s">
        <v>61</v>
      </c>
      <c r="D1751" s="9">
        <v>323077.7</v>
      </c>
      <c r="E1751" s="9">
        <f>E1752</f>
        <v>353869.08192000003</v>
      </c>
      <c r="F1751" s="9">
        <f t="shared" ref="F1751:H1751" si="865">F1752</f>
        <v>179560.99400000001</v>
      </c>
      <c r="G1751" s="9">
        <f t="shared" si="865"/>
        <v>176155.394</v>
      </c>
      <c r="H1751" s="9">
        <f t="shared" si="865"/>
        <v>167594.12588000001</v>
      </c>
      <c r="I1751" s="9">
        <f t="shared" si="850"/>
        <v>47.360488509105856</v>
      </c>
      <c r="J1751" s="9">
        <f t="shared" si="851"/>
        <v>93.335485701309935</v>
      </c>
    </row>
    <row r="1752" spans="1:10" ht="25.5">
      <c r="A1752" s="8" t="s">
        <v>62</v>
      </c>
      <c r="B1752" s="1" t="s">
        <v>738</v>
      </c>
      <c r="C1752" s="1" t="s">
        <v>63</v>
      </c>
      <c r="D1752" s="9">
        <v>323077.7</v>
      </c>
      <c r="E1752" s="9">
        <f>ведомство!H834+ведомство!H2245+ведомство!H2323+ведомство!H2640</f>
        <v>353869.08192000003</v>
      </c>
      <c r="F1752" s="9">
        <f>ведомство!I834+ведомство!I2245+ведомство!I2323+ведомство!I2640</f>
        <v>179560.99400000001</v>
      </c>
      <c r="G1752" s="9">
        <f>ведомство!J834+ведомство!J2245+ведомство!J2323+ведомство!J2640</f>
        <v>176155.394</v>
      </c>
      <c r="H1752" s="9">
        <f>ведомство!K834+ведомство!K2245+ведомство!K2323+ведомство!K2640</f>
        <v>167594.12588000001</v>
      </c>
      <c r="I1752" s="9">
        <f t="shared" si="850"/>
        <v>47.360488509105856</v>
      </c>
      <c r="J1752" s="9">
        <f t="shared" si="851"/>
        <v>93.335485701309935</v>
      </c>
    </row>
    <row r="1753" spans="1:10" ht="25.5">
      <c r="A1753" s="8" t="s">
        <v>64</v>
      </c>
      <c r="B1753" s="1" t="s">
        <v>738</v>
      </c>
      <c r="C1753" s="1" t="s">
        <v>65</v>
      </c>
      <c r="D1753" s="9">
        <v>85842.8</v>
      </c>
      <c r="E1753" s="9">
        <f>E1754</f>
        <v>81141.577149999997</v>
      </c>
      <c r="F1753" s="9">
        <f t="shared" ref="F1753:H1753" si="866">F1754</f>
        <v>45493.291150000005</v>
      </c>
      <c r="G1753" s="9">
        <f t="shared" si="866"/>
        <v>44793.291150000005</v>
      </c>
      <c r="H1753" s="9">
        <f t="shared" si="866"/>
        <v>41081.887759999998</v>
      </c>
      <c r="I1753" s="9">
        <f t="shared" si="850"/>
        <v>50.629885692331534</v>
      </c>
      <c r="J1753" s="9">
        <f t="shared" si="851"/>
        <v>90.303178164325871</v>
      </c>
    </row>
    <row r="1754" spans="1:10" ht="25.5">
      <c r="A1754" s="8" t="s">
        <v>66</v>
      </c>
      <c r="B1754" s="1" t="s">
        <v>738</v>
      </c>
      <c r="C1754" s="1" t="s">
        <v>67</v>
      </c>
      <c r="D1754" s="9">
        <v>85842.8</v>
      </c>
      <c r="E1754" s="9">
        <f>ведомство!H2642+ведомство!H2325+ведомство!H2247+ведомство!H836</f>
        <v>81141.577149999997</v>
      </c>
      <c r="F1754" s="9">
        <f>ведомство!I2642+ведомство!I2325+ведомство!I2247+ведомство!I836</f>
        <v>45493.291150000005</v>
      </c>
      <c r="G1754" s="9">
        <f>ведомство!J2642+ведомство!J2325+ведомство!J2247+ведомство!J836</f>
        <v>44793.291150000005</v>
      </c>
      <c r="H1754" s="9">
        <f>ведомство!K2642+ведомство!K2325+ведомство!K2247+ведомство!K836</f>
        <v>41081.887759999998</v>
      </c>
      <c r="I1754" s="9">
        <f t="shared" si="850"/>
        <v>50.629885692331534</v>
      </c>
      <c r="J1754" s="9">
        <f t="shared" si="851"/>
        <v>90.303178164325871</v>
      </c>
    </row>
    <row r="1755" spans="1:10">
      <c r="A1755" s="8" t="s">
        <v>72</v>
      </c>
      <c r="B1755" s="1" t="s">
        <v>738</v>
      </c>
      <c r="C1755" s="1" t="s">
        <v>73</v>
      </c>
      <c r="D1755" s="9">
        <v>1793.1</v>
      </c>
      <c r="E1755" s="9">
        <f>E1756</f>
        <v>1793.1</v>
      </c>
      <c r="F1755" s="9">
        <f t="shared" ref="F1755:H1755" si="867">F1756</f>
        <v>888</v>
      </c>
      <c r="G1755" s="9">
        <f t="shared" si="867"/>
        <v>888</v>
      </c>
      <c r="H1755" s="9">
        <f t="shared" si="867"/>
        <v>756.14493000000004</v>
      </c>
      <c r="I1755" s="9">
        <f t="shared" si="850"/>
        <v>42.169702191734984</v>
      </c>
      <c r="J1755" s="9">
        <f t="shared" si="851"/>
        <v>85.151456081081093</v>
      </c>
    </row>
    <row r="1756" spans="1:10">
      <c r="A1756" s="8" t="s">
        <v>74</v>
      </c>
      <c r="B1756" s="1" t="s">
        <v>738</v>
      </c>
      <c r="C1756" s="1" t="s">
        <v>75</v>
      </c>
      <c r="D1756" s="9">
        <v>1793.1</v>
      </c>
      <c r="E1756" s="9">
        <f>ведомство!H2249+ведомство!H2327+ведомство!H2644</f>
        <v>1793.1</v>
      </c>
      <c r="F1756" s="9">
        <f>ведомство!I2249+ведомство!I2327+ведомство!I2644</f>
        <v>888</v>
      </c>
      <c r="G1756" s="9">
        <f>ведомство!J2249+ведомство!J2327+ведомство!J2644</f>
        <v>888</v>
      </c>
      <c r="H1756" s="9">
        <f>ведомство!K2249+ведомство!K2327+ведомство!K2644</f>
        <v>756.14493000000004</v>
      </c>
      <c r="I1756" s="9">
        <f t="shared" si="850"/>
        <v>42.169702191734984</v>
      </c>
      <c r="J1756" s="9">
        <f t="shared" si="851"/>
        <v>85.151456081081093</v>
      </c>
    </row>
    <row r="1757" spans="1:10">
      <c r="A1757" s="8" t="s">
        <v>609</v>
      </c>
      <c r="B1757" s="1" t="s">
        <v>947</v>
      </c>
      <c r="C1757" s="1" t="s">
        <v>0</v>
      </c>
      <c r="D1757" s="9">
        <v>8122.9</v>
      </c>
      <c r="E1757" s="9">
        <f>E1758</f>
        <v>8122.9</v>
      </c>
      <c r="F1757" s="9">
        <f t="shared" ref="F1757:H1758" si="868">F1758</f>
        <v>5000</v>
      </c>
      <c r="G1757" s="9">
        <f t="shared" si="868"/>
        <v>2400</v>
      </c>
      <c r="H1757" s="9">
        <f t="shared" si="868"/>
        <v>2185.0929999999998</v>
      </c>
      <c r="I1757" s="9">
        <f t="shared" si="850"/>
        <v>26.900405027761021</v>
      </c>
      <c r="J1757" s="9">
        <f t="shared" si="851"/>
        <v>43.701859999999996</v>
      </c>
    </row>
    <row r="1758" spans="1:10" ht="25.5">
      <c r="A1758" s="8" t="s">
        <v>64</v>
      </c>
      <c r="B1758" s="1" t="s">
        <v>947</v>
      </c>
      <c r="C1758" s="1" t="s">
        <v>65</v>
      </c>
      <c r="D1758" s="9">
        <v>8122.9</v>
      </c>
      <c r="E1758" s="9">
        <f>E1759</f>
        <v>8122.9</v>
      </c>
      <c r="F1758" s="9">
        <f t="shared" si="868"/>
        <v>5000</v>
      </c>
      <c r="G1758" s="9">
        <f t="shared" si="868"/>
        <v>2400</v>
      </c>
      <c r="H1758" s="9">
        <f t="shared" si="868"/>
        <v>2185.0929999999998</v>
      </c>
      <c r="I1758" s="9">
        <f t="shared" si="850"/>
        <v>26.900405027761021</v>
      </c>
      <c r="J1758" s="9">
        <f t="shared" si="851"/>
        <v>43.701859999999996</v>
      </c>
    </row>
    <row r="1759" spans="1:10" ht="25.5">
      <c r="A1759" s="8" t="s">
        <v>66</v>
      </c>
      <c r="B1759" s="1" t="s">
        <v>947</v>
      </c>
      <c r="C1759" s="1" t="s">
        <v>67</v>
      </c>
      <c r="D1759" s="9">
        <v>8122.9</v>
      </c>
      <c r="E1759" s="9">
        <f>ведомство!H2252</f>
        <v>8122.9</v>
      </c>
      <c r="F1759" s="9">
        <f>ведомство!I2252</f>
        <v>5000</v>
      </c>
      <c r="G1759" s="9">
        <f>ведомство!J2252</f>
        <v>2400</v>
      </c>
      <c r="H1759" s="9">
        <f>ведомство!K2252</f>
        <v>2185.0929999999998</v>
      </c>
      <c r="I1759" s="9">
        <f t="shared" si="850"/>
        <v>26.900405027761021</v>
      </c>
      <c r="J1759" s="9">
        <f t="shared" si="851"/>
        <v>43.701859999999996</v>
      </c>
    </row>
    <row r="1760" spans="1:10" ht="25.5">
      <c r="A1760" s="8" t="s">
        <v>76</v>
      </c>
      <c r="B1760" s="1" t="s">
        <v>739</v>
      </c>
      <c r="C1760" s="1" t="s">
        <v>0</v>
      </c>
      <c r="D1760" s="9">
        <v>226336.2</v>
      </c>
      <c r="E1760" s="9">
        <f>E1761+E1763+E1765+E1767</f>
        <v>195213.60268000001</v>
      </c>
      <c r="F1760" s="9">
        <f t="shared" ref="F1760:H1760" si="869">F1761+F1763+F1765+F1767</f>
        <v>90031.922679999989</v>
      </c>
      <c r="G1760" s="9">
        <f t="shared" si="869"/>
        <v>89724.857049999991</v>
      </c>
      <c r="H1760" s="9">
        <f t="shared" si="869"/>
        <v>84515.540929999988</v>
      </c>
      <c r="I1760" s="9">
        <f t="shared" si="850"/>
        <v>43.293878997018666</v>
      </c>
      <c r="J1760" s="9">
        <f t="shared" si="851"/>
        <v>93.872860219139326</v>
      </c>
    </row>
    <row r="1761" spans="1:10" ht="51">
      <c r="A1761" s="8" t="s">
        <v>60</v>
      </c>
      <c r="B1761" s="1" t="s">
        <v>739</v>
      </c>
      <c r="C1761" s="1" t="s">
        <v>61</v>
      </c>
      <c r="D1761" s="9">
        <v>109691.1</v>
      </c>
      <c r="E1761" s="9">
        <f>E1762</f>
        <v>109691.07906</v>
      </c>
      <c r="F1761" s="9">
        <f t="shared" ref="F1761:H1761" si="870">F1762</f>
        <v>53573.899059999996</v>
      </c>
      <c r="G1761" s="9">
        <f t="shared" si="870"/>
        <v>53426.299059999998</v>
      </c>
      <c r="H1761" s="9">
        <f t="shared" si="870"/>
        <v>49953.353269999992</v>
      </c>
      <c r="I1761" s="9">
        <f t="shared" si="850"/>
        <v>45.540032697349957</v>
      </c>
      <c r="J1761" s="9">
        <f t="shared" si="851"/>
        <v>93.241959511020127</v>
      </c>
    </row>
    <row r="1762" spans="1:10">
      <c r="A1762" s="8" t="s">
        <v>78</v>
      </c>
      <c r="B1762" s="1" t="s">
        <v>739</v>
      </c>
      <c r="C1762" s="1" t="s">
        <v>79</v>
      </c>
      <c r="D1762" s="9">
        <v>109691.1</v>
      </c>
      <c r="E1762" s="9">
        <f>ведомство!H2330</f>
        <v>109691.07906</v>
      </c>
      <c r="F1762" s="9">
        <f>ведомство!I2330</f>
        <v>53573.899059999996</v>
      </c>
      <c r="G1762" s="9">
        <f>ведомство!J2330</f>
        <v>53426.299059999998</v>
      </c>
      <c r="H1762" s="9">
        <f>ведомство!K2330</f>
        <v>49953.353269999992</v>
      </c>
      <c r="I1762" s="9">
        <f t="shared" si="850"/>
        <v>45.540032697349957</v>
      </c>
      <c r="J1762" s="9">
        <f t="shared" si="851"/>
        <v>93.241959511020127</v>
      </c>
    </row>
    <row r="1763" spans="1:10" ht="25.5">
      <c r="A1763" s="8" t="s">
        <v>64</v>
      </c>
      <c r="B1763" s="1" t="s">
        <v>739</v>
      </c>
      <c r="C1763" s="1" t="s">
        <v>65</v>
      </c>
      <c r="D1763" s="9">
        <v>78290.7</v>
      </c>
      <c r="E1763" s="9">
        <f>E1764</f>
        <v>78290.723620000004</v>
      </c>
      <c r="F1763" s="9">
        <f t="shared" ref="F1763:H1763" si="871">F1764</f>
        <v>33901.123619999998</v>
      </c>
      <c r="G1763" s="9">
        <f t="shared" si="871"/>
        <v>33742.623619999998</v>
      </c>
      <c r="H1763" s="9">
        <f t="shared" si="871"/>
        <v>32543.427660000001</v>
      </c>
      <c r="I1763" s="9">
        <f t="shared" si="850"/>
        <v>41.567412019278507</v>
      </c>
      <c r="J1763" s="9">
        <f t="shared" si="851"/>
        <v>95.995129910092345</v>
      </c>
    </row>
    <row r="1764" spans="1:10" ht="25.5">
      <c r="A1764" s="8" t="s">
        <v>66</v>
      </c>
      <c r="B1764" s="1" t="s">
        <v>739</v>
      </c>
      <c r="C1764" s="1" t="s">
        <v>67</v>
      </c>
      <c r="D1764" s="9">
        <v>78290.7</v>
      </c>
      <c r="E1764" s="9">
        <f>ведомство!H2332</f>
        <v>78290.723620000004</v>
      </c>
      <c r="F1764" s="9">
        <f>ведомство!I2332</f>
        <v>33901.123619999998</v>
      </c>
      <c r="G1764" s="9">
        <f>ведомство!J2332</f>
        <v>33742.623619999998</v>
      </c>
      <c r="H1764" s="9">
        <f>ведомство!K2332</f>
        <v>32543.427660000001</v>
      </c>
      <c r="I1764" s="9">
        <f t="shared" si="850"/>
        <v>41.567412019278507</v>
      </c>
      <c r="J1764" s="9">
        <f t="shared" si="851"/>
        <v>95.995129910092345</v>
      </c>
    </row>
    <row r="1765" spans="1:10" ht="25.5">
      <c r="A1765" s="8" t="s">
        <v>80</v>
      </c>
      <c r="B1765" s="1" t="s">
        <v>739</v>
      </c>
      <c r="C1765" s="1" t="s">
        <v>81</v>
      </c>
      <c r="D1765" s="9">
        <v>31122.6</v>
      </c>
      <c r="E1765" s="9">
        <f>E1766</f>
        <v>0</v>
      </c>
      <c r="F1765" s="9">
        <f t="shared" ref="F1765:H1765" si="872">F1766</f>
        <v>0</v>
      </c>
      <c r="G1765" s="9">
        <f t="shared" si="872"/>
        <v>0</v>
      </c>
      <c r="H1765" s="9">
        <f t="shared" si="872"/>
        <v>0</v>
      </c>
      <c r="I1765" s="9">
        <v>0</v>
      </c>
      <c r="J1765" s="9">
        <v>0</v>
      </c>
    </row>
    <row r="1766" spans="1:10">
      <c r="A1766" s="8" t="s">
        <v>271</v>
      </c>
      <c r="B1766" s="1" t="s">
        <v>739</v>
      </c>
      <c r="C1766" s="1" t="s">
        <v>272</v>
      </c>
      <c r="D1766" s="9">
        <v>31122.6</v>
      </c>
      <c r="E1766" s="9">
        <f>ведомство!H1634</f>
        <v>0</v>
      </c>
      <c r="F1766" s="9">
        <f>ведомство!I1634</f>
        <v>0</v>
      </c>
      <c r="G1766" s="9">
        <f>ведомство!J1634</f>
        <v>0</v>
      </c>
      <c r="H1766" s="9">
        <f>ведомство!K1634</f>
        <v>0</v>
      </c>
      <c r="I1766" s="9">
        <v>0</v>
      </c>
      <c r="J1766" s="9">
        <v>0</v>
      </c>
    </row>
    <row r="1767" spans="1:10">
      <c r="A1767" s="8" t="s">
        <v>72</v>
      </c>
      <c r="B1767" s="1" t="s">
        <v>739</v>
      </c>
      <c r="C1767" s="1" t="s">
        <v>73</v>
      </c>
      <c r="D1767" s="9">
        <v>7231.8</v>
      </c>
      <c r="E1767" s="9">
        <f>E1769+E1768</f>
        <v>7231.8</v>
      </c>
      <c r="F1767" s="9">
        <f t="shared" ref="F1767:H1767" si="873">F1769+F1768</f>
        <v>2556.9</v>
      </c>
      <c r="G1767" s="9">
        <f t="shared" si="873"/>
        <v>2555.9343699999999</v>
      </c>
      <c r="H1767" s="9">
        <f t="shared" si="873"/>
        <v>2018.76</v>
      </c>
      <c r="I1767" s="9">
        <f t="shared" si="850"/>
        <v>27.915041898282585</v>
      </c>
      <c r="J1767" s="9">
        <f t="shared" si="851"/>
        <v>78.953420157221629</v>
      </c>
    </row>
    <row r="1768" spans="1:10" s="43" customFormat="1">
      <c r="A1768" s="26" t="s">
        <v>84</v>
      </c>
      <c r="B1768" s="1" t="s">
        <v>739</v>
      </c>
      <c r="C1768" s="1">
        <v>830</v>
      </c>
      <c r="D1768" s="9"/>
      <c r="E1768" s="9">
        <f>ведомство!H2334</f>
        <v>30</v>
      </c>
      <c r="F1768" s="9">
        <f>ведомство!I2334</f>
        <v>30</v>
      </c>
      <c r="G1768" s="9">
        <f>ведомство!J2334</f>
        <v>30</v>
      </c>
      <c r="H1768" s="9">
        <f>ведомство!K2334</f>
        <v>30</v>
      </c>
      <c r="I1768" s="9">
        <f t="shared" ref="I1768" si="874">H1768/E1768*100</f>
        <v>100</v>
      </c>
      <c r="J1768" s="9">
        <f t="shared" ref="J1768" si="875">H1768/F1768*100</f>
        <v>100</v>
      </c>
    </row>
    <row r="1769" spans="1:10">
      <c r="A1769" s="8" t="s">
        <v>74</v>
      </c>
      <c r="B1769" s="1" t="s">
        <v>739</v>
      </c>
      <c r="C1769" s="1" t="s">
        <v>75</v>
      </c>
      <c r="D1769" s="9">
        <v>7231.8</v>
      </c>
      <c r="E1769" s="9">
        <f>ведомство!H2335</f>
        <v>7201.8</v>
      </c>
      <c r="F1769" s="9">
        <f>ведомство!I2335</f>
        <v>2526.9</v>
      </c>
      <c r="G1769" s="9">
        <f>ведомство!J2335</f>
        <v>2525.9343699999999</v>
      </c>
      <c r="H1769" s="9">
        <f>ведомство!K2335</f>
        <v>1988.76</v>
      </c>
      <c r="I1769" s="9">
        <f t="shared" si="850"/>
        <v>27.614762975922684</v>
      </c>
      <c r="J1769" s="9">
        <f t="shared" si="851"/>
        <v>78.703549804107794</v>
      </c>
    </row>
    <row r="1770" spans="1:10">
      <c r="A1770" s="8" t="s">
        <v>1081</v>
      </c>
      <c r="B1770" s="1" t="s">
        <v>1082</v>
      </c>
      <c r="C1770" s="1" t="s">
        <v>0</v>
      </c>
      <c r="D1770" s="9">
        <v>119214.6</v>
      </c>
      <c r="E1770" s="9">
        <f>E1771</f>
        <v>119214.6</v>
      </c>
      <c r="F1770" s="9">
        <f t="shared" ref="F1770:H1771" si="876">F1771</f>
        <v>56620</v>
      </c>
      <c r="G1770" s="9">
        <f t="shared" si="876"/>
        <v>56620</v>
      </c>
      <c r="H1770" s="9">
        <f t="shared" si="876"/>
        <v>56029.401100000003</v>
      </c>
      <c r="I1770" s="9">
        <f t="shared" si="850"/>
        <v>46.998774562847167</v>
      </c>
      <c r="J1770" s="9">
        <f t="shared" si="851"/>
        <v>98.95690762981279</v>
      </c>
    </row>
    <row r="1771" spans="1:10" ht="25.5">
      <c r="A1771" s="8" t="s">
        <v>64</v>
      </c>
      <c r="B1771" s="1" t="s">
        <v>1082</v>
      </c>
      <c r="C1771" s="1" t="s">
        <v>65</v>
      </c>
      <c r="D1771" s="9">
        <v>119214.6</v>
      </c>
      <c r="E1771" s="9">
        <f>E1772</f>
        <v>119214.6</v>
      </c>
      <c r="F1771" s="9">
        <f t="shared" si="876"/>
        <v>56620</v>
      </c>
      <c r="G1771" s="9">
        <f t="shared" si="876"/>
        <v>56620</v>
      </c>
      <c r="H1771" s="9">
        <f t="shared" si="876"/>
        <v>56029.401100000003</v>
      </c>
      <c r="I1771" s="9">
        <f t="shared" si="850"/>
        <v>46.998774562847167</v>
      </c>
      <c r="J1771" s="9">
        <f t="shared" si="851"/>
        <v>98.95690762981279</v>
      </c>
    </row>
    <row r="1772" spans="1:10" ht="25.5">
      <c r="A1772" s="8" t="s">
        <v>66</v>
      </c>
      <c r="B1772" s="1" t="s">
        <v>1082</v>
      </c>
      <c r="C1772" s="1" t="s">
        <v>67</v>
      </c>
      <c r="D1772" s="9">
        <v>119214.6</v>
      </c>
      <c r="E1772" s="9">
        <f>ведомство!H2647</f>
        <v>119214.6</v>
      </c>
      <c r="F1772" s="9">
        <f>ведомство!I2647</f>
        <v>56620</v>
      </c>
      <c r="G1772" s="9">
        <f>ведомство!J2647</f>
        <v>56620</v>
      </c>
      <c r="H1772" s="9">
        <f>ведомство!K2647</f>
        <v>56029.401100000003</v>
      </c>
      <c r="I1772" s="9">
        <f t="shared" si="850"/>
        <v>46.998774562847167</v>
      </c>
      <c r="J1772" s="9">
        <f t="shared" si="851"/>
        <v>98.95690762981279</v>
      </c>
    </row>
    <row r="1773" spans="1:10">
      <c r="A1773" s="4" t="s">
        <v>0</v>
      </c>
      <c r="B1773" s="17" t="s">
        <v>0</v>
      </c>
      <c r="C1773" s="5" t="s">
        <v>0</v>
      </c>
      <c r="D1773" s="7" t="s">
        <v>0</v>
      </c>
      <c r="E1773" s="7" t="s">
        <v>0</v>
      </c>
      <c r="F1773" s="7"/>
      <c r="G1773" s="7"/>
      <c r="H1773" s="7"/>
      <c r="I1773" s="7"/>
      <c r="J1773" s="7"/>
    </row>
    <row r="1774" spans="1:10" ht="38.25">
      <c r="A1774" s="4" t="s">
        <v>122</v>
      </c>
      <c r="B1774" s="5" t="s">
        <v>123</v>
      </c>
      <c r="C1774" s="5" t="s">
        <v>0</v>
      </c>
      <c r="D1774" s="7">
        <v>121760.9</v>
      </c>
      <c r="E1774" s="7">
        <f>E1775+E1778+E1781+E1784+E1787</f>
        <v>169749.27957000001</v>
      </c>
      <c r="F1774" s="7">
        <f t="shared" ref="F1774:H1774" si="877">F1775+F1778+F1781+F1784+F1787</f>
        <v>60952.72539</v>
      </c>
      <c r="G1774" s="7">
        <f t="shared" si="877"/>
        <v>60952.72539</v>
      </c>
      <c r="H1774" s="7">
        <f t="shared" si="877"/>
        <v>60952.72539</v>
      </c>
      <c r="I1774" s="7">
        <f t="shared" si="850"/>
        <v>35.907501666223418</v>
      </c>
      <c r="J1774" s="7">
        <f t="shared" si="851"/>
        <v>100</v>
      </c>
    </row>
    <row r="1775" spans="1:10" ht="38.25">
      <c r="A1775" s="8" t="s">
        <v>1120</v>
      </c>
      <c r="B1775" s="1" t="s">
        <v>1121</v>
      </c>
      <c r="C1775" s="6"/>
      <c r="D1775" s="7"/>
      <c r="E1775" s="23">
        <f>E1776</f>
        <v>47988.4</v>
      </c>
      <c r="F1775" s="23">
        <f t="shared" ref="F1775:H1775" si="878">F1776</f>
        <v>8070</v>
      </c>
      <c r="G1775" s="23">
        <f t="shared" si="878"/>
        <v>8070</v>
      </c>
      <c r="H1775" s="23">
        <f t="shared" si="878"/>
        <v>8070</v>
      </c>
      <c r="I1775" s="23">
        <f t="shared" si="850"/>
        <v>16.816564002967382</v>
      </c>
      <c r="J1775" s="23">
        <f t="shared" si="851"/>
        <v>100</v>
      </c>
    </row>
    <row r="1776" spans="1:10">
      <c r="A1776" s="8" t="s">
        <v>26</v>
      </c>
      <c r="B1776" s="1" t="s">
        <v>1121</v>
      </c>
      <c r="C1776" s="6">
        <v>500</v>
      </c>
      <c r="D1776" s="7"/>
      <c r="E1776" s="23">
        <f>E1777</f>
        <v>47988.4</v>
      </c>
      <c r="F1776" s="23">
        <f t="shared" ref="F1776:H1776" si="879">F1777</f>
        <v>8070</v>
      </c>
      <c r="G1776" s="23">
        <f t="shared" si="879"/>
        <v>8070</v>
      </c>
      <c r="H1776" s="23">
        <f t="shared" si="879"/>
        <v>8070</v>
      </c>
      <c r="I1776" s="23">
        <f t="shared" si="850"/>
        <v>16.816564002967382</v>
      </c>
      <c r="J1776" s="23">
        <f t="shared" si="851"/>
        <v>100</v>
      </c>
    </row>
    <row r="1777" spans="1:10">
      <c r="A1777" s="8" t="s">
        <v>56</v>
      </c>
      <c r="B1777" s="1" t="s">
        <v>1121</v>
      </c>
      <c r="C1777" s="6">
        <v>520</v>
      </c>
      <c r="D1777" s="7"/>
      <c r="E1777" s="23">
        <f>ведомство!H134+ведомство!H332+ведомство!H1342</f>
        <v>47988.4</v>
      </c>
      <c r="F1777" s="23">
        <f>ведомство!I134+ведомство!I332+ведомство!I1342</f>
        <v>8070</v>
      </c>
      <c r="G1777" s="23">
        <f>ведомство!J134+ведомство!J332+ведомство!J1342</f>
        <v>8070</v>
      </c>
      <c r="H1777" s="23">
        <f>ведомство!K134+ведомство!K332+ведомство!K1342</f>
        <v>8070</v>
      </c>
      <c r="I1777" s="23">
        <f t="shared" si="850"/>
        <v>16.816564002967382</v>
      </c>
      <c r="J1777" s="23">
        <f t="shared" si="851"/>
        <v>100</v>
      </c>
    </row>
    <row r="1778" spans="1:10" ht="38.25">
      <c r="A1778" s="8" t="s">
        <v>37</v>
      </c>
      <c r="B1778" s="1" t="s">
        <v>703</v>
      </c>
      <c r="C1778" s="1" t="s">
        <v>0</v>
      </c>
      <c r="D1778" s="9">
        <v>4500</v>
      </c>
      <c r="E1778" s="9">
        <f>E1779</f>
        <v>4500</v>
      </c>
      <c r="F1778" s="9">
        <f t="shared" ref="F1778:H1779" si="880">F1779</f>
        <v>913.4</v>
      </c>
      <c r="G1778" s="9">
        <f t="shared" si="880"/>
        <v>913.4</v>
      </c>
      <c r="H1778" s="9">
        <f t="shared" si="880"/>
        <v>913.4</v>
      </c>
      <c r="I1778" s="9">
        <f t="shared" si="850"/>
        <v>20.297777777777778</v>
      </c>
      <c r="J1778" s="9">
        <f t="shared" si="851"/>
        <v>100</v>
      </c>
    </row>
    <row r="1779" spans="1:10" ht="25.5">
      <c r="A1779" s="8" t="s">
        <v>39</v>
      </c>
      <c r="B1779" s="1" t="s">
        <v>703</v>
      </c>
      <c r="C1779" s="1" t="s">
        <v>40</v>
      </c>
      <c r="D1779" s="9">
        <v>4500</v>
      </c>
      <c r="E1779" s="9">
        <f>E1780</f>
        <v>4500</v>
      </c>
      <c r="F1779" s="9">
        <f t="shared" si="880"/>
        <v>913.4</v>
      </c>
      <c r="G1779" s="9">
        <f t="shared" si="880"/>
        <v>913.4</v>
      </c>
      <c r="H1779" s="9">
        <f t="shared" si="880"/>
        <v>913.4</v>
      </c>
      <c r="I1779" s="9">
        <f t="shared" si="850"/>
        <v>20.297777777777778</v>
      </c>
      <c r="J1779" s="9">
        <f t="shared" si="851"/>
        <v>100</v>
      </c>
    </row>
    <row r="1780" spans="1:10">
      <c r="A1780" s="8" t="s">
        <v>41</v>
      </c>
      <c r="B1780" s="1" t="s">
        <v>703</v>
      </c>
      <c r="C1780" s="1" t="s">
        <v>42</v>
      </c>
      <c r="D1780" s="9">
        <v>4500</v>
      </c>
      <c r="E1780" s="9">
        <f>ведомство!H1557</f>
        <v>4500</v>
      </c>
      <c r="F1780" s="9">
        <f>ведомство!I1557</f>
        <v>913.4</v>
      </c>
      <c r="G1780" s="9">
        <f>ведомство!J1557</f>
        <v>913.4</v>
      </c>
      <c r="H1780" s="9">
        <f>ведомство!K1557</f>
        <v>913.4</v>
      </c>
      <c r="I1780" s="9">
        <f t="shared" si="850"/>
        <v>20.297777777777778</v>
      </c>
      <c r="J1780" s="9">
        <f t="shared" si="851"/>
        <v>100</v>
      </c>
    </row>
    <row r="1781" spans="1:10" ht="25.5">
      <c r="A1781" s="8" t="s">
        <v>107</v>
      </c>
      <c r="B1781" s="1" t="s">
        <v>124</v>
      </c>
      <c r="C1781" s="1" t="s">
        <v>0</v>
      </c>
      <c r="D1781" s="9">
        <v>10048.4</v>
      </c>
      <c r="E1781" s="9">
        <f>E1782</f>
        <v>10048.3552</v>
      </c>
      <c r="F1781" s="9">
        <f t="shared" ref="F1781:H1782" si="881">F1782</f>
        <v>10048.3552</v>
      </c>
      <c r="G1781" s="9">
        <f t="shared" si="881"/>
        <v>10048.3552</v>
      </c>
      <c r="H1781" s="9">
        <f t="shared" si="881"/>
        <v>10048.3552</v>
      </c>
      <c r="I1781" s="9">
        <f t="shared" si="850"/>
        <v>100</v>
      </c>
      <c r="J1781" s="9">
        <f t="shared" si="851"/>
        <v>100</v>
      </c>
    </row>
    <row r="1782" spans="1:10">
      <c r="A1782" s="8" t="s">
        <v>26</v>
      </c>
      <c r="B1782" s="1" t="s">
        <v>124</v>
      </c>
      <c r="C1782" s="1" t="s">
        <v>27</v>
      </c>
      <c r="D1782" s="9">
        <v>10048.4</v>
      </c>
      <c r="E1782" s="9">
        <f>E1783</f>
        <v>10048.3552</v>
      </c>
      <c r="F1782" s="9">
        <f t="shared" si="881"/>
        <v>10048.3552</v>
      </c>
      <c r="G1782" s="9">
        <f t="shared" si="881"/>
        <v>10048.3552</v>
      </c>
      <c r="H1782" s="9">
        <f t="shared" si="881"/>
        <v>10048.3552</v>
      </c>
      <c r="I1782" s="9">
        <f t="shared" si="850"/>
        <v>100</v>
      </c>
      <c r="J1782" s="9">
        <f t="shared" si="851"/>
        <v>100</v>
      </c>
    </row>
    <row r="1783" spans="1:10">
      <c r="A1783" s="8" t="s">
        <v>56</v>
      </c>
      <c r="B1783" s="1" t="s">
        <v>124</v>
      </c>
      <c r="C1783" s="1" t="s">
        <v>57</v>
      </c>
      <c r="D1783" s="9">
        <v>10048.4</v>
      </c>
      <c r="E1783" s="9">
        <f>ведомство!H137</f>
        <v>10048.3552</v>
      </c>
      <c r="F1783" s="9">
        <f>ведомство!I137</f>
        <v>10048.3552</v>
      </c>
      <c r="G1783" s="9">
        <f>ведомство!J137</f>
        <v>10048.3552</v>
      </c>
      <c r="H1783" s="9">
        <f>ведомство!K137</f>
        <v>10048.3552</v>
      </c>
      <c r="I1783" s="9">
        <f t="shared" si="850"/>
        <v>100</v>
      </c>
      <c r="J1783" s="9">
        <f t="shared" si="851"/>
        <v>100</v>
      </c>
    </row>
    <row r="1784" spans="1:10" ht="38.25">
      <c r="A1784" s="8" t="s">
        <v>125</v>
      </c>
      <c r="B1784" s="1" t="s">
        <v>126</v>
      </c>
      <c r="C1784" s="1" t="s">
        <v>0</v>
      </c>
      <c r="D1784" s="9">
        <v>101212.5</v>
      </c>
      <c r="E1784" s="9">
        <f>E1785</f>
        <v>101212.52437</v>
      </c>
      <c r="F1784" s="9">
        <f t="shared" ref="F1784:H1784" si="882">F1785</f>
        <v>41920.97019</v>
      </c>
      <c r="G1784" s="9">
        <f t="shared" si="882"/>
        <v>41920.97019</v>
      </c>
      <c r="H1784" s="9">
        <f t="shared" si="882"/>
        <v>41920.97019</v>
      </c>
      <c r="I1784" s="9">
        <f t="shared" si="850"/>
        <v>41.418757659625797</v>
      </c>
      <c r="J1784" s="9">
        <f t="shared" si="851"/>
        <v>100</v>
      </c>
    </row>
    <row r="1785" spans="1:10">
      <c r="A1785" s="8" t="s">
        <v>26</v>
      </c>
      <c r="B1785" s="1" t="s">
        <v>126</v>
      </c>
      <c r="C1785" s="1" t="s">
        <v>27</v>
      </c>
      <c r="D1785" s="9">
        <v>101212.5</v>
      </c>
      <c r="E1785" s="9">
        <f>E1786</f>
        <v>101212.52437</v>
      </c>
      <c r="F1785" s="9">
        <f t="shared" ref="F1785:H1785" si="883">F1786</f>
        <v>41920.97019</v>
      </c>
      <c r="G1785" s="9">
        <f t="shared" si="883"/>
        <v>41920.97019</v>
      </c>
      <c r="H1785" s="9">
        <f t="shared" si="883"/>
        <v>41920.97019</v>
      </c>
      <c r="I1785" s="9">
        <f t="shared" si="850"/>
        <v>41.418757659625797</v>
      </c>
      <c r="J1785" s="9">
        <f t="shared" si="851"/>
        <v>100</v>
      </c>
    </row>
    <row r="1786" spans="1:10">
      <c r="A1786" s="8" t="s">
        <v>56</v>
      </c>
      <c r="B1786" s="1" t="s">
        <v>126</v>
      </c>
      <c r="C1786" s="1" t="s">
        <v>57</v>
      </c>
      <c r="D1786" s="9">
        <v>101212.5</v>
      </c>
      <c r="E1786" s="9">
        <f>ведомство!H140+ведомство!H1345</f>
        <v>101212.52437</v>
      </c>
      <c r="F1786" s="9">
        <f>ведомство!I140+ведомство!I1345</f>
        <v>41920.97019</v>
      </c>
      <c r="G1786" s="9">
        <f>ведомство!J140+ведомство!J1345</f>
        <v>41920.97019</v>
      </c>
      <c r="H1786" s="9">
        <f>ведомство!K140+ведомство!K1345</f>
        <v>41920.97019</v>
      </c>
      <c r="I1786" s="9">
        <f t="shared" si="850"/>
        <v>41.418757659625797</v>
      </c>
      <c r="J1786" s="9">
        <f t="shared" si="851"/>
        <v>100</v>
      </c>
    </row>
    <row r="1787" spans="1:10" ht="51">
      <c r="A1787" s="8" t="s">
        <v>184</v>
      </c>
      <c r="B1787" s="1" t="s">
        <v>185</v>
      </c>
      <c r="C1787" s="1" t="s">
        <v>0</v>
      </c>
      <c r="D1787" s="9">
        <v>6000</v>
      </c>
      <c r="E1787" s="9">
        <f>E1788</f>
        <v>6000</v>
      </c>
      <c r="F1787" s="9">
        <f t="shared" ref="F1787:H1788" si="884">F1788</f>
        <v>0</v>
      </c>
      <c r="G1787" s="9">
        <f t="shared" si="884"/>
        <v>0</v>
      </c>
      <c r="H1787" s="9">
        <f t="shared" si="884"/>
        <v>0</v>
      </c>
      <c r="I1787" s="9">
        <f t="shared" si="850"/>
        <v>0</v>
      </c>
      <c r="J1787" s="9">
        <v>0</v>
      </c>
    </row>
    <row r="1788" spans="1:10">
      <c r="A1788" s="8" t="s">
        <v>26</v>
      </c>
      <c r="B1788" s="1" t="s">
        <v>185</v>
      </c>
      <c r="C1788" s="1" t="s">
        <v>27</v>
      </c>
      <c r="D1788" s="9">
        <v>6000</v>
      </c>
      <c r="E1788" s="9">
        <f>E1789</f>
        <v>6000</v>
      </c>
      <c r="F1788" s="9">
        <f t="shared" si="884"/>
        <v>0</v>
      </c>
      <c r="G1788" s="9">
        <f t="shared" si="884"/>
        <v>0</v>
      </c>
      <c r="H1788" s="9">
        <f t="shared" si="884"/>
        <v>0</v>
      </c>
      <c r="I1788" s="9">
        <f t="shared" ref="I1788:I1851" si="885">H1788/E1788*100</f>
        <v>0</v>
      </c>
      <c r="J1788" s="9">
        <v>0</v>
      </c>
    </row>
    <row r="1789" spans="1:10">
      <c r="A1789" s="8" t="s">
        <v>56</v>
      </c>
      <c r="B1789" s="1" t="s">
        <v>185</v>
      </c>
      <c r="C1789" s="1" t="s">
        <v>57</v>
      </c>
      <c r="D1789" s="9">
        <v>6000</v>
      </c>
      <c r="E1789" s="9">
        <f>ведомство!H234</f>
        <v>6000</v>
      </c>
      <c r="F1789" s="9">
        <f>ведомство!I234</f>
        <v>0</v>
      </c>
      <c r="G1789" s="9">
        <f>ведомство!J234</f>
        <v>0</v>
      </c>
      <c r="H1789" s="9">
        <f>ведомство!K234</f>
        <v>0</v>
      </c>
      <c r="I1789" s="9">
        <f t="shared" si="885"/>
        <v>0</v>
      </c>
      <c r="J1789" s="9">
        <v>0</v>
      </c>
    </row>
    <row r="1790" spans="1:10" ht="15.75">
      <c r="A1790" s="18" t="s">
        <v>0</v>
      </c>
      <c r="B1790" s="19" t="s">
        <v>0</v>
      </c>
      <c r="C1790" s="19" t="s">
        <v>0</v>
      </c>
      <c r="D1790" s="20" t="s">
        <v>0</v>
      </c>
      <c r="E1790" s="20" t="s">
        <v>0</v>
      </c>
      <c r="F1790" s="20"/>
      <c r="G1790" s="20"/>
      <c r="H1790" s="20"/>
      <c r="I1790" s="20"/>
      <c r="J1790" s="20"/>
    </row>
    <row r="1791" spans="1:10">
      <c r="A1791" s="4" t="s">
        <v>1104</v>
      </c>
      <c r="B1791" s="1" t="s">
        <v>0</v>
      </c>
      <c r="C1791" s="1" t="s">
        <v>0</v>
      </c>
      <c r="D1791" s="7">
        <v>4334194.5999999996</v>
      </c>
      <c r="E1791" s="7">
        <f>E1793</f>
        <v>4334194.5928199999</v>
      </c>
      <c r="F1791" s="7">
        <f t="shared" ref="F1791:H1791" si="886">F1793</f>
        <v>660583.07693999994</v>
      </c>
      <c r="G1791" s="7">
        <f t="shared" si="886"/>
        <v>640413.86378999997</v>
      </c>
      <c r="H1791" s="7">
        <f t="shared" si="886"/>
        <v>627474.68835999991</v>
      </c>
      <c r="I1791" s="7">
        <f t="shared" si="885"/>
        <v>14.477307719396601</v>
      </c>
      <c r="J1791" s="7">
        <f t="shared" ref="J1791:J1849" si="887">H1791/F1791*100</f>
        <v>94.988005334110724</v>
      </c>
    </row>
    <row r="1792" spans="1:10">
      <c r="A1792" s="4" t="s">
        <v>0</v>
      </c>
      <c r="B1792" s="17" t="s">
        <v>0</v>
      </c>
      <c r="C1792" s="5" t="s">
        <v>0</v>
      </c>
      <c r="D1792" s="7" t="s">
        <v>0</v>
      </c>
      <c r="E1792" s="7" t="s">
        <v>0</v>
      </c>
      <c r="F1792" s="7" t="s">
        <v>0</v>
      </c>
      <c r="G1792" s="7" t="s">
        <v>0</v>
      </c>
      <c r="H1792" s="7" t="s">
        <v>0</v>
      </c>
      <c r="I1792" s="7"/>
      <c r="J1792" s="7"/>
    </row>
    <row r="1793" spans="1:10" ht="63.75">
      <c r="A1793" s="4" t="s">
        <v>98</v>
      </c>
      <c r="B1793" s="5" t="s">
        <v>99</v>
      </c>
      <c r="C1793" s="5" t="s">
        <v>0</v>
      </c>
      <c r="D1793" s="7">
        <v>4334194.5999999996</v>
      </c>
      <c r="E1793" s="7">
        <f>E1794+E1801</f>
        <v>4334194.5928199999</v>
      </c>
      <c r="F1793" s="7">
        <f t="shared" ref="F1793:H1793" si="888">F1794+F1801</f>
        <v>660583.07693999994</v>
      </c>
      <c r="G1793" s="7">
        <f t="shared" si="888"/>
        <v>640413.86378999997</v>
      </c>
      <c r="H1793" s="7">
        <f t="shared" si="888"/>
        <v>627474.68835999991</v>
      </c>
      <c r="I1793" s="7">
        <f t="shared" si="885"/>
        <v>14.477307719396601</v>
      </c>
      <c r="J1793" s="7">
        <f t="shared" si="887"/>
        <v>94.988005334110724</v>
      </c>
    </row>
    <row r="1794" spans="1:10" ht="25.5">
      <c r="A1794" s="4" t="s">
        <v>199</v>
      </c>
      <c r="B1794" s="5" t="s">
        <v>200</v>
      </c>
      <c r="C1794" s="5" t="s">
        <v>0</v>
      </c>
      <c r="D1794" s="7">
        <v>10355.799999999999</v>
      </c>
      <c r="E1794" s="7">
        <f>E1795</f>
        <v>10355.79782</v>
      </c>
      <c r="F1794" s="7">
        <f t="shared" ref="F1794:H1794" si="889">F1795</f>
        <v>10355.79782</v>
      </c>
      <c r="G1794" s="7">
        <f t="shared" si="889"/>
        <v>10355.79782</v>
      </c>
      <c r="H1794" s="7">
        <f t="shared" si="889"/>
        <v>10355.79782</v>
      </c>
      <c r="I1794" s="7">
        <f t="shared" si="885"/>
        <v>100</v>
      </c>
      <c r="J1794" s="7">
        <f t="shared" si="887"/>
        <v>100</v>
      </c>
    </row>
    <row r="1795" spans="1:10" ht="25.5">
      <c r="A1795" s="8" t="s">
        <v>199</v>
      </c>
      <c r="B1795" s="1" t="s">
        <v>201</v>
      </c>
      <c r="C1795" s="1" t="s">
        <v>0</v>
      </c>
      <c r="D1795" s="9">
        <v>10355.799999999999</v>
      </c>
      <c r="E1795" s="9">
        <f>E1796+E1798</f>
        <v>10355.79782</v>
      </c>
      <c r="F1795" s="9">
        <f t="shared" ref="F1795:H1795" si="890">F1796+F1798</f>
        <v>10355.79782</v>
      </c>
      <c r="G1795" s="9">
        <f t="shared" si="890"/>
        <v>10355.79782</v>
      </c>
      <c r="H1795" s="9">
        <f t="shared" si="890"/>
        <v>10355.79782</v>
      </c>
      <c r="I1795" s="9">
        <f t="shared" si="885"/>
        <v>100</v>
      </c>
      <c r="J1795" s="9">
        <f t="shared" si="887"/>
        <v>100</v>
      </c>
    </row>
    <row r="1796" spans="1:10">
      <c r="A1796" s="8" t="s">
        <v>26</v>
      </c>
      <c r="B1796" s="1" t="s">
        <v>201</v>
      </c>
      <c r="C1796" s="1" t="s">
        <v>27</v>
      </c>
      <c r="D1796" s="9">
        <v>1742.8</v>
      </c>
      <c r="E1796" s="9">
        <f>E1797</f>
        <v>1742.8091300000001</v>
      </c>
      <c r="F1796" s="9">
        <f t="shared" ref="F1796:H1796" si="891">F1797</f>
        <v>1742.8091300000001</v>
      </c>
      <c r="G1796" s="9">
        <f t="shared" si="891"/>
        <v>1742.8091300000001</v>
      </c>
      <c r="H1796" s="9">
        <f t="shared" si="891"/>
        <v>1742.8091300000001</v>
      </c>
      <c r="I1796" s="9">
        <f t="shared" si="885"/>
        <v>100</v>
      </c>
      <c r="J1796" s="9">
        <f t="shared" si="887"/>
        <v>100</v>
      </c>
    </row>
    <row r="1797" spans="1:10">
      <c r="A1797" s="8" t="s">
        <v>56</v>
      </c>
      <c r="B1797" s="1" t="s">
        <v>201</v>
      </c>
      <c r="C1797" s="1" t="s">
        <v>57</v>
      </c>
      <c r="D1797" s="9">
        <v>1742.8</v>
      </c>
      <c r="E1797" s="9">
        <f>ведомство!H272</f>
        <v>1742.8091300000001</v>
      </c>
      <c r="F1797" s="9">
        <f>ведомство!I272</f>
        <v>1742.8091300000001</v>
      </c>
      <c r="G1797" s="9">
        <f>ведомство!J272</f>
        <v>1742.8091300000001</v>
      </c>
      <c r="H1797" s="9">
        <f>ведомство!K272</f>
        <v>1742.8091300000001</v>
      </c>
      <c r="I1797" s="9">
        <f t="shared" si="885"/>
        <v>100</v>
      </c>
      <c r="J1797" s="9">
        <f t="shared" si="887"/>
        <v>100</v>
      </c>
    </row>
    <row r="1798" spans="1:10" ht="25.5">
      <c r="A1798" s="8" t="s">
        <v>80</v>
      </c>
      <c r="B1798" s="1" t="s">
        <v>201</v>
      </c>
      <c r="C1798" s="1" t="s">
        <v>81</v>
      </c>
      <c r="D1798" s="9">
        <v>8613</v>
      </c>
      <c r="E1798" s="9">
        <f>E1799</f>
        <v>8612.9886900000001</v>
      </c>
      <c r="F1798" s="9">
        <f t="shared" ref="F1798:H1798" si="892">F1799</f>
        <v>8612.9886900000001</v>
      </c>
      <c r="G1798" s="9">
        <f t="shared" si="892"/>
        <v>8612.9886900000001</v>
      </c>
      <c r="H1798" s="9">
        <f t="shared" si="892"/>
        <v>8612.9886900000001</v>
      </c>
      <c r="I1798" s="9">
        <f t="shared" si="885"/>
        <v>100</v>
      </c>
      <c r="J1798" s="9">
        <f t="shared" si="887"/>
        <v>100</v>
      </c>
    </row>
    <row r="1799" spans="1:10" ht="25.5">
      <c r="A1799" s="8" t="s">
        <v>195</v>
      </c>
      <c r="B1799" s="1" t="s">
        <v>201</v>
      </c>
      <c r="C1799" s="1" t="s">
        <v>196</v>
      </c>
      <c r="D1799" s="9">
        <v>8613</v>
      </c>
      <c r="E1799" s="9">
        <f>ведомство!H274</f>
        <v>8612.9886900000001</v>
      </c>
      <c r="F1799" s="9">
        <f>ведомство!I274</f>
        <v>8612.9886900000001</v>
      </c>
      <c r="G1799" s="9">
        <f>ведомство!J274</f>
        <v>8612.9886900000001</v>
      </c>
      <c r="H1799" s="9">
        <f>ведомство!K274</f>
        <v>8612.9886900000001</v>
      </c>
      <c r="I1799" s="9">
        <f t="shared" si="885"/>
        <v>100</v>
      </c>
      <c r="J1799" s="9">
        <f t="shared" si="887"/>
        <v>100</v>
      </c>
    </row>
    <row r="1800" spans="1:10">
      <c r="A1800" s="4" t="s">
        <v>0</v>
      </c>
      <c r="B1800" s="17" t="s">
        <v>0</v>
      </c>
      <c r="C1800" s="5" t="s">
        <v>0</v>
      </c>
      <c r="D1800" s="7" t="s">
        <v>0</v>
      </c>
      <c r="E1800" s="7" t="s">
        <v>0</v>
      </c>
      <c r="F1800" s="7" t="s">
        <v>0</v>
      </c>
      <c r="G1800" s="7" t="s">
        <v>0</v>
      </c>
      <c r="H1800" s="7" t="s">
        <v>0</v>
      </c>
      <c r="I1800" s="7"/>
      <c r="J1800" s="7"/>
    </row>
    <row r="1801" spans="1:10" ht="51">
      <c r="A1801" s="4" t="s">
        <v>100</v>
      </c>
      <c r="B1801" s="5" t="s">
        <v>101</v>
      </c>
      <c r="C1801" s="5" t="s">
        <v>0</v>
      </c>
      <c r="D1801" s="7">
        <v>4323838.8</v>
      </c>
      <c r="E1801" s="7">
        <f>E1802+E1807+E1810+E1813+E1818+E1821</f>
        <v>4323838.7949999999</v>
      </c>
      <c r="F1801" s="7">
        <f t="shared" ref="F1801:H1801" si="893">F1802+F1807+F1810+F1813+F1818+F1821</f>
        <v>650227.27911999996</v>
      </c>
      <c r="G1801" s="7">
        <f t="shared" si="893"/>
        <v>630058.06597</v>
      </c>
      <c r="H1801" s="7">
        <f t="shared" si="893"/>
        <v>617118.89053999993</v>
      </c>
      <c r="I1801" s="7">
        <f t="shared" si="885"/>
        <v>14.272476838258259</v>
      </c>
      <c r="J1801" s="7">
        <f t="shared" si="887"/>
        <v>94.908182162888025</v>
      </c>
    </row>
    <row r="1802" spans="1:10" ht="51">
      <c r="A1802" s="8" t="s">
        <v>102</v>
      </c>
      <c r="B1802" s="1" t="s">
        <v>103</v>
      </c>
      <c r="C1802" s="1" t="s">
        <v>0</v>
      </c>
      <c r="D1802" s="9">
        <v>2245037.7000000002</v>
      </c>
      <c r="E1802" s="9">
        <f>E1803+E1805</f>
        <v>2245037.7000000002</v>
      </c>
      <c r="F1802" s="9">
        <f t="shared" ref="F1802:H1802" si="894">F1803+F1805</f>
        <v>109514.28018</v>
      </c>
      <c r="G1802" s="9">
        <f t="shared" si="894"/>
        <v>89345.067029999991</v>
      </c>
      <c r="H1802" s="9">
        <f t="shared" si="894"/>
        <v>89345.067029999991</v>
      </c>
      <c r="I1802" s="9">
        <f t="shared" si="885"/>
        <v>3.9796688950924959</v>
      </c>
      <c r="J1802" s="9">
        <f t="shared" si="887"/>
        <v>81.583029065388118</v>
      </c>
    </row>
    <row r="1803" spans="1:10" ht="25.5">
      <c r="A1803" s="8" t="s">
        <v>39</v>
      </c>
      <c r="B1803" s="1" t="s">
        <v>103</v>
      </c>
      <c r="C1803" s="1" t="s">
        <v>40</v>
      </c>
      <c r="D1803" s="9">
        <v>902168.5</v>
      </c>
      <c r="E1803" s="9">
        <f>E1804</f>
        <v>902168.5</v>
      </c>
      <c r="F1803" s="9">
        <f t="shared" ref="F1803:H1803" si="895">F1804</f>
        <v>92017.534060000005</v>
      </c>
      <c r="G1803" s="9">
        <f t="shared" si="895"/>
        <v>71848.320909999995</v>
      </c>
      <c r="H1803" s="9">
        <f t="shared" si="895"/>
        <v>71848.320909999995</v>
      </c>
      <c r="I1803" s="9">
        <f t="shared" si="885"/>
        <v>7.9639580532904874</v>
      </c>
      <c r="J1803" s="9">
        <f t="shared" si="887"/>
        <v>78.08111969524343</v>
      </c>
    </row>
    <row r="1804" spans="1:10">
      <c r="A1804" s="8" t="s">
        <v>41</v>
      </c>
      <c r="B1804" s="1" t="s">
        <v>103</v>
      </c>
      <c r="C1804" s="1" t="s">
        <v>42</v>
      </c>
      <c r="D1804" s="9">
        <v>902168.5</v>
      </c>
      <c r="E1804" s="9">
        <f>ведомство!H94</f>
        <v>902168.5</v>
      </c>
      <c r="F1804" s="9">
        <f>ведомство!I94</f>
        <v>92017.534060000005</v>
      </c>
      <c r="G1804" s="9">
        <f>ведомство!J94</f>
        <v>71848.320909999995</v>
      </c>
      <c r="H1804" s="9">
        <f>ведомство!K94</f>
        <v>71848.320909999995</v>
      </c>
      <c r="I1804" s="9">
        <f t="shared" si="885"/>
        <v>7.9639580532904874</v>
      </c>
      <c r="J1804" s="9">
        <f t="shared" si="887"/>
        <v>78.08111969524343</v>
      </c>
    </row>
    <row r="1805" spans="1:10">
      <c r="A1805" s="8" t="s">
        <v>26</v>
      </c>
      <c r="B1805" s="1" t="s">
        <v>103</v>
      </c>
      <c r="C1805" s="1" t="s">
        <v>27</v>
      </c>
      <c r="D1805" s="9">
        <v>1342869.2</v>
      </c>
      <c r="E1805" s="9">
        <f>E1806</f>
        <v>1342869.2</v>
      </c>
      <c r="F1805" s="9">
        <f t="shared" ref="F1805:H1805" si="896">F1806</f>
        <v>17496.74612</v>
      </c>
      <c r="G1805" s="9">
        <f t="shared" si="896"/>
        <v>17496.74612</v>
      </c>
      <c r="H1805" s="9">
        <f t="shared" si="896"/>
        <v>17496.74612</v>
      </c>
      <c r="I1805" s="9">
        <f t="shared" si="885"/>
        <v>1.3029374804336864</v>
      </c>
      <c r="J1805" s="9">
        <f t="shared" si="887"/>
        <v>100</v>
      </c>
    </row>
    <row r="1806" spans="1:10">
      <c r="A1806" s="8" t="s">
        <v>56</v>
      </c>
      <c r="B1806" s="1" t="s">
        <v>103</v>
      </c>
      <c r="C1806" s="1" t="s">
        <v>57</v>
      </c>
      <c r="D1806" s="9">
        <v>1342869.2</v>
      </c>
      <c r="E1806" s="9">
        <f>ведомство!H278</f>
        <v>1342869.2</v>
      </c>
      <c r="F1806" s="9">
        <f>ведомство!I278</f>
        <v>17496.74612</v>
      </c>
      <c r="G1806" s="9">
        <f>ведомство!J278</f>
        <v>17496.74612</v>
      </c>
      <c r="H1806" s="9">
        <f>ведомство!K278</f>
        <v>17496.74612</v>
      </c>
      <c r="I1806" s="9">
        <f t="shared" si="885"/>
        <v>1.3029374804336864</v>
      </c>
      <c r="J1806" s="9">
        <f t="shared" si="887"/>
        <v>100</v>
      </c>
    </row>
    <row r="1807" spans="1:10" ht="25.5">
      <c r="A1807" s="8" t="s">
        <v>202</v>
      </c>
      <c r="B1807" s="1" t="s">
        <v>203</v>
      </c>
      <c r="C1807" s="1" t="s">
        <v>0</v>
      </c>
      <c r="D1807" s="9">
        <v>686659.8</v>
      </c>
      <c r="E1807" s="9">
        <f>E1808</f>
        <v>751659.78500000003</v>
      </c>
      <c r="F1807" s="9">
        <f t="shared" ref="F1807:H1808" si="897">F1808</f>
        <v>65148.545579999998</v>
      </c>
      <c r="G1807" s="9">
        <f t="shared" si="897"/>
        <v>65148.545579999998</v>
      </c>
      <c r="H1807" s="9">
        <f t="shared" si="897"/>
        <v>65148.545579999998</v>
      </c>
      <c r="I1807" s="9">
        <f t="shared" si="885"/>
        <v>8.6672916231643278</v>
      </c>
      <c r="J1807" s="9">
        <f t="shared" si="887"/>
        <v>100</v>
      </c>
    </row>
    <row r="1808" spans="1:10">
      <c r="A1808" s="8" t="s">
        <v>26</v>
      </c>
      <c r="B1808" s="1" t="s">
        <v>203</v>
      </c>
      <c r="C1808" s="1" t="s">
        <v>27</v>
      </c>
      <c r="D1808" s="9">
        <v>686659.8</v>
      </c>
      <c r="E1808" s="9">
        <f>E1809</f>
        <v>751659.78500000003</v>
      </c>
      <c r="F1808" s="9">
        <f t="shared" si="897"/>
        <v>65148.545579999998</v>
      </c>
      <c r="G1808" s="9">
        <f t="shared" si="897"/>
        <v>65148.545579999998</v>
      </c>
      <c r="H1808" s="9">
        <f t="shared" si="897"/>
        <v>65148.545579999998</v>
      </c>
      <c r="I1808" s="9">
        <f t="shared" si="885"/>
        <v>8.6672916231643278</v>
      </c>
      <c r="J1808" s="9">
        <f t="shared" si="887"/>
        <v>100</v>
      </c>
    </row>
    <row r="1809" spans="1:10">
      <c r="A1809" s="8" t="s">
        <v>56</v>
      </c>
      <c r="B1809" s="1" t="s">
        <v>203</v>
      </c>
      <c r="C1809" s="1" t="s">
        <v>57</v>
      </c>
      <c r="D1809" s="9">
        <v>686659.8</v>
      </c>
      <c r="E1809" s="9">
        <f>ведомство!H281</f>
        <v>751659.78500000003</v>
      </c>
      <c r="F1809" s="9">
        <f>ведомство!I281</f>
        <v>65148.545579999998</v>
      </c>
      <c r="G1809" s="9">
        <f>ведомство!J281</f>
        <v>65148.545579999998</v>
      </c>
      <c r="H1809" s="9">
        <f>ведомство!K281</f>
        <v>65148.545579999998</v>
      </c>
      <c r="I1809" s="9">
        <f t="shared" si="885"/>
        <v>8.6672916231643278</v>
      </c>
      <c r="J1809" s="9">
        <f t="shared" si="887"/>
        <v>100</v>
      </c>
    </row>
    <row r="1810" spans="1:10" ht="38.25">
      <c r="A1810" s="8" t="s">
        <v>204</v>
      </c>
      <c r="B1810" s="1" t="s">
        <v>205</v>
      </c>
      <c r="C1810" s="1" t="s">
        <v>0</v>
      </c>
      <c r="D1810" s="9">
        <v>263799.5</v>
      </c>
      <c r="E1810" s="9">
        <f>E1811</f>
        <v>198799.51</v>
      </c>
      <c r="F1810" s="9">
        <f t="shared" ref="F1810:H1811" si="898">F1811</f>
        <v>72283.210089999993</v>
      </c>
      <c r="G1810" s="9">
        <f t="shared" si="898"/>
        <v>72283.210089999993</v>
      </c>
      <c r="H1810" s="9">
        <f t="shared" si="898"/>
        <v>67691.994940000004</v>
      </c>
      <c r="I1810" s="9">
        <f t="shared" si="885"/>
        <v>34.050383192594389</v>
      </c>
      <c r="J1810" s="9">
        <f t="shared" si="887"/>
        <v>93.648296548695811</v>
      </c>
    </row>
    <row r="1811" spans="1:10">
      <c r="A1811" s="8" t="s">
        <v>26</v>
      </c>
      <c r="B1811" s="1" t="s">
        <v>205</v>
      </c>
      <c r="C1811" s="1" t="s">
        <v>27</v>
      </c>
      <c r="D1811" s="9">
        <v>263799.5</v>
      </c>
      <c r="E1811" s="9">
        <f>E1812</f>
        <v>198799.51</v>
      </c>
      <c r="F1811" s="9">
        <f t="shared" si="898"/>
        <v>72283.210089999993</v>
      </c>
      <c r="G1811" s="9">
        <f t="shared" si="898"/>
        <v>72283.210089999993</v>
      </c>
      <c r="H1811" s="9">
        <f t="shared" si="898"/>
        <v>67691.994940000004</v>
      </c>
      <c r="I1811" s="9">
        <f t="shared" si="885"/>
        <v>34.050383192594389</v>
      </c>
      <c r="J1811" s="9">
        <f t="shared" si="887"/>
        <v>93.648296548695811</v>
      </c>
    </row>
    <row r="1812" spans="1:10">
      <c r="A1812" s="8" t="s">
        <v>56</v>
      </c>
      <c r="B1812" s="1" t="s">
        <v>205</v>
      </c>
      <c r="C1812" s="1" t="s">
        <v>57</v>
      </c>
      <c r="D1812" s="9">
        <v>263799.5</v>
      </c>
      <c r="E1812" s="9">
        <f>ведомство!H284</f>
        <v>198799.51</v>
      </c>
      <c r="F1812" s="9">
        <f>ведомство!I284</f>
        <v>72283.210089999993</v>
      </c>
      <c r="G1812" s="9">
        <f>ведомство!J284</f>
        <v>72283.210089999993</v>
      </c>
      <c r="H1812" s="9">
        <f>ведомство!K284</f>
        <v>67691.994940000004</v>
      </c>
      <c r="I1812" s="9">
        <f t="shared" si="885"/>
        <v>34.050383192594389</v>
      </c>
      <c r="J1812" s="9">
        <f t="shared" si="887"/>
        <v>93.648296548695811</v>
      </c>
    </row>
    <row r="1813" spans="1:10" ht="51">
      <c r="A1813" s="8" t="s">
        <v>102</v>
      </c>
      <c r="B1813" s="1" t="s">
        <v>104</v>
      </c>
      <c r="C1813" s="1" t="s">
        <v>0</v>
      </c>
      <c r="D1813" s="9">
        <v>575805.69999999995</v>
      </c>
      <c r="E1813" s="9">
        <f>E1814+E1816</f>
        <v>604096.42675999994</v>
      </c>
      <c r="F1813" s="9">
        <f t="shared" ref="F1813:H1813" si="899">F1814+F1816</f>
        <v>247462.15360999998</v>
      </c>
      <c r="G1813" s="9">
        <f t="shared" si="899"/>
        <v>247462.15360999998</v>
      </c>
      <c r="H1813" s="9">
        <f t="shared" si="899"/>
        <v>243606.16287999999</v>
      </c>
      <c r="I1813" s="9">
        <f t="shared" si="885"/>
        <v>40.325708295702547</v>
      </c>
      <c r="J1813" s="9">
        <f t="shared" si="887"/>
        <v>98.441785673587475</v>
      </c>
    </row>
    <row r="1814" spans="1:10" ht="25.5">
      <c r="A1814" s="8" t="s">
        <v>39</v>
      </c>
      <c r="B1814" s="1" t="s">
        <v>104</v>
      </c>
      <c r="C1814" s="1" t="s">
        <v>40</v>
      </c>
      <c r="D1814" s="9">
        <v>235372.4</v>
      </c>
      <c r="E1814" s="9">
        <f>E1815</f>
        <v>235372.4</v>
      </c>
      <c r="F1814" s="9">
        <f t="shared" ref="F1814:H1814" si="900">F1815</f>
        <v>235372.4</v>
      </c>
      <c r="G1814" s="9">
        <f t="shared" si="900"/>
        <v>235372.4</v>
      </c>
      <c r="H1814" s="9">
        <f t="shared" si="900"/>
        <v>235372.4</v>
      </c>
      <c r="I1814" s="9">
        <f t="shared" si="885"/>
        <v>100</v>
      </c>
      <c r="J1814" s="9">
        <f t="shared" si="887"/>
        <v>100</v>
      </c>
    </row>
    <row r="1815" spans="1:10">
      <c r="A1815" s="8" t="s">
        <v>41</v>
      </c>
      <c r="B1815" s="1" t="s">
        <v>104</v>
      </c>
      <c r="C1815" s="1" t="s">
        <v>42</v>
      </c>
      <c r="D1815" s="9">
        <v>235372.4</v>
      </c>
      <c r="E1815" s="9">
        <f>ведомство!H97</f>
        <v>235372.4</v>
      </c>
      <c r="F1815" s="9">
        <f>ведомство!I97</f>
        <v>235372.4</v>
      </c>
      <c r="G1815" s="9">
        <f>ведомство!J97</f>
        <v>235372.4</v>
      </c>
      <c r="H1815" s="9">
        <f>ведомство!K97</f>
        <v>235372.4</v>
      </c>
      <c r="I1815" s="9">
        <f t="shared" si="885"/>
        <v>100</v>
      </c>
      <c r="J1815" s="9">
        <f t="shared" si="887"/>
        <v>100</v>
      </c>
    </row>
    <row r="1816" spans="1:10">
      <c r="A1816" s="8" t="s">
        <v>26</v>
      </c>
      <c r="B1816" s="1" t="s">
        <v>104</v>
      </c>
      <c r="C1816" s="1" t="s">
        <v>27</v>
      </c>
      <c r="D1816" s="9">
        <v>340433.3</v>
      </c>
      <c r="E1816" s="9">
        <f>E1817</f>
        <v>368724.02675999998</v>
      </c>
      <c r="F1816" s="9">
        <f t="shared" ref="F1816:H1816" si="901">F1817</f>
        <v>12089.75361</v>
      </c>
      <c r="G1816" s="9">
        <f t="shared" si="901"/>
        <v>12089.75361</v>
      </c>
      <c r="H1816" s="9">
        <f t="shared" si="901"/>
        <v>8233.7628800000002</v>
      </c>
      <c r="I1816" s="9">
        <f t="shared" si="885"/>
        <v>2.2330421351574419</v>
      </c>
      <c r="J1816" s="9">
        <f t="shared" si="887"/>
        <v>68.105299294019289</v>
      </c>
    </row>
    <row r="1817" spans="1:10">
      <c r="A1817" s="8" t="s">
        <v>56</v>
      </c>
      <c r="B1817" s="1" t="s">
        <v>104</v>
      </c>
      <c r="C1817" s="1" t="s">
        <v>57</v>
      </c>
      <c r="D1817" s="9">
        <v>340433.3</v>
      </c>
      <c r="E1817" s="9">
        <f>ведомство!H287+ведомство!H354</f>
        <v>368724.02675999998</v>
      </c>
      <c r="F1817" s="9">
        <f>ведомство!I287+ведомство!I354</f>
        <v>12089.75361</v>
      </c>
      <c r="G1817" s="9">
        <f>ведомство!J287+ведомство!J354</f>
        <v>12089.75361</v>
      </c>
      <c r="H1817" s="9">
        <f>ведомство!K287+ведомство!K354</f>
        <v>8233.7628800000002</v>
      </c>
      <c r="I1817" s="9">
        <f t="shared" si="885"/>
        <v>2.2330421351574419</v>
      </c>
      <c r="J1817" s="9">
        <f t="shared" si="887"/>
        <v>68.105299294019289</v>
      </c>
    </row>
    <row r="1818" spans="1:10" ht="25.5">
      <c r="A1818" s="8" t="s">
        <v>202</v>
      </c>
      <c r="B1818" s="1" t="s">
        <v>206</v>
      </c>
      <c r="C1818" s="1" t="s">
        <v>0</v>
      </c>
      <c r="D1818" s="9">
        <v>482113.1</v>
      </c>
      <c r="E1818" s="9">
        <f>E1819</f>
        <v>453822.36323999998</v>
      </c>
      <c r="F1818" s="9">
        <f t="shared" ref="F1818:H1819" si="902">F1819</f>
        <v>88212.780639999997</v>
      </c>
      <c r="G1818" s="9">
        <f t="shared" si="902"/>
        <v>88212.780639999997</v>
      </c>
      <c r="H1818" s="9">
        <f t="shared" si="902"/>
        <v>88212.780440000002</v>
      </c>
      <c r="I1818" s="9">
        <f t="shared" si="885"/>
        <v>19.437733259819424</v>
      </c>
      <c r="J1818" s="9">
        <f t="shared" si="887"/>
        <v>99.999999773275491</v>
      </c>
    </row>
    <row r="1819" spans="1:10">
      <c r="A1819" s="8" t="s">
        <v>26</v>
      </c>
      <c r="B1819" s="1" t="s">
        <v>206</v>
      </c>
      <c r="C1819" s="1" t="s">
        <v>27</v>
      </c>
      <c r="D1819" s="9">
        <v>482113.1</v>
      </c>
      <c r="E1819" s="9">
        <f>E1820</f>
        <v>453822.36323999998</v>
      </c>
      <c r="F1819" s="9">
        <f t="shared" si="902"/>
        <v>88212.780639999997</v>
      </c>
      <c r="G1819" s="9">
        <f t="shared" si="902"/>
        <v>88212.780639999997</v>
      </c>
      <c r="H1819" s="9">
        <f t="shared" si="902"/>
        <v>88212.780440000002</v>
      </c>
      <c r="I1819" s="9">
        <f t="shared" si="885"/>
        <v>19.437733259819424</v>
      </c>
      <c r="J1819" s="9">
        <f t="shared" si="887"/>
        <v>99.999999773275491</v>
      </c>
    </row>
    <row r="1820" spans="1:10">
      <c r="A1820" s="8" t="s">
        <v>56</v>
      </c>
      <c r="B1820" s="1" t="s">
        <v>206</v>
      </c>
      <c r="C1820" s="1" t="s">
        <v>57</v>
      </c>
      <c r="D1820" s="9">
        <v>482113.1</v>
      </c>
      <c r="E1820" s="9">
        <f>ведомство!H290</f>
        <v>453822.36323999998</v>
      </c>
      <c r="F1820" s="9">
        <f>ведомство!I290</f>
        <v>88212.780639999997</v>
      </c>
      <c r="G1820" s="9">
        <f>ведомство!J290</f>
        <v>88212.780639999997</v>
      </c>
      <c r="H1820" s="9">
        <f>ведомство!K290</f>
        <v>88212.780440000002</v>
      </c>
      <c r="I1820" s="9">
        <f t="shared" si="885"/>
        <v>19.437733259819424</v>
      </c>
      <c r="J1820" s="9">
        <f t="shared" si="887"/>
        <v>99.999999773275491</v>
      </c>
    </row>
    <row r="1821" spans="1:10" ht="38.25">
      <c r="A1821" s="8" t="s">
        <v>204</v>
      </c>
      <c r="B1821" s="1" t="s">
        <v>207</v>
      </c>
      <c r="C1821" s="1" t="s">
        <v>0</v>
      </c>
      <c r="D1821" s="9">
        <v>70423</v>
      </c>
      <c r="E1821" s="9">
        <f>E1822</f>
        <v>70423.009999999995</v>
      </c>
      <c r="F1821" s="9">
        <f t="shared" ref="F1821:H1822" si="903">F1822</f>
        <v>67606.309020000001</v>
      </c>
      <c r="G1821" s="9">
        <f t="shared" si="903"/>
        <v>67606.309020000001</v>
      </c>
      <c r="H1821" s="9">
        <f t="shared" si="903"/>
        <v>63114.339670000001</v>
      </c>
      <c r="I1821" s="9">
        <f t="shared" si="885"/>
        <v>89.621758101506884</v>
      </c>
      <c r="J1821" s="9">
        <f t="shared" si="887"/>
        <v>93.355695030368921</v>
      </c>
    </row>
    <row r="1822" spans="1:10">
      <c r="A1822" s="8" t="s">
        <v>26</v>
      </c>
      <c r="B1822" s="1" t="s">
        <v>207</v>
      </c>
      <c r="C1822" s="1" t="s">
        <v>27</v>
      </c>
      <c r="D1822" s="9">
        <v>70423</v>
      </c>
      <c r="E1822" s="9">
        <f>E1823</f>
        <v>70423.009999999995</v>
      </c>
      <c r="F1822" s="9">
        <f t="shared" si="903"/>
        <v>67606.309020000001</v>
      </c>
      <c r="G1822" s="9">
        <f t="shared" si="903"/>
        <v>67606.309020000001</v>
      </c>
      <c r="H1822" s="9">
        <f t="shared" si="903"/>
        <v>63114.339670000001</v>
      </c>
      <c r="I1822" s="9">
        <f t="shared" si="885"/>
        <v>89.621758101506884</v>
      </c>
      <c r="J1822" s="9">
        <f t="shared" si="887"/>
        <v>93.355695030368921</v>
      </c>
    </row>
    <row r="1823" spans="1:10">
      <c r="A1823" s="8" t="s">
        <v>56</v>
      </c>
      <c r="B1823" s="1" t="s">
        <v>207</v>
      </c>
      <c r="C1823" s="1" t="s">
        <v>57</v>
      </c>
      <c r="D1823" s="9">
        <v>70423</v>
      </c>
      <c r="E1823" s="9">
        <f>ведомство!H293</f>
        <v>70423.009999999995</v>
      </c>
      <c r="F1823" s="9">
        <f>ведомство!I293</f>
        <v>67606.309020000001</v>
      </c>
      <c r="G1823" s="9">
        <f>ведомство!J293</f>
        <v>67606.309020000001</v>
      </c>
      <c r="H1823" s="9">
        <f>ведомство!K293</f>
        <v>63114.339670000001</v>
      </c>
      <c r="I1823" s="9">
        <f t="shared" si="885"/>
        <v>89.621758101506884</v>
      </c>
      <c r="J1823" s="9">
        <f t="shared" si="887"/>
        <v>93.355695030368921</v>
      </c>
    </row>
    <row r="1824" spans="1:10" ht="15.75">
      <c r="A1824" s="18" t="s">
        <v>0</v>
      </c>
      <c r="B1824" s="19" t="s">
        <v>0</v>
      </c>
      <c r="C1824" s="19" t="s">
        <v>0</v>
      </c>
      <c r="D1824" s="20" t="s">
        <v>0</v>
      </c>
      <c r="E1824" s="20" t="s">
        <v>0</v>
      </c>
      <c r="F1824" s="20"/>
      <c r="G1824" s="20"/>
      <c r="H1824" s="20"/>
      <c r="I1824" s="20"/>
      <c r="J1824" s="20"/>
    </row>
    <row r="1825" spans="1:10">
      <c r="A1825" s="4" t="s">
        <v>1105</v>
      </c>
      <c r="B1825" s="1" t="s">
        <v>0</v>
      </c>
      <c r="C1825" s="1" t="s">
        <v>0</v>
      </c>
      <c r="D1825" s="7">
        <v>246943.2</v>
      </c>
      <c r="E1825" s="7">
        <f>E1827+E1846+E1859</f>
        <v>246943.2</v>
      </c>
      <c r="F1825" s="7">
        <f t="shared" ref="F1825:H1825" si="904">F1827+F1846+F1859</f>
        <v>3139.2</v>
      </c>
      <c r="G1825" s="7">
        <f t="shared" si="904"/>
        <v>2518.4499999999998</v>
      </c>
      <c r="H1825" s="7">
        <f t="shared" si="904"/>
        <v>2515.9609</v>
      </c>
      <c r="I1825" s="7">
        <f t="shared" si="885"/>
        <v>1.0188419442203713</v>
      </c>
      <c r="J1825" s="7">
        <f t="shared" si="887"/>
        <v>80.146562818552496</v>
      </c>
    </row>
    <row r="1826" spans="1:10">
      <c r="A1826" s="4" t="s">
        <v>0</v>
      </c>
      <c r="B1826" s="17" t="s">
        <v>0</v>
      </c>
      <c r="C1826" s="5" t="s">
        <v>0</v>
      </c>
      <c r="D1826" s="7" t="s">
        <v>0</v>
      </c>
      <c r="E1826" s="7" t="s">
        <v>0</v>
      </c>
      <c r="F1826" s="7"/>
      <c r="G1826" s="7"/>
      <c r="H1826" s="7"/>
      <c r="I1826" s="7"/>
      <c r="J1826" s="7"/>
    </row>
    <row r="1827" spans="1:10" ht="38.25">
      <c r="A1827" s="4" t="s">
        <v>377</v>
      </c>
      <c r="B1827" s="5" t="s">
        <v>378</v>
      </c>
      <c r="C1827" s="5" t="s">
        <v>0</v>
      </c>
      <c r="D1827" s="7">
        <v>5190</v>
      </c>
      <c r="E1827" s="7">
        <f>E1828++E1832+E1835+E1842</f>
        <v>5190</v>
      </c>
      <c r="F1827" s="7">
        <f t="shared" ref="F1827:H1827" si="905">F1828++F1832+F1835+F1842</f>
        <v>2574.1999999999998</v>
      </c>
      <c r="G1827" s="7">
        <f t="shared" si="905"/>
        <v>1953.45</v>
      </c>
      <c r="H1827" s="7">
        <f t="shared" si="905"/>
        <v>1950.9609</v>
      </c>
      <c r="I1827" s="7">
        <f t="shared" si="885"/>
        <v>37.590768786127171</v>
      </c>
      <c r="J1827" s="7">
        <f t="shared" si="887"/>
        <v>75.789017947323444</v>
      </c>
    </row>
    <row r="1828" spans="1:10" ht="25.5">
      <c r="A1828" s="8" t="s">
        <v>76</v>
      </c>
      <c r="B1828" s="1" t="s">
        <v>379</v>
      </c>
      <c r="C1828" s="1" t="s">
        <v>0</v>
      </c>
      <c r="D1828" s="9">
        <v>1620</v>
      </c>
      <c r="E1828" s="9">
        <f>E1829</f>
        <v>1620</v>
      </c>
      <c r="F1828" s="9">
        <f t="shared" ref="F1828:H1828" si="906">F1829</f>
        <v>1000</v>
      </c>
      <c r="G1828" s="9">
        <f t="shared" si="906"/>
        <v>1000</v>
      </c>
      <c r="H1828" s="9">
        <f t="shared" si="906"/>
        <v>1000</v>
      </c>
      <c r="I1828" s="9">
        <f t="shared" si="885"/>
        <v>61.728395061728392</v>
      </c>
      <c r="J1828" s="9">
        <f t="shared" si="887"/>
        <v>100</v>
      </c>
    </row>
    <row r="1829" spans="1:10" ht="25.5">
      <c r="A1829" s="8" t="s">
        <v>80</v>
      </c>
      <c r="B1829" s="1" t="s">
        <v>379</v>
      </c>
      <c r="C1829" s="1" t="s">
        <v>81</v>
      </c>
      <c r="D1829" s="9">
        <v>1620</v>
      </c>
      <c r="E1829" s="9">
        <f>E1830+E1831</f>
        <v>1620</v>
      </c>
      <c r="F1829" s="9">
        <f t="shared" ref="F1829:H1829" si="907">F1830+F1831</f>
        <v>1000</v>
      </c>
      <c r="G1829" s="9">
        <f t="shared" si="907"/>
        <v>1000</v>
      </c>
      <c r="H1829" s="9">
        <f t="shared" si="907"/>
        <v>1000</v>
      </c>
      <c r="I1829" s="9">
        <f t="shared" si="885"/>
        <v>61.728395061728392</v>
      </c>
      <c r="J1829" s="9">
        <f t="shared" si="887"/>
        <v>100</v>
      </c>
    </row>
    <row r="1830" spans="1:10">
      <c r="A1830" s="8" t="s">
        <v>271</v>
      </c>
      <c r="B1830" s="1" t="s">
        <v>379</v>
      </c>
      <c r="C1830" s="1" t="s">
        <v>272</v>
      </c>
      <c r="D1830" s="9">
        <v>100</v>
      </c>
      <c r="E1830" s="9">
        <f>ведомство!H771</f>
        <v>100</v>
      </c>
      <c r="F1830" s="9">
        <f>ведомство!I771</f>
        <v>0</v>
      </c>
      <c r="G1830" s="9">
        <f>ведомство!J771</f>
        <v>0</v>
      </c>
      <c r="H1830" s="9">
        <f>ведомство!K771</f>
        <v>0</v>
      </c>
      <c r="I1830" s="9">
        <f t="shared" si="885"/>
        <v>0</v>
      </c>
      <c r="J1830" s="9">
        <v>0</v>
      </c>
    </row>
    <row r="1831" spans="1:10">
      <c r="A1831" s="8" t="s">
        <v>82</v>
      </c>
      <c r="B1831" s="1" t="s">
        <v>379</v>
      </c>
      <c r="C1831" s="1" t="s">
        <v>83</v>
      </c>
      <c r="D1831" s="9">
        <v>1520</v>
      </c>
      <c r="E1831" s="9">
        <f>ведомство!H2608</f>
        <v>1520</v>
      </c>
      <c r="F1831" s="9">
        <f>ведомство!I2608</f>
        <v>1000</v>
      </c>
      <c r="G1831" s="9">
        <f>ведомство!J2608</f>
        <v>1000</v>
      </c>
      <c r="H1831" s="9">
        <f>ведомство!K2608</f>
        <v>1000</v>
      </c>
      <c r="I1831" s="9">
        <f t="shared" si="885"/>
        <v>65.789473684210535</v>
      </c>
      <c r="J1831" s="9">
        <f t="shared" si="887"/>
        <v>100</v>
      </c>
    </row>
    <row r="1832" spans="1:10">
      <c r="A1832" s="8" t="s">
        <v>424</v>
      </c>
      <c r="B1832" s="1" t="s">
        <v>453</v>
      </c>
      <c r="C1832" s="1" t="s">
        <v>0</v>
      </c>
      <c r="D1832" s="9">
        <v>1070</v>
      </c>
      <c r="E1832" s="9">
        <f>E1833</f>
        <v>1070</v>
      </c>
      <c r="F1832" s="9">
        <f t="shared" ref="F1832:H1833" si="908">F1833</f>
        <v>705</v>
      </c>
      <c r="G1832" s="9">
        <f t="shared" si="908"/>
        <v>705</v>
      </c>
      <c r="H1832" s="9">
        <f t="shared" si="908"/>
        <v>705</v>
      </c>
      <c r="I1832" s="9">
        <f t="shared" si="885"/>
        <v>65.887850467289724</v>
      </c>
      <c r="J1832" s="9">
        <f t="shared" si="887"/>
        <v>100</v>
      </c>
    </row>
    <row r="1833" spans="1:10" ht="25.5">
      <c r="A1833" s="8" t="s">
        <v>80</v>
      </c>
      <c r="B1833" s="1" t="s">
        <v>453</v>
      </c>
      <c r="C1833" s="1" t="s">
        <v>81</v>
      </c>
      <c r="D1833" s="9">
        <v>1070</v>
      </c>
      <c r="E1833" s="9">
        <f>E1834</f>
        <v>1070</v>
      </c>
      <c r="F1833" s="9">
        <f t="shared" si="908"/>
        <v>705</v>
      </c>
      <c r="G1833" s="9">
        <f t="shared" si="908"/>
        <v>705</v>
      </c>
      <c r="H1833" s="9">
        <f t="shared" si="908"/>
        <v>705</v>
      </c>
      <c r="I1833" s="9">
        <f t="shared" si="885"/>
        <v>65.887850467289724</v>
      </c>
      <c r="J1833" s="9">
        <f t="shared" si="887"/>
        <v>100</v>
      </c>
    </row>
    <row r="1834" spans="1:10">
      <c r="A1834" s="8" t="s">
        <v>82</v>
      </c>
      <c r="B1834" s="1" t="s">
        <v>453</v>
      </c>
      <c r="C1834" s="1" t="s">
        <v>83</v>
      </c>
      <c r="D1834" s="9">
        <v>1070</v>
      </c>
      <c r="E1834" s="9">
        <f>ведомство!H1054</f>
        <v>1070</v>
      </c>
      <c r="F1834" s="9">
        <f>ведомство!I1054</f>
        <v>705</v>
      </c>
      <c r="G1834" s="9">
        <f>ведомство!J1054</f>
        <v>705</v>
      </c>
      <c r="H1834" s="9">
        <f>ведомство!K1054</f>
        <v>705</v>
      </c>
      <c r="I1834" s="9">
        <f t="shared" si="885"/>
        <v>65.887850467289724</v>
      </c>
      <c r="J1834" s="9">
        <f t="shared" si="887"/>
        <v>100</v>
      </c>
    </row>
    <row r="1835" spans="1:10" ht="25.5">
      <c r="A1835" s="8" t="s">
        <v>617</v>
      </c>
      <c r="B1835" s="1" t="s">
        <v>618</v>
      </c>
      <c r="C1835" s="1" t="s">
        <v>0</v>
      </c>
      <c r="D1835" s="9">
        <v>2400</v>
      </c>
      <c r="E1835" s="9">
        <f>E1836+E1838+E1840</f>
        <v>2400</v>
      </c>
      <c r="F1835" s="9">
        <f t="shared" ref="F1835:H1835" si="909">F1836+F1838+F1840</f>
        <v>869.2</v>
      </c>
      <c r="G1835" s="9">
        <f t="shared" si="909"/>
        <v>248.45</v>
      </c>
      <c r="H1835" s="9">
        <f t="shared" si="909"/>
        <v>245.96090000000001</v>
      </c>
      <c r="I1835" s="9">
        <f t="shared" si="885"/>
        <v>10.248370833333334</v>
      </c>
      <c r="J1835" s="9">
        <f t="shared" si="887"/>
        <v>28.297388403129315</v>
      </c>
    </row>
    <row r="1836" spans="1:10" ht="51">
      <c r="A1836" s="8" t="s">
        <v>60</v>
      </c>
      <c r="B1836" s="1" t="s">
        <v>618</v>
      </c>
      <c r="C1836" s="1" t="s">
        <v>61</v>
      </c>
      <c r="D1836" s="9">
        <v>230</v>
      </c>
      <c r="E1836" s="9">
        <f>E1837</f>
        <v>230</v>
      </c>
      <c r="F1836" s="9">
        <f t="shared" ref="F1836:H1836" si="910">F1837</f>
        <v>114.2</v>
      </c>
      <c r="G1836" s="9">
        <f t="shared" si="910"/>
        <v>72.3</v>
      </c>
      <c r="H1836" s="9">
        <f t="shared" si="910"/>
        <v>70.72</v>
      </c>
      <c r="I1836" s="9">
        <f t="shared" si="885"/>
        <v>30.747826086956522</v>
      </c>
      <c r="J1836" s="9">
        <f t="shared" si="887"/>
        <v>61.926444833625219</v>
      </c>
    </row>
    <row r="1837" spans="1:10" ht="25.5">
      <c r="A1837" s="8" t="s">
        <v>62</v>
      </c>
      <c r="B1837" s="1" t="s">
        <v>618</v>
      </c>
      <c r="C1837" s="1" t="s">
        <v>63</v>
      </c>
      <c r="D1837" s="9">
        <v>230</v>
      </c>
      <c r="E1837" s="9">
        <f>ведомство!H1395</f>
        <v>230</v>
      </c>
      <c r="F1837" s="9">
        <f>ведомство!I1395</f>
        <v>114.2</v>
      </c>
      <c r="G1837" s="9">
        <f>ведомство!J1395</f>
        <v>72.3</v>
      </c>
      <c r="H1837" s="9">
        <f>ведомство!K1395</f>
        <v>70.72</v>
      </c>
      <c r="I1837" s="9">
        <f t="shared" si="885"/>
        <v>30.747826086956522</v>
      </c>
      <c r="J1837" s="9">
        <f t="shared" si="887"/>
        <v>61.926444833625219</v>
      </c>
    </row>
    <row r="1838" spans="1:10" ht="25.5">
      <c r="A1838" s="8" t="s">
        <v>64</v>
      </c>
      <c r="B1838" s="1" t="s">
        <v>618</v>
      </c>
      <c r="C1838" s="1" t="s">
        <v>65</v>
      </c>
      <c r="D1838" s="9">
        <v>670</v>
      </c>
      <c r="E1838" s="9">
        <f>E1839</f>
        <v>670</v>
      </c>
      <c r="F1838" s="9">
        <f t="shared" ref="F1838:H1838" si="911">F1839</f>
        <v>255</v>
      </c>
      <c r="G1838" s="9">
        <f t="shared" si="911"/>
        <v>176.15</v>
      </c>
      <c r="H1838" s="9">
        <f t="shared" si="911"/>
        <v>175.24090000000001</v>
      </c>
      <c r="I1838" s="9">
        <f t="shared" si="885"/>
        <v>26.155358208955228</v>
      </c>
      <c r="J1838" s="9">
        <f t="shared" si="887"/>
        <v>68.721921568627451</v>
      </c>
    </row>
    <row r="1839" spans="1:10" ht="25.5">
      <c r="A1839" s="8" t="s">
        <v>66</v>
      </c>
      <c r="B1839" s="1" t="s">
        <v>618</v>
      </c>
      <c r="C1839" s="1" t="s">
        <v>67</v>
      </c>
      <c r="D1839" s="9">
        <v>670</v>
      </c>
      <c r="E1839" s="9">
        <f>ведомство!H1397</f>
        <v>670</v>
      </c>
      <c r="F1839" s="9">
        <f>ведомство!I1397</f>
        <v>255</v>
      </c>
      <c r="G1839" s="9">
        <f>ведомство!J1397</f>
        <v>176.15</v>
      </c>
      <c r="H1839" s="9">
        <f>ведомство!K1397</f>
        <v>175.24090000000001</v>
      </c>
      <c r="I1839" s="9">
        <f t="shared" si="885"/>
        <v>26.155358208955228</v>
      </c>
      <c r="J1839" s="9">
        <f t="shared" si="887"/>
        <v>68.721921568627451</v>
      </c>
    </row>
    <row r="1840" spans="1:10">
      <c r="A1840" s="8" t="s">
        <v>68</v>
      </c>
      <c r="B1840" s="1" t="s">
        <v>618</v>
      </c>
      <c r="C1840" s="1" t="s">
        <v>69</v>
      </c>
      <c r="D1840" s="9">
        <v>1500</v>
      </c>
      <c r="E1840" s="9">
        <f>E1841</f>
        <v>1500</v>
      </c>
      <c r="F1840" s="9">
        <f t="shared" ref="F1840:H1840" si="912">F1841</f>
        <v>500</v>
      </c>
      <c r="G1840" s="9">
        <f t="shared" si="912"/>
        <v>0</v>
      </c>
      <c r="H1840" s="9">
        <f t="shared" si="912"/>
        <v>0</v>
      </c>
      <c r="I1840" s="9">
        <f t="shared" si="885"/>
        <v>0</v>
      </c>
      <c r="J1840" s="9">
        <f t="shared" si="887"/>
        <v>0</v>
      </c>
    </row>
    <row r="1841" spans="1:10">
      <c r="A1841" s="8" t="s">
        <v>373</v>
      </c>
      <c r="B1841" s="1" t="s">
        <v>618</v>
      </c>
      <c r="C1841" s="1" t="s">
        <v>374</v>
      </c>
      <c r="D1841" s="9">
        <v>1500</v>
      </c>
      <c r="E1841" s="9">
        <f>ведомство!H1399</f>
        <v>1500</v>
      </c>
      <c r="F1841" s="9">
        <f>ведомство!I1399</f>
        <v>500</v>
      </c>
      <c r="G1841" s="9">
        <f>ведомство!J1399</f>
        <v>0</v>
      </c>
      <c r="H1841" s="9">
        <f>ведомство!K1399</f>
        <v>0</v>
      </c>
      <c r="I1841" s="9">
        <f t="shared" si="885"/>
        <v>0</v>
      </c>
      <c r="J1841" s="9">
        <f t="shared" si="887"/>
        <v>0</v>
      </c>
    </row>
    <row r="1842" spans="1:10" ht="25.5">
      <c r="A1842" s="8" t="s">
        <v>748</v>
      </c>
      <c r="B1842" s="1" t="s">
        <v>749</v>
      </c>
      <c r="C1842" s="1" t="s">
        <v>0</v>
      </c>
      <c r="D1842" s="9">
        <v>100</v>
      </c>
      <c r="E1842" s="9">
        <f>E1843</f>
        <v>100</v>
      </c>
      <c r="F1842" s="9">
        <f t="shared" ref="F1842:H1843" si="913">F1843</f>
        <v>0</v>
      </c>
      <c r="G1842" s="9">
        <f t="shared" si="913"/>
        <v>0</v>
      </c>
      <c r="H1842" s="9">
        <f t="shared" si="913"/>
        <v>0</v>
      </c>
      <c r="I1842" s="9">
        <f t="shared" si="885"/>
        <v>0</v>
      </c>
      <c r="J1842" s="9">
        <v>0</v>
      </c>
    </row>
    <row r="1843" spans="1:10" ht="25.5">
      <c r="A1843" s="8" t="s">
        <v>64</v>
      </c>
      <c r="B1843" s="1" t="s">
        <v>749</v>
      </c>
      <c r="C1843" s="1" t="s">
        <v>65</v>
      </c>
      <c r="D1843" s="9">
        <v>100</v>
      </c>
      <c r="E1843" s="9">
        <f>E1844</f>
        <v>100</v>
      </c>
      <c r="F1843" s="9">
        <f t="shared" si="913"/>
        <v>0</v>
      </c>
      <c r="G1843" s="9">
        <f t="shared" si="913"/>
        <v>0</v>
      </c>
      <c r="H1843" s="9">
        <f t="shared" si="913"/>
        <v>0</v>
      </c>
      <c r="I1843" s="9">
        <f t="shared" si="885"/>
        <v>0</v>
      </c>
      <c r="J1843" s="9">
        <v>0</v>
      </c>
    </row>
    <row r="1844" spans="1:10" ht="25.5">
      <c r="A1844" s="8" t="s">
        <v>66</v>
      </c>
      <c r="B1844" s="1" t="s">
        <v>749</v>
      </c>
      <c r="C1844" s="1" t="s">
        <v>67</v>
      </c>
      <c r="D1844" s="9">
        <v>100</v>
      </c>
      <c r="E1844" s="9">
        <f>ведомство!H1648</f>
        <v>100</v>
      </c>
      <c r="F1844" s="9">
        <f>ведомство!I1648</f>
        <v>0</v>
      </c>
      <c r="G1844" s="9">
        <f>ведомство!J1648</f>
        <v>0</v>
      </c>
      <c r="H1844" s="9">
        <f>ведомство!K1648</f>
        <v>0</v>
      </c>
      <c r="I1844" s="9">
        <f t="shared" si="885"/>
        <v>0</v>
      </c>
      <c r="J1844" s="9">
        <v>0</v>
      </c>
    </row>
    <row r="1845" spans="1:10">
      <c r="A1845" s="4" t="s">
        <v>0</v>
      </c>
      <c r="B1845" s="17" t="s">
        <v>0</v>
      </c>
      <c r="C1845" s="5" t="s">
        <v>0</v>
      </c>
      <c r="D1845" s="7" t="s">
        <v>0</v>
      </c>
      <c r="E1845" s="7" t="s">
        <v>0</v>
      </c>
      <c r="F1845" s="7"/>
      <c r="G1845" s="7"/>
      <c r="H1845" s="7"/>
      <c r="I1845" s="7"/>
      <c r="J1845" s="7"/>
    </row>
    <row r="1846" spans="1:10" ht="25.5">
      <c r="A1846" s="4" t="s">
        <v>142</v>
      </c>
      <c r="B1846" s="5" t="s">
        <v>143</v>
      </c>
      <c r="C1846" s="5" t="s">
        <v>0</v>
      </c>
      <c r="D1846" s="7">
        <v>200596.2</v>
      </c>
      <c r="E1846" s="7">
        <f>E1847+E1850+E1853</f>
        <v>200596.2</v>
      </c>
      <c r="F1846" s="7">
        <f t="shared" ref="F1846:H1846" si="914">F1847+F1850+F1853</f>
        <v>565</v>
      </c>
      <c r="G1846" s="7">
        <f t="shared" si="914"/>
        <v>565</v>
      </c>
      <c r="H1846" s="7">
        <f t="shared" si="914"/>
        <v>565</v>
      </c>
      <c r="I1846" s="7">
        <f t="shared" si="885"/>
        <v>0.28166037043573106</v>
      </c>
      <c r="J1846" s="7">
        <f t="shared" si="887"/>
        <v>100</v>
      </c>
    </row>
    <row r="1847" spans="1:10" ht="25.5">
      <c r="A1847" s="8" t="s">
        <v>76</v>
      </c>
      <c r="B1847" s="1" t="s">
        <v>287</v>
      </c>
      <c r="C1847" s="1" t="s">
        <v>0</v>
      </c>
      <c r="D1847" s="9">
        <v>165</v>
      </c>
      <c r="E1847" s="9">
        <f>E1848</f>
        <v>165</v>
      </c>
      <c r="F1847" s="9">
        <f t="shared" ref="F1847:H1848" si="915">F1848</f>
        <v>165</v>
      </c>
      <c r="G1847" s="9">
        <f t="shared" si="915"/>
        <v>165</v>
      </c>
      <c r="H1847" s="9">
        <f t="shared" si="915"/>
        <v>165</v>
      </c>
      <c r="I1847" s="9">
        <f t="shared" si="885"/>
        <v>100</v>
      </c>
      <c r="J1847" s="9">
        <f t="shared" si="887"/>
        <v>100</v>
      </c>
    </row>
    <row r="1848" spans="1:10" ht="25.5">
      <c r="A1848" s="8" t="s">
        <v>80</v>
      </c>
      <c r="B1848" s="1" t="s">
        <v>287</v>
      </c>
      <c r="C1848" s="1" t="s">
        <v>81</v>
      </c>
      <c r="D1848" s="9">
        <v>165</v>
      </c>
      <c r="E1848" s="9">
        <f>E1849</f>
        <v>165</v>
      </c>
      <c r="F1848" s="9">
        <f t="shared" si="915"/>
        <v>165</v>
      </c>
      <c r="G1848" s="9">
        <f t="shared" si="915"/>
        <v>165</v>
      </c>
      <c r="H1848" s="9">
        <f t="shared" si="915"/>
        <v>165</v>
      </c>
      <c r="I1848" s="9">
        <f t="shared" si="885"/>
        <v>100</v>
      </c>
      <c r="J1848" s="9">
        <f t="shared" si="887"/>
        <v>100</v>
      </c>
    </row>
    <row r="1849" spans="1:10">
      <c r="A1849" s="8" t="s">
        <v>82</v>
      </c>
      <c r="B1849" s="1" t="s">
        <v>287</v>
      </c>
      <c r="C1849" s="1" t="s">
        <v>83</v>
      </c>
      <c r="D1849" s="9">
        <v>165</v>
      </c>
      <c r="E1849" s="9">
        <f>ведомство!H477+ведомство!H487</f>
        <v>165</v>
      </c>
      <c r="F1849" s="9">
        <f>ведомство!I477+ведомство!I487</f>
        <v>165</v>
      </c>
      <c r="G1849" s="9">
        <f>ведомство!J477+ведомство!J487</f>
        <v>165</v>
      </c>
      <c r="H1849" s="9">
        <f>ведомство!K477+ведомство!K487</f>
        <v>165</v>
      </c>
      <c r="I1849" s="9">
        <f t="shared" si="885"/>
        <v>100</v>
      </c>
      <c r="J1849" s="9">
        <f t="shared" si="887"/>
        <v>100</v>
      </c>
    </row>
    <row r="1850" spans="1:10" ht="38.25">
      <c r="A1850" s="8" t="s">
        <v>37</v>
      </c>
      <c r="B1850" s="1" t="s">
        <v>144</v>
      </c>
      <c r="C1850" s="1" t="s">
        <v>0</v>
      </c>
      <c r="D1850" s="9">
        <v>197721.2</v>
      </c>
      <c r="E1850" s="9">
        <f>E1851</f>
        <v>197721.2</v>
      </c>
      <c r="F1850" s="9">
        <f t="shared" ref="F1850:H1851" si="916">F1851</f>
        <v>0</v>
      </c>
      <c r="G1850" s="9">
        <f t="shared" si="916"/>
        <v>0</v>
      </c>
      <c r="H1850" s="9">
        <f t="shared" si="916"/>
        <v>0</v>
      </c>
      <c r="I1850" s="9">
        <f t="shared" si="885"/>
        <v>0</v>
      </c>
      <c r="J1850" s="9">
        <v>0</v>
      </c>
    </row>
    <row r="1851" spans="1:10">
      <c r="A1851" s="8" t="s">
        <v>72</v>
      </c>
      <c r="B1851" s="1" t="s">
        <v>144</v>
      </c>
      <c r="C1851" s="1" t="s">
        <v>73</v>
      </c>
      <c r="D1851" s="9">
        <v>197721.2</v>
      </c>
      <c r="E1851" s="9">
        <f>E1852</f>
        <v>197721.2</v>
      </c>
      <c r="F1851" s="9">
        <f t="shared" si="916"/>
        <v>0</v>
      </c>
      <c r="G1851" s="9">
        <f t="shared" si="916"/>
        <v>0</v>
      </c>
      <c r="H1851" s="9">
        <f t="shared" si="916"/>
        <v>0</v>
      </c>
      <c r="I1851" s="9">
        <f t="shared" si="885"/>
        <v>0</v>
      </c>
      <c r="J1851" s="9">
        <v>0</v>
      </c>
    </row>
    <row r="1852" spans="1:10">
      <c r="A1852" s="8" t="s">
        <v>145</v>
      </c>
      <c r="B1852" s="1" t="s">
        <v>144</v>
      </c>
      <c r="C1852" s="1" t="s">
        <v>146</v>
      </c>
      <c r="D1852" s="9">
        <v>197721.2</v>
      </c>
      <c r="E1852" s="9">
        <f>ведомство!H184</f>
        <v>197721.2</v>
      </c>
      <c r="F1852" s="9">
        <f>ведомство!I184</f>
        <v>0</v>
      </c>
      <c r="G1852" s="9">
        <f>ведомство!J184</f>
        <v>0</v>
      </c>
      <c r="H1852" s="9">
        <f>ведомство!K184</f>
        <v>0</v>
      </c>
      <c r="I1852" s="9">
        <f t="shared" ref="I1852:I1915" si="917">H1852/E1852*100</f>
        <v>0</v>
      </c>
      <c r="J1852" s="9">
        <v>0</v>
      </c>
    </row>
    <row r="1853" spans="1:10">
      <c r="A1853" s="8" t="s">
        <v>303</v>
      </c>
      <c r="B1853" s="1" t="s">
        <v>345</v>
      </c>
      <c r="C1853" s="1" t="s">
        <v>0</v>
      </c>
      <c r="D1853" s="9">
        <v>2710</v>
      </c>
      <c r="E1853" s="9">
        <f>E1854+E1856</f>
        <v>2710</v>
      </c>
      <c r="F1853" s="9">
        <f t="shared" ref="F1853:H1853" si="918">F1854+F1856</f>
        <v>400</v>
      </c>
      <c r="G1853" s="9">
        <f t="shared" si="918"/>
        <v>400</v>
      </c>
      <c r="H1853" s="9">
        <f t="shared" si="918"/>
        <v>400</v>
      </c>
      <c r="I1853" s="9">
        <f t="shared" si="917"/>
        <v>14.760147601476014</v>
      </c>
      <c r="J1853" s="9">
        <f t="shared" ref="J1853:J1915" si="919">H1853/F1853*100</f>
        <v>100</v>
      </c>
    </row>
    <row r="1854" spans="1:10">
      <c r="A1854" s="8" t="s">
        <v>68</v>
      </c>
      <c r="B1854" s="1" t="s">
        <v>345</v>
      </c>
      <c r="C1854" s="1" t="s">
        <v>69</v>
      </c>
      <c r="D1854" s="9">
        <v>1750</v>
      </c>
      <c r="E1854" s="9">
        <f>E1855</f>
        <v>1750</v>
      </c>
      <c r="F1854" s="9">
        <f t="shared" ref="F1854:H1854" si="920">F1855</f>
        <v>0</v>
      </c>
      <c r="G1854" s="9">
        <f t="shared" si="920"/>
        <v>0</v>
      </c>
      <c r="H1854" s="9">
        <f t="shared" si="920"/>
        <v>0</v>
      </c>
      <c r="I1854" s="9">
        <f t="shared" si="917"/>
        <v>0</v>
      </c>
      <c r="J1854" s="9">
        <v>0</v>
      </c>
    </row>
    <row r="1855" spans="1:10">
      <c r="A1855" s="8" t="s">
        <v>70</v>
      </c>
      <c r="B1855" s="1" t="s">
        <v>345</v>
      </c>
      <c r="C1855" s="1" t="s">
        <v>71</v>
      </c>
      <c r="D1855" s="9">
        <v>1750</v>
      </c>
      <c r="E1855" s="9">
        <f>ведомство!H676</f>
        <v>1750</v>
      </c>
      <c r="F1855" s="9">
        <f>ведомство!I676</f>
        <v>0</v>
      </c>
      <c r="G1855" s="9">
        <f>ведомство!J676</f>
        <v>0</v>
      </c>
      <c r="H1855" s="9">
        <f>ведомство!K676</f>
        <v>0</v>
      </c>
      <c r="I1855" s="9">
        <f t="shared" si="917"/>
        <v>0</v>
      </c>
      <c r="J1855" s="9">
        <v>0</v>
      </c>
    </row>
    <row r="1856" spans="1:10" ht="25.5">
      <c r="A1856" s="8" t="s">
        <v>80</v>
      </c>
      <c r="B1856" s="1" t="s">
        <v>345</v>
      </c>
      <c r="C1856" s="1" t="s">
        <v>81</v>
      </c>
      <c r="D1856" s="9">
        <v>960</v>
      </c>
      <c r="E1856" s="9">
        <f>E1857</f>
        <v>960</v>
      </c>
      <c r="F1856" s="9">
        <f t="shared" ref="F1856:H1856" si="921">F1857</f>
        <v>400</v>
      </c>
      <c r="G1856" s="9">
        <f t="shared" si="921"/>
        <v>400</v>
      </c>
      <c r="H1856" s="9">
        <f t="shared" si="921"/>
        <v>400</v>
      </c>
      <c r="I1856" s="9">
        <f t="shared" si="917"/>
        <v>41.666666666666671</v>
      </c>
      <c r="J1856" s="9">
        <f t="shared" si="919"/>
        <v>100</v>
      </c>
    </row>
    <row r="1857" spans="1:10">
      <c r="A1857" s="8" t="s">
        <v>271</v>
      </c>
      <c r="B1857" s="1" t="s">
        <v>345</v>
      </c>
      <c r="C1857" s="1" t="s">
        <v>272</v>
      </c>
      <c r="D1857" s="9">
        <v>960</v>
      </c>
      <c r="E1857" s="9">
        <f>ведомство!H678</f>
        <v>960</v>
      </c>
      <c r="F1857" s="9">
        <f>ведомство!I678</f>
        <v>400</v>
      </c>
      <c r="G1857" s="9">
        <f>ведомство!J678</f>
        <v>400</v>
      </c>
      <c r="H1857" s="9">
        <f>ведомство!K678</f>
        <v>400</v>
      </c>
      <c r="I1857" s="9">
        <f t="shared" si="917"/>
        <v>41.666666666666671</v>
      </c>
      <c r="J1857" s="9">
        <f t="shared" si="919"/>
        <v>100</v>
      </c>
    </row>
    <row r="1858" spans="1:10">
      <c r="A1858" s="4" t="s">
        <v>0</v>
      </c>
      <c r="B1858" s="17" t="s">
        <v>0</v>
      </c>
      <c r="C1858" s="5" t="s">
        <v>0</v>
      </c>
      <c r="D1858" s="7" t="s">
        <v>0</v>
      </c>
      <c r="E1858" s="7" t="s">
        <v>0</v>
      </c>
      <c r="F1858" s="7"/>
      <c r="G1858" s="7"/>
      <c r="H1858" s="7"/>
      <c r="I1858" s="7"/>
      <c r="J1858" s="7"/>
    </row>
    <row r="1859" spans="1:10" ht="38.25">
      <c r="A1859" s="4" t="s">
        <v>208</v>
      </c>
      <c r="B1859" s="5" t="s">
        <v>209</v>
      </c>
      <c r="C1859" s="5" t="s">
        <v>0</v>
      </c>
      <c r="D1859" s="7">
        <v>41157</v>
      </c>
      <c r="E1859" s="7">
        <f>E1860</f>
        <v>41157</v>
      </c>
      <c r="F1859" s="7">
        <f t="shared" ref="F1859:H1861" si="922">F1860</f>
        <v>0</v>
      </c>
      <c r="G1859" s="7">
        <f t="shared" si="922"/>
        <v>0</v>
      </c>
      <c r="H1859" s="7">
        <f t="shared" si="922"/>
        <v>0</v>
      </c>
      <c r="I1859" s="7">
        <f t="shared" si="917"/>
        <v>0</v>
      </c>
      <c r="J1859" s="7">
        <v>0</v>
      </c>
    </row>
    <row r="1860" spans="1:10" ht="25.5">
      <c r="A1860" s="8" t="s">
        <v>199</v>
      </c>
      <c r="B1860" s="1" t="s">
        <v>210</v>
      </c>
      <c r="C1860" s="1" t="s">
        <v>0</v>
      </c>
      <c r="D1860" s="9">
        <v>41157</v>
      </c>
      <c r="E1860" s="9">
        <f>E1861</f>
        <v>41157</v>
      </c>
      <c r="F1860" s="9">
        <f t="shared" si="922"/>
        <v>0</v>
      </c>
      <c r="G1860" s="9">
        <f t="shared" si="922"/>
        <v>0</v>
      </c>
      <c r="H1860" s="9">
        <f t="shared" si="922"/>
        <v>0</v>
      </c>
      <c r="I1860" s="9">
        <f t="shared" si="917"/>
        <v>0</v>
      </c>
      <c r="J1860" s="9">
        <v>0</v>
      </c>
    </row>
    <row r="1861" spans="1:10" ht="25.5">
      <c r="A1861" s="8" t="s">
        <v>80</v>
      </c>
      <c r="B1861" s="1" t="s">
        <v>210</v>
      </c>
      <c r="C1861" s="1" t="s">
        <v>81</v>
      </c>
      <c r="D1861" s="9">
        <v>41157</v>
      </c>
      <c r="E1861" s="9">
        <f>E1862</f>
        <v>41157</v>
      </c>
      <c r="F1861" s="9">
        <f t="shared" si="922"/>
        <v>0</v>
      </c>
      <c r="G1861" s="9">
        <f t="shared" si="922"/>
        <v>0</v>
      </c>
      <c r="H1861" s="9">
        <f t="shared" si="922"/>
        <v>0</v>
      </c>
      <c r="I1861" s="9">
        <f t="shared" si="917"/>
        <v>0</v>
      </c>
      <c r="J1861" s="9">
        <v>0</v>
      </c>
    </row>
    <row r="1862" spans="1:10" ht="25.5">
      <c r="A1862" s="8" t="s">
        <v>195</v>
      </c>
      <c r="B1862" s="1" t="s">
        <v>210</v>
      </c>
      <c r="C1862" s="1" t="s">
        <v>196</v>
      </c>
      <c r="D1862" s="9">
        <v>41157</v>
      </c>
      <c r="E1862" s="9">
        <f>ведомство!H297</f>
        <v>41157</v>
      </c>
      <c r="F1862" s="9">
        <f>ведомство!I297</f>
        <v>0</v>
      </c>
      <c r="G1862" s="9">
        <f>ведомство!J297</f>
        <v>0</v>
      </c>
      <c r="H1862" s="9">
        <f>ведомство!K297</f>
        <v>0</v>
      </c>
      <c r="I1862" s="9">
        <f t="shared" si="917"/>
        <v>0</v>
      </c>
      <c r="J1862" s="9">
        <v>0</v>
      </c>
    </row>
    <row r="1863" spans="1:10" ht="15.75">
      <c r="A1863" s="18" t="s">
        <v>0</v>
      </c>
      <c r="B1863" s="19" t="s">
        <v>0</v>
      </c>
      <c r="C1863" s="19" t="s">
        <v>0</v>
      </c>
      <c r="D1863" s="20" t="s">
        <v>0</v>
      </c>
      <c r="E1863" s="20" t="s">
        <v>0</v>
      </c>
      <c r="F1863" s="20"/>
      <c r="G1863" s="20"/>
      <c r="H1863" s="20"/>
      <c r="I1863" s="20"/>
      <c r="J1863" s="20"/>
    </row>
    <row r="1864" spans="1:10">
      <c r="A1864" s="4" t="s">
        <v>1106</v>
      </c>
      <c r="B1864" s="1" t="s">
        <v>0</v>
      </c>
      <c r="C1864" s="1" t="s">
        <v>0</v>
      </c>
      <c r="D1864" s="7">
        <v>1271660.8999999999</v>
      </c>
      <c r="E1864" s="7">
        <f>E1866+E1877+E1901+E1926+E1936+E1959+E1978+E1988+E2000+E1945</f>
        <v>1279109.6004900001</v>
      </c>
      <c r="F1864" s="7">
        <f t="shared" ref="F1864:H1864" si="923">F1866+F1877+F1901+F1926+F1936+F1959+F1978+F1988+F2000+F1945</f>
        <v>445948.31566999998</v>
      </c>
      <c r="G1864" s="7">
        <f t="shared" si="923"/>
        <v>433985.5662</v>
      </c>
      <c r="H1864" s="7">
        <f t="shared" si="923"/>
        <v>339946.53966999997</v>
      </c>
      <c r="I1864" s="7">
        <f t="shared" si="917"/>
        <v>26.576810895624082</v>
      </c>
      <c r="J1864" s="7">
        <f t="shared" si="919"/>
        <v>76.230031087629243</v>
      </c>
    </row>
    <row r="1865" spans="1:10">
      <c r="A1865" s="4" t="s">
        <v>0</v>
      </c>
      <c r="B1865" s="17" t="s">
        <v>0</v>
      </c>
      <c r="C1865" s="5" t="s">
        <v>0</v>
      </c>
      <c r="D1865" s="7" t="s">
        <v>0</v>
      </c>
      <c r="E1865" s="7" t="s">
        <v>0</v>
      </c>
      <c r="F1865" s="7"/>
      <c r="G1865" s="7"/>
      <c r="H1865" s="7"/>
      <c r="I1865" s="7"/>
      <c r="J1865" s="7"/>
    </row>
    <row r="1866" spans="1:10" ht="38.25">
      <c r="A1866" s="4" t="s">
        <v>942</v>
      </c>
      <c r="B1866" s="5" t="s">
        <v>943</v>
      </c>
      <c r="C1866" s="5" t="s">
        <v>0</v>
      </c>
      <c r="D1866" s="7">
        <v>28878.2</v>
      </c>
      <c r="E1866" s="7">
        <f>E1867+E1872</f>
        <v>28878.2</v>
      </c>
      <c r="F1866" s="7">
        <f t="shared" ref="F1866:H1866" si="924">F1867+F1872</f>
        <v>15925.5</v>
      </c>
      <c r="G1866" s="7">
        <f t="shared" si="924"/>
        <v>13700.1</v>
      </c>
      <c r="H1866" s="7">
        <f t="shared" si="924"/>
        <v>12926.77758</v>
      </c>
      <c r="I1866" s="7">
        <f t="shared" si="917"/>
        <v>44.763100123968947</v>
      </c>
      <c r="J1866" s="7">
        <f t="shared" si="919"/>
        <v>81.170309126871999</v>
      </c>
    </row>
    <row r="1867" spans="1:10">
      <c r="A1867" s="4" t="s">
        <v>944</v>
      </c>
      <c r="B1867" s="5" t="s">
        <v>945</v>
      </c>
      <c r="C1867" s="5" t="s">
        <v>0</v>
      </c>
      <c r="D1867" s="7">
        <v>4310.5</v>
      </c>
      <c r="E1867" s="7">
        <f>E1868</f>
        <v>4310.5</v>
      </c>
      <c r="F1867" s="7">
        <f t="shared" ref="F1867:H1869" si="925">F1868</f>
        <v>2933</v>
      </c>
      <c r="G1867" s="7">
        <f t="shared" si="925"/>
        <v>2783</v>
      </c>
      <c r="H1867" s="7">
        <f t="shared" si="925"/>
        <v>2567.5491999999999</v>
      </c>
      <c r="I1867" s="7">
        <f t="shared" si="917"/>
        <v>59.564997100104399</v>
      </c>
      <c r="J1867" s="7">
        <f t="shared" si="919"/>
        <v>87.540034094783493</v>
      </c>
    </row>
    <row r="1868" spans="1:10" ht="25.5">
      <c r="A1868" s="8" t="s">
        <v>58</v>
      </c>
      <c r="B1868" s="1" t="s">
        <v>946</v>
      </c>
      <c r="C1868" s="1" t="s">
        <v>0</v>
      </c>
      <c r="D1868" s="9">
        <v>4310.5</v>
      </c>
      <c r="E1868" s="9">
        <f>E1869</f>
        <v>4310.5</v>
      </c>
      <c r="F1868" s="9">
        <f t="shared" si="925"/>
        <v>2933</v>
      </c>
      <c r="G1868" s="9">
        <f t="shared" si="925"/>
        <v>2783</v>
      </c>
      <c r="H1868" s="9">
        <f t="shared" si="925"/>
        <v>2567.5491999999999</v>
      </c>
      <c r="I1868" s="9">
        <f t="shared" si="917"/>
        <v>59.564997100104399</v>
      </c>
      <c r="J1868" s="9">
        <f t="shared" si="919"/>
        <v>87.540034094783493</v>
      </c>
    </row>
    <row r="1869" spans="1:10" ht="51">
      <c r="A1869" s="8" t="s">
        <v>60</v>
      </c>
      <c r="B1869" s="1" t="s">
        <v>946</v>
      </c>
      <c r="C1869" s="1" t="s">
        <v>61</v>
      </c>
      <c r="D1869" s="9">
        <v>4310.5</v>
      </c>
      <c r="E1869" s="9">
        <f>E1870</f>
        <v>4310.5</v>
      </c>
      <c r="F1869" s="9">
        <f t="shared" si="925"/>
        <v>2933</v>
      </c>
      <c r="G1869" s="9">
        <f t="shared" si="925"/>
        <v>2783</v>
      </c>
      <c r="H1869" s="9">
        <f t="shared" si="925"/>
        <v>2567.5491999999999</v>
      </c>
      <c r="I1869" s="9">
        <f t="shared" si="917"/>
        <v>59.564997100104399</v>
      </c>
      <c r="J1869" s="9">
        <f t="shared" si="919"/>
        <v>87.540034094783493</v>
      </c>
    </row>
    <row r="1870" spans="1:10" ht="25.5">
      <c r="A1870" s="8" t="s">
        <v>62</v>
      </c>
      <c r="B1870" s="1" t="s">
        <v>946</v>
      </c>
      <c r="C1870" s="1" t="s">
        <v>63</v>
      </c>
      <c r="D1870" s="9">
        <v>4310.5</v>
      </c>
      <c r="E1870" s="9">
        <f>ведомство!H2225</f>
        <v>4310.5</v>
      </c>
      <c r="F1870" s="9">
        <f>ведомство!I2225</f>
        <v>2933</v>
      </c>
      <c r="G1870" s="9">
        <f>ведомство!J2225</f>
        <v>2783</v>
      </c>
      <c r="H1870" s="9">
        <f>ведомство!K2225</f>
        <v>2567.5491999999999</v>
      </c>
      <c r="I1870" s="9">
        <f t="shared" si="917"/>
        <v>59.564997100104399</v>
      </c>
      <c r="J1870" s="9">
        <f t="shared" si="919"/>
        <v>87.540034094783493</v>
      </c>
    </row>
    <row r="1871" spans="1:10">
      <c r="A1871" s="4" t="s">
        <v>0</v>
      </c>
      <c r="B1871" s="17" t="s">
        <v>0</v>
      </c>
      <c r="C1871" s="5" t="s">
        <v>0</v>
      </c>
      <c r="D1871" s="7" t="s">
        <v>0</v>
      </c>
      <c r="E1871" s="7" t="s">
        <v>0</v>
      </c>
      <c r="F1871" s="7" t="s">
        <v>0</v>
      </c>
      <c r="G1871" s="7" t="s">
        <v>0</v>
      </c>
      <c r="H1871" s="7" t="s">
        <v>0</v>
      </c>
      <c r="I1871" s="7"/>
      <c r="J1871" s="7"/>
    </row>
    <row r="1872" spans="1:10" ht="25.5">
      <c r="A1872" s="4" t="s">
        <v>948</v>
      </c>
      <c r="B1872" s="5" t="s">
        <v>949</v>
      </c>
      <c r="C1872" s="5" t="s">
        <v>0</v>
      </c>
      <c r="D1872" s="7">
        <v>24567.7</v>
      </c>
      <c r="E1872" s="7">
        <f>E1873</f>
        <v>24567.7</v>
      </c>
      <c r="F1872" s="7">
        <f t="shared" ref="F1872:H1874" si="926">F1873</f>
        <v>12992.5</v>
      </c>
      <c r="G1872" s="7">
        <f t="shared" si="926"/>
        <v>10917.1</v>
      </c>
      <c r="H1872" s="7">
        <f t="shared" si="926"/>
        <v>10359.22838</v>
      </c>
      <c r="I1872" s="7">
        <f t="shared" si="917"/>
        <v>42.166048836480421</v>
      </c>
      <c r="J1872" s="7">
        <f t="shared" si="919"/>
        <v>79.732371598999435</v>
      </c>
    </row>
    <row r="1873" spans="1:10" ht="25.5">
      <c r="A1873" s="8" t="s">
        <v>58</v>
      </c>
      <c r="B1873" s="1" t="s">
        <v>950</v>
      </c>
      <c r="C1873" s="1" t="s">
        <v>0</v>
      </c>
      <c r="D1873" s="9">
        <v>24567.7</v>
      </c>
      <c r="E1873" s="9">
        <f>E1874</f>
        <v>24567.7</v>
      </c>
      <c r="F1873" s="9">
        <f t="shared" si="926"/>
        <v>12992.5</v>
      </c>
      <c r="G1873" s="9">
        <f t="shared" si="926"/>
        <v>10917.1</v>
      </c>
      <c r="H1873" s="9">
        <f t="shared" si="926"/>
        <v>10359.22838</v>
      </c>
      <c r="I1873" s="9">
        <f t="shared" si="917"/>
        <v>42.166048836480421</v>
      </c>
      <c r="J1873" s="9">
        <f t="shared" si="919"/>
        <v>79.732371598999435</v>
      </c>
    </row>
    <row r="1874" spans="1:10" ht="51">
      <c r="A1874" s="8" t="s">
        <v>60</v>
      </c>
      <c r="B1874" s="1" t="s">
        <v>950</v>
      </c>
      <c r="C1874" s="1" t="s">
        <v>61</v>
      </c>
      <c r="D1874" s="9">
        <v>24567.7</v>
      </c>
      <c r="E1874" s="9">
        <f>E1875</f>
        <v>24567.7</v>
      </c>
      <c r="F1874" s="9">
        <f t="shared" si="926"/>
        <v>12992.5</v>
      </c>
      <c r="G1874" s="9">
        <f t="shared" si="926"/>
        <v>10917.1</v>
      </c>
      <c r="H1874" s="9">
        <f t="shared" si="926"/>
        <v>10359.22838</v>
      </c>
      <c r="I1874" s="9">
        <f t="shared" si="917"/>
        <v>42.166048836480421</v>
      </c>
      <c r="J1874" s="9">
        <f t="shared" si="919"/>
        <v>79.732371598999435</v>
      </c>
    </row>
    <row r="1875" spans="1:10" ht="25.5">
      <c r="A1875" s="8" t="s">
        <v>62</v>
      </c>
      <c r="B1875" s="1" t="s">
        <v>950</v>
      </c>
      <c r="C1875" s="1" t="s">
        <v>63</v>
      </c>
      <c r="D1875" s="9">
        <v>24567.7</v>
      </c>
      <c r="E1875" s="9">
        <f>ведомство!H2257</f>
        <v>24567.7</v>
      </c>
      <c r="F1875" s="9">
        <f>ведомство!I2257</f>
        <v>12992.5</v>
      </c>
      <c r="G1875" s="9">
        <f>ведомство!J2257</f>
        <v>10917.1</v>
      </c>
      <c r="H1875" s="9">
        <f>ведомство!K2257</f>
        <v>10359.22838</v>
      </c>
      <c r="I1875" s="9">
        <f t="shared" si="917"/>
        <v>42.166048836480421</v>
      </c>
      <c r="J1875" s="9">
        <f t="shared" si="919"/>
        <v>79.732371598999435</v>
      </c>
    </row>
    <row r="1876" spans="1:10">
      <c r="A1876" s="4" t="s">
        <v>0</v>
      </c>
      <c r="B1876" s="17" t="s">
        <v>0</v>
      </c>
      <c r="C1876" s="5" t="s">
        <v>0</v>
      </c>
      <c r="D1876" s="7" t="s">
        <v>0</v>
      </c>
      <c r="E1876" s="7" t="s">
        <v>0</v>
      </c>
      <c r="F1876" s="7" t="s">
        <v>0</v>
      </c>
      <c r="G1876" s="7" t="s">
        <v>0</v>
      </c>
      <c r="H1876" s="7" t="s">
        <v>0</v>
      </c>
      <c r="I1876" s="7"/>
      <c r="J1876" s="7"/>
    </row>
    <row r="1877" spans="1:10" ht="25.5">
      <c r="A1877" s="4" t="s">
        <v>1034</v>
      </c>
      <c r="B1877" s="5" t="s">
        <v>1035</v>
      </c>
      <c r="C1877" s="5" t="s">
        <v>0</v>
      </c>
      <c r="D1877" s="7">
        <v>190963.1</v>
      </c>
      <c r="E1877" s="7">
        <f>E1878+E1883+E1888</f>
        <v>190963.09999999998</v>
      </c>
      <c r="F1877" s="7">
        <f t="shared" ref="F1877:H1877" si="927">F1878+F1883+F1888</f>
        <v>104311.28599999999</v>
      </c>
      <c r="G1877" s="7">
        <f t="shared" si="927"/>
        <v>103324.28599999999</v>
      </c>
      <c r="H1877" s="7">
        <f t="shared" si="927"/>
        <v>80987.493190000008</v>
      </c>
      <c r="I1877" s="7">
        <f t="shared" si="917"/>
        <v>42.410022245135323</v>
      </c>
      <c r="J1877" s="7">
        <f t="shared" si="919"/>
        <v>77.640202029529206</v>
      </c>
    </row>
    <row r="1878" spans="1:10">
      <c r="A1878" s="4" t="s">
        <v>1036</v>
      </c>
      <c r="B1878" s="5" t="s">
        <v>1037</v>
      </c>
      <c r="C1878" s="5" t="s">
        <v>0</v>
      </c>
      <c r="D1878" s="7">
        <v>4540.8999999999996</v>
      </c>
      <c r="E1878" s="7">
        <f>E1879</f>
        <v>4540.8999999999996</v>
      </c>
      <c r="F1878" s="7">
        <f t="shared" ref="F1878:H1880" si="928">F1879</f>
        <v>2444.7309999999998</v>
      </c>
      <c r="G1878" s="7">
        <f t="shared" si="928"/>
        <v>2444.7309999999998</v>
      </c>
      <c r="H1878" s="7">
        <f t="shared" si="928"/>
        <v>2444.7302199999999</v>
      </c>
      <c r="I1878" s="7">
        <f t="shared" si="917"/>
        <v>53.838010526547606</v>
      </c>
      <c r="J1878" s="7">
        <f t="shared" si="919"/>
        <v>99.999968094649276</v>
      </c>
    </row>
    <row r="1879" spans="1:10" ht="25.5">
      <c r="A1879" s="8" t="s">
        <v>58</v>
      </c>
      <c r="B1879" s="1" t="s">
        <v>1038</v>
      </c>
      <c r="C1879" s="1" t="s">
        <v>0</v>
      </c>
      <c r="D1879" s="9">
        <v>4540.8999999999996</v>
      </c>
      <c r="E1879" s="9">
        <f>E1880</f>
        <v>4540.8999999999996</v>
      </c>
      <c r="F1879" s="9">
        <f t="shared" si="928"/>
        <v>2444.7309999999998</v>
      </c>
      <c r="G1879" s="9">
        <f t="shared" si="928"/>
        <v>2444.7309999999998</v>
      </c>
      <c r="H1879" s="9">
        <f t="shared" si="928"/>
        <v>2444.7302199999999</v>
      </c>
      <c r="I1879" s="9">
        <f t="shared" si="917"/>
        <v>53.838010526547606</v>
      </c>
      <c r="J1879" s="9">
        <f t="shared" si="919"/>
        <v>99.999968094649276</v>
      </c>
    </row>
    <row r="1880" spans="1:10" ht="51">
      <c r="A1880" s="8" t="s">
        <v>60</v>
      </c>
      <c r="B1880" s="1" t="s">
        <v>1038</v>
      </c>
      <c r="C1880" s="1" t="s">
        <v>61</v>
      </c>
      <c r="D1880" s="9">
        <v>4540.8999999999996</v>
      </c>
      <c r="E1880" s="9">
        <f>E1881</f>
        <v>4540.8999999999996</v>
      </c>
      <c r="F1880" s="9">
        <f t="shared" si="928"/>
        <v>2444.7309999999998</v>
      </c>
      <c r="G1880" s="9">
        <f t="shared" si="928"/>
        <v>2444.7309999999998</v>
      </c>
      <c r="H1880" s="9">
        <f t="shared" si="928"/>
        <v>2444.7302199999999</v>
      </c>
      <c r="I1880" s="9">
        <f t="shared" si="917"/>
        <v>53.838010526547606</v>
      </c>
      <c r="J1880" s="9">
        <f t="shared" si="919"/>
        <v>99.999968094649276</v>
      </c>
    </row>
    <row r="1881" spans="1:10" ht="25.5">
      <c r="A1881" s="8" t="s">
        <v>62</v>
      </c>
      <c r="B1881" s="1" t="s">
        <v>1038</v>
      </c>
      <c r="C1881" s="1" t="s">
        <v>63</v>
      </c>
      <c r="D1881" s="9">
        <v>4540.8999999999996</v>
      </c>
      <c r="E1881" s="9">
        <f>ведомство!H2479</f>
        <v>4540.8999999999996</v>
      </c>
      <c r="F1881" s="9">
        <f>ведомство!I2479</f>
        <v>2444.7309999999998</v>
      </c>
      <c r="G1881" s="9">
        <f>ведомство!J2479</f>
        <v>2444.7309999999998</v>
      </c>
      <c r="H1881" s="9">
        <f>ведомство!K2479</f>
        <v>2444.7302199999999</v>
      </c>
      <c r="I1881" s="9">
        <f t="shared" si="917"/>
        <v>53.838010526547606</v>
      </c>
      <c r="J1881" s="9">
        <f t="shared" si="919"/>
        <v>99.999968094649276</v>
      </c>
    </row>
    <row r="1882" spans="1:10">
      <c r="A1882" s="4" t="s">
        <v>0</v>
      </c>
      <c r="B1882" s="17" t="s">
        <v>0</v>
      </c>
      <c r="C1882" s="5" t="s">
        <v>0</v>
      </c>
      <c r="D1882" s="7" t="s">
        <v>0</v>
      </c>
      <c r="E1882" s="7" t="s">
        <v>0</v>
      </c>
      <c r="F1882" s="7" t="s">
        <v>0</v>
      </c>
      <c r="G1882" s="7" t="s">
        <v>0</v>
      </c>
      <c r="H1882" s="7" t="s">
        <v>0</v>
      </c>
      <c r="I1882" s="7"/>
      <c r="J1882" s="7"/>
    </row>
    <row r="1883" spans="1:10">
      <c r="A1883" s="4" t="s">
        <v>1039</v>
      </c>
      <c r="B1883" s="5" t="s">
        <v>1040</v>
      </c>
      <c r="C1883" s="5" t="s">
        <v>0</v>
      </c>
      <c r="D1883" s="7">
        <v>41293.199999999997</v>
      </c>
      <c r="E1883" s="7">
        <f>E1884</f>
        <v>41293.199999999997</v>
      </c>
      <c r="F1883" s="7">
        <f t="shared" ref="F1883:H1885" si="929">F1884</f>
        <v>26928.875</v>
      </c>
      <c r="G1883" s="7">
        <f t="shared" si="929"/>
        <v>26928.875</v>
      </c>
      <c r="H1883" s="7">
        <f t="shared" si="929"/>
        <v>20644.53559</v>
      </c>
      <c r="I1883" s="7">
        <f t="shared" si="917"/>
        <v>49.995000605426561</v>
      </c>
      <c r="J1883" s="7">
        <f t="shared" si="919"/>
        <v>76.663193653652442</v>
      </c>
    </row>
    <row r="1884" spans="1:10" ht="25.5">
      <c r="A1884" s="8" t="s">
        <v>58</v>
      </c>
      <c r="B1884" s="1" t="s">
        <v>1041</v>
      </c>
      <c r="C1884" s="1" t="s">
        <v>0</v>
      </c>
      <c r="D1884" s="9">
        <v>41293.199999999997</v>
      </c>
      <c r="E1884" s="9">
        <f>E1885</f>
        <v>41293.199999999997</v>
      </c>
      <c r="F1884" s="9">
        <f t="shared" si="929"/>
        <v>26928.875</v>
      </c>
      <c r="G1884" s="9">
        <f t="shared" si="929"/>
        <v>26928.875</v>
      </c>
      <c r="H1884" s="9">
        <f t="shared" si="929"/>
        <v>20644.53559</v>
      </c>
      <c r="I1884" s="9">
        <f t="shared" si="917"/>
        <v>49.995000605426561</v>
      </c>
      <c r="J1884" s="9">
        <f t="shared" si="919"/>
        <v>76.663193653652442</v>
      </c>
    </row>
    <row r="1885" spans="1:10" ht="51">
      <c r="A1885" s="8" t="s">
        <v>60</v>
      </c>
      <c r="B1885" s="1" t="s">
        <v>1041</v>
      </c>
      <c r="C1885" s="1" t="s">
        <v>61</v>
      </c>
      <c r="D1885" s="9">
        <v>41293.199999999997</v>
      </c>
      <c r="E1885" s="9">
        <f>E1886</f>
        <v>41293.199999999997</v>
      </c>
      <c r="F1885" s="9">
        <f t="shared" si="929"/>
        <v>26928.875</v>
      </c>
      <c r="G1885" s="9">
        <f t="shared" si="929"/>
        <v>26928.875</v>
      </c>
      <c r="H1885" s="9">
        <f t="shared" si="929"/>
        <v>20644.53559</v>
      </c>
      <c r="I1885" s="9">
        <f t="shared" si="917"/>
        <v>49.995000605426561</v>
      </c>
      <c r="J1885" s="9">
        <f t="shared" si="919"/>
        <v>76.663193653652442</v>
      </c>
    </row>
    <row r="1886" spans="1:10" ht="25.5">
      <c r="A1886" s="8" t="s">
        <v>62</v>
      </c>
      <c r="B1886" s="1" t="s">
        <v>1041</v>
      </c>
      <c r="C1886" s="1" t="s">
        <v>63</v>
      </c>
      <c r="D1886" s="9">
        <v>41293.199999999997</v>
      </c>
      <c r="E1886" s="9">
        <f>ведомство!H2483</f>
        <v>41293.199999999997</v>
      </c>
      <c r="F1886" s="9">
        <f>ведомство!I2483</f>
        <v>26928.875</v>
      </c>
      <c r="G1886" s="9">
        <f>ведомство!J2483</f>
        <v>26928.875</v>
      </c>
      <c r="H1886" s="9">
        <f>ведомство!K2483</f>
        <v>20644.53559</v>
      </c>
      <c r="I1886" s="9">
        <f t="shared" si="917"/>
        <v>49.995000605426561</v>
      </c>
      <c r="J1886" s="9">
        <f t="shared" si="919"/>
        <v>76.663193653652442</v>
      </c>
    </row>
    <row r="1887" spans="1:10">
      <c r="A1887" s="4" t="s">
        <v>0</v>
      </c>
      <c r="B1887" s="17" t="s">
        <v>0</v>
      </c>
      <c r="C1887" s="5" t="s">
        <v>0</v>
      </c>
      <c r="D1887" s="7" t="s">
        <v>0</v>
      </c>
      <c r="E1887" s="7" t="s">
        <v>0</v>
      </c>
      <c r="F1887" s="7" t="s">
        <v>0</v>
      </c>
      <c r="G1887" s="7" t="s">
        <v>0</v>
      </c>
      <c r="H1887" s="7" t="s">
        <v>0</v>
      </c>
      <c r="I1887" s="7"/>
      <c r="J1887" s="7"/>
    </row>
    <row r="1888" spans="1:10">
      <c r="A1888" s="4" t="s">
        <v>1042</v>
      </c>
      <c r="B1888" s="5" t="s">
        <v>1043</v>
      </c>
      <c r="C1888" s="5" t="s">
        <v>0</v>
      </c>
      <c r="D1888" s="7">
        <v>145129</v>
      </c>
      <c r="E1888" s="7">
        <f>E1889+E1897</f>
        <v>145128.99999999997</v>
      </c>
      <c r="F1888" s="7">
        <f t="shared" ref="F1888:H1888" si="930">F1889+F1897</f>
        <v>74937.679999999993</v>
      </c>
      <c r="G1888" s="7">
        <f t="shared" si="930"/>
        <v>73950.679999999993</v>
      </c>
      <c r="H1888" s="7">
        <f t="shared" si="930"/>
        <v>57898.227380000004</v>
      </c>
      <c r="I1888" s="7">
        <f t="shared" si="917"/>
        <v>39.894319798248468</v>
      </c>
      <c r="J1888" s="7">
        <f t="shared" si="919"/>
        <v>77.261835941545044</v>
      </c>
    </row>
    <row r="1889" spans="1:10" ht="25.5">
      <c r="A1889" s="8" t="s">
        <v>58</v>
      </c>
      <c r="B1889" s="1" t="s">
        <v>1044</v>
      </c>
      <c r="C1889" s="1" t="s">
        <v>0</v>
      </c>
      <c r="D1889" s="9">
        <v>142809.60000000001</v>
      </c>
      <c r="E1889" s="9">
        <f>E1890+E1892+E1894</f>
        <v>142809.59999999998</v>
      </c>
      <c r="F1889" s="9">
        <f t="shared" ref="F1889:H1889" si="931">F1890+F1892+F1894</f>
        <v>74487.679999999993</v>
      </c>
      <c r="G1889" s="9">
        <f t="shared" si="931"/>
        <v>73800.679999999993</v>
      </c>
      <c r="H1889" s="9">
        <f t="shared" si="931"/>
        <v>57832.442520000004</v>
      </c>
      <c r="I1889" s="9">
        <f t="shared" si="917"/>
        <v>40.496186894998665</v>
      </c>
      <c r="J1889" s="9">
        <f t="shared" si="919"/>
        <v>77.640278929347801</v>
      </c>
    </row>
    <row r="1890" spans="1:10" ht="51">
      <c r="A1890" s="8" t="s">
        <v>60</v>
      </c>
      <c r="B1890" s="1" t="s">
        <v>1044</v>
      </c>
      <c r="C1890" s="1" t="s">
        <v>61</v>
      </c>
      <c r="D1890" s="9">
        <v>102047</v>
      </c>
      <c r="E1890" s="9">
        <f>E1891</f>
        <v>102047</v>
      </c>
      <c r="F1890" s="9">
        <f t="shared" ref="F1890:H1890" si="932">F1891</f>
        <v>61442.879999999997</v>
      </c>
      <c r="G1890" s="9">
        <f t="shared" si="932"/>
        <v>61442.879999999997</v>
      </c>
      <c r="H1890" s="9">
        <f t="shared" si="932"/>
        <v>49888.578240000003</v>
      </c>
      <c r="I1890" s="9">
        <f t="shared" si="917"/>
        <v>48.887844071849244</v>
      </c>
      <c r="J1890" s="9">
        <f t="shared" si="919"/>
        <v>81.195051794447153</v>
      </c>
    </row>
    <row r="1891" spans="1:10" ht="25.5">
      <c r="A1891" s="8" t="s">
        <v>62</v>
      </c>
      <c r="B1891" s="1" t="s">
        <v>1044</v>
      </c>
      <c r="C1891" s="1" t="s">
        <v>63</v>
      </c>
      <c r="D1891" s="9">
        <v>102047</v>
      </c>
      <c r="E1891" s="9">
        <f>ведомство!H2487</f>
        <v>102047</v>
      </c>
      <c r="F1891" s="9">
        <f>ведомство!I2487</f>
        <v>61442.879999999997</v>
      </c>
      <c r="G1891" s="9">
        <f>ведомство!J2487</f>
        <v>61442.879999999997</v>
      </c>
      <c r="H1891" s="9">
        <f>ведомство!K2487</f>
        <v>49888.578240000003</v>
      </c>
      <c r="I1891" s="9">
        <f t="shared" si="917"/>
        <v>48.887844071849244</v>
      </c>
      <c r="J1891" s="9">
        <f t="shared" si="919"/>
        <v>81.195051794447153</v>
      </c>
    </row>
    <row r="1892" spans="1:10" ht="25.5">
      <c r="A1892" s="8" t="s">
        <v>64</v>
      </c>
      <c r="B1892" s="1" t="s">
        <v>1044</v>
      </c>
      <c r="C1892" s="1" t="s">
        <v>65</v>
      </c>
      <c r="D1892" s="9">
        <v>40716.800000000003</v>
      </c>
      <c r="E1892" s="9">
        <f>E1893</f>
        <v>40714.800000000003</v>
      </c>
      <c r="F1892" s="9">
        <f t="shared" ref="F1892:H1892" si="933">F1893</f>
        <v>13019.9</v>
      </c>
      <c r="G1892" s="9">
        <f t="shared" si="933"/>
        <v>12334.9</v>
      </c>
      <c r="H1892" s="9">
        <f t="shared" si="933"/>
        <v>7925.5492800000002</v>
      </c>
      <c r="I1892" s="9">
        <f t="shared" si="917"/>
        <v>19.466015502962065</v>
      </c>
      <c r="J1892" s="9">
        <f t="shared" si="919"/>
        <v>60.872581817064656</v>
      </c>
    </row>
    <row r="1893" spans="1:10" ht="25.5">
      <c r="A1893" s="8" t="s">
        <v>66</v>
      </c>
      <c r="B1893" s="1" t="s">
        <v>1044</v>
      </c>
      <c r="C1893" s="1" t="s">
        <v>67</v>
      </c>
      <c r="D1893" s="9">
        <v>40716.800000000003</v>
      </c>
      <c r="E1893" s="9">
        <f>ведомство!H2489</f>
        <v>40714.800000000003</v>
      </c>
      <c r="F1893" s="9">
        <f>ведомство!I2489</f>
        <v>13019.9</v>
      </c>
      <c r="G1893" s="9">
        <f>ведомство!J2489</f>
        <v>12334.9</v>
      </c>
      <c r="H1893" s="9">
        <f>ведомство!K2489</f>
        <v>7925.5492800000002</v>
      </c>
      <c r="I1893" s="9">
        <f t="shared" si="917"/>
        <v>19.466015502962065</v>
      </c>
      <c r="J1893" s="9">
        <f t="shared" si="919"/>
        <v>60.872581817064656</v>
      </c>
    </row>
    <row r="1894" spans="1:10">
      <c r="A1894" s="8" t="s">
        <v>72</v>
      </c>
      <c r="B1894" s="1" t="s">
        <v>1044</v>
      </c>
      <c r="C1894" s="1" t="s">
        <v>73</v>
      </c>
      <c r="D1894" s="9">
        <v>45.8</v>
      </c>
      <c r="E1894" s="9">
        <f>E1896+E1895</f>
        <v>47.8</v>
      </c>
      <c r="F1894" s="9">
        <f t="shared" ref="F1894:H1894" si="934">F1896+F1895</f>
        <v>24.9</v>
      </c>
      <c r="G1894" s="9">
        <f t="shared" si="934"/>
        <v>22.9</v>
      </c>
      <c r="H1894" s="9">
        <f t="shared" si="934"/>
        <v>18.315000000000001</v>
      </c>
      <c r="I1894" s="9">
        <f t="shared" si="917"/>
        <v>38.31589958158996</v>
      </c>
      <c r="J1894" s="9">
        <f t="shared" si="919"/>
        <v>73.55421686746989</v>
      </c>
    </row>
    <row r="1895" spans="1:10" s="43" customFormat="1">
      <c r="A1895" s="26" t="s">
        <v>84</v>
      </c>
      <c r="B1895" s="1" t="s">
        <v>1044</v>
      </c>
      <c r="C1895" s="1">
        <v>830</v>
      </c>
      <c r="D1895" s="9"/>
      <c r="E1895" s="9">
        <f>ведомство!H2491</f>
        <v>2</v>
      </c>
      <c r="F1895" s="9">
        <f>ведомство!I2491</f>
        <v>2</v>
      </c>
      <c r="G1895" s="9">
        <f>ведомство!J2491</f>
        <v>2</v>
      </c>
      <c r="H1895" s="9">
        <f>ведомство!K2491</f>
        <v>0</v>
      </c>
      <c r="I1895" s="9"/>
      <c r="J1895" s="9"/>
    </row>
    <row r="1896" spans="1:10">
      <c r="A1896" s="8" t="s">
        <v>74</v>
      </c>
      <c r="B1896" s="1" t="s">
        <v>1044</v>
      </c>
      <c r="C1896" s="1" t="s">
        <v>75</v>
      </c>
      <c r="D1896" s="9">
        <v>45.8</v>
      </c>
      <c r="E1896" s="9">
        <f>ведомство!H2492</f>
        <v>45.8</v>
      </c>
      <c r="F1896" s="9">
        <f>ведомство!I2492</f>
        <v>22.9</v>
      </c>
      <c r="G1896" s="9">
        <f>ведомство!J2492</f>
        <v>20.9</v>
      </c>
      <c r="H1896" s="9">
        <f>ведомство!K2492</f>
        <v>18.315000000000001</v>
      </c>
      <c r="I1896" s="9">
        <f t="shared" si="917"/>
        <v>39.989082969432324</v>
      </c>
      <c r="J1896" s="9">
        <f t="shared" si="919"/>
        <v>79.978165938864649</v>
      </c>
    </row>
    <row r="1897" spans="1:10" ht="25.5">
      <c r="A1897" s="8" t="s">
        <v>1045</v>
      </c>
      <c r="B1897" s="1" t="s">
        <v>1046</v>
      </c>
      <c r="C1897" s="1" t="s">
        <v>0</v>
      </c>
      <c r="D1897" s="9">
        <v>2319.4</v>
      </c>
      <c r="E1897" s="9">
        <f>E1898</f>
        <v>2319.4</v>
      </c>
      <c r="F1897" s="9">
        <f t="shared" ref="F1897:H1898" si="935">F1898</f>
        <v>450</v>
      </c>
      <c r="G1897" s="9">
        <f t="shared" si="935"/>
        <v>150</v>
      </c>
      <c r="H1897" s="9">
        <f t="shared" si="935"/>
        <v>65.784859999999995</v>
      </c>
      <c r="I1897" s="9">
        <f t="shared" si="917"/>
        <v>2.8362878330602737</v>
      </c>
      <c r="J1897" s="9">
        <f t="shared" si="919"/>
        <v>14.618857777777777</v>
      </c>
    </row>
    <row r="1898" spans="1:10">
      <c r="A1898" s="8" t="s">
        <v>26</v>
      </c>
      <c r="B1898" s="1" t="s">
        <v>1046</v>
      </c>
      <c r="C1898" s="1" t="s">
        <v>27</v>
      </c>
      <c r="D1898" s="9">
        <v>2319.4</v>
      </c>
      <c r="E1898" s="9">
        <f>E1899</f>
        <v>2319.4</v>
      </c>
      <c r="F1898" s="9">
        <f t="shared" si="935"/>
        <v>450</v>
      </c>
      <c r="G1898" s="9">
        <f t="shared" si="935"/>
        <v>150</v>
      </c>
      <c r="H1898" s="9">
        <f t="shared" si="935"/>
        <v>65.784859999999995</v>
      </c>
      <c r="I1898" s="9">
        <f t="shared" si="917"/>
        <v>2.8362878330602737</v>
      </c>
      <c r="J1898" s="9">
        <f t="shared" si="919"/>
        <v>14.618857777777777</v>
      </c>
    </row>
    <row r="1899" spans="1:10">
      <c r="A1899" s="8" t="s">
        <v>352</v>
      </c>
      <c r="B1899" s="1" t="s">
        <v>1046</v>
      </c>
      <c r="C1899" s="1" t="s">
        <v>353</v>
      </c>
      <c r="D1899" s="9">
        <v>2319.4</v>
      </c>
      <c r="E1899" s="9">
        <f>ведомство!H2495</f>
        <v>2319.4</v>
      </c>
      <c r="F1899" s="9">
        <f>ведомство!I2495</f>
        <v>450</v>
      </c>
      <c r="G1899" s="9">
        <f>ведомство!J2495</f>
        <v>150</v>
      </c>
      <c r="H1899" s="9">
        <f>ведомство!K2495</f>
        <v>65.784859999999995</v>
      </c>
      <c r="I1899" s="9">
        <f t="shared" si="917"/>
        <v>2.8362878330602737</v>
      </c>
      <c r="J1899" s="9">
        <f t="shared" si="919"/>
        <v>14.618857777777777</v>
      </c>
    </row>
    <row r="1900" spans="1:10">
      <c r="A1900" s="4" t="s">
        <v>0</v>
      </c>
      <c r="B1900" s="17" t="s">
        <v>0</v>
      </c>
      <c r="C1900" s="5" t="s">
        <v>0</v>
      </c>
      <c r="D1900" s="7" t="s">
        <v>0</v>
      </c>
      <c r="E1900" s="7" t="s">
        <v>0</v>
      </c>
      <c r="F1900" s="7" t="s">
        <v>0</v>
      </c>
      <c r="G1900" s="7" t="s">
        <v>0</v>
      </c>
      <c r="H1900" s="7" t="s">
        <v>0</v>
      </c>
      <c r="I1900" s="7"/>
      <c r="J1900" s="7"/>
    </row>
    <row r="1901" spans="1:10" ht="25.5">
      <c r="A1901" s="4" t="s">
        <v>1013</v>
      </c>
      <c r="B1901" s="5" t="s">
        <v>1014</v>
      </c>
      <c r="C1901" s="5" t="s">
        <v>0</v>
      </c>
      <c r="D1901" s="7">
        <v>43381</v>
      </c>
      <c r="E1901" s="7">
        <f>E1902+E1907+E1912+E1917</f>
        <v>43381</v>
      </c>
      <c r="F1901" s="7">
        <f t="shared" ref="F1901:H1901" si="936">F1902+F1907+F1912+F1917</f>
        <v>25540</v>
      </c>
      <c r="G1901" s="7">
        <f t="shared" si="936"/>
        <v>21468.6</v>
      </c>
      <c r="H1901" s="7">
        <f t="shared" si="936"/>
        <v>17989.789629999999</v>
      </c>
      <c r="I1901" s="7">
        <f t="shared" si="917"/>
        <v>41.469282934925431</v>
      </c>
      <c r="J1901" s="7">
        <f t="shared" si="919"/>
        <v>70.437704111198116</v>
      </c>
    </row>
    <row r="1902" spans="1:10">
      <c r="A1902" s="4" t="s">
        <v>1015</v>
      </c>
      <c r="B1902" s="5" t="s">
        <v>1016</v>
      </c>
      <c r="C1902" s="5" t="s">
        <v>0</v>
      </c>
      <c r="D1902" s="7">
        <v>8682.6</v>
      </c>
      <c r="E1902" s="7">
        <f>E1903</f>
        <v>8682.6</v>
      </c>
      <c r="F1902" s="7">
        <f t="shared" ref="F1902:H1904" si="937">F1903</f>
        <v>4445.8</v>
      </c>
      <c r="G1902" s="7">
        <f t="shared" si="937"/>
        <v>4445.8</v>
      </c>
      <c r="H1902" s="7">
        <f t="shared" si="937"/>
        <v>4077.1255900000001</v>
      </c>
      <c r="I1902" s="7">
        <f t="shared" si="917"/>
        <v>46.957427383502633</v>
      </c>
      <c r="J1902" s="7">
        <f t="shared" si="919"/>
        <v>91.707355031715323</v>
      </c>
    </row>
    <row r="1903" spans="1:10" ht="25.5">
      <c r="A1903" s="8" t="s">
        <v>58</v>
      </c>
      <c r="B1903" s="1" t="s">
        <v>1017</v>
      </c>
      <c r="C1903" s="1" t="s">
        <v>0</v>
      </c>
      <c r="D1903" s="9">
        <v>8682.6</v>
      </c>
      <c r="E1903" s="9">
        <f>E1904</f>
        <v>8682.6</v>
      </c>
      <c r="F1903" s="9">
        <f t="shared" si="937"/>
        <v>4445.8</v>
      </c>
      <c r="G1903" s="9">
        <f t="shared" si="937"/>
        <v>4445.8</v>
      </c>
      <c r="H1903" s="9">
        <f t="shared" si="937"/>
        <v>4077.1255900000001</v>
      </c>
      <c r="I1903" s="9">
        <f t="shared" si="917"/>
        <v>46.957427383502633</v>
      </c>
      <c r="J1903" s="9">
        <f t="shared" si="919"/>
        <v>91.707355031715323</v>
      </c>
    </row>
    <row r="1904" spans="1:10" ht="51">
      <c r="A1904" s="8" t="s">
        <v>60</v>
      </c>
      <c r="B1904" s="1" t="s">
        <v>1017</v>
      </c>
      <c r="C1904" s="1" t="s">
        <v>61</v>
      </c>
      <c r="D1904" s="9">
        <v>8682.6</v>
      </c>
      <c r="E1904" s="9">
        <f>E1905</f>
        <v>8682.6</v>
      </c>
      <c r="F1904" s="9">
        <f t="shared" si="937"/>
        <v>4445.8</v>
      </c>
      <c r="G1904" s="9">
        <f t="shared" si="937"/>
        <v>4445.8</v>
      </c>
      <c r="H1904" s="9">
        <f t="shared" si="937"/>
        <v>4077.1255900000001</v>
      </c>
      <c r="I1904" s="9">
        <f t="shared" si="917"/>
        <v>46.957427383502633</v>
      </c>
      <c r="J1904" s="9">
        <f t="shared" si="919"/>
        <v>91.707355031715323</v>
      </c>
    </row>
    <row r="1905" spans="1:10" ht="25.5">
      <c r="A1905" s="8" t="s">
        <v>62</v>
      </c>
      <c r="B1905" s="1" t="s">
        <v>1017</v>
      </c>
      <c r="C1905" s="1" t="s">
        <v>63</v>
      </c>
      <c r="D1905" s="9">
        <v>8682.6</v>
      </c>
      <c r="E1905" s="9">
        <f>ведомство!H2441</f>
        <v>8682.6</v>
      </c>
      <c r="F1905" s="9">
        <f>ведомство!I2441</f>
        <v>4445.8</v>
      </c>
      <c r="G1905" s="9">
        <f>ведомство!J2441</f>
        <v>4445.8</v>
      </c>
      <c r="H1905" s="9">
        <f>ведомство!K2441</f>
        <v>4077.1255900000001</v>
      </c>
      <c r="I1905" s="9">
        <f t="shared" si="917"/>
        <v>46.957427383502633</v>
      </c>
      <c r="J1905" s="9">
        <f t="shared" si="919"/>
        <v>91.707355031715323</v>
      </c>
    </row>
    <row r="1906" spans="1:10">
      <c r="A1906" s="4" t="s">
        <v>0</v>
      </c>
      <c r="B1906" s="17" t="s">
        <v>0</v>
      </c>
      <c r="C1906" s="5" t="s">
        <v>0</v>
      </c>
      <c r="D1906" s="7" t="s">
        <v>0</v>
      </c>
      <c r="E1906" s="7" t="s">
        <v>0</v>
      </c>
      <c r="F1906" s="7" t="s">
        <v>0</v>
      </c>
      <c r="G1906" s="7" t="s">
        <v>0</v>
      </c>
      <c r="H1906" s="7" t="s">
        <v>0</v>
      </c>
      <c r="I1906" s="7"/>
      <c r="J1906" s="7"/>
    </row>
    <row r="1907" spans="1:10" ht="38.25">
      <c r="A1907" s="4" t="s">
        <v>1018</v>
      </c>
      <c r="B1907" s="5" t="s">
        <v>1019</v>
      </c>
      <c r="C1907" s="5" t="s">
        <v>0</v>
      </c>
      <c r="D1907" s="7">
        <v>88</v>
      </c>
      <c r="E1907" s="7">
        <f>E1908</f>
        <v>88</v>
      </c>
      <c r="F1907" s="7">
        <f t="shared" ref="F1907:H1909" si="938">F1908</f>
        <v>88</v>
      </c>
      <c r="G1907" s="7">
        <f t="shared" si="938"/>
        <v>88</v>
      </c>
      <c r="H1907" s="7">
        <f t="shared" si="938"/>
        <v>0</v>
      </c>
      <c r="I1907" s="7">
        <f t="shared" si="917"/>
        <v>0</v>
      </c>
      <c r="J1907" s="7">
        <f t="shared" si="919"/>
        <v>0</v>
      </c>
    </row>
    <row r="1908" spans="1:10" ht="38.25">
      <c r="A1908" s="8" t="s">
        <v>1018</v>
      </c>
      <c r="B1908" s="1" t="s">
        <v>1020</v>
      </c>
      <c r="C1908" s="1" t="s">
        <v>0</v>
      </c>
      <c r="D1908" s="9">
        <v>88</v>
      </c>
      <c r="E1908" s="9">
        <f>E1909</f>
        <v>88</v>
      </c>
      <c r="F1908" s="9">
        <f t="shared" si="938"/>
        <v>88</v>
      </c>
      <c r="G1908" s="9">
        <f t="shared" si="938"/>
        <v>88</v>
      </c>
      <c r="H1908" s="9">
        <f t="shared" si="938"/>
        <v>0</v>
      </c>
      <c r="I1908" s="9">
        <f t="shared" si="917"/>
        <v>0</v>
      </c>
      <c r="J1908" s="9">
        <f t="shared" si="919"/>
        <v>0</v>
      </c>
    </row>
    <row r="1909" spans="1:10" ht="25.5">
      <c r="A1909" s="8" t="s">
        <v>64</v>
      </c>
      <c r="B1909" s="1" t="s">
        <v>1020</v>
      </c>
      <c r="C1909" s="1" t="s">
        <v>65</v>
      </c>
      <c r="D1909" s="9">
        <v>88</v>
      </c>
      <c r="E1909" s="9">
        <f>E1910</f>
        <v>88</v>
      </c>
      <c r="F1909" s="9">
        <f t="shared" si="938"/>
        <v>88</v>
      </c>
      <c r="G1909" s="9">
        <f t="shared" si="938"/>
        <v>88</v>
      </c>
      <c r="H1909" s="9">
        <f t="shared" si="938"/>
        <v>0</v>
      </c>
      <c r="I1909" s="9">
        <f t="shared" si="917"/>
        <v>0</v>
      </c>
      <c r="J1909" s="9">
        <f t="shared" si="919"/>
        <v>0</v>
      </c>
    </row>
    <row r="1910" spans="1:10" ht="25.5">
      <c r="A1910" s="8" t="s">
        <v>66</v>
      </c>
      <c r="B1910" s="1" t="s">
        <v>1020</v>
      </c>
      <c r="C1910" s="1" t="s">
        <v>67</v>
      </c>
      <c r="D1910" s="9">
        <v>88</v>
      </c>
      <c r="E1910" s="9">
        <f>ведомство!H2445</f>
        <v>88</v>
      </c>
      <c r="F1910" s="9">
        <f>ведомство!I2445</f>
        <v>88</v>
      </c>
      <c r="G1910" s="9">
        <f>ведомство!J2445</f>
        <v>88</v>
      </c>
      <c r="H1910" s="9">
        <f>ведомство!K2445</f>
        <v>0</v>
      </c>
      <c r="I1910" s="9">
        <f t="shared" si="917"/>
        <v>0</v>
      </c>
      <c r="J1910" s="9">
        <f t="shared" si="919"/>
        <v>0</v>
      </c>
    </row>
    <row r="1911" spans="1:10">
      <c r="A1911" s="4" t="s">
        <v>0</v>
      </c>
      <c r="B1911" s="17" t="s">
        <v>0</v>
      </c>
      <c r="C1911" s="5" t="s">
        <v>0</v>
      </c>
      <c r="D1911" s="7" t="s">
        <v>0</v>
      </c>
      <c r="E1911" s="7" t="s">
        <v>0</v>
      </c>
      <c r="F1911" s="7" t="s">
        <v>0</v>
      </c>
      <c r="G1911" s="7" t="s">
        <v>0</v>
      </c>
      <c r="H1911" s="7" t="s">
        <v>0</v>
      </c>
      <c r="I1911" s="7"/>
      <c r="J1911" s="7"/>
    </row>
    <row r="1912" spans="1:10">
      <c r="A1912" s="4" t="s">
        <v>1021</v>
      </c>
      <c r="B1912" s="5" t="s">
        <v>1022</v>
      </c>
      <c r="C1912" s="5" t="s">
        <v>0</v>
      </c>
      <c r="D1912" s="7">
        <v>4071.4</v>
      </c>
      <c r="E1912" s="7">
        <f>E1913</f>
        <v>4071.4</v>
      </c>
      <c r="F1912" s="7">
        <f t="shared" ref="F1912:H1914" si="939">F1913</f>
        <v>4071.4</v>
      </c>
      <c r="G1912" s="7">
        <f t="shared" si="939"/>
        <v>0</v>
      </c>
      <c r="H1912" s="7">
        <f t="shared" si="939"/>
        <v>0</v>
      </c>
      <c r="I1912" s="7">
        <f t="shared" si="917"/>
        <v>0</v>
      </c>
      <c r="J1912" s="7">
        <f t="shared" si="919"/>
        <v>0</v>
      </c>
    </row>
    <row r="1913" spans="1:10" ht="25.5">
      <c r="A1913" s="8" t="s">
        <v>1023</v>
      </c>
      <c r="B1913" s="1" t="s">
        <v>1024</v>
      </c>
      <c r="C1913" s="1" t="s">
        <v>0</v>
      </c>
      <c r="D1913" s="9">
        <v>4071.4</v>
      </c>
      <c r="E1913" s="9">
        <f>E1914</f>
        <v>4071.4</v>
      </c>
      <c r="F1913" s="9">
        <f t="shared" si="939"/>
        <v>4071.4</v>
      </c>
      <c r="G1913" s="9">
        <f t="shared" si="939"/>
        <v>0</v>
      </c>
      <c r="H1913" s="9">
        <f t="shared" si="939"/>
        <v>0</v>
      </c>
      <c r="I1913" s="9">
        <f t="shared" si="917"/>
        <v>0</v>
      </c>
      <c r="J1913" s="9">
        <f t="shared" si="919"/>
        <v>0</v>
      </c>
    </row>
    <row r="1914" spans="1:10">
      <c r="A1914" s="8" t="s">
        <v>72</v>
      </c>
      <c r="B1914" s="1" t="s">
        <v>1024</v>
      </c>
      <c r="C1914" s="1" t="s">
        <v>73</v>
      </c>
      <c r="D1914" s="9">
        <v>4071.4</v>
      </c>
      <c r="E1914" s="9">
        <f>E1915</f>
        <v>4071.4</v>
      </c>
      <c r="F1914" s="9">
        <f t="shared" si="939"/>
        <v>4071.4</v>
      </c>
      <c r="G1914" s="9">
        <f t="shared" si="939"/>
        <v>0</v>
      </c>
      <c r="H1914" s="9">
        <f t="shared" si="939"/>
        <v>0</v>
      </c>
      <c r="I1914" s="9">
        <f t="shared" si="917"/>
        <v>0</v>
      </c>
      <c r="J1914" s="9">
        <f t="shared" si="919"/>
        <v>0</v>
      </c>
    </row>
    <row r="1915" spans="1:10">
      <c r="A1915" s="8" t="s">
        <v>615</v>
      </c>
      <c r="B1915" s="1" t="s">
        <v>1024</v>
      </c>
      <c r="C1915" s="1" t="s">
        <v>616</v>
      </c>
      <c r="D1915" s="9">
        <v>4071.4</v>
      </c>
      <c r="E1915" s="9">
        <f>ведомство!H2449</f>
        <v>4071.4</v>
      </c>
      <c r="F1915" s="9">
        <f>ведомство!I2449</f>
        <v>4071.4</v>
      </c>
      <c r="G1915" s="9">
        <f>ведомство!J2449</f>
        <v>0</v>
      </c>
      <c r="H1915" s="9">
        <f>ведомство!K2449</f>
        <v>0</v>
      </c>
      <c r="I1915" s="9">
        <f t="shared" si="917"/>
        <v>0</v>
      </c>
      <c r="J1915" s="9">
        <f t="shared" si="919"/>
        <v>0</v>
      </c>
    </row>
    <row r="1916" spans="1:10">
      <c r="A1916" s="4" t="s">
        <v>0</v>
      </c>
      <c r="B1916" s="17" t="s">
        <v>0</v>
      </c>
      <c r="C1916" s="5" t="s">
        <v>0</v>
      </c>
      <c r="D1916" s="7" t="s">
        <v>0</v>
      </c>
      <c r="E1916" s="7" t="s">
        <v>0</v>
      </c>
      <c r="F1916" s="7" t="s">
        <v>0</v>
      </c>
      <c r="G1916" s="7" t="s">
        <v>0</v>
      </c>
      <c r="H1916" s="7" t="s">
        <v>0</v>
      </c>
      <c r="I1916" s="7"/>
      <c r="J1916" s="7"/>
    </row>
    <row r="1917" spans="1:10">
      <c r="A1917" s="4" t="s">
        <v>1025</v>
      </c>
      <c r="B1917" s="5" t="s">
        <v>1026</v>
      </c>
      <c r="C1917" s="5" t="s">
        <v>0</v>
      </c>
      <c r="D1917" s="7">
        <v>30539</v>
      </c>
      <c r="E1917" s="7">
        <f>E1918</f>
        <v>30539</v>
      </c>
      <c r="F1917" s="7">
        <f t="shared" ref="F1917:H1917" si="940">F1918</f>
        <v>16934.8</v>
      </c>
      <c r="G1917" s="7">
        <f t="shared" si="940"/>
        <v>16934.8</v>
      </c>
      <c r="H1917" s="7">
        <f t="shared" si="940"/>
        <v>13912.664039999998</v>
      </c>
      <c r="I1917" s="7">
        <f t="shared" ref="I1917:I2001" si="941">H1917/E1917*100</f>
        <v>45.557038671862202</v>
      </c>
      <c r="J1917" s="7">
        <f t="shared" ref="J1917:J1998" si="942">H1917/F1917*100</f>
        <v>82.154286085457144</v>
      </c>
    </row>
    <row r="1918" spans="1:10" ht="25.5">
      <c r="A1918" s="8" t="s">
        <v>58</v>
      </c>
      <c r="B1918" s="1" t="s">
        <v>1027</v>
      </c>
      <c r="C1918" s="1" t="s">
        <v>0</v>
      </c>
      <c r="D1918" s="9">
        <v>30539</v>
      </c>
      <c r="E1918" s="9">
        <f>E1919+E1921+E1923</f>
        <v>30539</v>
      </c>
      <c r="F1918" s="9">
        <f t="shared" ref="F1918:H1918" si="943">F1919+F1921+F1923</f>
        <v>16934.8</v>
      </c>
      <c r="G1918" s="9">
        <f t="shared" si="943"/>
        <v>16934.8</v>
      </c>
      <c r="H1918" s="9">
        <f t="shared" si="943"/>
        <v>13912.664039999998</v>
      </c>
      <c r="I1918" s="9">
        <f t="shared" si="941"/>
        <v>45.557038671862202</v>
      </c>
      <c r="J1918" s="9">
        <f t="shared" si="942"/>
        <v>82.154286085457144</v>
      </c>
    </row>
    <row r="1919" spans="1:10" ht="51">
      <c r="A1919" s="8" t="s">
        <v>60</v>
      </c>
      <c r="B1919" s="1" t="s">
        <v>1027</v>
      </c>
      <c r="C1919" s="1" t="s">
        <v>61</v>
      </c>
      <c r="D1919" s="9">
        <v>29891.8</v>
      </c>
      <c r="E1919" s="9">
        <f>E1920</f>
        <v>29891.8</v>
      </c>
      <c r="F1919" s="9">
        <f t="shared" ref="F1919:H1919" si="944">F1920</f>
        <v>16595.8</v>
      </c>
      <c r="G1919" s="9">
        <f t="shared" si="944"/>
        <v>16595.8</v>
      </c>
      <c r="H1919" s="9">
        <f t="shared" si="944"/>
        <v>13699.355099999999</v>
      </c>
      <c r="I1919" s="9">
        <f t="shared" si="941"/>
        <v>45.829809847516707</v>
      </c>
      <c r="J1919" s="9">
        <f t="shared" si="942"/>
        <v>82.54712095831475</v>
      </c>
    </row>
    <row r="1920" spans="1:10" ht="25.5">
      <c r="A1920" s="8" t="s">
        <v>62</v>
      </c>
      <c r="B1920" s="1" t="s">
        <v>1027</v>
      </c>
      <c r="C1920" s="1" t="s">
        <v>63</v>
      </c>
      <c r="D1920" s="9">
        <v>29891.8</v>
      </c>
      <c r="E1920" s="9">
        <f>ведомство!H2453</f>
        <v>29891.8</v>
      </c>
      <c r="F1920" s="9">
        <f>ведомство!I2453</f>
        <v>16595.8</v>
      </c>
      <c r="G1920" s="9">
        <f>ведомство!J2453</f>
        <v>16595.8</v>
      </c>
      <c r="H1920" s="9">
        <f>ведомство!K2453</f>
        <v>13699.355099999999</v>
      </c>
      <c r="I1920" s="9">
        <f t="shared" si="941"/>
        <v>45.829809847516707</v>
      </c>
      <c r="J1920" s="9">
        <f t="shared" si="942"/>
        <v>82.54712095831475</v>
      </c>
    </row>
    <row r="1921" spans="1:10" ht="25.5">
      <c r="A1921" s="8" t="s">
        <v>64</v>
      </c>
      <c r="B1921" s="1" t="s">
        <v>1027</v>
      </c>
      <c r="C1921" s="1" t="s">
        <v>65</v>
      </c>
      <c r="D1921" s="9">
        <v>629.20000000000005</v>
      </c>
      <c r="E1921" s="9">
        <f>E1922</f>
        <v>629.20000000000005</v>
      </c>
      <c r="F1921" s="9">
        <f t="shared" ref="F1921:H1921" si="945">F1922</f>
        <v>330</v>
      </c>
      <c r="G1921" s="9">
        <f t="shared" si="945"/>
        <v>330</v>
      </c>
      <c r="H1921" s="9">
        <f t="shared" si="945"/>
        <v>204.59793999999999</v>
      </c>
      <c r="I1921" s="9">
        <f t="shared" si="941"/>
        <v>32.517155117609661</v>
      </c>
      <c r="J1921" s="9">
        <f t="shared" si="942"/>
        <v>61.999375757575756</v>
      </c>
    </row>
    <row r="1922" spans="1:10" ht="25.5">
      <c r="A1922" s="8" t="s">
        <v>66</v>
      </c>
      <c r="B1922" s="1" t="s">
        <v>1027</v>
      </c>
      <c r="C1922" s="1" t="s">
        <v>67</v>
      </c>
      <c r="D1922" s="9">
        <v>629.20000000000005</v>
      </c>
      <c r="E1922" s="9">
        <f>ведомство!H2455</f>
        <v>629.20000000000005</v>
      </c>
      <c r="F1922" s="9">
        <f>ведомство!I2455</f>
        <v>330</v>
      </c>
      <c r="G1922" s="9">
        <f>ведомство!J2455</f>
        <v>330</v>
      </c>
      <c r="H1922" s="9">
        <f>ведомство!K2455</f>
        <v>204.59793999999999</v>
      </c>
      <c r="I1922" s="9">
        <f t="shared" si="941"/>
        <v>32.517155117609661</v>
      </c>
      <c r="J1922" s="9">
        <f t="shared" si="942"/>
        <v>61.999375757575756</v>
      </c>
    </row>
    <row r="1923" spans="1:10">
      <c r="A1923" s="8" t="s">
        <v>72</v>
      </c>
      <c r="B1923" s="1" t="s">
        <v>1027</v>
      </c>
      <c r="C1923" s="1" t="s">
        <v>73</v>
      </c>
      <c r="D1923" s="9">
        <v>18</v>
      </c>
      <c r="E1923" s="9">
        <f>E1924</f>
        <v>18</v>
      </c>
      <c r="F1923" s="9">
        <f t="shared" ref="F1923:H1923" si="946">F1924</f>
        <v>9</v>
      </c>
      <c r="G1923" s="9">
        <f t="shared" si="946"/>
        <v>9</v>
      </c>
      <c r="H1923" s="9">
        <f t="shared" si="946"/>
        <v>8.7110000000000003</v>
      </c>
      <c r="I1923" s="9">
        <f t="shared" si="941"/>
        <v>48.394444444444446</v>
      </c>
      <c r="J1923" s="9">
        <f t="shared" si="942"/>
        <v>96.788888888888891</v>
      </c>
    </row>
    <row r="1924" spans="1:10">
      <c r="A1924" s="8" t="s">
        <v>74</v>
      </c>
      <c r="B1924" s="1" t="s">
        <v>1027</v>
      </c>
      <c r="C1924" s="1" t="s">
        <v>75</v>
      </c>
      <c r="D1924" s="9">
        <v>18</v>
      </c>
      <c r="E1924" s="9">
        <f>ведомство!H2457</f>
        <v>18</v>
      </c>
      <c r="F1924" s="9">
        <f>ведомство!I2457</f>
        <v>9</v>
      </c>
      <c r="G1924" s="9">
        <f>ведомство!J2457</f>
        <v>9</v>
      </c>
      <c r="H1924" s="9">
        <f>ведомство!K2457</f>
        <v>8.7110000000000003</v>
      </c>
      <c r="I1924" s="9">
        <f t="shared" si="941"/>
        <v>48.394444444444446</v>
      </c>
      <c r="J1924" s="9">
        <f t="shared" si="942"/>
        <v>96.788888888888891</v>
      </c>
    </row>
    <row r="1925" spans="1:10">
      <c r="A1925" s="4" t="s">
        <v>0</v>
      </c>
      <c r="B1925" s="17" t="s">
        <v>0</v>
      </c>
      <c r="C1925" s="5" t="s">
        <v>0</v>
      </c>
      <c r="D1925" s="7" t="s">
        <v>0</v>
      </c>
      <c r="E1925" s="7" t="s">
        <v>0</v>
      </c>
      <c r="F1925" s="7" t="s">
        <v>0</v>
      </c>
      <c r="G1925" s="7" t="s">
        <v>0</v>
      </c>
      <c r="H1925" s="7" t="s">
        <v>0</v>
      </c>
      <c r="I1925" s="7"/>
      <c r="J1925" s="7"/>
    </row>
    <row r="1926" spans="1:10" ht="25.5">
      <c r="A1926" s="4" t="s">
        <v>1002</v>
      </c>
      <c r="B1926" s="5" t="s">
        <v>1003</v>
      </c>
      <c r="C1926" s="5" t="s">
        <v>0</v>
      </c>
      <c r="D1926" s="7">
        <v>46738.5</v>
      </c>
      <c r="E1926" s="7">
        <f>E1927</f>
        <v>46738.5</v>
      </c>
      <c r="F1926" s="7">
        <f t="shared" ref="F1926:H1926" si="947">F1927</f>
        <v>25343</v>
      </c>
      <c r="G1926" s="7">
        <f t="shared" si="947"/>
        <v>23110.3</v>
      </c>
      <c r="H1926" s="7">
        <f t="shared" si="947"/>
        <v>22301.435209999996</v>
      </c>
      <c r="I1926" s="7">
        <f t="shared" si="941"/>
        <v>47.71534219112722</v>
      </c>
      <c r="J1926" s="7">
        <f t="shared" si="942"/>
        <v>87.998402754212194</v>
      </c>
    </row>
    <row r="1927" spans="1:10" ht="25.5">
      <c r="A1927" s="8" t="s">
        <v>58</v>
      </c>
      <c r="B1927" s="1" t="s">
        <v>1004</v>
      </c>
      <c r="C1927" s="1" t="s">
        <v>0</v>
      </c>
      <c r="D1927" s="9">
        <v>46738.5</v>
      </c>
      <c r="E1927" s="9">
        <f>E1928+E1930+E1932</f>
        <v>46738.5</v>
      </c>
      <c r="F1927" s="9">
        <f t="shared" ref="F1927:H1927" si="948">F1928+F1930+F1932</f>
        <v>25343</v>
      </c>
      <c r="G1927" s="9">
        <f t="shared" si="948"/>
        <v>23110.3</v>
      </c>
      <c r="H1927" s="9">
        <f t="shared" si="948"/>
        <v>22301.435209999996</v>
      </c>
      <c r="I1927" s="9">
        <f t="shared" si="941"/>
        <v>47.71534219112722</v>
      </c>
      <c r="J1927" s="9">
        <f t="shared" si="942"/>
        <v>87.998402754212194</v>
      </c>
    </row>
    <row r="1928" spans="1:10" ht="51">
      <c r="A1928" s="8" t="s">
        <v>60</v>
      </c>
      <c r="B1928" s="1" t="s">
        <v>1004</v>
      </c>
      <c r="C1928" s="1" t="s">
        <v>61</v>
      </c>
      <c r="D1928" s="9">
        <v>43432.800000000003</v>
      </c>
      <c r="E1928" s="9">
        <f>E1929</f>
        <v>43432.800000000003</v>
      </c>
      <c r="F1928" s="9">
        <f t="shared" ref="F1928:H1928" si="949">F1929</f>
        <v>23295</v>
      </c>
      <c r="G1928" s="9">
        <f t="shared" si="949"/>
        <v>21965</v>
      </c>
      <c r="H1928" s="9">
        <f t="shared" si="949"/>
        <v>21237.325689999998</v>
      </c>
      <c r="I1928" s="9">
        <f t="shared" si="941"/>
        <v>48.896975764859732</v>
      </c>
      <c r="J1928" s="9">
        <f t="shared" si="942"/>
        <v>91.16688426701009</v>
      </c>
    </row>
    <row r="1929" spans="1:10" ht="25.5">
      <c r="A1929" s="8" t="s">
        <v>62</v>
      </c>
      <c r="B1929" s="1" t="s">
        <v>1004</v>
      </c>
      <c r="C1929" s="1" t="s">
        <v>63</v>
      </c>
      <c r="D1929" s="9">
        <v>43432.800000000003</v>
      </c>
      <c r="E1929" s="9">
        <f>ведомство!H2413</f>
        <v>43432.800000000003</v>
      </c>
      <c r="F1929" s="9">
        <f>ведомство!I2413</f>
        <v>23295</v>
      </c>
      <c r="G1929" s="9">
        <f>ведомство!J2413</f>
        <v>21965</v>
      </c>
      <c r="H1929" s="9">
        <f>ведомство!K2413</f>
        <v>21237.325689999998</v>
      </c>
      <c r="I1929" s="9">
        <f t="shared" si="941"/>
        <v>48.896975764859732</v>
      </c>
      <c r="J1929" s="9">
        <f t="shared" si="942"/>
        <v>91.16688426701009</v>
      </c>
    </row>
    <row r="1930" spans="1:10" ht="25.5">
      <c r="A1930" s="8" t="s">
        <v>64</v>
      </c>
      <c r="B1930" s="1" t="s">
        <v>1004</v>
      </c>
      <c r="C1930" s="1" t="s">
        <v>65</v>
      </c>
      <c r="D1930" s="9">
        <v>3056</v>
      </c>
      <c r="E1930" s="9">
        <f>E1931</f>
        <v>3026</v>
      </c>
      <c r="F1930" s="9">
        <f t="shared" ref="F1930:H1930" si="950">F1931</f>
        <v>1783</v>
      </c>
      <c r="G1930" s="9">
        <f t="shared" si="950"/>
        <v>883</v>
      </c>
      <c r="H1930" s="9">
        <f t="shared" si="950"/>
        <v>818.11653999999999</v>
      </c>
      <c r="I1930" s="9">
        <f t="shared" si="941"/>
        <v>27.036237276933246</v>
      </c>
      <c r="J1930" s="9">
        <f t="shared" si="942"/>
        <v>45.884270330902972</v>
      </c>
    </row>
    <row r="1931" spans="1:10" ht="25.5">
      <c r="A1931" s="8" t="s">
        <v>66</v>
      </c>
      <c r="B1931" s="1" t="s">
        <v>1004</v>
      </c>
      <c r="C1931" s="1" t="s">
        <v>67</v>
      </c>
      <c r="D1931" s="9">
        <v>3056</v>
      </c>
      <c r="E1931" s="9">
        <f>ведомство!H2415</f>
        <v>3026</v>
      </c>
      <c r="F1931" s="9">
        <f>ведомство!I2415</f>
        <v>1783</v>
      </c>
      <c r="G1931" s="9">
        <f>ведомство!J2415</f>
        <v>883</v>
      </c>
      <c r="H1931" s="9">
        <f>ведомство!K2415</f>
        <v>818.11653999999999</v>
      </c>
      <c r="I1931" s="9">
        <f t="shared" si="941"/>
        <v>27.036237276933246</v>
      </c>
      <c r="J1931" s="9">
        <f t="shared" si="942"/>
        <v>45.884270330902972</v>
      </c>
    </row>
    <row r="1932" spans="1:10">
      <c r="A1932" s="8" t="s">
        <v>72</v>
      </c>
      <c r="B1932" s="1" t="s">
        <v>1004</v>
      </c>
      <c r="C1932" s="1" t="s">
        <v>73</v>
      </c>
      <c r="D1932" s="9">
        <v>249.7</v>
      </c>
      <c r="E1932" s="9">
        <f>E1933+E1934</f>
        <v>279.7</v>
      </c>
      <c r="F1932" s="9">
        <f t="shared" ref="F1932:H1932" si="951">F1933+F1934</f>
        <v>265</v>
      </c>
      <c r="G1932" s="9">
        <f t="shared" si="951"/>
        <v>262.3</v>
      </c>
      <c r="H1932" s="9">
        <f t="shared" si="951"/>
        <v>245.99297999999999</v>
      </c>
      <c r="I1932" s="9">
        <f t="shared" si="941"/>
        <v>87.948866642831604</v>
      </c>
      <c r="J1932" s="9">
        <f t="shared" si="942"/>
        <v>92.82753962264151</v>
      </c>
    </row>
    <row r="1933" spans="1:10">
      <c r="A1933" s="8" t="s">
        <v>84</v>
      </c>
      <c r="B1933" s="1" t="s">
        <v>1004</v>
      </c>
      <c r="C1933" s="1" t="s">
        <v>85</v>
      </c>
      <c r="D1933" s="9">
        <v>200</v>
      </c>
      <c r="E1933" s="9">
        <f>ведомство!H2417</f>
        <v>230</v>
      </c>
      <c r="F1933" s="9">
        <f>ведомство!I2417</f>
        <v>230</v>
      </c>
      <c r="G1933" s="9">
        <f>ведомство!J2417</f>
        <v>227.3</v>
      </c>
      <c r="H1933" s="9">
        <f>ведомство!K2417</f>
        <v>227.26998</v>
      </c>
      <c r="I1933" s="9">
        <f t="shared" si="941"/>
        <v>98.813034782608696</v>
      </c>
      <c r="J1933" s="9">
        <f t="shared" si="942"/>
        <v>98.813034782608696</v>
      </c>
    </row>
    <row r="1934" spans="1:10">
      <c r="A1934" s="8" t="s">
        <v>74</v>
      </c>
      <c r="B1934" s="1" t="s">
        <v>1004</v>
      </c>
      <c r="C1934" s="1" t="s">
        <v>75</v>
      </c>
      <c r="D1934" s="9">
        <v>49.7</v>
      </c>
      <c r="E1934" s="9">
        <f>ведомство!H2418</f>
        <v>49.7</v>
      </c>
      <c r="F1934" s="9">
        <f>ведомство!I2418</f>
        <v>35</v>
      </c>
      <c r="G1934" s="9">
        <f>ведомство!J2418</f>
        <v>35</v>
      </c>
      <c r="H1934" s="9">
        <f>ведомство!K2418</f>
        <v>18.722999999999999</v>
      </c>
      <c r="I1934" s="9">
        <f t="shared" si="941"/>
        <v>37.672032193158948</v>
      </c>
      <c r="J1934" s="9">
        <f t="shared" si="942"/>
        <v>53.494285714285716</v>
      </c>
    </row>
    <row r="1935" spans="1:10">
      <c r="A1935" s="4" t="s">
        <v>0</v>
      </c>
      <c r="B1935" s="17" t="s">
        <v>0</v>
      </c>
      <c r="C1935" s="5" t="s">
        <v>0</v>
      </c>
      <c r="D1935" s="7" t="s">
        <v>0</v>
      </c>
      <c r="E1935" s="7" t="s">
        <v>0</v>
      </c>
      <c r="F1935" s="7" t="s">
        <v>0</v>
      </c>
      <c r="G1935" s="7" t="s">
        <v>0</v>
      </c>
      <c r="H1935" s="7" t="s">
        <v>0</v>
      </c>
      <c r="I1935" s="7"/>
      <c r="J1935" s="7"/>
    </row>
    <row r="1936" spans="1:10" ht="25.5">
      <c r="A1936" s="4" t="s">
        <v>936</v>
      </c>
      <c r="B1936" s="5" t="s">
        <v>937</v>
      </c>
      <c r="C1936" s="5" t="s">
        <v>0</v>
      </c>
      <c r="D1936" s="7">
        <v>15055</v>
      </c>
      <c r="E1936" s="7">
        <f>E1937</f>
        <v>15055</v>
      </c>
      <c r="F1936" s="7">
        <f t="shared" ref="F1936:H1936" si="952">F1937</f>
        <v>7518.6</v>
      </c>
      <c r="G1936" s="7">
        <f t="shared" si="952"/>
        <v>7518.6</v>
      </c>
      <c r="H1936" s="7">
        <f t="shared" si="952"/>
        <v>6553.7260099999994</v>
      </c>
      <c r="I1936" s="7">
        <f t="shared" si="941"/>
        <v>43.531889804051801</v>
      </c>
      <c r="J1936" s="7">
        <f t="shared" si="942"/>
        <v>87.166839704200243</v>
      </c>
    </row>
    <row r="1937" spans="1:11" ht="25.5">
      <c r="A1937" s="8" t="s">
        <v>58</v>
      </c>
      <c r="B1937" s="1" t="s">
        <v>938</v>
      </c>
      <c r="C1937" s="1" t="s">
        <v>0</v>
      </c>
      <c r="D1937" s="9">
        <v>15055</v>
      </c>
      <c r="E1937" s="9">
        <f>E1938+E1940+E1942</f>
        <v>15055</v>
      </c>
      <c r="F1937" s="9">
        <f t="shared" ref="F1937:H1937" si="953">F1938+F1940+F1942</f>
        <v>7518.6</v>
      </c>
      <c r="G1937" s="9">
        <f t="shared" si="953"/>
        <v>7518.6</v>
      </c>
      <c r="H1937" s="9">
        <f t="shared" si="953"/>
        <v>6553.7260099999994</v>
      </c>
      <c r="I1937" s="9">
        <f t="shared" si="941"/>
        <v>43.531889804051801</v>
      </c>
      <c r="J1937" s="9">
        <f t="shared" si="942"/>
        <v>87.166839704200243</v>
      </c>
    </row>
    <row r="1938" spans="1:11" ht="51">
      <c r="A1938" s="8" t="s">
        <v>60</v>
      </c>
      <c r="B1938" s="1" t="s">
        <v>938</v>
      </c>
      <c r="C1938" s="1" t="s">
        <v>61</v>
      </c>
      <c r="D1938" s="9">
        <v>14510.3</v>
      </c>
      <c r="E1938" s="9">
        <f>E1939</f>
        <v>14510.3</v>
      </c>
      <c r="F1938" s="9">
        <f t="shared" ref="F1938:H1938" si="954">F1939</f>
        <v>7186.1</v>
      </c>
      <c r="G1938" s="9">
        <f t="shared" si="954"/>
        <v>7186.1</v>
      </c>
      <c r="H1938" s="9">
        <f t="shared" si="954"/>
        <v>6294.9224799999993</v>
      </c>
      <c r="I1938" s="9">
        <f t="shared" si="941"/>
        <v>43.382441989483326</v>
      </c>
      <c r="J1938" s="9">
        <f t="shared" si="942"/>
        <v>87.598592838952953</v>
      </c>
    </row>
    <row r="1939" spans="1:11" ht="25.5">
      <c r="A1939" s="8" t="s">
        <v>62</v>
      </c>
      <c r="B1939" s="1" t="s">
        <v>938</v>
      </c>
      <c r="C1939" s="1" t="s">
        <v>63</v>
      </c>
      <c r="D1939" s="9">
        <v>14510.3</v>
      </c>
      <c r="E1939" s="9">
        <f>ведомство!H2212</f>
        <v>14510.3</v>
      </c>
      <c r="F1939" s="9">
        <f>ведомство!I2212</f>
        <v>7186.1</v>
      </c>
      <c r="G1939" s="9">
        <f>ведомство!J2212</f>
        <v>7186.1</v>
      </c>
      <c r="H1939" s="9">
        <f>ведомство!K2212</f>
        <v>6294.9224799999993</v>
      </c>
      <c r="I1939" s="9">
        <f t="shared" si="941"/>
        <v>43.382441989483326</v>
      </c>
      <c r="J1939" s="9">
        <f t="shared" si="942"/>
        <v>87.598592838952953</v>
      </c>
    </row>
    <row r="1940" spans="1:11" ht="25.5">
      <c r="A1940" s="8" t="s">
        <v>64</v>
      </c>
      <c r="B1940" s="1" t="s">
        <v>938</v>
      </c>
      <c r="C1940" s="1" t="s">
        <v>65</v>
      </c>
      <c r="D1940" s="9">
        <v>543.70000000000005</v>
      </c>
      <c r="E1940" s="9">
        <f>E1941</f>
        <v>543.70000000000005</v>
      </c>
      <c r="F1940" s="9">
        <f t="shared" ref="F1940:H1940" si="955">F1941</f>
        <v>332</v>
      </c>
      <c r="G1940" s="9">
        <f t="shared" si="955"/>
        <v>332</v>
      </c>
      <c r="H1940" s="9">
        <f t="shared" si="955"/>
        <v>258.62353000000002</v>
      </c>
      <c r="I1940" s="9">
        <f t="shared" si="941"/>
        <v>47.567322052602542</v>
      </c>
      <c r="J1940" s="9">
        <f t="shared" si="942"/>
        <v>77.898653614457842</v>
      </c>
    </row>
    <row r="1941" spans="1:11" ht="25.5">
      <c r="A1941" s="8" t="s">
        <v>66</v>
      </c>
      <c r="B1941" s="1" t="s">
        <v>938</v>
      </c>
      <c r="C1941" s="1" t="s">
        <v>67</v>
      </c>
      <c r="D1941" s="9">
        <v>543.70000000000005</v>
      </c>
      <c r="E1941" s="9">
        <f>ведомство!H2214</f>
        <v>543.70000000000005</v>
      </c>
      <c r="F1941" s="9">
        <f>ведомство!I2214</f>
        <v>332</v>
      </c>
      <c r="G1941" s="9">
        <f>ведомство!J2214</f>
        <v>332</v>
      </c>
      <c r="H1941" s="9">
        <f>ведомство!K2214</f>
        <v>258.62353000000002</v>
      </c>
      <c r="I1941" s="9">
        <f t="shared" si="941"/>
        <v>47.567322052602542</v>
      </c>
      <c r="J1941" s="9">
        <f t="shared" si="942"/>
        <v>77.898653614457842</v>
      </c>
    </row>
    <row r="1942" spans="1:11">
      <c r="A1942" s="8" t="s">
        <v>72</v>
      </c>
      <c r="B1942" s="1" t="s">
        <v>938</v>
      </c>
      <c r="C1942" s="1" t="s">
        <v>73</v>
      </c>
      <c r="D1942" s="9">
        <v>1</v>
      </c>
      <c r="E1942" s="9">
        <f>E1943</f>
        <v>1</v>
      </c>
      <c r="F1942" s="9">
        <f t="shared" ref="F1942:H1942" si="956">F1943</f>
        <v>0.5</v>
      </c>
      <c r="G1942" s="9">
        <f t="shared" si="956"/>
        <v>0.5</v>
      </c>
      <c r="H1942" s="9">
        <f t="shared" si="956"/>
        <v>0.18</v>
      </c>
      <c r="I1942" s="9">
        <f t="shared" si="941"/>
        <v>18</v>
      </c>
      <c r="J1942" s="9">
        <f t="shared" si="942"/>
        <v>36</v>
      </c>
    </row>
    <row r="1943" spans="1:11">
      <c r="A1943" s="8" t="s">
        <v>74</v>
      </c>
      <c r="B1943" s="1" t="s">
        <v>938</v>
      </c>
      <c r="C1943" s="1" t="s">
        <v>75</v>
      </c>
      <c r="D1943" s="9">
        <v>1</v>
      </c>
      <c r="E1943" s="9">
        <f>ведомство!H2216</f>
        <v>1</v>
      </c>
      <c r="F1943" s="9">
        <f>ведомство!I2216</f>
        <v>0.5</v>
      </c>
      <c r="G1943" s="9">
        <f>ведомство!J2216</f>
        <v>0.5</v>
      </c>
      <c r="H1943" s="9">
        <f>ведомство!K2216</f>
        <v>0.18</v>
      </c>
      <c r="I1943" s="9">
        <f t="shared" si="941"/>
        <v>18</v>
      </c>
      <c r="J1943" s="9">
        <f t="shared" si="942"/>
        <v>36</v>
      </c>
    </row>
    <row r="1944" spans="1:11" s="43" customFormat="1">
      <c r="A1944" s="8"/>
      <c r="B1944" s="1"/>
      <c r="C1944" s="1"/>
      <c r="D1944" s="9"/>
      <c r="E1944" s="9"/>
      <c r="F1944" s="9"/>
      <c r="G1944" s="9"/>
      <c r="H1944" s="9"/>
      <c r="I1944" s="9"/>
      <c r="J1944" s="9"/>
    </row>
    <row r="1945" spans="1:11" s="43" customFormat="1" ht="38.25">
      <c r="A1945" s="35" t="s">
        <v>1203</v>
      </c>
      <c r="B1945" s="34" t="s">
        <v>1202</v>
      </c>
      <c r="C1945" s="1"/>
      <c r="D1945" s="24"/>
      <c r="E1945" s="24">
        <f>E1946+E1952</f>
        <v>6064.2743900000005</v>
      </c>
      <c r="F1945" s="24">
        <f t="shared" ref="F1945:H1945" si="957">F1946+F1952</f>
        <v>6064.2743900000005</v>
      </c>
      <c r="G1945" s="24">
        <f t="shared" si="957"/>
        <v>6064.2743900000005</v>
      </c>
      <c r="H1945" s="24">
        <f t="shared" si="957"/>
        <v>6064.2743900000005</v>
      </c>
      <c r="I1945" s="24">
        <f t="shared" ref="I1945:I1957" si="958">H1945/E1945*100</f>
        <v>100</v>
      </c>
      <c r="J1945" s="24">
        <f t="shared" ref="J1945:J1957" si="959">H1945/F1945*100</f>
        <v>100</v>
      </c>
    </row>
    <row r="1946" spans="1:11" s="43" customFormat="1">
      <c r="A1946" s="8" t="s">
        <v>1205</v>
      </c>
      <c r="B1946" s="25" t="s">
        <v>1224</v>
      </c>
      <c r="C1946" s="49"/>
      <c r="D1946" s="9"/>
      <c r="E1946" s="9">
        <f>E1947</f>
        <v>3913.96254</v>
      </c>
      <c r="F1946" s="9">
        <f t="shared" ref="F1946:H1946" si="960">F1947</f>
        <v>3913.96254</v>
      </c>
      <c r="G1946" s="9">
        <f t="shared" si="960"/>
        <v>3913.96254</v>
      </c>
      <c r="H1946" s="9">
        <f t="shared" si="960"/>
        <v>3913.96254</v>
      </c>
      <c r="I1946" s="9">
        <f t="shared" si="958"/>
        <v>100</v>
      </c>
      <c r="J1946" s="9">
        <f t="shared" si="959"/>
        <v>100</v>
      </c>
    </row>
    <row r="1947" spans="1:11" s="43" customFormat="1" ht="25.5">
      <c r="A1947" s="8" t="s">
        <v>1207</v>
      </c>
      <c r="B1947" s="25" t="s">
        <v>1206</v>
      </c>
      <c r="C1947" s="49"/>
      <c r="D1947" s="9"/>
      <c r="E1947" s="9">
        <f>E1948+E1950</f>
        <v>3913.96254</v>
      </c>
      <c r="F1947" s="9">
        <f t="shared" ref="F1947:H1947" si="961">F1948+F1950</f>
        <v>3913.96254</v>
      </c>
      <c r="G1947" s="9">
        <f t="shared" si="961"/>
        <v>3913.96254</v>
      </c>
      <c r="H1947" s="9">
        <f t="shared" si="961"/>
        <v>3913.96254</v>
      </c>
      <c r="I1947" s="9">
        <f t="shared" si="958"/>
        <v>100</v>
      </c>
      <c r="J1947" s="9">
        <f t="shared" si="959"/>
        <v>100</v>
      </c>
    </row>
    <row r="1948" spans="1:11" s="43" customFormat="1" ht="51">
      <c r="A1948" s="8" t="s">
        <v>60</v>
      </c>
      <c r="B1948" s="25" t="s">
        <v>1206</v>
      </c>
      <c r="C1948" s="1">
        <v>100</v>
      </c>
      <c r="D1948" s="9"/>
      <c r="E1948" s="9">
        <f>E1949</f>
        <v>3711.05132</v>
      </c>
      <c r="F1948" s="9">
        <f t="shared" ref="F1948:H1948" si="962">F1949</f>
        <v>3711.05132</v>
      </c>
      <c r="G1948" s="9">
        <f t="shared" si="962"/>
        <v>3711.05132</v>
      </c>
      <c r="H1948" s="9">
        <f t="shared" si="962"/>
        <v>3711.05132</v>
      </c>
      <c r="I1948" s="9">
        <f t="shared" si="958"/>
        <v>100</v>
      </c>
      <c r="J1948" s="9">
        <f t="shared" si="959"/>
        <v>100</v>
      </c>
    </row>
    <row r="1949" spans="1:11" s="43" customFormat="1" ht="25.5">
      <c r="A1949" s="8" t="s">
        <v>62</v>
      </c>
      <c r="B1949" s="25" t="s">
        <v>1206</v>
      </c>
      <c r="C1949" s="1">
        <v>120</v>
      </c>
      <c r="D1949" s="1"/>
      <c r="E1949" s="9">
        <f>ведомство!H2231</f>
        <v>3711.05132</v>
      </c>
      <c r="F1949" s="9">
        <f>ведомство!I2231</f>
        <v>3711.05132</v>
      </c>
      <c r="G1949" s="9">
        <f>ведомство!J2231</f>
        <v>3711.05132</v>
      </c>
      <c r="H1949" s="9">
        <f>ведомство!K2231</f>
        <v>3711.05132</v>
      </c>
      <c r="I1949" s="9">
        <f t="shared" si="958"/>
        <v>100</v>
      </c>
      <c r="J1949" s="9">
        <f t="shared" si="959"/>
        <v>100</v>
      </c>
      <c r="K1949" s="9"/>
    </row>
    <row r="1950" spans="1:11" s="43" customFormat="1" ht="25.5">
      <c r="A1950" s="8" t="s">
        <v>64</v>
      </c>
      <c r="B1950" s="25" t="s">
        <v>1206</v>
      </c>
      <c r="C1950" s="1">
        <v>200</v>
      </c>
      <c r="D1950" s="1"/>
      <c r="E1950" s="9">
        <f>E1951</f>
        <v>202.91121999999999</v>
      </c>
      <c r="F1950" s="9">
        <f t="shared" ref="F1950:H1950" si="963">F1951</f>
        <v>202.91121999999999</v>
      </c>
      <c r="G1950" s="9">
        <f t="shared" si="963"/>
        <v>202.91121999999999</v>
      </c>
      <c r="H1950" s="9">
        <f t="shared" si="963"/>
        <v>202.91121999999999</v>
      </c>
      <c r="I1950" s="9">
        <f t="shared" si="958"/>
        <v>100</v>
      </c>
      <c r="J1950" s="9">
        <f t="shared" si="959"/>
        <v>100</v>
      </c>
      <c r="K1950" s="9"/>
    </row>
    <row r="1951" spans="1:11" s="43" customFormat="1" ht="25.5">
      <c r="A1951" s="8" t="s">
        <v>66</v>
      </c>
      <c r="B1951" s="25" t="s">
        <v>1206</v>
      </c>
      <c r="C1951" s="1">
        <v>240</v>
      </c>
      <c r="D1951" s="1"/>
      <c r="E1951" s="9">
        <f>ведомство!H2233</f>
        <v>202.91121999999999</v>
      </c>
      <c r="F1951" s="9">
        <f>ведомство!I2233</f>
        <v>202.91121999999999</v>
      </c>
      <c r="G1951" s="9">
        <f>ведомство!J2233</f>
        <v>202.91121999999999</v>
      </c>
      <c r="H1951" s="9">
        <f>ведомство!K2233</f>
        <v>202.91121999999999</v>
      </c>
      <c r="I1951" s="9">
        <f t="shared" si="958"/>
        <v>100</v>
      </c>
      <c r="J1951" s="9">
        <f t="shared" si="959"/>
        <v>100</v>
      </c>
      <c r="K1951" s="9"/>
    </row>
    <row r="1952" spans="1:11" s="43" customFormat="1" ht="25.5">
      <c r="A1952" s="8" t="s">
        <v>1209</v>
      </c>
      <c r="B1952" s="25" t="s">
        <v>1208</v>
      </c>
      <c r="C1952" s="1"/>
      <c r="D1952" s="1"/>
      <c r="E1952" s="9">
        <f>E1953</f>
        <v>2150.31185</v>
      </c>
      <c r="F1952" s="9">
        <f t="shared" ref="F1952:H1952" si="964">F1953</f>
        <v>2150.31185</v>
      </c>
      <c r="G1952" s="9">
        <f t="shared" si="964"/>
        <v>2150.31185</v>
      </c>
      <c r="H1952" s="9">
        <f t="shared" si="964"/>
        <v>2150.31185</v>
      </c>
      <c r="I1952" s="9">
        <f t="shared" si="958"/>
        <v>100</v>
      </c>
      <c r="J1952" s="9">
        <f t="shared" si="959"/>
        <v>100</v>
      </c>
      <c r="K1952" s="9"/>
    </row>
    <row r="1953" spans="1:11" s="43" customFormat="1" ht="25.5">
      <c r="A1953" s="8" t="s">
        <v>1211</v>
      </c>
      <c r="B1953" s="25" t="s">
        <v>1210</v>
      </c>
      <c r="C1953" s="1"/>
      <c r="D1953" s="1"/>
      <c r="E1953" s="9">
        <f>E1954+E1956</f>
        <v>2150.31185</v>
      </c>
      <c r="F1953" s="9">
        <f t="shared" ref="F1953:H1953" si="965">F1954+F1956</f>
        <v>2150.31185</v>
      </c>
      <c r="G1953" s="9">
        <f t="shared" si="965"/>
        <v>2150.31185</v>
      </c>
      <c r="H1953" s="9">
        <f t="shared" si="965"/>
        <v>2150.31185</v>
      </c>
      <c r="I1953" s="9">
        <f t="shared" si="958"/>
        <v>100</v>
      </c>
      <c r="J1953" s="9">
        <f t="shared" si="959"/>
        <v>100</v>
      </c>
      <c r="K1953" s="48"/>
    </row>
    <row r="1954" spans="1:11" s="43" customFormat="1" ht="51">
      <c r="A1954" s="8" t="s">
        <v>60</v>
      </c>
      <c r="B1954" s="25" t="s">
        <v>1210</v>
      </c>
      <c r="C1954" s="1">
        <v>100</v>
      </c>
      <c r="D1954" s="1"/>
      <c r="E1954" s="9">
        <f>E1955</f>
        <v>2023.7308700000001</v>
      </c>
      <c r="F1954" s="9">
        <f t="shared" ref="F1954:H1954" si="966">F1955</f>
        <v>2023.7308700000001</v>
      </c>
      <c r="G1954" s="9">
        <f t="shared" si="966"/>
        <v>2023.7308700000001</v>
      </c>
      <c r="H1954" s="9">
        <f t="shared" si="966"/>
        <v>2023.7308700000001</v>
      </c>
      <c r="I1954" s="9">
        <f t="shared" si="958"/>
        <v>100</v>
      </c>
      <c r="J1954" s="9">
        <f t="shared" si="959"/>
        <v>100</v>
      </c>
      <c r="K1954" s="48"/>
    </row>
    <row r="1955" spans="1:11" s="43" customFormat="1" ht="25.5">
      <c r="A1955" s="8" t="s">
        <v>62</v>
      </c>
      <c r="B1955" s="25" t="s">
        <v>1210</v>
      </c>
      <c r="C1955" s="1">
        <v>120</v>
      </c>
      <c r="D1955" s="1"/>
      <c r="E1955" s="9">
        <f>ведомство!H2237</f>
        <v>2023.7308700000001</v>
      </c>
      <c r="F1955" s="9">
        <f>ведомство!I2237</f>
        <v>2023.7308700000001</v>
      </c>
      <c r="G1955" s="9">
        <f>ведомство!J2237</f>
        <v>2023.7308700000001</v>
      </c>
      <c r="H1955" s="9">
        <f>ведомство!K2237</f>
        <v>2023.7308700000001</v>
      </c>
      <c r="I1955" s="9">
        <f t="shared" si="958"/>
        <v>100</v>
      </c>
      <c r="J1955" s="9">
        <f t="shared" si="959"/>
        <v>100</v>
      </c>
      <c r="K1955" s="48"/>
    </row>
    <row r="1956" spans="1:11" s="43" customFormat="1" ht="25.5">
      <c r="A1956" s="8" t="s">
        <v>64</v>
      </c>
      <c r="B1956" s="25" t="s">
        <v>1210</v>
      </c>
      <c r="C1956" s="1">
        <v>200</v>
      </c>
      <c r="D1956" s="1"/>
      <c r="E1956" s="9">
        <f>E1957</f>
        <v>126.58098</v>
      </c>
      <c r="F1956" s="9">
        <f t="shared" ref="F1956:H1956" si="967">F1957</f>
        <v>126.58098</v>
      </c>
      <c r="G1956" s="9">
        <f t="shared" si="967"/>
        <v>126.58098</v>
      </c>
      <c r="H1956" s="9">
        <f t="shared" si="967"/>
        <v>126.58098</v>
      </c>
      <c r="I1956" s="9">
        <f t="shared" si="958"/>
        <v>100</v>
      </c>
      <c r="J1956" s="9">
        <f t="shared" si="959"/>
        <v>100</v>
      </c>
      <c r="K1956" s="48"/>
    </row>
    <row r="1957" spans="1:11" s="43" customFormat="1" ht="25.5">
      <c r="A1957" s="8" t="s">
        <v>66</v>
      </c>
      <c r="B1957" s="25" t="s">
        <v>1210</v>
      </c>
      <c r="C1957" s="1">
        <v>240</v>
      </c>
      <c r="D1957" s="9"/>
      <c r="E1957" s="9">
        <f>ведомство!H2239</f>
        <v>126.58098</v>
      </c>
      <c r="F1957" s="9">
        <f>ведомство!I2239</f>
        <v>126.58098</v>
      </c>
      <c r="G1957" s="9">
        <f>ведомство!J2239</f>
        <v>126.58098</v>
      </c>
      <c r="H1957" s="9">
        <f>ведомство!K2239</f>
        <v>126.58098</v>
      </c>
      <c r="I1957" s="9">
        <f t="shared" si="958"/>
        <v>100</v>
      </c>
      <c r="J1957" s="9">
        <f t="shared" si="959"/>
        <v>100</v>
      </c>
    </row>
    <row r="1958" spans="1:11" s="43" customFormat="1">
      <c r="A1958" s="8"/>
      <c r="B1958" s="1"/>
      <c r="C1958" s="1"/>
      <c r="D1958" s="9"/>
      <c r="E1958" s="9"/>
      <c r="F1958" s="9"/>
      <c r="G1958" s="9"/>
      <c r="H1958" s="9"/>
      <c r="I1958" s="9"/>
      <c r="J1958" s="9"/>
    </row>
    <row r="1959" spans="1:11">
      <c r="A1959" s="4" t="s">
        <v>612</v>
      </c>
      <c r="B1959" s="5" t="s">
        <v>613</v>
      </c>
      <c r="C1959" s="5" t="s">
        <v>0</v>
      </c>
      <c r="D1959" s="7">
        <v>216714.8</v>
      </c>
      <c r="E1959" s="7">
        <f>E1960</f>
        <v>216714.80000000005</v>
      </c>
      <c r="F1959" s="7">
        <f t="shared" ref="F1959:H1959" si="968">F1960</f>
        <v>95613.079179999986</v>
      </c>
      <c r="G1959" s="7">
        <f t="shared" si="968"/>
        <v>95613.079709999991</v>
      </c>
      <c r="H1959" s="7">
        <f t="shared" si="968"/>
        <v>73691.79475999999</v>
      </c>
      <c r="I1959" s="7">
        <f t="shared" si="941"/>
        <v>34.004043452500696</v>
      </c>
      <c r="J1959" s="7">
        <f t="shared" si="942"/>
        <v>77.072922859506221</v>
      </c>
    </row>
    <row r="1960" spans="1:11">
      <c r="A1960" s="8" t="s">
        <v>612</v>
      </c>
      <c r="B1960" s="1" t="s">
        <v>614</v>
      </c>
      <c r="C1960" s="1" t="s">
        <v>0</v>
      </c>
      <c r="D1960" s="9">
        <v>216714.8</v>
      </c>
      <c r="E1960" s="9">
        <f>E1964+E1975+E1969+E1966+E1971+E1961</f>
        <v>216714.80000000005</v>
      </c>
      <c r="F1960" s="9">
        <f t="shared" ref="F1960:H1960" si="969">F1964+F1975+F1969+F1966+F1971+F1961</f>
        <v>95613.079179999986</v>
      </c>
      <c r="G1960" s="9">
        <f t="shared" si="969"/>
        <v>95613.079709999991</v>
      </c>
      <c r="H1960" s="9">
        <f t="shared" si="969"/>
        <v>73691.79475999999</v>
      </c>
      <c r="I1960" s="9">
        <f t="shared" si="941"/>
        <v>34.004043452500696</v>
      </c>
      <c r="J1960" s="9">
        <f t="shared" si="942"/>
        <v>77.072922859506221</v>
      </c>
    </row>
    <row r="1961" spans="1:11" s="43" customFormat="1" ht="51">
      <c r="A1961" s="8" t="s">
        <v>60</v>
      </c>
      <c r="B1961" s="1" t="s">
        <v>614</v>
      </c>
      <c r="C1961" s="1">
        <v>100</v>
      </c>
      <c r="D1961" s="9"/>
      <c r="E1961" s="9">
        <f>E1962+E1963</f>
        <v>159.5</v>
      </c>
      <c r="F1961" s="9">
        <f t="shared" ref="F1961:H1961" si="970">F1962+F1963</f>
        <v>159.5</v>
      </c>
      <c r="G1961" s="9">
        <f t="shared" si="970"/>
        <v>159.5</v>
      </c>
      <c r="H1961" s="9">
        <f t="shared" si="970"/>
        <v>159.5</v>
      </c>
      <c r="I1961" s="9">
        <f t="shared" ref="I1961:I1963" si="971">H1961/E1961*100</f>
        <v>100</v>
      </c>
      <c r="J1961" s="9">
        <f t="shared" ref="J1961:J1963" si="972">H1961/F1961*100</f>
        <v>100</v>
      </c>
    </row>
    <row r="1962" spans="1:11" s="43" customFormat="1">
      <c r="A1962" s="8" t="s">
        <v>78</v>
      </c>
      <c r="B1962" s="1" t="s">
        <v>614</v>
      </c>
      <c r="C1962" s="1">
        <v>110</v>
      </c>
      <c r="D1962" s="9"/>
      <c r="E1962" s="9">
        <f>ведомство!H2710</f>
        <v>51.524999999999999</v>
      </c>
      <c r="F1962" s="9">
        <f>ведомство!I2710</f>
        <v>51.524999999999999</v>
      </c>
      <c r="G1962" s="9">
        <f>ведомство!J2710</f>
        <v>51.524999999999999</v>
      </c>
      <c r="H1962" s="9">
        <f>ведомство!K2710</f>
        <v>51.524999999999999</v>
      </c>
      <c r="I1962" s="9">
        <f t="shared" si="971"/>
        <v>100</v>
      </c>
      <c r="J1962" s="9">
        <f t="shared" si="972"/>
        <v>100</v>
      </c>
    </row>
    <row r="1963" spans="1:11" s="43" customFormat="1" ht="25.5">
      <c r="A1963" s="8" t="s">
        <v>62</v>
      </c>
      <c r="B1963" s="1" t="s">
        <v>614</v>
      </c>
      <c r="C1963" s="1">
        <v>120</v>
      </c>
      <c r="D1963" s="9"/>
      <c r="E1963" s="9">
        <f>ведомство!H2711</f>
        <v>107.97499999999999</v>
      </c>
      <c r="F1963" s="9">
        <f>ведомство!I2711</f>
        <v>107.97499999999999</v>
      </c>
      <c r="G1963" s="9">
        <f>ведомство!J2711</f>
        <v>107.97499999999999</v>
      </c>
      <c r="H1963" s="9">
        <f>ведомство!K2711</f>
        <v>107.97499999999999</v>
      </c>
      <c r="I1963" s="9">
        <f t="shared" si="971"/>
        <v>100</v>
      </c>
      <c r="J1963" s="9">
        <f t="shared" si="972"/>
        <v>100</v>
      </c>
    </row>
    <row r="1964" spans="1:11" ht="25.5">
      <c r="A1964" s="8" t="s">
        <v>64</v>
      </c>
      <c r="B1964" s="1" t="s">
        <v>614</v>
      </c>
      <c r="C1964" s="1" t="s">
        <v>65</v>
      </c>
      <c r="D1964" s="9"/>
      <c r="E1964" s="9">
        <f>E1965</f>
        <v>19485.54912</v>
      </c>
      <c r="F1964" s="9">
        <f t="shared" ref="F1964:H1964" si="973">F1965</f>
        <v>14810.069069999998</v>
      </c>
      <c r="G1964" s="9">
        <f t="shared" si="973"/>
        <v>14810.069069999998</v>
      </c>
      <c r="H1964" s="9">
        <f t="shared" si="973"/>
        <v>3389.5679399999999</v>
      </c>
      <c r="I1964" s="9">
        <f t="shared" si="941"/>
        <v>17.395290833866937</v>
      </c>
      <c r="J1964" s="9">
        <f t="shared" si="942"/>
        <v>22.886915138472077</v>
      </c>
    </row>
    <row r="1965" spans="1:11" ht="25.5">
      <c r="A1965" s="8" t="s">
        <v>66</v>
      </c>
      <c r="B1965" s="1" t="s">
        <v>614</v>
      </c>
      <c r="C1965" s="1" t="s">
        <v>67</v>
      </c>
      <c r="D1965" s="9"/>
      <c r="E1965" s="9">
        <f>ведомство!H38+ведомство!H167+ведомство!H682+ведомство!H2339+ведомство!H2713</f>
        <v>19485.54912</v>
      </c>
      <c r="F1965" s="9">
        <f>ведомство!I38+ведомство!I167+ведомство!I682+ведомство!I2339+ведомство!I2713</f>
        <v>14810.069069999998</v>
      </c>
      <c r="G1965" s="9">
        <f>ведомство!J38+ведомство!J167+ведомство!J682+ведомство!J2339+ведомство!J2713</f>
        <v>14810.069069999998</v>
      </c>
      <c r="H1965" s="9">
        <f>ведомство!K38+ведомство!K167+ведомство!K682+ведомство!K2339+ведомство!K2713</f>
        <v>3389.5679399999999</v>
      </c>
      <c r="I1965" s="9">
        <f t="shared" si="941"/>
        <v>17.395290833866937</v>
      </c>
      <c r="J1965" s="9">
        <f t="shared" si="942"/>
        <v>22.886915138472077</v>
      </c>
    </row>
    <row r="1966" spans="1:11">
      <c r="A1966" s="8" t="s">
        <v>68</v>
      </c>
      <c r="B1966" s="1" t="s">
        <v>614</v>
      </c>
      <c r="C1966" s="1">
        <v>300</v>
      </c>
      <c r="D1966" s="9"/>
      <c r="E1966" s="9">
        <f>E1968+E1967</f>
        <v>2083.4879999999998</v>
      </c>
      <c r="F1966" s="9">
        <f t="shared" ref="F1966:H1966" si="974">F1968+F1967</f>
        <v>2083.4879999999998</v>
      </c>
      <c r="G1966" s="9">
        <f t="shared" si="974"/>
        <v>2083.4879999999998</v>
      </c>
      <c r="H1966" s="9">
        <f t="shared" si="974"/>
        <v>1873.4880000000001</v>
      </c>
      <c r="I1966" s="9">
        <f t="shared" si="941"/>
        <v>89.920748283647427</v>
      </c>
      <c r="J1966" s="9">
        <f t="shared" si="942"/>
        <v>89.920748283647427</v>
      </c>
    </row>
    <row r="1967" spans="1:11" s="43" customFormat="1" ht="25.5">
      <c r="A1967" s="8" t="s">
        <v>151</v>
      </c>
      <c r="B1967" s="1" t="s">
        <v>614</v>
      </c>
      <c r="C1967" s="1">
        <v>320</v>
      </c>
      <c r="D1967" s="9"/>
      <c r="E1967" s="9">
        <f>ведомство!H1952</f>
        <v>83.488</v>
      </c>
      <c r="F1967" s="9">
        <f>ведомство!I1952</f>
        <v>83.488</v>
      </c>
      <c r="G1967" s="9">
        <f>ведомство!J1952</f>
        <v>83.488</v>
      </c>
      <c r="H1967" s="9">
        <f>ведомство!K1952</f>
        <v>83.488</v>
      </c>
      <c r="I1967" s="9"/>
      <c r="J1967" s="9"/>
    </row>
    <row r="1968" spans="1:11">
      <c r="A1968" s="26" t="s">
        <v>70</v>
      </c>
      <c r="B1968" s="1" t="s">
        <v>614</v>
      </c>
      <c r="C1968" s="1">
        <v>360</v>
      </c>
      <c r="D1968" s="9"/>
      <c r="E1968" s="9">
        <f>ведомство!H464</f>
        <v>2000</v>
      </c>
      <c r="F1968" s="9">
        <f>ведомство!I464</f>
        <v>2000</v>
      </c>
      <c r="G1968" s="9">
        <f>ведомство!J464</f>
        <v>2000</v>
      </c>
      <c r="H1968" s="9">
        <f>ведомство!K464</f>
        <v>1790</v>
      </c>
      <c r="I1968" s="9">
        <f t="shared" si="941"/>
        <v>89.5</v>
      </c>
      <c r="J1968" s="9">
        <f t="shared" si="942"/>
        <v>89.5</v>
      </c>
    </row>
    <row r="1969" spans="1:10">
      <c r="A1969" s="8" t="s">
        <v>26</v>
      </c>
      <c r="B1969" s="1" t="s">
        <v>614</v>
      </c>
      <c r="C1969" s="1">
        <v>500</v>
      </c>
      <c r="D1969" s="9"/>
      <c r="E1969" s="9">
        <f>E1970</f>
        <v>32225.963370000001</v>
      </c>
      <c r="F1969" s="9">
        <f t="shared" ref="F1969:H1969" si="975">F1970</f>
        <v>32225.963370000001</v>
      </c>
      <c r="G1969" s="9">
        <f t="shared" si="975"/>
        <v>32225.963900000006</v>
      </c>
      <c r="H1969" s="9">
        <f t="shared" si="975"/>
        <v>28215.278150000002</v>
      </c>
      <c r="I1969" s="9">
        <f t="shared" si="941"/>
        <v>87.554490849655551</v>
      </c>
      <c r="J1969" s="9">
        <f t="shared" si="942"/>
        <v>87.554490849655551</v>
      </c>
    </row>
    <row r="1970" spans="1:10">
      <c r="A1970" s="8" t="s">
        <v>352</v>
      </c>
      <c r="B1970" s="1" t="s">
        <v>614</v>
      </c>
      <c r="C1970" s="1">
        <v>540</v>
      </c>
      <c r="D1970" s="9"/>
      <c r="E1970" s="9">
        <f>ведомство!H169+ведомство!H238+ведомство!H336+ведомство!H341+ведомство!H346+ведомство!H720+ведомство!H775+ведомство!H876+ведомство!H908+ведомство!H1561+ведомство!H1954+ведомство!H2098+ведомство!H2118+ведомство!H2183+ведомство!H2202+ведомство!H2341</f>
        <v>32225.963370000001</v>
      </c>
      <c r="F1970" s="9">
        <f>ведомство!I169+ведомство!I238+ведомство!I336+ведомство!I341+ведомство!I346+ведомство!I720+ведомство!I775+ведомство!I876+ведомство!I908+ведомство!I1561+ведомство!I1954+ведомство!I2098+ведомство!I2118+ведомство!I2183+ведомство!I2202+ведомство!I2341</f>
        <v>32225.963370000001</v>
      </c>
      <c r="G1970" s="9">
        <f>ведомство!J169+ведомство!J238+ведомство!J336+ведомство!J341+ведомство!J346+ведомство!J720+ведомство!J775+ведомство!J876+ведомство!J908+ведомство!J1561+ведомство!J1954+ведомство!J2098+ведомство!J2118+ведомство!J2183+ведомство!J2202+ведомство!J2341</f>
        <v>32225.963900000006</v>
      </c>
      <c r="H1970" s="9">
        <f>ведомство!K169+ведомство!K238+ведомство!K336+ведомство!K341+ведомство!K346+ведомство!K720+ведомство!K775+ведомство!K876+ведомство!K908+ведомство!K1561+ведомство!K1954+ведомство!K2098+ведомство!K2118+ведомство!K2183+ведомство!K2202+ведомство!K2341</f>
        <v>28215.278150000002</v>
      </c>
      <c r="I1970" s="9">
        <f t="shared" si="941"/>
        <v>87.554490849655551</v>
      </c>
      <c r="J1970" s="9">
        <f t="shared" si="942"/>
        <v>87.554490849655551</v>
      </c>
    </row>
    <row r="1971" spans="1:10" ht="25.5">
      <c r="A1971" s="8" t="s">
        <v>80</v>
      </c>
      <c r="B1971" s="1" t="s">
        <v>614</v>
      </c>
      <c r="C1971" s="25">
        <v>600</v>
      </c>
      <c r="D1971" s="9"/>
      <c r="E1971" s="9">
        <f>E1972+E1974+E1973</f>
        <v>46334.058739999993</v>
      </c>
      <c r="F1971" s="9">
        <f t="shared" ref="F1971:H1971" si="976">F1972+F1974+F1973</f>
        <v>46334.058739999993</v>
      </c>
      <c r="G1971" s="9">
        <f t="shared" si="976"/>
        <v>46334.058739999993</v>
      </c>
      <c r="H1971" s="9">
        <f t="shared" si="976"/>
        <v>40053.960669999993</v>
      </c>
      <c r="I1971" s="9">
        <f t="shared" si="941"/>
        <v>86.44604370784721</v>
      </c>
      <c r="J1971" s="9">
        <f t="shared" si="942"/>
        <v>86.44604370784721</v>
      </c>
    </row>
    <row r="1972" spans="1:10">
      <c r="A1972" s="8" t="s">
        <v>271</v>
      </c>
      <c r="B1972" s="1" t="s">
        <v>614</v>
      </c>
      <c r="C1972" s="1">
        <v>610</v>
      </c>
      <c r="D1972" s="9"/>
      <c r="E1972" s="9">
        <f>ведомство!H518+ведомство!H551+ведомство!H777+ведомство!H910+ведомство!H927+ведомство!H950</f>
        <v>38686.900669999995</v>
      </c>
      <c r="F1972" s="9">
        <f>ведомство!I518+ведомство!I551+ведомство!I777+ведомство!I910+ведомство!I927+ведомство!I950</f>
        <v>38686.900669999995</v>
      </c>
      <c r="G1972" s="9">
        <f>ведомство!J518+ведомство!J551+ведомство!J777+ведомство!J910+ведомство!J927+ведомство!J950</f>
        <v>38686.900669999995</v>
      </c>
      <c r="H1972" s="9">
        <f>ведомство!K518+ведомство!K551+ведомство!K777+ведомство!K910+ведомство!K927+ведомство!K950</f>
        <v>38686.900669999995</v>
      </c>
      <c r="I1972" s="9">
        <f t="shared" si="941"/>
        <v>100</v>
      </c>
      <c r="J1972" s="9">
        <f t="shared" si="942"/>
        <v>100</v>
      </c>
    </row>
    <row r="1973" spans="1:10" s="43" customFormat="1">
      <c r="A1973" s="8" t="s">
        <v>82</v>
      </c>
      <c r="B1973" s="1" t="s">
        <v>614</v>
      </c>
      <c r="C1973" s="1">
        <v>620</v>
      </c>
      <c r="D1973" s="9"/>
      <c r="E1973" s="9">
        <f>ведомство!H2204+ведомство!H2343+ведомство!H2388</f>
        <v>4383.09807</v>
      </c>
      <c r="F1973" s="9">
        <f>ведомство!I2204+ведомство!I2343+ведомство!I2388</f>
        <v>4383.09807</v>
      </c>
      <c r="G1973" s="9">
        <f>ведомство!J2204+ведомство!J2343+ведомство!J2388</f>
        <v>4383.09807</v>
      </c>
      <c r="H1973" s="9">
        <f>ведомство!K2204+ведомство!K2343+ведомство!K2388</f>
        <v>1203</v>
      </c>
      <c r="I1973" s="9"/>
      <c r="J1973" s="9"/>
    </row>
    <row r="1974" spans="1:10" ht="25.5">
      <c r="A1974" s="8" t="s">
        <v>195</v>
      </c>
      <c r="B1974" s="1" t="s">
        <v>614</v>
      </c>
      <c r="C1974" s="1">
        <v>630</v>
      </c>
      <c r="D1974" s="9"/>
      <c r="E1974" s="9">
        <f>ведомство!H1058+ведомство!H2041</f>
        <v>3264.0600000000004</v>
      </c>
      <c r="F1974" s="9">
        <f>ведомство!I1058+ведомство!I2041</f>
        <v>3264.0600000000004</v>
      </c>
      <c r="G1974" s="9">
        <f>ведомство!J1058+ведомство!J2041</f>
        <v>3264.0600000000004</v>
      </c>
      <c r="H1974" s="9">
        <f>ведомство!K1058+ведомство!K2041</f>
        <v>164.06</v>
      </c>
      <c r="I1974" s="9">
        <f t="shared" si="941"/>
        <v>5.0262556448104503</v>
      </c>
      <c r="J1974" s="9">
        <f t="shared" si="942"/>
        <v>5.0262556448104503</v>
      </c>
    </row>
    <row r="1975" spans="1:10">
      <c r="A1975" s="8" t="s">
        <v>72</v>
      </c>
      <c r="B1975" s="1" t="s">
        <v>614</v>
      </c>
      <c r="C1975" s="1" t="s">
        <v>73</v>
      </c>
      <c r="D1975" s="9">
        <v>216714.8</v>
      </c>
      <c r="E1975" s="9">
        <f>E1976</f>
        <v>116426.24077</v>
      </c>
      <c r="F1975" s="9">
        <f t="shared" ref="F1975:H1975" si="977">F1976</f>
        <v>0</v>
      </c>
      <c r="G1975" s="9">
        <f t="shared" si="977"/>
        <v>0</v>
      </c>
      <c r="H1975" s="9">
        <f t="shared" si="977"/>
        <v>0</v>
      </c>
      <c r="I1975" s="9">
        <f t="shared" si="941"/>
        <v>0</v>
      </c>
      <c r="J1975" s="9">
        <v>0</v>
      </c>
    </row>
    <row r="1976" spans="1:10">
      <c r="A1976" s="8" t="s">
        <v>369</v>
      </c>
      <c r="B1976" s="1" t="s">
        <v>614</v>
      </c>
      <c r="C1976" s="1" t="s">
        <v>370</v>
      </c>
      <c r="D1976" s="9">
        <v>216714.8</v>
      </c>
      <c r="E1976" s="9">
        <f>ведомство!H1383</f>
        <v>116426.24077</v>
      </c>
      <c r="F1976" s="9">
        <f>ведомство!I1383</f>
        <v>0</v>
      </c>
      <c r="G1976" s="9">
        <f>ведомство!J1383</f>
        <v>0</v>
      </c>
      <c r="H1976" s="9">
        <f>ведомство!K1383</f>
        <v>0</v>
      </c>
      <c r="I1976" s="9">
        <f t="shared" si="941"/>
        <v>0</v>
      </c>
      <c r="J1976" s="9">
        <v>0</v>
      </c>
    </row>
    <row r="1977" spans="1:10">
      <c r="A1977" s="4" t="s">
        <v>0</v>
      </c>
      <c r="B1977" s="17" t="s">
        <v>0</v>
      </c>
      <c r="C1977" s="5" t="s">
        <v>0</v>
      </c>
      <c r="D1977" s="7" t="s">
        <v>0</v>
      </c>
      <c r="E1977" s="7" t="s">
        <v>0</v>
      </c>
      <c r="F1977" s="7"/>
      <c r="G1977" s="7"/>
      <c r="H1977" s="7"/>
      <c r="I1977" s="7"/>
      <c r="J1977" s="7"/>
    </row>
    <row r="1978" spans="1:10">
      <c r="A1978" s="4" t="s">
        <v>704</v>
      </c>
      <c r="B1978" s="5" t="s">
        <v>705</v>
      </c>
      <c r="C1978" s="5" t="s">
        <v>0</v>
      </c>
      <c r="D1978" s="7">
        <v>310303.3</v>
      </c>
      <c r="E1978" s="7">
        <f>E1979+E1984</f>
        <v>310303.26299999998</v>
      </c>
      <c r="F1978" s="7">
        <f t="shared" ref="F1978:H1978" si="978">F1979+F1984</f>
        <v>164248.11300000001</v>
      </c>
      <c r="G1978" s="7">
        <f t="shared" si="978"/>
        <v>161801.86300000001</v>
      </c>
      <c r="H1978" s="7">
        <f t="shared" si="978"/>
        <v>118046.7858</v>
      </c>
      <c r="I1978" s="7">
        <f t="shared" si="941"/>
        <v>38.042392676998702</v>
      </c>
      <c r="J1978" s="7">
        <f t="shared" si="942"/>
        <v>71.871014919970492</v>
      </c>
    </row>
    <row r="1979" spans="1:10" ht="38.25">
      <c r="A1979" s="8" t="s">
        <v>706</v>
      </c>
      <c r="B1979" s="1" t="s">
        <v>707</v>
      </c>
      <c r="C1979" s="1" t="s">
        <v>0</v>
      </c>
      <c r="D1979" s="9">
        <v>61462.400000000001</v>
      </c>
      <c r="E1979" s="9">
        <f>E1980+E1982</f>
        <v>61462.362999999998</v>
      </c>
      <c r="F1979" s="9">
        <f t="shared" ref="F1979:H1979" si="979">F1980+F1982</f>
        <v>39827.663</v>
      </c>
      <c r="G1979" s="9">
        <f t="shared" si="979"/>
        <v>39827.663</v>
      </c>
      <c r="H1979" s="9">
        <f t="shared" si="979"/>
        <v>39827.663</v>
      </c>
      <c r="I1979" s="9">
        <f t="shared" si="941"/>
        <v>64.8000842401715</v>
      </c>
      <c r="J1979" s="9">
        <f t="shared" si="942"/>
        <v>100</v>
      </c>
    </row>
    <row r="1980" spans="1:10" s="43" customFormat="1" ht="25.5">
      <c r="A1980" s="8" t="s">
        <v>64</v>
      </c>
      <c r="B1980" s="1" t="s">
        <v>707</v>
      </c>
      <c r="C1980" s="1">
        <v>200</v>
      </c>
      <c r="D1980" s="9"/>
      <c r="E1980" s="9">
        <f>E1981</f>
        <v>39827.663</v>
      </c>
      <c r="F1980" s="9">
        <f t="shared" ref="F1980:H1980" si="980">F1981</f>
        <v>39827.663</v>
      </c>
      <c r="G1980" s="9">
        <f t="shared" si="980"/>
        <v>39827.663</v>
      </c>
      <c r="H1980" s="9">
        <f t="shared" si="980"/>
        <v>39827.663</v>
      </c>
      <c r="I1980" s="9">
        <f t="shared" ref="I1980:I1981" si="981">H1980/E1980*100</f>
        <v>100</v>
      </c>
      <c r="J1980" s="9">
        <f t="shared" ref="J1980:J1981" si="982">H1980/F1980*100</f>
        <v>100</v>
      </c>
    </row>
    <row r="1981" spans="1:10" s="43" customFormat="1" ht="25.5">
      <c r="A1981" s="8" t="s">
        <v>66</v>
      </c>
      <c r="B1981" s="1" t="s">
        <v>707</v>
      </c>
      <c r="C1981" s="1">
        <v>240</v>
      </c>
      <c r="D1981" s="9"/>
      <c r="E1981" s="9">
        <f>ведомство!H1565</f>
        <v>39827.663</v>
      </c>
      <c r="F1981" s="9">
        <f>ведомство!I1565</f>
        <v>39827.663</v>
      </c>
      <c r="G1981" s="9">
        <f>ведомство!J1565</f>
        <v>39827.663</v>
      </c>
      <c r="H1981" s="9">
        <f>ведомство!K1565</f>
        <v>39827.663</v>
      </c>
      <c r="I1981" s="9">
        <f t="shared" si="981"/>
        <v>100</v>
      </c>
      <c r="J1981" s="9">
        <f t="shared" si="982"/>
        <v>100</v>
      </c>
    </row>
    <row r="1982" spans="1:10">
      <c r="A1982" s="8" t="s">
        <v>72</v>
      </c>
      <c r="B1982" s="1" t="s">
        <v>707</v>
      </c>
      <c r="C1982" s="1" t="s">
        <v>73</v>
      </c>
      <c r="D1982" s="9">
        <v>61462.400000000001</v>
      </c>
      <c r="E1982" s="9">
        <f>E1983</f>
        <v>21634.7</v>
      </c>
      <c r="F1982" s="9">
        <f t="shared" ref="F1982:H1982" si="983">F1983</f>
        <v>0</v>
      </c>
      <c r="G1982" s="9">
        <f t="shared" si="983"/>
        <v>0</v>
      </c>
      <c r="H1982" s="9">
        <f t="shared" si="983"/>
        <v>0</v>
      </c>
      <c r="I1982" s="9">
        <f t="shared" si="941"/>
        <v>0</v>
      </c>
      <c r="J1982" s="9">
        <v>0</v>
      </c>
    </row>
    <row r="1983" spans="1:10">
      <c r="A1983" s="8" t="s">
        <v>369</v>
      </c>
      <c r="B1983" s="1" t="s">
        <v>707</v>
      </c>
      <c r="C1983" s="1" t="s">
        <v>370</v>
      </c>
      <c r="D1983" s="9">
        <v>61462.400000000001</v>
      </c>
      <c r="E1983" s="9">
        <f>ведомство!H1567</f>
        <v>21634.7</v>
      </c>
      <c r="F1983" s="9">
        <f>ведомство!I1567</f>
        <v>0</v>
      </c>
      <c r="G1983" s="9">
        <f>ведомство!J1567</f>
        <v>0</v>
      </c>
      <c r="H1983" s="9">
        <f>ведомство!K1567</f>
        <v>0</v>
      </c>
      <c r="I1983" s="9">
        <f t="shared" si="941"/>
        <v>0</v>
      </c>
      <c r="J1983" s="9">
        <v>0</v>
      </c>
    </row>
    <row r="1984" spans="1:10" ht="76.5">
      <c r="A1984" s="8" t="s">
        <v>708</v>
      </c>
      <c r="B1984" s="1" t="s">
        <v>709</v>
      </c>
      <c r="C1984" s="1" t="s">
        <v>0</v>
      </c>
      <c r="D1984" s="9">
        <v>248840.9</v>
      </c>
      <c r="E1984" s="9">
        <f>E1985</f>
        <v>248840.9</v>
      </c>
      <c r="F1984" s="9">
        <f t="shared" ref="F1984:H1985" si="984">F1985</f>
        <v>124420.45</v>
      </c>
      <c r="G1984" s="9">
        <f t="shared" si="984"/>
        <v>121974.2</v>
      </c>
      <c r="H1984" s="9">
        <f t="shared" si="984"/>
        <v>78219.122799999997</v>
      </c>
      <c r="I1984" s="9">
        <f t="shared" si="941"/>
        <v>31.433386874906816</v>
      </c>
      <c r="J1984" s="9">
        <f t="shared" si="942"/>
        <v>62.866773749813632</v>
      </c>
    </row>
    <row r="1985" spans="1:10">
      <c r="A1985" s="8" t="s">
        <v>26</v>
      </c>
      <c r="B1985" s="1" t="s">
        <v>709</v>
      </c>
      <c r="C1985" s="1" t="s">
        <v>27</v>
      </c>
      <c r="D1985" s="9">
        <v>248840.9</v>
      </c>
      <c r="E1985" s="9">
        <f>E1986</f>
        <v>248840.9</v>
      </c>
      <c r="F1985" s="9">
        <f t="shared" si="984"/>
        <v>124420.45</v>
      </c>
      <c r="G1985" s="9">
        <f t="shared" si="984"/>
        <v>121974.2</v>
      </c>
      <c r="H1985" s="9">
        <f t="shared" si="984"/>
        <v>78219.122799999997</v>
      </c>
      <c r="I1985" s="9">
        <f t="shared" si="941"/>
        <v>31.433386874906816</v>
      </c>
      <c r="J1985" s="9">
        <f t="shared" si="942"/>
        <v>62.866773749813632</v>
      </c>
    </row>
    <row r="1986" spans="1:10">
      <c r="A1986" s="8" t="s">
        <v>56</v>
      </c>
      <c r="B1986" s="1" t="s">
        <v>709</v>
      </c>
      <c r="C1986" s="1" t="s">
        <v>57</v>
      </c>
      <c r="D1986" s="9">
        <v>248840.9</v>
      </c>
      <c r="E1986" s="9">
        <f>ведомство!H1570</f>
        <v>248840.9</v>
      </c>
      <c r="F1986" s="9">
        <f>ведомство!I1570</f>
        <v>124420.45</v>
      </c>
      <c r="G1986" s="9">
        <f>ведомство!J1570</f>
        <v>121974.2</v>
      </c>
      <c r="H1986" s="9">
        <f>ведомство!K1570</f>
        <v>78219.122799999997</v>
      </c>
      <c r="I1986" s="9">
        <f t="shared" si="941"/>
        <v>31.433386874906816</v>
      </c>
      <c r="J1986" s="9">
        <f t="shared" si="942"/>
        <v>62.866773749813632</v>
      </c>
    </row>
    <row r="1987" spans="1:10">
      <c r="A1987" s="8"/>
      <c r="B1987" s="1"/>
      <c r="C1987" s="1"/>
      <c r="D1987" s="9"/>
      <c r="E1987" s="9"/>
      <c r="F1987" s="9"/>
      <c r="G1987" s="9"/>
      <c r="H1987" s="9"/>
      <c r="I1987" s="9"/>
      <c r="J1987" s="9"/>
    </row>
    <row r="1988" spans="1:10" ht="41.25" customHeight="1">
      <c r="A1988" s="33" t="s">
        <v>1130</v>
      </c>
      <c r="B1988" s="34" t="s">
        <v>1127</v>
      </c>
      <c r="C1988" s="1"/>
      <c r="D1988" s="24"/>
      <c r="E1988" s="24">
        <f>E1994+E1989</f>
        <v>1384.4630999999999</v>
      </c>
      <c r="F1988" s="24">
        <f t="shared" ref="F1988:H1988" si="985">F1994+F1989</f>
        <v>1384.4630999999999</v>
      </c>
      <c r="G1988" s="24">
        <f t="shared" si="985"/>
        <v>1384.4630999999999</v>
      </c>
      <c r="H1988" s="24">
        <f t="shared" si="985"/>
        <v>1384.4630999999999</v>
      </c>
      <c r="I1988" s="24">
        <f t="shared" si="941"/>
        <v>100</v>
      </c>
      <c r="J1988" s="24">
        <f t="shared" si="942"/>
        <v>100</v>
      </c>
    </row>
    <row r="1989" spans="1:10" ht="41.25" customHeight="1">
      <c r="A1989" s="8" t="s">
        <v>1144</v>
      </c>
      <c r="B1989" s="25" t="s">
        <v>1142</v>
      </c>
      <c r="C1989" s="1"/>
      <c r="D1989" s="24"/>
      <c r="E1989" s="23">
        <f>E1990</f>
        <v>664.25399999999991</v>
      </c>
      <c r="F1989" s="23">
        <f t="shared" ref="F1989:H1990" si="986">F1990</f>
        <v>664.25399999999991</v>
      </c>
      <c r="G1989" s="23">
        <f t="shared" si="986"/>
        <v>664.25399999999991</v>
      </c>
      <c r="H1989" s="23">
        <f t="shared" si="986"/>
        <v>664.25399999999991</v>
      </c>
      <c r="I1989" s="23">
        <f t="shared" si="941"/>
        <v>100</v>
      </c>
      <c r="J1989" s="23">
        <f t="shared" si="942"/>
        <v>100</v>
      </c>
    </row>
    <row r="1990" spans="1:10" ht="41.25" customHeight="1">
      <c r="A1990" s="8" t="s">
        <v>1145</v>
      </c>
      <c r="B1990" s="25" t="s">
        <v>1143</v>
      </c>
      <c r="C1990" s="1"/>
      <c r="D1990" s="24"/>
      <c r="E1990" s="23">
        <f>E1991</f>
        <v>664.25399999999991</v>
      </c>
      <c r="F1990" s="23">
        <f t="shared" si="986"/>
        <v>664.25399999999991</v>
      </c>
      <c r="G1990" s="23">
        <f t="shared" si="986"/>
        <v>664.25399999999991</v>
      </c>
      <c r="H1990" s="23">
        <f t="shared" si="986"/>
        <v>664.25399999999991</v>
      </c>
      <c r="I1990" s="23">
        <f t="shared" si="941"/>
        <v>100</v>
      </c>
      <c r="J1990" s="23">
        <f t="shared" si="942"/>
        <v>100</v>
      </c>
    </row>
    <row r="1991" spans="1:10" ht="25.5">
      <c r="A1991" s="8" t="s">
        <v>80</v>
      </c>
      <c r="B1991" s="25" t="s">
        <v>1143</v>
      </c>
      <c r="C1991" s="1">
        <v>600</v>
      </c>
      <c r="D1991" s="24"/>
      <c r="E1991" s="23">
        <f>E1992+E1993</f>
        <v>664.25399999999991</v>
      </c>
      <c r="F1991" s="23">
        <f t="shared" ref="F1991:H1991" si="987">F1992+F1993</f>
        <v>664.25399999999991</v>
      </c>
      <c r="G1991" s="23">
        <f t="shared" si="987"/>
        <v>664.25399999999991</v>
      </c>
      <c r="H1991" s="23">
        <f t="shared" si="987"/>
        <v>664.25399999999991</v>
      </c>
      <c r="I1991" s="23">
        <f t="shared" si="941"/>
        <v>100</v>
      </c>
      <c r="J1991" s="23">
        <f t="shared" si="942"/>
        <v>100</v>
      </c>
    </row>
    <row r="1992" spans="1:10">
      <c r="A1992" s="8" t="s">
        <v>271</v>
      </c>
      <c r="B1992" s="25" t="s">
        <v>1143</v>
      </c>
      <c r="C1992" s="6">
        <v>610</v>
      </c>
      <c r="D1992" s="24"/>
      <c r="E1992" s="23">
        <f>ведомство!H868</f>
        <v>159.88999999999999</v>
      </c>
      <c r="F1992" s="23">
        <f>ведомство!I868</f>
        <v>159.88999999999999</v>
      </c>
      <c r="G1992" s="23">
        <f>ведомство!J868</f>
        <v>159.88999999999999</v>
      </c>
      <c r="H1992" s="23">
        <f>ведомство!K868</f>
        <v>159.88999999999999</v>
      </c>
      <c r="I1992" s="23">
        <f t="shared" si="941"/>
        <v>100</v>
      </c>
      <c r="J1992" s="23">
        <f t="shared" si="942"/>
        <v>100</v>
      </c>
    </row>
    <row r="1993" spans="1:10">
      <c r="A1993" s="8" t="s">
        <v>82</v>
      </c>
      <c r="B1993" s="25" t="s">
        <v>1143</v>
      </c>
      <c r="C1993" s="6">
        <v>620</v>
      </c>
      <c r="D1993" s="24"/>
      <c r="E1993" s="23">
        <f>ведомство!H869</f>
        <v>504.36399999999998</v>
      </c>
      <c r="F1993" s="23">
        <f>ведомство!I869</f>
        <v>504.36399999999998</v>
      </c>
      <c r="G1993" s="23">
        <f>ведомство!J869</f>
        <v>504.36399999999998</v>
      </c>
      <c r="H1993" s="23">
        <f>ведомство!K869</f>
        <v>504.36399999999998</v>
      </c>
      <c r="I1993" s="23">
        <f t="shared" si="941"/>
        <v>100</v>
      </c>
      <c r="J1993" s="23">
        <f t="shared" si="942"/>
        <v>100</v>
      </c>
    </row>
    <row r="1994" spans="1:10" ht="89.25">
      <c r="A1994" s="28" t="s">
        <v>1131</v>
      </c>
      <c r="B1994" s="25" t="s">
        <v>1128</v>
      </c>
      <c r="C1994" s="1"/>
      <c r="D1994" s="9"/>
      <c r="E1994" s="9">
        <f>E1995</f>
        <v>720.20910000000003</v>
      </c>
      <c r="F1994" s="9">
        <f t="shared" ref="F1994:H1995" si="988">F1995</f>
        <v>720.20910000000003</v>
      </c>
      <c r="G1994" s="9">
        <f t="shared" si="988"/>
        <v>720.20910000000003</v>
      </c>
      <c r="H1994" s="9">
        <f t="shared" si="988"/>
        <v>720.20910000000003</v>
      </c>
      <c r="I1994" s="9">
        <f t="shared" si="941"/>
        <v>100</v>
      </c>
      <c r="J1994" s="9">
        <f t="shared" si="942"/>
        <v>100</v>
      </c>
    </row>
    <row r="1995" spans="1:10" ht="102">
      <c r="A1995" s="8" t="s">
        <v>1132</v>
      </c>
      <c r="B1995" s="25" t="s">
        <v>1129</v>
      </c>
      <c r="C1995" s="1"/>
      <c r="D1995" s="9"/>
      <c r="E1995" s="9">
        <f>E1996</f>
        <v>720.20910000000003</v>
      </c>
      <c r="F1995" s="9">
        <f t="shared" si="988"/>
        <v>720.20910000000003</v>
      </c>
      <c r="G1995" s="9">
        <f t="shared" si="988"/>
        <v>720.20910000000003</v>
      </c>
      <c r="H1995" s="9">
        <f t="shared" si="988"/>
        <v>720.20910000000003</v>
      </c>
      <c r="I1995" s="9">
        <f t="shared" si="941"/>
        <v>100</v>
      </c>
      <c r="J1995" s="9">
        <f t="shared" si="942"/>
        <v>100</v>
      </c>
    </row>
    <row r="1996" spans="1:10" ht="25.5">
      <c r="A1996" s="8" t="s">
        <v>80</v>
      </c>
      <c r="B1996" s="25" t="s">
        <v>1129</v>
      </c>
      <c r="C1996" s="1">
        <v>600</v>
      </c>
      <c r="D1996" s="9"/>
      <c r="E1996" s="9">
        <f>E1997+E1998</f>
        <v>720.20910000000003</v>
      </c>
      <c r="F1996" s="9">
        <f t="shared" ref="F1996:H1996" si="989">F1997+F1998</f>
        <v>720.20910000000003</v>
      </c>
      <c r="G1996" s="9">
        <f t="shared" si="989"/>
        <v>720.20910000000003</v>
      </c>
      <c r="H1996" s="9">
        <f t="shared" si="989"/>
        <v>720.20910000000003</v>
      </c>
      <c r="I1996" s="9">
        <f t="shared" si="941"/>
        <v>100</v>
      </c>
      <c r="J1996" s="9">
        <f t="shared" si="942"/>
        <v>100</v>
      </c>
    </row>
    <row r="1997" spans="1:10">
      <c r="A1997" s="8" t="s">
        <v>271</v>
      </c>
      <c r="B1997" s="25" t="s">
        <v>1129</v>
      </c>
      <c r="C1997" s="25">
        <v>610</v>
      </c>
      <c r="D1997" s="7" t="s">
        <v>0</v>
      </c>
      <c r="E1997" s="23">
        <f>ведомство!H523+ведомство!H556</f>
        <v>719.59699999999998</v>
      </c>
      <c r="F1997" s="23">
        <f>ведомство!I523+ведомство!I556</f>
        <v>719.59699999999998</v>
      </c>
      <c r="G1997" s="23">
        <f>ведомство!J523+ведомство!J556</f>
        <v>719.59699999999998</v>
      </c>
      <c r="H1997" s="23">
        <f>ведомство!K523+ведомство!K556</f>
        <v>719.59699999999998</v>
      </c>
      <c r="I1997" s="23">
        <f t="shared" si="941"/>
        <v>100</v>
      </c>
      <c r="J1997" s="23">
        <f t="shared" si="942"/>
        <v>100</v>
      </c>
    </row>
    <row r="1998" spans="1:10">
      <c r="A1998" s="26" t="s">
        <v>82</v>
      </c>
      <c r="B1998" s="25" t="s">
        <v>1129</v>
      </c>
      <c r="C1998" s="25">
        <v>620</v>
      </c>
      <c r="D1998" s="7"/>
      <c r="E1998" s="23">
        <f>ведомство!H557</f>
        <v>0.61209999999999998</v>
      </c>
      <c r="F1998" s="23">
        <f>ведомство!I557</f>
        <v>0.61209999999999998</v>
      </c>
      <c r="G1998" s="23">
        <f>ведомство!J557</f>
        <v>0.61209999999999998</v>
      </c>
      <c r="H1998" s="23">
        <f>ведомство!K557</f>
        <v>0.61209999999999998</v>
      </c>
      <c r="I1998" s="23">
        <f t="shared" si="941"/>
        <v>100</v>
      </c>
      <c r="J1998" s="23">
        <f t="shared" si="942"/>
        <v>100</v>
      </c>
    </row>
    <row r="1999" spans="1:10">
      <c r="A1999" s="4"/>
      <c r="B1999" s="17"/>
      <c r="C1999" s="5"/>
      <c r="D1999" s="7"/>
      <c r="E1999" s="7"/>
      <c r="F1999" s="7"/>
      <c r="G1999" s="7"/>
      <c r="H1999" s="7"/>
      <c r="I1999" s="7"/>
      <c r="J1999" s="7"/>
    </row>
    <row r="2000" spans="1:10" ht="63.75">
      <c r="A2000" s="4" t="s">
        <v>619</v>
      </c>
      <c r="B2000" s="5" t="s">
        <v>620</v>
      </c>
      <c r="C2000" s="5" t="s">
        <v>0</v>
      </c>
      <c r="D2000" s="7">
        <v>419627</v>
      </c>
      <c r="E2000" s="7">
        <f>E2001</f>
        <v>419627</v>
      </c>
      <c r="F2000" s="7">
        <f t="shared" ref="F2000:H2002" si="990">F2001</f>
        <v>0</v>
      </c>
      <c r="G2000" s="7">
        <f t="shared" si="990"/>
        <v>0</v>
      </c>
      <c r="H2000" s="7">
        <f t="shared" si="990"/>
        <v>0</v>
      </c>
      <c r="I2000" s="7">
        <f t="shared" si="941"/>
        <v>0</v>
      </c>
      <c r="J2000" s="7">
        <v>0</v>
      </c>
    </row>
    <row r="2001" spans="1:10" ht="63.75">
      <c r="A2001" s="8" t="s">
        <v>619</v>
      </c>
      <c r="B2001" s="1" t="s">
        <v>621</v>
      </c>
      <c r="C2001" s="1" t="s">
        <v>0</v>
      </c>
      <c r="D2001" s="9">
        <v>419627</v>
      </c>
      <c r="E2001" s="9">
        <f>E2002</f>
        <v>419627</v>
      </c>
      <c r="F2001" s="9">
        <f t="shared" si="990"/>
        <v>0</v>
      </c>
      <c r="G2001" s="9">
        <f t="shared" si="990"/>
        <v>0</v>
      </c>
      <c r="H2001" s="9">
        <f t="shared" si="990"/>
        <v>0</v>
      </c>
      <c r="I2001" s="9">
        <f t="shared" si="941"/>
        <v>0</v>
      </c>
      <c r="J2001" s="9">
        <v>0</v>
      </c>
    </row>
    <row r="2002" spans="1:10">
      <c r="A2002" s="8" t="s">
        <v>72</v>
      </c>
      <c r="B2002" s="1" t="s">
        <v>621</v>
      </c>
      <c r="C2002" s="1" t="s">
        <v>73</v>
      </c>
      <c r="D2002" s="9">
        <v>419627</v>
      </c>
      <c r="E2002" s="9">
        <f>E2003</f>
        <v>419627</v>
      </c>
      <c r="F2002" s="9">
        <f t="shared" si="990"/>
        <v>0</v>
      </c>
      <c r="G2002" s="9">
        <f t="shared" si="990"/>
        <v>0</v>
      </c>
      <c r="H2002" s="9">
        <f t="shared" si="990"/>
        <v>0</v>
      </c>
      <c r="I2002" s="9">
        <f t="shared" ref="I2002:I2005" si="991">H2002/E2002*100</f>
        <v>0</v>
      </c>
      <c r="J2002" s="9">
        <v>0</v>
      </c>
    </row>
    <row r="2003" spans="1:10">
      <c r="A2003" s="8" t="s">
        <v>369</v>
      </c>
      <c r="B2003" s="1" t="s">
        <v>621</v>
      </c>
      <c r="C2003" s="1" t="s">
        <v>370</v>
      </c>
      <c r="D2003" s="9">
        <v>419627</v>
      </c>
      <c r="E2003" s="9">
        <f>ведомство!H1403</f>
        <v>419627</v>
      </c>
      <c r="F2003" s="9">
        <f>ведомство!I1403</f>
        <v>0</v>
      </c>
      <c r="G2003" s="9">
        <f>ведомство!J1403</f>
        <v>0</v>
      </c>
      <c r="H2003" s="9">
        <f>ведомство!K1403</f>
        <v>0</v>
      </c>
      <c r="I2003" s="9">
        <f t="shared" si="991"/>
        <v>0</v>
      </c>
      <c r="J2003" s="9">
        <v>0</v>
      </c>
    </row>
    <row r="2004" spans="1:10">
      <c r="A2004" s="4" t="s">
        <v>0</v>
      </c>
      <c r="B2004" s="5" t="s">
        <v>0</v>
      </c>
      <c r="C2004" s="5" t="s">
        <v>0</v>
      </c>
      <c r="D2004" s="7" t="s">
        <v>0</v>
      </c>
      <c r="E2004" s="7" t="s">
        <v>0</v>
      </c>
      <c r="F2004" s="7"/>
      <c r="G2004" s="7"/>
      <c r="H2004" s="7"/>
      <c r="I2004" s="7"/>
      <c r="J2004" s="7"/>
    </row>
    <row r="2005" spans="1:10">
      <c r="A2005" s="4" t="s">
        <v>1102</v>
      </c>
      <c r="B2005" s="5" t="s">
        <v>0</v>
      </c>
      <c r="C2005" s="5" t="s">
        <v>0</v>
      </c>
      <c r="D2005" s="7">
        <v>67671392.5</v>
      </c>
      <c r="E2005" s="7">
        <f>E9+E1791+E1825+E1864</f>
        <v>70409311.413685024</v>
      </c>
      <c r="F2005" s="7">
        <f t="shared" ref="F2005:H2005" si="992">F9+F1791+F1825+F1864</f>
        <v>33969699.638789997</v>
      </c>
      <c r="G2005" s="7">
        <f t="shared" si="992"/>
        <v>33804940.185119994</v>
      </c>
      <c r="H2005" s="7">
        <f t="shared" si="992"/>
        <v>33119235.066390008</v>
      </c>
      <c r="I2005" s="7">
        <f t="shared" si="991"/>
        <v>47.038146519854799</v>
      </c>
      <c r="J2005" s="7">
        <f t="shared" ref="J2005" si="993">H2005/F2005*100</f>
        <v>97.496402436750301</v>
      </c>
    </row>
    <row r="2007" spans="1:10">
      <c r="E2007" s="7">
        <v>70409311.400000006</v>
      </c>
      <c r="F2007" s="7">
        <v>33969699.63899</v>
      </c>
      <c r="G2007" s="7">
        <v>33804940.187590003</v>
      </c>
      <c r="H2007" s="7">
        <v>33119235.06693</v>
      </c>
    </row>
    <row r="2008" spans="1:10">
      <c r="F2008" s="7"/>
      <c r="G2008" s="7"/>
      <c r="H2008" s="7"/>
    </row>
    <row r="2009" spans="1:10">
      <c r="F2009" s="7">
        <f>F2005-F2007</f>
        <v>-2.0000338554382324E-4</v>
      </c>
      <c r="G2009" s="7">
        <f t="shared" ref="G2009:H2009" si="994">G2005-G2007</f>
        <v>-2.4700090289115906E-3</v>
      </c>
      <c r="H2009" s="7">
        <f t="shared" si="994"/>
        <v>-5.3999200463294983E-4</v>
      </c>
    </row>
  </sheetData>
  <mergeCells count="11">
    <mergeCell ref="D6:D7"/>
    <mergeCell ref="E6:E7"/>
    <mergeCell ref="A6:A7"/>
    <mergeCell ref="B6:B7"/>
    <mergeCell ref="E1:J1"/>
    <mergeCell ref="A3:J3"/>
    <mergeCell ref="F6:F7"/>
    <mergeCell ref="G6:G7"/>
    <mergeCell ref="H6:H7"/>
    <mergeCell ref="I6:J6"/>
    <mergeCell ref="C6:C7"/>
  </mergeCells>
  <pageMargins left="1.1811023622047245" right="0.59055118110236227" top="0.78740157480314965" bottom="0.98425196850393704" header="0.31496062992125984" footer="0.31496062992125984"/>
  <pageSetup paperSize="9" scale="6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5</vt:i4>
      </vt:variant>
    </vt:vector>
  </HeadingPairs>
  <TitlesOfParts>
    <vt:vector size="8" baseType="lpstr">
      <vt:lpstr>разделы, подразделы</vt:lpstr>
      <vt:lpstr>ведомство</vt:lpstr>
      <vt:lpstr>программы</vt:lpstr>
      <vt:lpstr>ведомство!Заголовки_для_печати</vt:lpstr>
      <vt:lpstr>программы!Заголовки_для_печати</vt:lpstr>
      <vt:lpstr>'разделы, подразделы'!Заголовки_для_печати</vt:lpstr>
      <vt:lpstr>ведомство!Область_печати</vt:lpstr>
      <vt:lpstr>программы!Область_печати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2016-07-25T12:19:03Z</dcterms:modified>
</cp:coreProperties>
</file>