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1745"/>
  </bookViews>
  <sheets>
    <sheet name="Лист1" sheetId="4" r:id="rId1"/>
  </sheets>
  <definedNames>
    <definedName name="_xlnm.Print_Titles" localSheetId="0">Лист1!$4:$5</definedName>
    <definedName name="_xlnm.Print_Area" localSheetId="0">Лист1!$B$1:$R$139</definedName>
  </definedNames>
  <calcPr calcId="125725"/>
</workbook>
</file>

<file path=xl/calcChain.xml><?xml version="1.0" encoding="utf-8"?>
<calcChain xmlns="http://schemas.openxmlformats.org/spreadsheetml/2006/main">
  <c r="Q139" i="4"/>
  <c r="Q137"/>
  <c r="Q135"/>
  <c r="Q133"/>
  <c r="Q131"/>
  <c r="Q130"/>
  <c r="Q127"/>
  <c r="Q123"/>
  <c r="Q122"/>
  <c r="Q121"/>
  <c r="Q119"/>
  <c r="Q118"/>
  <c r="Q113"/>
  <c r="Q111"/>
  <c r="Q110"/>
  <c r="Q109"/>
  <c r="Q108"/>
  <c r="Q106"/>
  <c r="Q105"/>
  <c r="Q104"/>
  <c r="Q96"/>
  <c r="Q93"/>
  <c r="Q92"/>
  <c r="Q90"/>
  <c r="Q87"/>
  <c r="Q86"/>
  <c r="Q84"/>
  <c r="Q83"/>
  <c r="Q82"/>
  <c r="Q81"/>
  <c r="Q77"/>
  <c r="Q76"/>
  <c r="Q73"/>
  <c r="Q71"/>
  <c r="Q69"/>
  <c r="Q67"/>
  <c r="Q66"/>
  <c r="Q65"/>
  <c r="Q64"/>
  <c r="Q62"/>
  <c r="Q60"/>
  <c r="Q59"/>
  <c r="Q55"/>
  <c r="Q52"/>
  <c r="Q49"/>
  <c r="Q48"/>
  <c r="Q47"/>
  <c r="Q43"/>
  <c r="Q39"/>
  <c r="Q37"/>
  <c r="Q36"/>
  <c r="Q35"/>
  <c r="Q34"/>
  <c r="Q33"/>
  <c r="Q32"/>
  <c r="Q29"/>
  <c r="Q28"/>
  <c r="Q27"/>
  <c r="Q24"/>
  <c r="Q23"/>
  <c r="R23"/>
  <c r="Q22"/>
  <c r="Q20"/>
  <c r="Q19"/>
  <c r="Q16"/>
  <c r="Q15"/>
  <c r="Q14"/>
  <c r="Q13"/>
  <c r="Q11"/>
  <c r="N31" l="1"/>
  <c r="N106"/>
  <c r="M126"/>
  <c r="L126"/>
  <c r="K126"/>
  <c r="M124"/>
  <c r="L124"/>
  <c r="K124"/>
  <c r="M120"/>
  <c r="L120"/>
  <c r="K120"/>
  <c r="M117"/>
  <c r="L117"/>
  <c r="K117"/>
  <c r="M114"/>
  <c r="L114"/>
  <c r="K114"/>
  <c r="M112"/>
  <c r="L112"/>
  <c r="K112"/>
  <c r="M103"/>
  <c r="L103"/>
  <c r="L102" s="1"/>
  <c r="K103"/>
  <c r="K102" s="1"/>
  <c r="M102"/>
  <c r="M97"/>
  <c r="M91" s="1"/>
  <c r="L97"/>
  <c r="L91" s="1"/>
  <c r="K97"/>
  <c r="K91"/>
  <c r="M89"/>
  <c r="L89"/>
  <c r="K89"/>
  <c r="M85"/>
  <c r="L85"/>
  <c r="K85"/>
  <c r="Q85" s="1"/>
  <c r="M80"/>
  <c r="L80"/>
  <c r="K80"/>
  <c r="Q80" s="1"/>
  <c r="M79"/>
  <c r="L79"/>
  <c r="K79"/>
  <c r="Q79" s="1"/>
  <c r="M78"/>
  <c r="L78"/>
  <c r="K78"/>
  <c r="M75"/>
  <c r="M74" s="1"/>
  <c r="K75"/>
  <c r="K74" s="1"/>
  <c r="M72"/>
  <c r="L72"/>
  <c r="K72"/>
  <c r="M70"/>
  <c r="L70"/>
  <c r="L68" s="1"/>
  <c r="K70"/>
  <c r="Q70" s="1"/>
  <c r="M68"/>
  <c r="K68"/>
  <c r="M63"/>
  <c r="L63"/>
  <c r="K63"/>
  <c r="M61"/>
  <c r="L61"/>
  <c r="K61"/>
  <c r="M58"/>
  <c r="L58"/>
  <c r="K58"/>
  <c r="M56"/>
  <c r="L56"/>
  <c r="K56"/>
  <c r="M53"/>
  <c r="L53"/>
  <c r="L51" s="1"/>
  <c r="K53"/>
  <c r="K51" s="1"/>
  <c r="K38" s="1"/>
  <c r="M51"/>
  <c r="M40"/>
  <c r="M38" s="1"/>
  <c r="L40"/>
  <c r="K40"/>
  <c r="M31"/>
  <c r="M30" s="1"/>
  <c r="L31"/>
  <c r="L30" s="1"/>
  <c r="K31"/>
  <c r="K30" s="1"/>
  <c r="M21"/>
  <c r="L21"/>
  <c r="L17" s="1"/>
  <c r="K21"/>
  <c r="M17"/>
  <c r="K17"/>
  <c r="K8" s="1"/>
  <c r="M9"/>
  <c r="L9"/>
  <c r="K9"/>
  <c r="O53"/>
  <c r="N53"/>
  <c r="J53"/>
  <c r="N103"/>
  <c r="J103"/>
  <c r="O134"/>
  <c r="Q134" s="1"/>
  <c r="O132"/>
  <c r="Q132" s="1"/>
  <c r="O21"/>
  <c r="Q21" s="1"/>
  <c r="N21"/>
  <c r="N70"/>
  <c r="J70"/>
  <c r="J21"/>
  <c r="O31"/>
  <c r="J31"/>
  <c r="O58"/>
  <c r="N58"/>
  <c r="J58"/>
  <c r="M8" l="1"/>
  <c r="Q31"/>
  <c r="L8"/>
  <c r="Q58"/>
  <c r="L75"/>
  <c r="L74" s="1"/>
  <c r="Q53"/>
  <c r="L38"/>
  <c r="N85"/>
  <c r="N80"/>
  <c r="N79"/>
  <c r="O61"/>
  <c r="Q61" s="1"/>
  <c r="N61"/>
  <c r="O26"/>
  <c r="Q26" s="1"/>
  <c r="N26"/>
  <c r="N134"/>
  <c r="O97"/>
  <c r="Q97" s="1"/>
  <c r="N97"/>
  <c r="N132"/>
  <c r="J85"/>
  <c r="J79"/>
  <c r="O103"/>
  <c r="Q103" s="1"/>
  <c r="O50"/>
  <c r="Q50" s="1"/>
  <c r="N50"/>
  <c r="O18" l="1"/>
  <c r="Q18" s="1"/>
  <c r="N18"/>
  <c r="O57"/>
  <c r="Q57" s="1"/>
  <c r="O138"/>
  <c r="O136"/>
  <c r="O129"/>
  <c r="O126"/>
  <c r="Q126" s="1"/>
  <c r="O124"/>
  <c r="Q124" s="1"/>
  <c r="O120"/>
  <c r="Q120" s="1"/>
  <c r="O117"/>
  <c r="Q117" s="1"/>
  <c r="O114"/>
  <c r="O112"/>
  <c r="Q112" s="1"/>
  <c r="O102"/>
  <c r="Q102" s="1"/>
  <c r="O91"/>
  <c r="Q91" s="1"/>
  <c r="O89"/>
  <c r="Q89" s="1"/>
  <c r="O78"/>
  <c r="Q78" s="1"/>
  <c r="O72"/>
  <c r="Q72" s="1"/>
  <c r="O68"/>
  <c r="Q68" s="1"/>
  <c r="O63"/>
  <c r="Q63" s="1"/>
  <c r="O54"/>
  <c r="Q54" s="1"/>
  <c r="O46"/>
  <c r="Q46" s="1"/>
  <c r="O45"/>
  <c r="Q45" s="1"/>
  <c r="O44"/>
  <c r="Q44" s="1"/>
  <c r="O42"/>
  <c r="Q42" s="1"/>
  <c r="O41"/>
  <c r="O30"/>
  <c r="Q30" s="1"/>
  <c r="O25"/>
  <c r="Q25" s="1"/>
  <c r="O12"/>
  <c r="N30"/>
  <c r="J30"/>
  <c r="R32"/>
  <c r="P32"/>
  <c r="R31"/>
  <c r="P31"/>
  <c r="M138"/>
  <c r="M7" s="1"/>
  <c r="M136"/>
  <c r="M129"/>
  <c r="N44"/>
  <c r="N41"/>
  <c r="N45"/>
  <c r="O40" l="1"/>
  <c r="Q40" s="1"/>
  <c r="Q41"/>
  <c r="O9"/>
  <c r="Q9" s="1"/>
  <c r="Q12"/>
  <c r="O56"/>
  <c r="Q56" s="1"/>
  <c r="Q138"/>
  <c r="O17"/>
  <c r="Q17" s="1"/>
  <c r="O75"/>
  <c r="Q75" s="1"/>
  <c r="O51"/>
  <c r="Q51" s="1"/>
  <c r="O8"/>
  <c r="Q8" s="1"/>
  <c r="N129"/>
  <c r="N120"/>
  <c r="N112"/>
  <c r="N102"/>
  <c r="N91"/>
  <c r="N72"/>
  <c r="N68"/>
  <c r="N63"/>
  <c r="N56"/>
  <c r="R22"/>
  <c r="R27"/>
  <c r="R37"/>
  <c r="P50"/>
  <c r="P49"/>
  <c r="P48"/>
  <c r="R48"/>
  <c r="R50"/>
  <c r="R49"/>
  <c r="R59"/>
  <c r="R86"/>
  <c r="R90"/>
  <c r="R89"/>
  <c r="R88"/>
  <c r="R87"/>
  <c r="R92"/>
  <c r="R96"/>
  <c r="R97"/>
  <c r="R120"/>
  <c r="R122"/>
  <c r="R121"/>
  <c r="R109"/>
  <c r="R108"/>
  <c r="R110"/>
  <c r="P110"/>
  <c r="N124"/>
  <c r="N126"/>
  <c r="R135"/>
  <c r="P135"/>
  <c r="R134"/>
  <c r="P134"/>
  <c r="R133"/>
  <c r="P133"/>
  <c r="R132"/>
  <c r="P132"/>
  <c r="L138"/>
  <c r="K138"/>
  <c r="L136"/>
  <c r="K136"/>
  <c r="Q136" s="1"/>
  <c r="L129"/>
  <c r="K129"/>
  <c r="J129"/>
  <c r="R137"/>
  <c r="P137"/>
  <c r="R136"/>
  <c r="P136"/>
  <c r="N136"/>
  <c r="J136"/>
  <c r="J126"/>
  <c r="J124"/>
  <c r="R125"/>
  <c r="P125"/>
  <c r="R124"/>
  <c r="P124"/>
  <c r="R127"/>
  <c r="P127"/>
  <c r="R126"/>
  <c r="P126"/>
  <c r="J40"/>
  <c r="R36"/>
  <c r="P36"/>
  <c r="R35"/>
  <c r="P35"/>
  <c r="L7" l="1"/>
  <c r="K7"/>
  <c r="Q129"/>
  <c r="O74"/>
  <c r="O38"/>
  <c r="Q38" s="1"/>
  <c r="R8"/>
  <c r="R74" l="1"/>
  <c r="Q74"/>
  <c r="O7"/>
  <c r="J120"/>
  <c r="P122"/>
  <c r="P123"/>
  <c r="R123"/>
  <c r="R7" l="1"/>
  <c r="Q7"/>
  <c r="J97"/>
  <c r="J91" s="1"/>
  <c r="P37"/>
  <c r="R29"/>
  <c r="P29"/>
  <c r="R28"/>
  <c r="P28"/>
  <c r="N12"/>
  <c r="N9" s="1"/>
  <c r="N25"/>
  <c r="N17" s="1"/>
  <c r="J117"/>
  <c r="J114"/>
  <c r="J112"/>
  <c r="J102"/>
  <c r="J89"/>
  <c r="J80"/>
  <c r="J78"/>
  <c r="J72"/>
  <c r="J68"/>
  <c r="J63"/>
  <c r="J61"/>
  <c r="J56"/>
  <c r="J51"/>
  <c r="J9"/>
  <c r="N8" l="1"/>
  <c r="J17"/>
  <c r="J8" s="1"/>
  <c r="J75"/>
  <c r="J74" s="1"/>
  <c r="J38"/>
  <c r="J138" l="1"/>
  <c r="J7" s="1"/>
  <c r="N54"/>
  <c r="N51" s="1"/>
  <c r="N46" l="1"/>
  <c r="P88" l="1"/>
  <c r="P87"/>
  <c r="P86"/>
  <c r="R47"/>
  <c r="P47"/>
  <c r="P27"/>
  <c r="R26"/>
  <c r="P26"/>
  <c r="R25"/>
  <c r="P25"/>
  <c r="N78" l="1"/>
  <c r="N89"/>
  <c r="N74" s="1"/>
  <c r="P24" l="1"/>
  <c r="R24"/>
  <c r="P121"/>
  <c r="P120" l="1"/>
  <c r="N42"/>
  <c r="N40" s="1"/>
  <c r="N38" s="1"/>
  <c r="R111"/>
  <c r="P111"/>
  <c r="R62"/>
  <c r="P62"/>
  <c r="R106" l="1"/>
  <c r="P106"/>
  <c r="N138"/>
  <c r="N117"/>
  <c r="R139"/>
  <c r="P139"/>
  <c r="R131"/>
  <c r="P131"/>
  <c r="R130"/>
  <c r="P130"/>
  <c r="R119"/>
  <c r="P119"/>
  <c r="R118"/>
  <c r="P118"/>
  <c r="P138"/>
  <c r="P117"/>
  <c r="R117" l="1"/>
  <c r="P129"/>
  <c r="R129"/>
  <c r="R138"/>
  <c r="R71"/>
  <c r="P71"/>
  <c r="R70"/>
  <c r="P70"/>
  <c r="P73"/>
  <c r="R73"/>
  <c r="R67"/>
  <c r="P67"/>
  <c r="R66"/>
  <c r="P66"/>
  <c r="R61"/>
  <c r="P61"/>
  <c r="R55"/>
  <c r="P55"/>
  <c r="R34"/>
  <c r="P34"/>
  <c r="R33"/>
  <c r="P33"/>
  <c r="R16"/>
  <c r="P16"/>
  <c r="R15"/>
  <c r="P15"/>
  <c r="R72" l="1"/>
  <c r="R30"/>
  <c r="P30"/>
  <c r="P72"/>
  <c r="P104" l="1"/>
  <c r="P46"/>
  <c r="P41"/>
  <c r="P116"/>
  <c r="P115"/>
  <c r="R113"/>
  <c r="P113"/>
  <c r="P108"/>
  <c r="R107"/>
  <c r="P107"/>
  <c r="R104"/>
  <c r="R103"/>
  <c r="P103"/>
  <c r="P97"/>
  <c r="P96"/>
  <c r="R95"/>
  <c r="P95"/>
  <c r="R94"/>
  <c r="P94"/>
  <c r="R93"/>
  <c r="P93"/>
  <c r="P92"/>
  <c r="R85"/>
  <c r="P85"/>
  <c r="R83"/>
  <c r="P83"/>
  <c r="R82"/>
  <c r="P82"/>
  <c r="R81"/>
  <c r="P81"/>
  <c r="R80"/>
  <c r="P80"/>
  <c r="R79"/>
  <c r="P79"/>
  <c r="P78"/>
  <c r="R76"/>
  <c r="P76"/>
  <c r="P69"/>
  <c r="R65"/>
  <c r="P65"/>
  <c r="R64"/>
  <c r="P64"/>
  <c r="P60"/>
  <c r="P59"/>
  <c r="R57"/>
  <c r="P57"/>
  <c r="R54"/>
  <c r="P54"/>
  <c r="R53"/>
  <c r="P53"/>
  <c r="R52"/>
  <c r="P52"/>
  <c r="R46"/>
  <c r="R45"/>
  <c r="P45"/>
  <c r="R44"/>
  <c r="P44"/>
  <c r="R43"/>
  <c r="P43"/>
  <c r="R42"/>
  <c r="P42"/>
  <c r="R41"/>
  <c r="R39"/>
  <c r="P39"/>
  <c r="P22"/>
  <c r="P21"/>
  <c r="R19"/>
  <c r="P19"/>
  <c r="R18"/>
  <c r="P18"/>
  <c r="R13"/>
  <c r="P13"/>
  <c r="R12"/>
  <c r="P12"/>
  <c r="R11"/>
  <c r="P11"/>
  <c r="R69" l="1"/>
  <c r="R68"/>
  <c r="R75"/>
  <c r="P75"/>
  <c r="R21"/>
  <c r="R60"/>
  <c r="R78"/>
  <c r="N114"/>
  <c r="N7" s="1"/>
  <c r="R102"/>
  <c r="R63"/>
  <c r="R58"/>
  <c r="R51"/>
  <c r="P102"/>
  <c r="R17" l="1"/>
  <c r="R40"/>
  <c r="R56"/>
  <c r="P56"/>
  <c r="P114"/>
  <c r="P91"/>
  <c r="R91"/>
  <c r="R112"/>
  <c r="P112"/>
  <c r="P68"/>
  <c r="P63"/>
  <c r="P58"/>
  <c r="P51"/>
  <c r="P17"/>
  <c r="P8"/>
  <c r="P9"/>
  <c r="R9"/>
  <c r="P40"/>
  <c r="P74"/>
  <c r="R38" l="1"/>
  <c r="P38"/>
  <c r="P7"/>
  <c r="A7"/>
  <c r="E7"/>
  <c r="D7"/>
  <c r="C7"/>
  <c r="B7"/>
</calcChain>
</file>

<file path=xl/sharedStrings.xml><?xml version="1.0" encoding="utf-8"?>
<sst xmlns="http://schemas.openxmlformats.org/spreadsheetml/2006/main" count="470" uniqueCount="214">
  <si>
    <t>2. Предоставление доступного и комфортного жилья 60 процентам семей, проживающих в Архангельской области и желающих улучшить свои жилищные условия, в том числе:</t>
  </si>
  <si>
    <t>Ввод в 2015 году</t>
  </si>
  <si>
    <t>1.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инфраструктуры, в том числе:</t>
  </si>
  <si>
    <t>I. 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(2014 - 2020 годы)"</t>
  </si>
  <si>
    <t>II. Государственная программа Архангельской области "Развитие образования и науки Архангельской области (2013 - 2018 годы)"</t>
  </si>
  <si>
    <t>III. Государственная программа Архангельской области "Культура Русского Севера (2013 - 2020 годы)"</t>
  </si>
  <si>
    <t>IV. Государственная программа Архангельской области "Охрана окружающей среды, воспроизводство и использование природных ресурсов Архангельской области (2014 - 2020 годы)"</t>
  </si>
  <si>
    <t>V. Государственная программа Архангельской области "Устойчивое развитие сельских территорий Архангельской области (2014 - 2017 годы)"</t>
  </si>
  <si>
    <t>VI. Государственная программа Архангельской области "Развитие здравоохранения Архангельской области (2013 - 2020 годы)"</t>
  </si>
  <si>
    <t>VII. Программа модернизации здравоохранения Архангельской области на 2011 - 2016 годы</t>
  </si>
  <si>
    <t>Всего объектов</t>
  </si>
  <si>
    <t>Переходящие с 2014 года</t>
  </si>
  <si>
    <t>Привлечение ФБ</t>
  </si>
  <si>
    <t>VIII. Государственная программа Архангельской области "Развитие транспортной системы Архангельской области (2014 - 2020 годы)"</t>
  </si>
  <si>
    <t>IX. Государственная программа Архангельской области "Развитие инфраструктуры Соловецкого архипелага (2014 - 2019 годы)"</t>
  </si>
  <si>
    <t>X. 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</si>
  <si>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XI. Адресная программа Архангельской области "Переселение граждан из аварийного жилищного фонда" на 2013 - 2017 годы</t>
  </si>
  <si>
    <t>XII. Ведомственная целевая программа Архангельской области «Выполнение мероприятий по развитию социальной и инженерной инфраструктуры ЗАТО Мирный в рамках федеральной целевой программы «Развитие российских космодромов на 2006-2015 годы»</t>
  </si>
  <si>
    <t>Всего объектов в 2015 году</t>
  </si>
  <si>
    <t>Перечень объектов</t>
  </si>
  <si>
    <t>1) Няндомский муниципальный район</t>
  </si>
  <si>
    <t>4) Каргопольский муниципальный район</t>
  </si>
  <si>
    <t>1) Насосная станция 3 подъема водопровода у Южной котельной г. Котласа</t>
  </si>
  <si>
    <t>3) 115-квартирный жилой дом в квартале «Ж» г. Новодвинска</t>
  </si>
  <si>
    <t>1. Строительство автогородков на территории Архангельской области</t>
  </si>
  <si>
    <t>2. Муниципальные дошкольные образовательные организации Архангельской области, в том числе:</t>
  </si>
  <si>
    <t>1) Строительство детского сада на 220 мест в с. Яренск Ленского района</t>
  </si>
  <si>
    <t>2) Строительство детского сада на 120 мест в г. Вельске</t>
  </si>
  <si>
    <t>3) Строительство детского сада на 220 мест по ул. Портовиков в г. Котласе</t>
  </si>
  <si>
    <t>5) Строительство детского сада на 280 мест в г. Новодвинске</t>
  </si>
  <si>
    <t>6) Строительство школы-сада в правобережной части г. Каргополя по ул. Чеснокова, 12б (100/100)</t>
  </si>
  <si>
    <t>3. Организации общего, основного общего и среднего общего образования Архангельской области</t>
  </si>
  <si>
    <t>2) Строительство школы на 860 мест в пос. Урдома Ленского района</t>
  </si>
  <si>
    <t>3) Строительство детской школы искусств на 350 учащихся в г. Няндоме</t>
  </si>
  <si>
    <t>1. Канализационные очистные сооружения на 700 куб. м в сутки и главный коллектор в г. Каргополе Архангельской области</t>
  </si>
  <si>
    <t>2. Реконструкция и восстановление причальных берегоукрепительных сооружений, служащих защитой г. Архангельска от паводка. Причалы N 101 - 109, г. Архангельск, Набережная Северной Двины, Красная Пристань</t>
  </si>
  <si>
    <t>1. Строительство школы на 132 места Горковской средней школы в дер. Согра Верхнетоемского района</t>
  </si>
  <si>
    <t>2. Строительство школы в д. Погост Вельского района</t>
  </si>
  <si>
    <t>2. Строительство  автомобильной дороги Архангельск (от дер. Рикасиха) - Онега на участке Тамица - Кянда (в том числе разработка проектной документации)</t>
  </si>
  <si>
    <t>6. Строительство автомобильной дороги Подъезд к дер. Боярская от автомобильной дороги Ломоносово - Ровдино</t>
  </si>
  <si>
    <t>7. Строительство автомобильной дороги Карпогоры - Веегора - Лешуконское на участке Чешегоры - Широкое</t>
  </si>
  <si>
    <t>8. Строительство мостового перехода через реку Мысовая на км 92 + 991 автомобильной дороги Карпогоры - Сосновка - Нюхча - граница с Республикой Коми</t>
  </si>
  <si>
    <t>1. Строительство и реконструкция системы водоснабжения поселка Соловецкий</t>
  </si>
  <si>
    <t>2. Строительство канализационных сетей и коллекторов, канализационных очистных сооружений поселка Соловецкий</t>
  </si>
  <si>
    <t>3. Строительство комплекса по переработке и размещению отходов производства и потребления в поселке Соловецкий</t>
  </si>
  <si>
    <t>4. Реконструкция причального комплекса "Тамарин" в поселке Соловецкий</t>
  </si>
  <si>
    <t>8. Проектирование и реконструкция высвобождаемого старого здания школы под размещение муниципального Дома культуры и областной музыкальной школы поселка Соловецкий</t>
  </si>
  <si>
    <t>9. Проектирование и реконструкция высвобождаемого старого здания детского сада под размещение администрации муниципального образования "Сельское поселение Соловецкое"</t>
  </si>
  <si>
    <t>1. Строительство стадиона МОУ ДОД ДЮСШ № 6 в г. Архангельске</t>
  </si>
  <si>
    <t>2. Строительство крытого катка с искусственным льдом ФОК "Звездочка" г.Северодвинск Архангельская область</t>
  </si>
  <si>
    <t>3. Строительство участка автодороги д. Кононовская - д. Малиновка длинной 2,215 км в Устьянском районе</t>
  </si>
  <si>
    <t>7. Строительство автомобильной дороги по проезду Сибиряковцев в обход областной больницы г. Архангельска (протяженностью 720 метров)</t>
  </si>
  <si>
    <t>1. 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</si>
  <si>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1. Реконструкция зданий жилищного фонда (устройство вентилируемых фасадов многоквартирных домов) в г. Мирный Архангельской области, в том числе по планируемым торгам</t>
  </si>
  <si>
    <t>2. Реконструкция городских автомобильных дорог (ул. Неделина, ул. Гагарина, ул. Ломоносова, ул. Мира, ул. Степанченко) в г. Мирный Архангельской области</t>
  </si>
  <si>
    <t>1. Перинатальный центр на 130 коек в                               г. Архангельске</t>
  </si>
  <si>
    <t>Доведено финансирование министерством финансов Архангельской области до главного распорядителя средств областного бюджета</t>
  </si>
  <si>
    <t>тыс.рублей</t>
  </si>
  <si>
    <t>к уточненной сводной бюджетной росписи</t>
  </si>
  <si>
    <t>6. Разработка проектной документации на строительство мостового перехода через реку Устья на км 141 + 235 автомобильной дороги Шангалы - Квазеньга - Кизема</t>
  </si>
  <si>
    <t>1. Строительство мостового перехода через реку Олма на автомобильной дороге Архангельск – Белогорский - Пинега - Кимжа - Мезень</t>
  </si>
  <si>
    <t>2. Реконструкция автомобильной дороги Ильинск - Вилегодск, км 11- км 25</t>
  </si>
  <si>
    <t>4. Строительство  мостового перехода через реку Устья на автомобильной дороге Октябрьский – Мягкославская (Некрасово)  с подъездом к дер. Мягкославская (в том числе разработка проектной документации)</t>
  </si>
  <si>
    <t>5. Строительство мостового перехода через реку Устья на км 78 + 350 автомобильной дороги Вельск - Шангалы (в том числе разработка проектной документации)</t>
  </si>
  <si>
    <t>2) Напорный канализационный коллектор в г.Онеге</t>
  </si>
  <si>
    <t>3.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 (включая услуги по охране объектов), а также создание условий для формирования рынка доступного арендного жилья:</t>
  </si>
  <si>
    <t>3. Укрепление правого берега р.Северная Двина в Соломбальском территориальном округе г.Архангельска на участке от ул.Маяковского до ул. Кедрова</t>
  </si>
  <si>
    <t>2. Проектирование, сбор исходно-разрешительной документации, корректировка, экспертиза и строительство областной больницы в 62-А квартале г. Архангельска</t>
  </si>
  <si>
    <t>3. Проектирование объекта "Лечебно-диагностический корпус государственного учреждения здравоохранения "Архангельская областная детская клиническая больница им. П.Г. Выжлецова"</t>
  </si>
  <si>
    <t>Заказчик: ГКУ АО "Дорожное агентство "Архангельскавтодор"</t>
  </si>
  <si>
    <t>5. Проектирование и строительство несамоходного стоечного судна с административно-хозяйственными и жилыми помещениями</t>
  </si>
  <si>
    <t>6. Реконструкция здания Дома культуры поселка Соловецкий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</si>
  <si>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федерапльного бюджета на поддержку мер по обеспечению сбалансированности бюджетов субъектов Российской Федерации</t>
  </si>
  <si>
    <t>ГП АО "Развитие образования и науки Архангельской области (2013 - 2018 годы)"</t>
  </si>
  <si>
    <t>1. Реконструкция здания детского дома под детский сад в г. Онега</t>
  </si>
  <si>
    <t>2. Строителство детского сада на 45 мест в дер. Васильевская Холмогорского района</t>
  </si>
  <si>
    <t>Государственная программа Архангельской области "Развитие здравоохранения Архангельской области (2013 - 2020 годы)"</t>
  </si>
  <si>
    <t>1.  Реконструкция объекта "Областной онкологический диспансер г. Архангельска" (в том числе приобретение оборудования)</t>
  </si>
  <si>
    <t>3) Приобретение на первичном рынке (строительство) жилых помещений для переселения граждан из жилого дома, расположенного по адресу: пос. Обозерский, ул. Северная, д. 37</t>
  </si>
  <si>
    <t>4. Берегоукрепление участка рукава Быстрокурки реки Северная Двина в с.Холмогоры Архангельской области</t>
  </si>
  <si>
    <t>4. Строительство плоскостного спортивного сооружения (мини-футбольного поля) в дер. Куимиха Котласского муниципального района</t>
  </si>
  <si>
    <t>Реконструкция тепловых сетей котельной Ровдинского детского дома</t>
  </si>
  <si>
    <t>администрация МО "Онежский муниципальный район"</t>
  </si>
  <si>
    <t>министерство промышленности и строительства Архангельской области</t>
  </si>
  <si>
    <t>администрация МО "Холмогорский муниципальный район"</t>
  </si>
  <si>
    <t>государственное бюджетное учреждение Архангельской области "Главное управление капитального строительства"</t>
  </si>
  <si>
    <t>администрация муниципального образования "Няндомский муниципальный район"</t>
  </si>
  <si>
    <t>коммунальное хозяйство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</si>
  <si>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</si>
  <si>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"Котлас"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</si>
  <si>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</si>
  <si>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"Мезенский муниципальный район"</t>
  </si>
  <si>
    <t>администрация муниципального образования "Устьянский муниципальный район"</t>
  </si>
  <si>
    <t>администрация муниципального образования "Город Новодвинск"</t>
  </si>
  <si>
    <t>жилищное хозяйство</t>
  </si>
  <si>
    <t>администрация муниципального образования "Плесецкий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</si>
  <si>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</si>
  <si>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"Онежский муниципальный район"</t>
  </si>
  <si>
    <t>администрация муниципального образования "Пинежский муниципальный район"</t>
  </si>
  <si>
    <t>администрации муниципальных образований</t>
  </si>
  <si>
    <t>министерство образования и науки Архангельской области</t>
  </si>
  <si>
    <t>общее образование</t>
  </si>
  <si>
    <t>администрация муниципального образования "Ленский муниципальный район"</t>
  </si>
  <si>
    <t>дошкольное образование</t>
  </si>
  <si>
    <t>администрация муниципального образования "Вельский муниципальный район"</t>
  </si>
  <si>
    <t>администрация муниципального образования "Виноградовский муниципальный район"</t>
  </si>
  <si>
    <t>среднее профессиональное образование</t>
  </si>
  <si>
    <t>администрация муниципального образования "Коношский муниципальный район"</t>
  </si>
  <si>
    <t>культура</t>
  </si>
  <si>
    <t>водное хозяйство</t>
  </si>
  <si>
    <t>администрация муниципального образования "Верхнетоемский муниципальный район"</t>
  </si>
  <si>
    <t xml:space="preserve">администрация муниципального образования "Вельский муниципальный район" </t>
  </si>
  <si>
    <t>амбулаторная помощь</t>
  </si>
  <si>
    <t>администрация муниципального образования "Котласский муниципальный район"</t>
  </si>
  <si>
    <t>массовый спорт</t>
  </si>
  <si>
    <t>стационарная медицинская помощь</t>
  </si>
  <si>
    <t>государственная корпорация по содействию разработке, производству и экспорту высокотехнологичной промышленной продукции «Ростех»</t>
  </si>
  <si>
    <t>государтсвенное казенное учреждение Архангельской области "Дорожное агентство "Архангельскавтодор"</t>
  </si>
  <si>
    <t>агентство по транспорту Архангельской области</t>
  </si>
  <si>
    <t>дорожное хозяйство</t>
  </si>
  <si>
    <t>транспорт</t>
  </si>
  <si>
    <t>администрация муниципального образования "Приморский муниципальный район"</t>
  </si>
  <si>
    <t>агентство по развитию Соловецкого архипелага Архангельской области</t>
  </si>
  <si>
    <t>государственное бюджетное учреждение Архангельской области"Дирекция по развитию Соловецкого архипелага"</t>
  </si>
  <si>
    <t>другие общегосударственные вопросы</t>
  </si>
  <si>
    <t>другие вопросы в области жилищно-коммунального хозяйства</t>
  </si>
  <si>
    <t>администрация муниципального образования "Северодвинск"</t>
  </si>
  <si>
    <t>Администрации муниципальных образований</t>
  </si>
  <si>
    <t>министерство топливно-энергетического комплекса и жилищно-коммунального строительства Архангельской области</t>
  </si>
  <si>
    <t>администрация муниципального образования "Мирный"</t>
  </si>
  <si>
    <t>национальная безопасность</t>
  </si>
  <si>
    <t>Администрация муниципального образования "Шенкурский муниципальный район"</t>
  </si>
  <si>
    <t>министерство топливно-энергетического комплекса и жилищно-коммунального хозяйства Архангельской области</t>
  </si>
  <si>
    <t>Заказчик</t>
  </si>
  <si>
    <t>Главный распорядитель бюджетных средств</t>
  </si>
  <si>
    <t>Отрасль 
(сфера деятельности)</t>
  </si>
  <si>
    <t>1. Проектирование, корректировка проектной документации, проведение государственной экспертизы и завершение строительства объекта «Поликлиника на 375 посещений в смену в                      п. Плесецк Архангельской области»</t>
  </si>
  <si>
    <t>1. Пристройка сценическо-зрительного комплекса к основному зданию и реконструкция существующего здания Архангельского областного театра кукол по адресу: г.Архангельск,                                                       просп. Троицкий, д.5</t>
  </si>
  <si>
    <t>администрация муниципального образования "Лешуконский муниципальный район"</t>
  </si>
  <si>
    <t>6. Строительство мостового перехода через реку Мысовая на км 92 + 991 автомобильной дороги Карпогоры - Сосновка - Нюхча - граница с Республикой Коми</t>
  </si>
  <si>
    <t>8. Реконструкция автомобильной дороги Архангельск (от по. Брин-Наволок)  - Каргополь - Вытегра (до с. Прокшино) на участке Сухое - Самодед (проект планировки территории и проект межевания)</t>
  </si>
  <si>
    <t>9. Строительство (приобретение) речных судов для осуществления грузопассажирских (пассажирских) перевозок на территории Архангельской области</t>
  </si>
  <si>
    <t>3. Спортивный центр с универсальным игровым залом и плавательным бассейном</t>
  </si>
  <si>
    <t>4. Строительство автомобильной дороги по проезду Сибиряковцев в обход областной больницы г. Архангельска (протяженностью 720 метров)</t>
  </si>
  <si>
    <t>4. Разработка генеральных планов и правил землепользования и координатное описание границ Архангельской области и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</si>
  <si>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>другие вопросы в области национальной экономики</t>
  </si>
  <si>
    <t xml:space="preserve">ОТЧЕТ ОБ ИСПОЛНЕНИИ ОБЛАСТНОЙ АДРЕСНОЙ ИНВЕСТИЦИОННОЙ ПРОГРАММЫ ЗА 2015 ГОД </t>
  </si>
  <si>
    <t>Уточненная сводная бюджетная роспись на 2015 год по состоянию на 31.12.2015</t>
  </si>
  <si>
    <t>Исполнение года, в процентах</t>
  </si>
  <si>
    <t>4) обеспечение земельных участков инженерной инфраструктурой для строительства многоквартирных домов в VI - VII жилом районе (магистральные сети) (проектирование и строительство, выполнение кадастровых работ)</t>
  </si>
  <si>
    <t>5) реконструкция водопроводных очистных сооружений в пос. Сия Пинежского района Архангельской области</t>
  </si>
  <si>
    <t>6) Компенсация затрат федерального бюджета по обеспечению жильем для отдельных категорий граждан, установленных Федеральным законом  от 12 января 1995 года №5-ФЗ «О ветеранах», в соответствии с Указом Президента Российской Федерации от 07 мая 2008 года №714 «Об обеспечении жильем ветеранов Великой Отечественной войны 1941 – 1945 годов» за счет средств областного бюджета</t>
  </si>
  <si>
    <t>7) строительство инженерных сетей 157 квартала г. Каргополя</t>
  </si>
  <si>
    <t>8) приобретение (строительство) жилых помещений для граждан, лишившихся жилья в результате пожара в с. Лешуконское (6 квартир)</t>
  </si>
  <si>
    <t>9) строительство "под ключ" жилья для граждан, лишившихся жилых помещений в результате пожара</t>
  </si>
  <si>
    <t>10) обеспечение объектами инженерной инфраструктуры земельных участков, предоставляемых под строительство домов для расселения ветхого и аварийного жилья в г. Архангельск</t>
  </si>
  <si>
    <t>11) модернизация водопроводной сети в с. Красноборск Архангельской области</t>
  </si>
  <si>
    <t>5. Корректировка проекта, экспертиза и строительство объекта "Лыжероллерная трасса на лыжном стадионе в деревне Малые Карелы"</t>
  </si>
  <si>
    <t>7. Проектирование и строительство лыжно-спортивного комплекса "Малые Карелы" с сервисным центром на 24 команды (в том числе погашение кредиторской задолженности)</t>
  </si>
  <si>
    <t>Строительство газораспределительных сетей, газификация жилых домов в г. Котлас</t>
  </si>
  <si>
    <t>Администрация муниципального образования "Котлас"</t>
  </si>
  <si>
    <t xml:space="preserve">газовая промышлен-ность </t>
  </si>
  <si>
    <t>XIV. 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(2014 - 2018 годы)"</t>
  </si>
  <si>
    <t>Проектирование и строительство здания специального учреждения УФМС                                                                                                                                                                                    в г. Архангельске</t>
  </si>
  <si>
    <t>XV. Государственная программа Архангельской области "Эффективное государственное управление в Архангельской области (2014 - 2018 годы)"</t>
  </si>
  <si>
    <t>Приобретение административного здания для размещения отделения МФЦ по Соломбальскому, Маймаксанскому и Северному округу г.Архангельска</t>
  </si>
  <si>
    <t>государственное автономное учреждение Архангельской области "Архангельский региональный многофункциональный центр предоставления государственных и муниципальных услуг"</t>
  </si>
  <si>
    <t>администрация Губернатора Архангельской области и Правительства Архангельской области</t>
  </si>
  <si>
    <t>другие общегосударст-венные  вопросы</t>
  </si>
  <si>
    <t>3) строительство школы-сада в правобережной части г. Каргополя по ул. Чеснокова, 12б (100/100)</t>
  </si>
  <si>
    <t xml:space="preserve">5) приобретение детского сада на 60 мест в п. Пежма Вельского района </t>
  </si>
  <si>
    <t>6) Строительство детского сада на 120 мест в пос. Катунино Приморского района</t>
  </si>
  <si>
    <t xml:space="preserve">1) Красноборский муниципальный район (Черевково) </t>
  </si>
  <si>
    <t>2) Город Котлас</t>
  </si>
  <si>
    <t>3) Мезенский муниципальный район, г. Мезень, ул. Вараксина</t>
  </si>
  <si>
    <t>4) Устьянский муниципальный район, муниципальное образование "Октябрьское, пос. Октябрьский", мкр. Сосенки-4, Кедровый-2</t>
  </si>
  <si>
    <t>XIII. Государственная программа Архангельской области "Развитие энергетики, связи и жилищно-коммунального хозяйства Архангельской области (2014 - 2020 годы)"</t>
  </si>
  <si>
    <t>XII. 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 (2014 - 2017 годы)"</t>
  </si>
  <si>
    <t>1) приобретение 6 жилых помещений в муниципалльном образовании "Лешуконский муниципальный район", с. Лешуконское</t>
  </si>
  <si>
    <t>2) приобретение 6 жилых помещений в муниципалльном образовании "Лешуконский муниципальный район", с. Лешуконское</t>
  </si>
  <si>
    <t>3) приобретение 3-х жилых помещений в 12-ти квартирном жилом доме в п. Октябрьский Устьянского муниципального района</t>
  </si>
  <si>
    <t>4) приобретение 21 жилого помещения в муниципальном образовании "Котлас"</t>
  </si>
  <si>
    <t>5) приобретение 3 жилых помещений в пос. Зеленник Верхнетоемского района</t>
  </si>
  <si>
    <t>6) приобретение 12 жилых помещений в МО "Виноградовский муниципальный район", пос. Березник</t>
  </si>
  <si>
    <t>7. Строительство автомобильной дороги Подъезд к дер. Боярская от автомобильной дороги Ломоносово - Ровдино (проект планировки территории и проект межевания)</t>
  </si>
  <si>
    <t>3. Строительство автомобильной дороги Котлас - Коряжма, км 0 - км 41 (в том числе разработка проектной документации)</t>
  </si>
  <si>
    <t xml:space="preserve">Утверждено постановлением  Правительства        Архангельской    области  от 22.01.2015                   № 13-пп                                                                                                                                         </t>
  </si>
  <si>
    <t>министерство  строительства и архитектуры Архангельской области</t>
  </si>
  <si>
    <t>министерство  транспорта Архангельской области</t>
  </si>
  <si>
    <t xml:space="preserve">Утверждено                                                           (в ред. 18.12.2015                            № 385-22-ОЗ)                                                                                                                                                  </t>
  </si>
  <si>
    <t xml:space="preserve">Уточненная сводная бюджетная роспись на                             2015 год </t>
  </si>
  <si>
    <t xml:space="preserve">Исполнено                 </t>
  </si>
  <si>
    <t>Исполнение,                         в процентах</t>
  </si>
  <si>
    <t>к утвержден-ному плану на год</t>
  </si>
  <si>
    <t>к уточнен-ной сводной бюджетной росписи</t>
  </si>
  <si>
    <t>3. Развитие сети (строительство и приобретение зданий) фельдшерско-акушерских пунктов и/или офисов врачей общей практики в сельской местности</t>
  </si>
  <si>
    <t>4) строительство (приобретение) детского сада на 240 мест в п. Березник Виноградовского района</t>
  </si>
  <si>
    <t>Модульные водоочистные сооружения из поверхностного источника для обеспечения питьевой водой южных районов г. Архангельска (1 этап)</t>
  </si>
  <si>
    <t>2. Проведение государственной экспертизы проектной документации по объекту "Привязка типового проекта пожарного депо на 2 автомобиля в с. Тельвиска Ненецкого автономного округа"</t>
  </si>
  <si>
    <t>1. Сбор исходно-разрешительной документации (включая присоединение к инженерным сетям), техническое обследование существующих конструкций здания, корректировка ПСД, проведение государственной экспертизы и строительство объекта "омплекс пожарного депо и базы ГБУ АО "Служба спасения имени И.А. Поливаного" в жилом районе Майская горка г.Архангельска"</t>
  </si>
  <si>
    <t xml:space="preserve">6. Приобретение земельного участка и нежилого здания по адресу: г. Архангельск, проезд Сибиряковцев, д. 9, стр. 2 путем изъятия для муниципальных нужд МО "Город Архангельск"
</t>
  </si>
  <si>
    <t>3. Строительство объекта незавершенного строительства представительства администрации Архангельской области в поселке Соловецкий, в том числе проведение оценки воздействия на объект всемирного наследия ЮНЕСКО</t>
  </si>
  <si>
    <t>4. Строительство здания участковой больницы на 40 посещений и стационаром на 10 коек в поселке Соловецкий, в том числе проведение оценки воздействия на объект всемирного наследия ЮНЕСКО</t>
  </si>
  <si>
    <t xml:space="preserve">1) Строительство художественного профессионального училища резьбы по кости № 27 в селе Ломоносово Холмогорского района Архангельской области </t>
  </si>
  <si>
    <t>4) Завершение строительства школы в пос. Подюга Коношского района</t>
  </si>
  <si>
    <t xml:space="preserve">10) Приобретение детского сада на 60 мест в п. Пежма Вельского района </t>
  </si>
  <si>
    <t>9) Приобретение детского сада на 280 мест в городе Архангельске по ул. Розы Люксембург, 27</t>
  </si>
  <si>
    <t>8) Приобретение строящегося здания детского сада на 120 мест в д. Горка Муравьевская Вельского района</t>
  </si>
  <si>
    <t>7) Приобретение здания детского сада на 220 мест в пос. Коноша, ул. Театральная, 19-а</t>
  </si>
  <si>
    <t>4) Строительство (приобретение) детского сада на 240 мест в п. Березник Виноградовского района</t>
  </si>
  <si>
    <t>ВСЕГО по  областной адресной инвестиционной программе на 2015 год и на плановый период 2016 и 2017 годов, в том числе:</t>
  </si>
  <si>
    <t>государственное казенное учреждение Архангельской области "Дорожное агентство "Архангельскавтодор"</t>
  </si>
  <si>
    <t>министерство транспорта Архангельской области</t>
  </si>
  <si>
    <t>Заказчик: министерство транспорта Архангельской области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</si>
</sst>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.0_р_._-;\-* #,##0.0_р_._-;_-* &quot;-&quot;?_р_._-;_-@_-"/>
    <numFmt numFmtId="165" formatCode="0.0"/>
    <numFmt numFmtId="166" formatCode="_-* #,##0.00_р_._-;\-* #,##0.00_р_._-;_-* &quot;-&quot;?_р_._-;_-@_-"/>
    <numFmt numFmtId="167" formatCode="_-* #,##0.000_р_._-;\-* #,##0.000_р_._-;_-* &quot;-&quot;?_р_._-;_-@_-"/>
    <numFmt numFmtId="168" formatCode="_-* #,##0.0_р_._-;\-* #,##0.0_р_._-;_-* &quot;-&quot;??_р_._-;_-@_-"/>
  </numFmts>
  <fonts count="18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26"/>
      <name val="Times New Roman"/>
      <family val="1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ont="1" applyFill="1"/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  <protection locked="0"/>
    </xf>
    <xf numFmtId="164" fontId="8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right" vertical="center" indent="1"/>
    </xf>
    <xf numFmtId="165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 indent="1"/>
    </xf>
    <xf numFmtId="165" fontId="1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0" fontId="8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164" fontId="9" fillId="2" borderId="2" xfId="0" applyNumberFormat="1" applyFont="1" applyFill="1" applyBorder="1" applyAlignment="1">
      <alignment horizontal="right" vertical="center" indent="1"/>
    </xf>
    <xf numFmtId="0" fontId="8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right" vertical="center" indent="1"/>
    </xf>
    <xf numFmtId="0" fontId="8" fillId="2" borderId="8" xfId="0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164" fontId="7" fillId="3" borderId="2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 indent="1"/>
    </xf>
    <xf numFmtId="164" fontId="7" fillId="3" borderId="1" xfId="0" applyNumberFormat="1" applyFont="1" applyFill="1" applyBorder="1" applyAlignment="1">
      <alignment horizontal="left" vertical="center" indent="1"/>
    </xf>
    <xf numFmtId="164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5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left" vertical="top"/>
    </xf>
    <xf numFmtId="164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vertical="center" wrapText="1"/>
    </xf>
    <xf numFmtId="165" fontId="8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9" fillId="2" borderId="2" xfId="0" applyNumberFormat="1" applyFont="1" applyFill="1" applyBorder="1" applyAlignment="1">
      <alignment horizontal="left" vertical="center" indent="1"/>
    </xf>
    <xf numFmtId="164" fontId="8" fillId="2" borderId="2" xfId="0" applyNumberFormat="1" applyFont="1" applyFill="1" applyBorder="1" applyAlignment="1">
      <alignment horizontal="right" vertical="center" indent="1"/>
    </xf>
    <xf numFmtId="164" fontId="8" fillId="2" borderId="2" xfId="0" applyNumberFormat="1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right" vertical="center" wrapText="1" indent="1"/>
    </xf>
    <xf numFmtId="164" fontId="8" fillId="2" borderId="1" xfId="0" applyNumberFormat="1" applyFont="1" applyFill="1" applyBorder="1" applyAlignment="1">
      <alignment horizontal="left" vertical="center" wrapText="1" indent="1"/>
    </xf>
    <xf numFmtId="164" fontId="8" fillId="2" borderId="1" xfId="0" applyNumberFormat="1" applyFont="1" applyFill="1" applyBorder="1" applyAlignment="1">
      <alignment horizontal="center" vertical="center"/>
    </xf>
    <xf numFmtId="168" fontId="15" fillId="2" borderId="1" xfId="1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 wrapText="1" indent="1"/>
    </xf>
    <xf numFmtId="0" fontId="7" fillId="3" borderId="2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wrapText="1"/>
    </xf>
    <xf numFmtId="0" fontId="7" fillId="3" borderId="2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39"/>
  <sheetViews>
    <sheetView showGridLines="0" tabSelected="1" view="pageBreakPreview" topLeftCell="F1" zoomScale="75" zoomScaleNormal="42" zoomScaleSheetLayoutView="75" workbookViewId="0">
      <pane ySplit="7" topLeftCell="A138" activePane="bottomLeft" state="frozen"/>
      <selection activeCell="F1" sqref="F1"/>
      <selection pane="bottomLeft" activeCell="H139" sqref="H139"/>
    </sheetView>
  </sheetViews>
  <sheetFormatPr defaultRowHeight="15" outlineLevelCol="1"/>
  <cols>
    <col min="1" max="5" width="9.140625" style="6" hidden="1" customWidth="1" outlineLevel="1"/>
    <col min="6" max="6" width="62.28515625" style="13" customWidth="1" collapsed="1"/>
    <col min="7" max="7" width="27.140625" style="13" customWidth="1"/>
    <col min="8" max="8" width="24.85546875" style="13" customWidth="1"/>
    <col min="9" max="9" width="20" style="13" customWidth="1"/>
    <col min="10" max="10" width="24.7109375" style="13" hidden="1" customWidth="1"/>
    <col min="11" max="11" width="22" style="5" customWidth="1" outlineLevel="1"/>
    <col min="12" max="12" width="19.85546875" style="5" hidden="1" customWidth="1"/>
    <col min="13" max="13" width="24.140625" style="5" customWidth="1"/>
    <col min="14" max="14" width="24.28515625" customWidth="1"/>
    <col min="15" max="15" width="23.28515625" customWidth="1"/>
    <col min="16" max="16" width="15.28515625" hidden="1" customWidth="1"/>
    <col min="17" max="17" width="17.42578125" style="5" customWidth="1"/>
    <col min="18" max="18" width="17.140625" customWidth="1"/>
    <col min="19" max="19" width="12.7109375" bestFit="1" customWidth="1"/>
    <col min="20" max="20" width="15" bestFit="1" customWidth="1"/>
  </cols>
  <sheetData>
    <row r="1" spans="1:28" ht="67.5" customHeight="1">
      <c r="C1" s="7"/>
      <c r="D1" s="7"/>
      <c r="E1" s="7"/>
      <c r="F1" s="89" t="s">
        <v>146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5" customFormat="1" ht="37.15" customHeight="1">
      <c r="A2" s="6"/>
      <c r="B2" s="6"/>
      <c r="C2" s="7"/>
      <c r="D2" s="7"/>
      <c r="E2" s="7"/>
      <c r="F2" s="100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5" customFormat="1" ht="36.6" customHeight="1">
      <c r="A3" s="6"/>
      <c r="B3" s="6"/>
      <c r="C3" s="7"/>
      <c r="D3" s="7"/>
      <c r="E3" s="7"/>
      <c r="F3" s="23"/>
      <c r="G3" s="29"/>
      <c r="H3" s="29"/>
      <c r="I3" s="29"/>
      <c r="J3" s="38"/>
      <c r="K3" s="24"/>
      <c r="L3" s="24"/>
      <c r="M3" s="24"/>
      <c r="N3" s="23"/>
      <c r="O3" s="24"/>
      <c r="P3" s="103" t="s">
        <v>57</v>
      </c>
      <c r="Q3" s="103"/>
      <c r="R3" s="103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76.900000000000006" customHeight="1">
      <c r="A4" s="81" t="s">
        <v>10</v>
      </c>
      <c r="B4" s="81" t="s">
        <v>18</v>
      </c>
      <c r="C4" s="82" t="s">
        <v>11</v>
      </c>
      <c r="D4" s="82" t="s">
        <v>1</v>
      </c>
      <c r="E4" s="82" t="s">
        <v>12</v>
      </c>
      <c r="F4" s="95" t="s">
        <v>19</v>
      </c>
      <c r="G4" s="98" t="s">
        <v>133</v>
      </c>
      <c r="H4" s="98" t="s">
        <v>134</v>
      </c>
      <c r="I4" s="98" t="s">
        <v>135</v>
      </c>
      <c r="J4" s="96" t="s">
        <v>186</v>
      </c>
      <c r="K4" s="96" t="s">
        <v>189</v>
      </c>
      <c r="L4" s="90" t="s">
        <v>147</v>
      </c>
      <c r="M4" s="90" t="s">
        <v>190</v>
      </c>
      <c r="N4" s="92" t="s">
        <v>56</v>
      </c>
      <c r="O4" s="94" t="s">
        <v>191</v>
      </c>
      <c r="P4" s="65" t="s">
        <v>148</v>
      </c>
      <c r="Q4" s="101" t="s">
        <v>192</v>
      </c>
      <c r="R4" s="102"/>
    </row>
    <row r="5" spans="1:28" s="3" customFormat="1" ht="111" customHeight="1">
      <c r="A5" s="81"/>
      <c r="B5" s="81"/>
      <c r="C5" s="83"/>
      <c r="D5" s="83"/>
      <c r="E5" s="83"/>
      <c r="F5" s="95"/>
      <c r="G5" s="99"/>
      <c r="H5" s="99"/>
      <c r="I5" s="99"/>
      <c r="J5" s="97"/>
      <c r="K5" s="97"/>
      <c r="L5" s="91"/>
      <c r="M5" s="91"/>
      <c r="N5" s="93"/>
      <c r="O5" s="94"/>
      <c r="P5" s="64" t="s">
        <v>58</v>
      </c>
      <c r="Q5" s="80" t="s">
        <v>193</v>
      </c>
      <c r="R5" s="80" t="s">
        <v>194</v>
      </c>
    </row>
    <row r="6" spans="1:28" s="3" customFormat="1" ht="19.149999999999999" customHeight="1">
      <c r="A6" s="14"/>
      <c r="B6" s="14"/>
      <c r="C6" s="15"/>
      <c r="D6" s="15"/>
      <c r="E6" s="15"/>
      <c r="F6" s="16">
        <v>1</v>
      </c>
      <c r="G6" s="30">
        <v>2</v>
      </c>
      <c r="H6" s="30">
        <v>3</v>
      </c>
      <c r="I6" s="30">
        <v>4</v>
      </c>
      <c r="J6" s="30">
        <v>5</v>
      </c>
      <c r="K6" s="20">
        <v>5</v>
      </c>
      <c r="L6" s="21">
        <v>7</v>
      </c>
      <c r="M6" s="21">
        <v>6</v>
      </c>
      <c r="N6" s="22">
        <v>7</v>
      </c>
      <c r="O6" s="22">
        <v>8</v>
      </c>
      <c r="P6" s="22">
        <v>10</v>
      </c>
      <c r="Q6" s="79">
        <v>9</v>
      </c>
      <c r="R6" s="22">
        <v>10</v>
      </c>
    </row>
    <row r="7" spans="1:28" ht="81" customHeight="1">
      <c r="A7" s="8">
        <f>SUM(A8:A116)</f>
        <v>54</v>
      </c>
      <c r="B7" s="8">
        <f>SUM(B8:B116)</f>
        <v>47</v>
      </c>
      <c r="C7" s="8">
        <f>SUM(C8:C116)</f>
        <v>28</v>
      </c>
      <c r="D7" s="8">
        <f>SUM(D8:D116)</f>
        <v>23</v>
      </c>
      <c r="E7" s="8">
        <f>SUM(E8:E116)</f>
        <v>21</v>
      </c>
      <c r="F7" s="104" t="s">
        <v>210</v>
      </c>
      <c r="G7" s="77"/>
      <c r="H7" s="77"/>
      <c r="I7" s="77"/>
      <c r="J7" s="52">
        <f>J38+J63+J114+J102+J91+J56+J72+J68+J58+J8+J112+J74+J117+J129+J138+J120+J124+J126+J136</f>
        <v>2883699.29978</v>
      </c>
      <c r="K7" s="52">
        <f t="shared" ref="K7:M7" si="0">K38+K63+K114+K102+K91+K56+K72+K68+K58+K8+K112+K74+K117+K129+K138+K120+K124+K126+K136</f>
        <v>2883699.29978</v>
      </c>
      <c r="L7" s="52">
        <f t="shared" si="0"/>
        <v>2883699.29978</v>
      </c>
      <c r="M7" s="52">
        <f t="shared" si="0"/>
        <v>2883699.29978</v>
      </c>
      <c r="N7" s="52">
        <f t="shared" ref="N7:O7" si="1">N38+N63+N114+N102+N91+N56+N72+N68+N58+N8+N112+N74+N117+N129+N138+N120+N124+N126+N136</f>
        <v>2694462.2596899997</v>
      </c>
      <c r="O7" s="52">
        <f t="shared" si="1"/>
        <v>2680051.8732500002</v>
      </c>
      <c r="P7" s="53">
        <f>O7/L7*100</f>
        <v>92.937979818300192</v>
      </c>
      <c r="Q7" s="53">
        <f>O7/K7*100</f>
        <v>92.937979818300192</v>
      </c>
      <c r="R7" s="53">
        <f>O7/M7*100</f>
        <v>92.937979818300192</v>
      </c>
    </row>
    <row r="8" spans="1:28" s="1" customFormat="1" ht="104.25" customHeight="1">
      <c r="A8" s="12"/>
      <c r="B8" s="8"/>
      <c r="C8" s="8"/>
      <c r="D8" s="8"/>
      <c r="E8" s="8"/>
      <c r="F8" s="28" t="s">
        <v>3</v>
      </c>
      <c r="G8" s="28"/>
      <c r="H8" s="28"/>
      <c r="I8" s="28"/>
      <c r="J8" s="54">
        <f>J9+J17+J30+J37</f>
        <v>242822.58943999998</v>
      </c>
      <c r="K8" s="54">
        <f t="shared" ref="K8:M8" si="2">K9+K17+K30+K37</f>
        <v>242822.58943999998</v>
      </c>
      <c r="L8" s="54">
        <f t="shared" si="2"/>
        <v>242822.58943999998</v>
      </c>
      <c r="M8" s="54">
        <f t="shared" si="2"/>
        <v>242822.58943999998</v>
      </c>
      <c r="N8" s="54">
        <f t="shared" ref="N8:O8" si="3">N9+N17+N30+N37</f>
        <v>231626.61094000001</v>
      </c>
      <c r="O8" s="54">
        <f t="shared" si="3"/>
        <v>230514.37594000003</v>
      </c>
      <c r="P8" s="53">
        <f t="shared" ref="P8:P97" si="4">O8/L8*100</f>
        <v>94.931190904279006</v>
      </c>
      <c r="Q8" s="53">
        <f>O8/K8*100</f>
        <v>94.931190904279006</v>
      </c>
      <c r="R8" s="53">
        <f>O8/M8*100</f>
        <v>94.931190904279006</v>
      </c>
    </row>
    <row r="9" spans="1:28" ht="165" customHeight="1">
      <c r="A9" s="11"/>
      <c r="B9" s="8"/>
      <c r="C9" s="8"/>
      <c r="D9" s="8"/>
      <c r="E9" s="8"/>
      <c r="F9" s="27" t="s">
        <v>2</v>
      </c>
      <c r="G9" s="27"/>
      <c r="H9" s="27"/>
      <c r="I9" s="27"/>
      <c r="J9" s="33">
        <f t="shared" ref="J9:M9" si="5">SUM(J10:J16)</f>
        <v>15683.09274</v>
      </c>
      <c r="K9" s="33">
        <f t="shared" si="5"/>
        <v>15683.09274</v>
      </c>
      <c r="L9" s="33">
        <f t="shared" si="5"/>
        <v>15683.09274</v>
      </c>
      <c r="M9" s="33">
        <f t="shared" si="5"/>
        <v>15683.09274</v>
      </c>
      <c r="N9" s="33">
        <f t="shared" ref="N9" si="6">SUM(N10:N16)</f>
        <v>15683.09174</v>
      </c>
      <c r="O9" s="33">
        <f t="shared" ref="O9" si="7">SUM(O10:O16)</f>
        <v>15683.09174</v>
      </c>
      <c r="P9" s="34">
        <f t="shared" si="4"/>
        <v>99.999993623706644</v>
      </c>
      <c r="Q9" s="34">
        <f>O9/K9*100</f>
        <v>99.999993623706644</v>
      </c>
      <c r="R9" s="34">
        <f t="shared" ref="R9:R95" si="8">O9/M9*100</f>
        <v>99.999993623706644</v>
      </c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11" hidden="1" customHeight="1">
      <c r="A10" s="8">
        <v>1</v>
      </c>
      <c r="B10" s="8">
        <v>1</v>
      </c>
      <c r="C10" s="8"/>
      <c r="D10" s="8">
        <v>1</v>
      </c>
      <c r="E10" s="8"/>
      <c r="F10" s="17" t="s">
        <v>20</v>
      </c>
      <c r="G10" s="17" t="s">
        <v>86</v>
      </c>
      <c r="H10" s="17" t="s">
        <v>83</v>
      </c>
      <c r="I10" s="17" t="s">
        <v>87</v>
      </c>
      <c r="J10" s="31"/>
      <c r="K10" s="31"/>
      <c r="L10" s="31"/>
      <c r="M10" s="31"/>
      <c r="N10" s="31"/>
      <c r="O10" s="31"/>
      <c r="P10" s="32"/>
      <c r="Q10" s="32"/>
      <c r="R10" s="32"/>
      <c r="T10" s="39"/>
    </row>
    <row r="11" spans="1:28" ht="102.75" customHeight="1">
      <c r="A11" s="8">
        <v>1</v>
      </c>
      <c r="B11" s="8">
        <v>1</v>
      </c>
      <c r="C11" s="8"/>
      <c r="D11" s="8">
        <v>1</v>
      </c>
      <c r="E11" s="8"/>
      <c r="F11" s="17" t="s">
        <v>172</v>
      </c>
      <c r="G11" s="17" t="s">
        <v>88</v>
      </c>
      <c r="H11" s="17" t="s">
        <v>187</v>
      </c>
      <c r="I11" s="17" t="s">
        <v>87</v>
      </c>
      <c r="J11" s="31">
        <v>3882.3927399999998</v>
      </c>
      <c r="K11" s="31">
        <v>3882.3927399999998</v>
      </c>
      <c r="L11" s="31">
        <v>3882.3927399999998</v>
      </c>
      <c r="M11" s="31">
        <v>3882.3927399999998</v>
      </c>
      <c r="N11" s="31">
        <v>3882.3927399999998</v>
      </c>
      <c r="O11" s="31">
        <v>3882.3927399999998</v>
      </c>
      <c r="P11" s="32">
        <f t="shared" si="4"/>
        <v>100</v>
      </c>
      <c r="Q11" s="32">
        <f>O11/K11*100</f>
        <v>100</v>
      </c>
      <c r="R11" s="32">
        <f t="shared" si="8"/>
        <v>100</v>
      </c>
    </row>
    <row r="12" spans="1:28" ht="99.75" customHeight="1">
      <c r="A12" s="8">
        <v>1</v>
      </c>
      <c r="B12" s="8">
        <v>1</v>
      </c>
      <c r="C12" s="8"/>
      <c r="D12" s="8"/>
      <c r="E12" s="8"/>
      <c r="F12" s="17" t="s">
        <v>173</v>
      </c>
      <c r="G12" s="17" t="s">
        <v>89</v>
      </c>
      <c r="H12" s="17" t="s">
        <v>187</v>
      </c>
      <c r="I12" s="17" t="s">
        <v>87</v>
      </c>
      <c r="J12" s="31">
        <v>9000</v>
      </c>
      <c r="K12" s="31">
        <v>9000</v>
      </c>
      <c r="L12" s="31">
        <v>9000</v>
      </c>
      <c r="M12" s="31">
        <v>9000</v>
      </c>
      <c r="N12" s="31">
        <f>1500+3000+2500+1999.999</f>
        <v>8999.9989999999998</v>
      </c>
      <c r="O12" s="31">
        <f>1500+3000+2500+1999.999</f>
        <v>8999.9989999999998</v>
      </c>
      <c r="P12" s="32">
        <f t="shared" si="4"/>
        <v>99.999988888888893</v>
      </c>
      <c r="Q12" s="32">
        <f t="shared" ref="Q12:Q16" si="9">O12/K12*100</f>
        <v>99.999988888888893</v>
      </c>
      <c r="R12" s="32">
        <f t="shared" si="8"/>
        <v>99.999988888888893</v>
      </c>
    </row>
    <row r="13" spans="1:28" s="1" customFormat="1" ht="117" hidden="1" customHeight="1">
      <c r="A13" s="8">
        <v>1</v>
      </c>
      <c r="B13" s="8">
        <v>1</v>
      </c>
      <c r="C13" s="8"/>
      <c r="D13" s="8">
        <v>1</v>
      </c>
      <c r="E13" s="8"/>
      <c r="F13" s="17" t="s">
        <v>21</v>
      </c>
      <c r="G13" s="17" t="s">
        <v>90</v>
      </c>
      <c r="H13" s="17" t="s">
        <v>83</v>
      </c>
      <c r="I13" s="17" t="s">
        <v>87</v>
      </c>
      <c r="J13" s="31"/>
      <c r="K13" s="31"/>
      <c r="L13" s="31"/>
      <c r="M13" s="31"/>
      <c r="N13" s="31"/>
      <c r="O13" s="31"/>
      <c r="P13" s="32" t="e">
        <f t="shared" si="4"/>
        <v>#DIV/0!</v>
      </c>
      <c r="Q13" s="32" t="e">
        <f t="shared" si="9"/>
        <v>#DIV/0!</v>
      </c>
      <c r="R13" s="32" t="e">
        <f t="shared" si="8"/>
        <v>#DIV/0!</v>
      </c>
      <c r="S13"/>
      <c r="T13"/>
      <c r="U13"/>
      <c r="V13"/>
      <c r="W13"/>
      <c r="X13"/>
      <c r="Y13"/>
      <c r="Z13"/>
      <c r="AA13"/>
      <c r="AB13"/>
    </row>
    <row r="14" spans="1:28" s="1" customFormat="1" ht="117" hidden="1" customHeight="1">
      <c r="A14" s="8"/>
      <c r="B14" s="8"/>
      <c r="C14" s="8"/>
      <c r="D14" s="8"/>
      <c r="E14" s="8"/>
      <c r="F14" s="17" t="s">
        <v>21</v>
      </c>
      <c r="G14" s="17" t="s">
        <v>90</v>
      </c>
      <c r="H14" s="17" t="s">
        <v>83</v>
      </c>
      <c r="I14" s="17" t="s">
        <v>87</v>
      </c>
      <c r="J14" s="31"/>
      <c r="K14" s="31"/>
      <c r="L14" s="31"/>
      <c r="M14" s="31"/>
      <c r="N14" s="31"/>
      <c r="O14" s="31"/>
      <c r="P14" s="32"/>
      <c r="Q14" s="32" t="e">
        <f t="shared" si="9"/>
        <v>#DIV/0!</v>
      </c>
      <c r="R14" s="32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s="1" customFormat="1" ht="102.75" customHeight="1">
      <c r="A15" s="8"/>
      <c r="B15" s="8"/>
      <c r="C15" s="8"/>
      <c r="D15" s="8"/>
      <c r="E15" s="8"/>
      <c r="F15" s="17" t="s">
        <v>174</v>
      </c>
      <c r="G15" s="17" t="s">
        <v>91</v>
      </c>
      <c r="H15" s="17" t="s">
        <v>187</v>
      </c>
      <c r="I15" s="17" t="s">
        <v>87</v>
      </c>
      <c r="J15" s="31">
        <v>137.1</v>
      </c>
      <c r="K15" s="31">
        <v>137.1</v>
      </c>
      <c r="L15" s="31">
        <v>137.1</v>
      </c>
      <c r="M15" s="31">
        <v>137.1</v>
      </c>
      <c r="N15" s="31">
        <v>137.1</v>
      </c>
      <c r="O15" s="31">
        <v>137.1</v>
      </c>
      <c r="P15" s="32">
        <f t="shared" ref="P15:P16" si="10">O15/L15*100</f>
        <v>100</v>
      </c>
      <c r="Q15" s="32">
        <f t="shared" si="9"/>
        <v>100</v>
      </c>
      <c r="R15" s="32">
        <f t="shared" ref="R15:R16" si="11">O15/M15*100</f>
        <v>100</v>
      </c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s="1" customFormat="1" ht="112.5">
      <c r="A16" s="8"/>
      <c r="B16" s="8"/>
      <c r="C16" s="8"/>
      <c r="D16" s="8"/>
      <c r="E16" s="8"/>
      <c r="F16" s="17" t="s">
        <v>175</v>
      </c>
      <c r="G16" s="17" t="s">
        <v>92</v>
      </c>
      <c r="H16" s="17" t="s">
        <v>187</v>
      </c>
      <c r="I16" s="17" t="s">
        <v>87</v>
      </c>
      <c r="J16" s="31">
        <v>2663.6</v>
      </c>
      <c r="K16" s="31">
        <v>2663.6</v>
      </c>
      <c r="L16" s="31">
        <v>2663.6</v>
      </c>
      <c r="M16" s="31">
        <v>2663.6</v>
      </c>
      <c r="N16" s="31">
        <v>2663.6</v>
      </c>
      <c r="O16" s="31">
        <v>2663.6</v>
      </c>
      <c r="P16" s="32">
        <f t="shared" si="10"/>
        <v>100</v>
      </c>
      <c r="Q16" s="32">
        <f t="shared" si="9"/>
        <v>100</v>
      </c>
      <c r="R16" s="32">
        <f t="shared" si="11"/>
        <v>100</v>
      </c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90" customHeight="1">
      <c r="A17" s="8"/>
      <c r="B17" s="8"/>
      <c r="C17" s="8"/>
      <c r="D17" s="8"/>
      <c r="E17" s="8"/>
      <c r="F17" s="27" t="s">
        <v>0</v>
      </c>
      <c r="G17" s="27"/>
      <c r="H17" s="27"/>
      <c r="I17" s="27"/>
      <c r="J17" s="33">
        <f>SUM(J18:J29)</f>
        <v>156889.90669999999</v>
      </c>
      <c r="K17" s="33">
        <f t="shared" ref="K17:M17" si="12">SUM(K18:K29)</f>
        <v>156889.90669999999</v>
      </c>
      <c r="L17" s="33">
        <f t="shared" si="12"/>
        <v>156889.90669999999</v>
      </c>
      <c r="M17" s="33">
        <f t="shared" si="12"/>
        <v>156889.90669999999</v>
      </c>
      <c r="N17" s="33">
        <f t="shared" ref="N17:O17" si="13">SUM(N18:N29)</f>
        <v>146889.90670000002</v>
      </c>
      <c r="O17" s="33">
        <f t="shared" si="13"/>
        <v>146889.90670000002</v>
      </c>
      <c r="P17" s="34">
        <f t="shared" si="4"/>
        <v>93.62610367337291</v>
      </c>
      <c r="Q17" s="34">
        <f>O17/K17*100</f>
        <v>93.62610367337291</v>
      </c>
      <c r="R17" s="34">
        <f t="shared" si="8"/>
        <v>93.62610367337291</v>
      </c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08" customHeight="1">
      <c r="A18" s="8">
        <v>1</v>
      </c>
      <c r="B18" s="8">
        <v>1</v>
      </c>
      <c r="C18" s="8">
        <v>1</v>
      </c>
      <c r="D18" s="8">
        <v>1</v>
      </c>
      <c r="E18" s="8">
        <v>1</v>
      </c>
      <c r="F18" s="17" t="s">
        <v>22</v>
      </c>
      <c r="G18" s="17" t="s">
        <v>89</v>
      </c>
      <c r="H18" s="17" t="s">
        <v>187</v>
      </c>
      <c r="I18" s="17" t="s">
        <v>87</v>
      </c>
      <c r="J18" s="31">
        <v>40324.5</v>
      </c>
      <c r="K18" s="31">
        <v>40324.5</v>
      </c>
      <c r="L18" s="31">
        <v>40324.5</v>
      </c>
      <c r="M18" s="31">
        <v>40324.5</v>
      </c>
      <c r="N18" s="31">
        <f>3240+84.5+10000+20115.46081+6884.53919</f>
        <v>40324.500000000007</v>
      </c>
      <c r="O18" s="31">
        <f>3240+84.5+10000+20115.46081+6884.53919</f>
        <v>40324.500000000007</v>
      </c>
      <c r="P18" s="32">
        <f t="shared" si="4"/>
        <v>100.00000000000003</v>
      </c>
      <c r="Q18" s="32">
        <f t="shared" ref="Q18:Q37" si="14">O18/K18*100</f>
        <v>100.00000000000003</v>
      </c>
      <c r="R18" s="32">
        <f t="shared" si="8"/>
        <v>100.00000000000003</v>
      </c>
    </row>
    <row r="19" spans="1:28" ht="110.25" customHeight="1">
      <c r="A19" s="8">
        <v>1</v>
      </c>
      <c r="B19" s="8">
        <v>1</v>
      </c>
      <c r="C19" s="8"/>
      <c r="D19" s="8"/>
      <c r="E19" s="8"/>
      <c r="F19" s="17" t="s">
        <v>64</v>
      </c>
      <c r="G19" s="17" t="s">
        <v>97</v>
      </c>
      <c r="H19" s="17" t="s">
        <v>187</v>
      </c>
      <c r="I19" s="17" t="s">
        <v>87</v>
      </c>
      <c r="J19" s="31">
        <v>3500.7089999999998</v>
      </c>
      <c r="K19" s="31">
        <v>3500.7089999999998</v>
      </c>
      <c r="L19" s="31">
        <v>3500.7089999999998</v>
      </c>
      <c r="M19" s="31">
        <v>3500.7089999999998</v>
      </c>
      <c r="N19" s="31">
        <v>3500.7089999999998</v>
      </c>
      <c r="O19" s="31">
        <v>3500.7089999999998</v>
      </c>
      <c r="P19" s="32">
        <f t="shared" si="4"/>
        <v>100</v>
      </c>
      <c r="Q19" s="32">
        <f t="shared" si="14"/>
        <v>100</v>
      </c>
      <c r="R19" s="32">
        <f t="shared" si="8"/>
        <v>100</v>
      </c>
    </row>
    <row r="20" spans="1:28" ht="41.45" hidden="1" customHeight="1">
      <c r="A20" s="8">
        <v>1</v>
      </c>
      <c r="B20" s="8">
        <v>1</v>
      </c>
      <c r="C20" s="8">
        <v>1</v>
      </c>
      <c r="D20" s="8">
        <v>1</v>
      </c>
      <c r="E20" s="8"/>
      <c r="F20" s="17" t="s">
        <v>23</v>
      </c>
      <c r="G20" s="17" t="s">
        <v>95</v>
      </c>
      <c r="H20" s="17" t="s">
        <v>83</v>
      </c>
      <c r="I20" s="17" t="s">
        <v>94</v>
      </c>
      <c r="J20" s="31"/>
      <c r="K20" s="31"/>
      <c r="L20" s="31"/>
      <c r="M20" s="31"/>
      <c r="N20" s="31"/>
      <c r="O20" s="31"/>
      <c r="P20" s="32"/>
      <c r="Q20" s="32" t="e">
        <f t="shared" si="14"/>
        <v>#DIV/0!</v>
      </c>
      <c r="R20" s="32"/>
    </row>
    <row r="21" spans="1:28" ht="123" customHeight="1">
      <c r="A21" s="8">
        <v>1</v>
      </c>
      <c r="B21" s="8">
        <v>1</v>
      </c>
      <c r="C21" s="8">
        <v>1</v>
      </c>
      <c r="D21" s="8">
        <v>1</v>
      </c>
      <c r="E21" s="8"/>
      <c r="F21" s="17" t="s">
        <v>78</v>
      </c>
      <c r="G21" s="17" t="s">
        <v>95</v>
      </c>
      <c r="H21" s="17" t="s">
        <v>187</v>
      </c>
      <c r="I21" s="17" t="s">
        <v>94</v>
      </c>
      <c r="J21" s="31">
        <f>1845.6+0.0255+1037.3395</f>
        <v>2882.9650000000001</v>
      </c>
      <c r="K21" s="31">
        <f t="shared" ref="K21:M21" si="15">1845.6+0.0255+1037.3395</f>
        <v>2882.9650000000001</v>
      </c>
      <c r="L21" s="31">
        <f t="shared" si="15"/>
        <v>2882.9650000000001</v>
      </c>
      <c r="M21" s="31">
        <f t="shared" si="15"/>
        <v>2882.9650000000001</v>
      </c>
      <c r="N21" s="31">
        <f t="shared" ref="N21:O21" si="16">1845.6+0.0255+1037.3395</f>
        <v>2882.9650000000001</v>
      </c>
      <c r="O21" s="31">
        <f t="shared" si="16"/>
        <v>2882.9650000000001</v>
      </c>
      <c r="P21" s="32">
        <f t="shared" si="4"/>
        <v>100</v>
      </c>
      <c r="Q21" s="32">
        <f t="shared" si="14"/>
        <v>100</v>
      </c>
      <c r="R21" s="32">
        <f t="shared" si="8"/>
        <v>100</v>
      </c>
    </row>
    <row r="22" spans="1:28" s="5" customFormat="1" ht="157.9" customHeight="1">
      <c r="A22" s="8"/>
      <c r="B22" s="8"/>
      <c r="C22" s="8"/>
      <c r="D22" s="8"/>
      <c r="E22" s="8"/>
      <c r="F22" s="17" t="s">
        <v>149</v>
      </c>
      <c r="G22" s="17" t="s">
        <v>85</v>
      </c>
      <c r="H22" s="17" t="s">
        <v>187</v>
      </c>
      <c r="I22" s="17" t="s">
        <v>87</v>
      </c>
      <c r="J22" s="31">
        <v>98.5</v>
      </c>
      <c r="K22" s="31">
        <v>98.5</v>
      </c>
      <c r="L22" s="31">
        <v>98.5</v>
      </c>
      <c r="M22" s="31">
        <v>98.5</v>
      </c>
      <c r="N22" s="31">
        <v>98.5</v>
      </c>
      <c r="O22" s="31">
        <v>98.5</v>
      </c>
      <c r="P22" s="32">
        <f t="shared" si="4"/>
        <v>100</v>
      </c>
      <c r="Q22" s="32">
        <f t="shared" si="14"/>
        <v>100</v>
      </c>
      <c r="R22" s="32">
        <f t="shared" si="8"/>
        <v>100</v>
      </c>
    </row>
    <row r="23" spans="1:28" s="5" customFormat="1" ht="112.9" customHeight="1">
      <c r="A23" s="8"/>
      <c r="B23" s="8"/>
      <c r="C23" s="8"/>
      <c r="D23" s="8"/>
      <c r="E23" s="8"/>
      <c r="F23" s="41" t="s">
        <v>150</v>
      </c>
      <c r="G23" s="41" t="s">
        <v>98</v>
      </c>
      <c r="H23" s="17" t="s">
        <v>187</v>
      </c>
      <c r="I23" s="17" t="s">
        <v>87</v>
      </c>
      <c r="J23" s="70">
        <v>6374.5077000000001</v>
      </c>
      <c r="K23" s="70">
        <v>6374.5077000000001</v>
      </c>
      <c r="L23" s="70">
        <v>6374.5077000000001</v>
      </c>
      <c r="M23" s="70">
        <v>6374.5077000000001</v>
      </c>
      <c r="N23" s="70">
        <v>6374.5077000000001</v>
      </c>
      <c r="O23" s="70">
        <v>6374.5077000000001</v>
      </c>
      <c r="P23" s="70">
        <v>6374.5077000000001</v>
      </c>
      <c r="Q23" s="32">
        <f t="shared" si="14"/>
        <v>100</v>
      </c>
      <c r="R23" s="32">
        <f t="shared" si="8"/>
        <v>100</v>
      </c>
    </row>
    <row r="24" spans="1:28" s="5" customFormat="1" ht="180" customHeight="1">
      <c r="A24" s="8"/>
      <c r="B24" s="8"/>
      <c r="C24" s="8"/>
      <c r="D24" s="8"/>
      <c r="E24" s="8"/>
      <c r="F24" s="41" t="s">
        <v>151</v>
      </c>
      <c r="G24" s="17" t="s">
        <v>85</v>
      </c>
      <c r="H24" s="17" t="s">
        <v>187</v>
      </c>
      <c r="I24" s="17" t="s">
        <v>94</v>
      </c>
      <c r="J24" s="70">
        <v>34198.125</v>
      </c>
      <c r="K24" s="70">
        <v>34198.125</v>
      </c>
      <c r="L24" s="70">
        <v>34198.125</v>
      </c>
      <c r="M24" s="70">
        <v>34198.125</v>
      </c>
      <c r="N24" s="70">
        <v>34198.125</v>
      </c>
      <c r="O24" s="70">
        <v>34198.125</v>
      </c>
      <c r="P24" s="66">
        <f t="shared" ref="P24" si="17">O24/L24*100</f>
        <v>100</v>
      </c>
      <c r="Q24" s="32">
        <f t="shared" si="14"/>
        <v>100</v>
      </c>
      <c r="R24" s="32">
        <f t="shared" ref="R24" si="18">O24/M24*100</f>
        <v>100</v>
      </c>
    </row>
    <row r="25" spans="1:28" s="5" customFormat="1" ht="114.6" customHeight="1">
      <c r="A25" s="8"/>
      <c r="B25" s="8"/>
      <c r="C25" s="8"/>
      <c r="D25" s="8"/>
      <c r="E25" s="8"/>
      <c r="F25" s="41" t="s">
        <v>152</v>
      </c>
      <c r="G25" s="41" t="s">
        <v>90</v>
      </c>
      <c r="H25" s="17" t="s">
        <v>187</v>
      </c>
      <c r="I25" s="17" t="s">
        <v>87</v>
      </c>
      <c r="J25" s="70">
        <v>15000</v>
      </c>
      <c r="K25" s="70">
        <v>15000</v>
      </c>
      <c r="L25" s="70">
        <v>15000</v>
      </c>
      <c r="M25" s="70">
        <v>15000</v>
      </c>
      <c r="N25" s="70">
        <f>8000+7000</f>
        <v>15000</v>
      </c>
      <c r="O25" s="70">
        <f>8000+7000</f>
        <v>15000</v>
      </c>
      <c r="P25" s="32">
        <f t="shared" ref="P25:P29" si="19">O25/L25*100</f>
        <v>100</v>
      </c>
      <c r="Q25" s="32">
        <f t="shared" si="14"/>
        <v>100</v>
      </c>
      <c r="R25" s="32">
        <f t="shared" ref="R25:R26" si="20">O25/M25*100</f>
        <v>100</v>
      </c>
    </row>
    <row r="26" spans="1:28" s="5" customFormat="1" ht="119.45" customHeight="1">
      <c r="A26" s="8"/>
      <c r="B26" s="8"/>
      <c r="C26" s="8"/>
      <c r="D26" s="8"/>
      <c r="E26" s="8"/>
      <c r="F26" s="41" t="s">
        <v>153</v>
      </c>
      <c r="G26" s="17" t="s">
        <v>138</v>
      </c>
      <c r="H26" s="17" t="s">
        <v>187</v>
      </c>
      <c r="I26" s="17" t="s">
        <v>94</v>
      </c>
      <c r="J26" s="70">
        <v>6833.3</v>
      </c>
      <c r="K26" s="70">
        <v>6833.3</v>
      </c>
      <c r="L26" s="70">
        <v>6833.3</v>
      </c>
      <c r="M26" s="70">
        <v>6833.3</v>
      </c>
      <c r="N26" s="70">
        <f>4441.645+2391.655</f>
        <v>6833.3000000000011</v>
      </c>
      <c r="O26" s="70">
        <f>4441.645+2391.655</f>
        <v>6833.3000000000011</v>
      </c>
      <c r="P26" s="32">
        <f t="shared" si="19"/>
        <v>100.00000000000003</v>
      </c>
      <c r="Q26" s="32">
        <f t="shared" si="14"/>
        <v>100.00000000000003</v>
      </c>
      <c r="R26" s="32">
        <f t="shared" si="20"/>
        <v>100.00000000000003</v>
      </c>
    </row>
    <row r="27" spans="1:28" s="5" customFormat="1" ht="158.25" customHeight="1">
      <c r="A27" s="8"/>
      <c r="B27" s="8"/>
      <c r="C27" s="8"/>
      <c r="D27" s="8"/>
      <c r="E27" s="8"/>
      <c r="F27" s="41" t="s">
        <v>154</v>
      </c>
      <c r="G27" s="17" t="s">
        <v>85</v>
      </c>
      <c r="H27" s="17" t="s">
        <v>187</v>
      </c>
      <c r="I27" s="17" t="s">
        <v>94</v>
      </c>
      <c r="J27" s="70">
        <v>10000</v>
      </c>
      <c r="K27" s="70">
        <v>10000</v>
      </c>
      <c r="L27" s="70">
        <v>10000</v>
      </c>
      <c r="M27" s="70">
        <v>10000</v>
      </c>
      <c r="N27" s="70"/>
      <c r="O27" s="70"/>
      <c r="P27" s="32">
        <f t="shared" si="19"/>
        <v>0</v>
      </c>
      <c r="Q27" s="32">
        <f t="shared" si="14"/>
        <v>0</v>
      </c>
      <c r="R27" s="32">
        <f t="shared" ref="R27:R29" si="21">O27/M27*100</f>
        <v>0</v>
      </c>
    </row>
    <row r="28" spans="1:28" s="5" customFormat="1" ht="152.44999999999999" customHeight="1">
      <c r="A28" s="8"/>
      <c r="B28" s="8"/>
      <c r="C28" s="8"/>
      <c r="D28" s="8"/>
      <c r="E28" s="8"/>
      <c r="F28" s="17" t="s">
        <v>155</v>
      </c>
      <c r="G28" s="17" t="s">
        <v>85</v>
      </c>
      <c r="H28" s="17" t="s">
        <v>187</v>
      </c>
      <c r="I28" s="17" t="s">
        <v>87</v>
      </c>
      <c r="J28" s="70">
        <v>35277.300000000003</v>
      </c>
      <c r="K28" s="70">
        <v>35277.300000000003</v>
      </c>
      <c r="L28" s="70">
        <v>35277.300000000003</v>
      </c>
      <c r="M28" s="70">
        <v>35277.300000000003</v>
      </c>
      <c r="N28" s="70">
        <v>35277.300000000003</v>
      </c>
      <c r="O28" s="70">
        <v>35277.300000000003</v>
      </c>
      <c r="P28" s="32">
        <f t="shared" si="19"/>
        <v>100</v>
      </c>
      <c r="Q28" s="32">
        <f t="shared" si="14"/>
        <v>100</v>
      </c>
      <c r="R28" s="32">
        <f t="shared" si="21"/>
        <v>100</v>
      </c>
    </row>
    <row r="29" spans="1:28" s="5" customFormat="1" ht="117.6" customHeight="1">
      <c r="A29" s="8"/>
      <c r="B29" s="8"/>
      <c r="C29" s="8"/>
      <c r="D29" s="8"/>
      <c r="E29" s="8"/>
      <c r="F29" s="41" t="s">
        <v>156</v>
      </c>
      <c r="G29" s="41" t="s">
        <v>88</v>
      </c>
      <c r="H29" s="17" t="s">
        <v>187</v>
      </c>
      <c r="I29" s="17" t="s">
        <v>87</v>
      </c>
      <c r="J29" s="70">
        <v>2400</v>
      </c>
      <c r="K29" s="70">
        <v>2400</v>
      </c>
      <c r="L29" s="70">
        <v>2400</v>
      </c>
      <c r="M29" s="70">
        <v>2400</v>
      </c>
      <c r="N29" s="70">
        <v>2400</v>
      </c>
      <c r="O29" s="70">
        <v>2400</v>
      </c>
      <c r="P29" s="32">
        <f t="shared" si="19"/>
        <v>100</v>
      </c>
      <c r="Q29" s="32">
        <f t="shared" si="14"/>
        <v>100</v>
      </c>
      <c r="R29" s="32">
        <f t="shared" si="21"/>
        <v>100</v>
      </c>
    </row>
    <row r="30" spans="1:28" s="5" customFormat="1" ht="153.75" customHeight="1">
      <c r="A30" s="8"/>
      <c r="B30" s="8"/>
      <c r="C30" s="8"/>
      <c r="D30" s="8"/>
      <c r="E30" s="8"/>
      <c r="F30" s="42" t="s">
        <v>65</v>
      </c>
      <c r="G30" s="41"/>
      <c r="H30" s="17"/>
      <c r="I30" s="17"/>
      <c r="J30" s="43">
        <f>J31+J33+J34+J35+J36+J32</f>
        <v>66941.91</v>
      </c>
      <c r="K30" s="43">
        <f t="shared" ref="K30:M30" si="22">K31+K33+K34+K35+K36+K32</f>
        <v>66941.91</v>
      </c>
      <c r="L30" s="43">
        <f t="shared" si="22"/>
        <v>66941.91</v>
      </c>
      <c r="M30" s="43">
        <f t="shared" si="22"/>
        <v>66941.91</v>
      </c>
      <c r="N30" s="43">
        <f t="shared" ref="N30" si="23">N31+N33+N34+N35+N36+N32</f>
        <v>65745.932499999995</v>
      </c>
      <c r="O30" s="43">
        <f t="shared" ref="O30" si="24">O31+O33+O34+O35+O36+O32</f>
        <v>65603.532500000001</v>
      </c>
      <c r="P30" s="34">
        <f t="shared" ref="P30:P34" si="25">O30/L30*100</f>
        <v>98.000688208627452</v>
      </c>
      <c r="Q30" s="34">
        <f>O30/K30*100</f>
        <v>98.000688208627452</v>
      </c>
      <c r="R30" s="34">
        <f t="shared" ref="R30:R34" si="26">O30/M30*100</f>
        <v>98.000688208627452</v>
      </c>
    </row>
    <row r="31" spans="1:28" s="5" customFormat="1" ht="156" customHeight="1">
      <c r="A31" s="8"/>
      <c r="B31" s="8"/>
      <c r="C31" s="8"/>
      <c r="D31" s="8"/>
      <c r="E31" s="8"/>
      <c r="F31" s="41" t="s">
        <v>178</v>
      </c>
      <c r="G31" s="17" t="s">
        <v>85</v>
      </c>
      <c r="H31" s="17" t="s">
        <v>187</v>
      </c>
      <c r="I31" s="17" t="s">
        <v>94</v>
      </c>
      <c r="J31" s="70">
        <f>2932.41</f>
        <v>2932.41</v>
      </c>
      <c r="K31" s="70">
        <f t="shared" ref="K31:M31" si="27">2932.41</f>
        <v>2932.41</v>
      </c>
      <c r="L31" s="70">
        <f t="shared" si="27"/>
        <v>2932.41</v>
      </c>
      <c r="M31" s="70">
        <f t="shared" si="27"/>
        <v>2932.41</v>
      </c>
      <c r="N31" s="70">
        <f>2932.41+132.4</f>
        <v>3064.81</v>
      </c>
      <c r="O31" s="70">
        <f t="shared" ref="O31" si="28">2932.41</f>
        <v>2932.41</v>
      </c>
      <c r="P31" s="32">
        <f t="shared" si="25"/>
        <v>100</v>
      </c>
      <c r="Q31" s="32">
        <f t="shared" si="14"/>
        <v>100</v>
      </c>
      <c r="R31" s="32">
        <f t="shared" si="26"/>
        <v>100</v>
      </c>
    </row>
    <row r="32" spans="1:28" s="5" customFormat="1" ht="156" customHeight="1">
      <c r="A32" s="8"/>
      <c r="B32" s="8"/>
      <c r="C32" s="8"/>
      <c r="D32" s="8"/>
      <c r="E32" s="8"/>
      <c r="F32" s="41" t="s">
        <v>179</v>
      </c>
      <c r="G32" s="41" t="s">
        <v>138</v>
      </c>
      <c r="H32" s="17" t="s">
        <v>187</v>
      </c>
      <c r="I32" s="17" t="s">
        <v>94</v>
      </c>
      <c r="J32" s="71">
        <v>9054.2000000000007</v>
      </c>
      <c r="K32" s="71">
        <v>9054.2000000000007</v>
      </c>
      <c r="L32" s="71">
        <v>9054.2000000000007</v>
      </c>
      <c r="M32" s="71">
        <v>9054.2000000000007</v>
      </c>
      <c r="N32" s="71">
        <v>9032.6224999999995</v>
      </c>
      <c r="O32" s="71">
        <v>9022.6224999999995</v>
      </c>
      <c r="P32" s="32">
        <f t="shared" si="25"/>
        <v>99.651239203905348</v>
      </c>
      <c r="Q32" s="32">
        <f t="shared" si="14"/>
        <v>99.651239203905348</v>
      </c>
      <c r="R32" s="32">
        <f t="shared" si="26"/>
        <v>99.651239203905348</v>
      </c>
    </row>
    <row r="33" spans="1:28" s="5" customFormat="1" ht="152.44999999999999" customHeight="1">
      <c r="A33" s="8"/>
      <c r="B33" s="8"/>
      <c r="C33" s="8"/>
      <c r="D33" s="8"/>
      <c r="E33" s="8"/>
      <c r="F33" s="41" t="s">
        <v>180</v>
      </c>
      <c r="G33" s="17" t="s">
        <v>85</v>
      </c>
      <c r="H33" s="17" t="s">
        <v>187</v>
      </c>
      <c r="I33" s="17" t="s">
        <v>94</v>
      </c>
      <c r="J33" s="71">
        <v>4635</v>
      </c>
      <c r="K33" s="71">
        <v>4635</v>
      </c>
      <c r="L33" s="71">
        <v>4635</v>
      </c>
      <c r="M33" s="71">
        <v>4635</v>
      </c>
      <c r="N33" s="71">
        <v>4635</v>
      </c>
      <c r="O33" s="71">
        <v>4635</v>
      </c>
      <c r="P33" s="66">
        <f t="shared" si="25"/>
        <v>100</v>
      </c>
      <c r="Q33" s="32">
        <f t="shared" si="14"/>
        <v>100</v>
      </c>
      <c r="R33" s="32">
        <f t="shared" si="26"/>
        <v>100</v>
      </c>
    </row>
    <row r="34" spans="1:28" s="5" customFormat="1" ht="156" customHeight="1">
      <c r="A34" s="8"/>
      <c r="B34" s="8"/>
      <c r="C34" s="8"/>
      <c r="D34" s="8"/>
      <c r="E34" s="8"/>
      <c r="F34" s="41" t="s">
        <v>181</v>
      </c>
      <c r="G34" s="17" t="s">
        <v>85</v>
      </c>
      <c r="H34" s="17" t="s">
        <v>187</v>
      </c>
      <c r="I34" s="17" t="s">
        <v>94</v>
      </c>
      <c r="J34" s="71">
        <v>26023.5</v>
      </c>
      <c r="K34" s="71">
        <v>26023.5</v>
      </c>
      <c r="L34" s="71">
        <v>26023.5</v>
      </c>
      <c r="M34" s="71">
        <v>26023.5</v>
      </c>
      <c r="N34" s="71">
        <v>26023.5</v>
      </c>
      <c r="O34" s="71">
        <v>26023.5</v>
      </c>
      <c r="P34" s="32">
        <f t="shared" si="25"/>
        <v>100</v>
      </c>
      <c r="Q34" s="32">
        <f t="shared" si="14"/>
        <v>100</v>
      </c>
      <c r="R34" s="32">
        <f t="shared" si="26"/>
        <v>100</v>
      </c>
    </row>
    <row r="35" spans="1:28" s="5" customFormat="1" ht="159.75" customHeight="1">
      <c r="A35" s="8"/>
      <c r="B35" s="8"/>
      <c r="C35" s="8"/>
      <c r="D35" s="8"/>
      <c r="E35" s="8"/>
      <c r="F35" s="41" t="s">
        <v>182</v>
      </c>
      <c r="G35" s="17" t="s">
        <v>85</v>
      </c>
      <c r="H35" s="17" t="s">
        <v>187</v>
      </c>
      <c r="I35" s="17" t="s">
        <v>94</v>
      </c>
      <c r="J35" s="71">
        <v>1296.8</v>
      </c>
      <c r="K35" s="71">
        <v>1296.8</v>
      </c>
      <c r="L35" s="71">
        <v>1296.8</v>
      </c>
      <c r="M35" s="71">
        <v>1296.8</v>
      </c>
      <c r="N35" s="70"/>
      <c r="O35" s="70"/>
      <c r="P35" s="32">
        <f t="shared" ref="P35:P36" si="29">O35/L35*100</f>
        <v>0</v>
      </c>
      <c r="Q35" s="32">
        <f t="shared" si="14"/>
        <v>0</v>
      </c>
      <c r="R35" s="32">
        <f t="shared" ref="R35:R37" si="30">O35/M35*100</f>
        <v>0</v>
      </c>
    </row>
    <row r="36" spans="1:28" s="5" customFormat="1" ht="103.5" customHeight="1">
      <c r="A36" s="8"/>
      <c r="B36" s="8"/>
      <c r="C36" s="8"/>
      <c r="D36" s="8"/>
      <c r="E36" s="8"/>
      <c r="F36" s="41" t="s">
        <v>183</v>
      </c>
      <c r="G36" s="41" t="s">
        <v>105</v>
      </c>
      <c r="H36" s="17" t="s">
        <v>187</v>
      </c>
      <c r="I36" s="17" t="s">
        <v>94</v>
      </c>
      <c r="J36" s="71">
        <v>23000</v>
      </c>
      <c r="K36" s="71">
        <v>23000</v>
      </c>
      <c r="L36" s="71">
        <v>23000</v>
      </c>
      <c r="M36" s="71">
        <v>23000</v>
      </c>
      <c r="N36" s="70">
        <v>22990</v>
      </c>
      <c r="O36" s="70">
        <v>22990</v>
      </c>
      <c r="P36" s="32">
        <f t="shared" si="29"/>
        <v>99.956521739130437</v>
      </c>
      <c r="Q36" s="32">
        <f t="shared" si="14"/>
        <v>99.956521739130437</v>
      </c>
      <c r="R36" s="32">
        <f t="shared" si="30"/>
        <v>99.956521739130437</v>
      </c>
    </row>
    <row r="37" spans="1:28" s="5" customFormat="1" ht="149.25" customHeight="1">
      <c r="A37" s="8"/>
      <c r="B37" s="8"/>
      <c r="C37" s="8"/>
      <c r="D37" s="8"/>
      <c r="E37" s="8"/>
      <c r="F37" s="42" t="s">
        <v>144</v>
      </c>
      <c r="G37" s="27" t="s">
        <v>99</v>
      </c>
      <c r="H37" s="27" t="s">
        <v>187</v>
      </c>
      <c r="I37" s="27" t="s">
        <v>145</v>
      </c>
      <c r="J37" s="69">
        <v>3307.68</v>
      </c>
      <c r="K37" s="69">
        <v>3307.68</v>
      </c>
      <c r="L37" s="69">
        <v>3307.68</v>
      </c>
      <c r="M37" s="69">
        <v>3307.68</v>
      </c>
      <c r="N37" s="69">
        <v>3307.68</v>
      </c>
      <c r="O37" s="69">
        <v>2337.8449999999998</v>
      </c>
      <c r="P37" s="34">
        <f t="shared" ref="P37" si="31">O37/L37*100</f>
        <v>70.679297876457213</v>
      </c>
      <c r="Q37" s="36">
        <f t="shared" si="14"/>
        <v>70.679297876457213</v>
      </c>
      <c r="R37" s="34">
        <f t="shared" si="30"/>
        <v>70.679297876457213</v>
      </c>
    </row>
    <row r="38" spans="1:28" ht="56.45" customHeight="1">
      <c r="A38" s="8"/>
      <c r="B38" s="8"/>
      <c r="C38" s="8"/>
      <c r="D38" s="8"/>
      <c r="E38" s="8"/>
      <c r="F38" s="50" t="s">
        <v>4</v>
      </c>
      <c r="G38" s="51"/>
      <c r="H38" s="51"/>
      <c r="I38" s="51"/>
      <c r="J38" s="52">
        <f t="shared" ref="J38:M38" si="32">J40+J51+J39</f>
        <v>667854.57083999994</v>
      </c>
      <c r="K38" s="52">
        <f t="shared" si="32"/>
        <v>667854.57083999994</v>
      </c>
      <c r="L38" s="52">
        <f t="shared" si="32"/>
        <v>667854.57083999994</v>
      </c>
      <c r="M38" s="52">
        <f t="shared" si="32"/>
        <v>667854.57083999994</v>
      </c>
      <c r="N38" s="52">
        <f t="shared" ref="N38" si="33">N40+N51+N39</f>
        <v>639925.62394000008</v>
      </c>
      <c r="O38" s="52">
        <f t="shared" ref="O38" si="34">O40+O51+O39</f>
        <v>639925.62394000008</v>
      </c>
      <c r="P38" s="53">
        <f t="shared" si="4"/>
        <v>95.818109492778945</v>
      </c>
      <c r="Q38" s="53">
        <f>O38/K38*100</f>
        <v>95.818109492778945</v>
      </c>
      <c r="R38" s="53">
        <f t="shared" si="8"/>
        <v>95.818109492778945</v>
      </c>
    </row>
    <row r="39" spans="1:28" s="1" customFormat="1" ht="76.5" customHeight="1">
      <c r="A39" s="8">
        <v>1</v>
      </c>
      <c r="B39" s="8">
        <v>1</v>
      </c>
      <c r="C39" s="8"/>
      <c r="D39" s="8"/>
      <c r="E39" s="8"/>
      <c r="F39" s="27" t="s">
        <v>24</v>
      </c>
      <c r="G39" s="17" t="s">
        <v>99</v>
      </c>
      <c r="H39" s="17" t="s">
        <v>100</v>
      </c>
      <c r="I39" s="17" t="s">
        <v>101</v>
      </c>
      <c r="J39" s="76">
        <v>6184</v>
      </c>
      <c r="K39" s="76">
        <v>6184</v>
      </c>
      <c r="L39" s="76">
        <v>6184</v>
      </c>
      <c r="M39" s="76">
        <v>6184</v>
      </c>
      <c r="N39" s="76">
        <v>6184</v>
      </c>
      <c r="O39" s="76">
        <v>6184</v>
      </c>
      <c r="P39" s="67">
        <f t="shared" si="4"/>
        <v>100</v>
      </c>
      <c r="Q39" s="34">
        <f>O39/K39*100</f>
        <v>100</v>
      </c>
      <c r="R39" s="34">
        <f t="shared" si="8"/>
        <v>100</v>
      </c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47.25" customHeight="1">
      <c r="A40" s="8"/>
      <c r="B40" s="8"/>
      <c r="C40" s="8"/>
      <c r="D40" s="8"/>
      <c r="E40" s="8"/>
      <c r="F40" s="27" t="s">
        <v>25</v>
      </c>
      <c r="G40" s="27"/>
      <c r="H40" s="27"/>
      <c r="I40" s="27"/>
      <c r="J40" s="33">
        <f>SUM(J41:J50)</f>
        <v>395550.12099999998</v>
      </c>
      <c r="K40" s="33">
        <f t="shared" ref="K40:M40" si="35">SUM(K41:K50)</f>
        <v>395550.12099999998</v>
      </c>
      <c r="L40" s="33">
        <f t="shared" si="35"/>
        <v>395550.12099999998</v>
      </c>
      <c r="M40" s="33">
        <f t="shared" si="35"/>
        <v>395550.12099999998</v>
      </c>
      <c r="N40" s="33">
        <f t="shared" ref="N40:O40" si="36">SUM(N41:N50)</f>
        <v>367625.42038000003</v>
      </c>
      <c r="O40" s="33">
        <f t="shared" si="36"/>
        <v>367625.42038000003</v>
      </c>
      <c r="P40" s="34">
        <f t="shared" si="4"/>
        <v>92.940287681014269</v>
      </c>
      <c r="Q40" s="34">
        <f>O40/K40*100</f>
        <v>92.940287681014269</v>
      </c>
      <c r="R40" s="34">
        <f t="shared" si="8"/>
        <v>92.940287681014269</v>
      </c>
    </row>
    <row r="41" spans="1:28" ht="97.5" customHeight="1">
      <c r="A41" s="8">
        <v>1</v>
      </c>
      <c r="B41" s="8">
        <v>1</v>
      </c>
      <c r="C41" s="8">
        <v>1</v>
      </c>
      <c r="D41" s="8">
        <v>1</v>
      </c>
      <c r="E41" s="8">
        <v>1</v>
      </c>
      <c r="F41" s="17" t="s">
        <v>26</v>
      </c>
      <c r="G41" s="17" t="s">
        <v>102</v>
      </c>
      <c r="H41" s="17" t="s">
        <v>187</v>
      </c>
      <c r="I41" s="17" t="s">
        <v>103</v>
      </c>
      <c r="J41" s="72">
        <v>53938.620999999999</v>
      </c>
      <c r="K41" s="72">
        <v>53938.620999999999</v>
      </c>
      <c r="L41" s="72">
        <v>53938.620999999999</v>
      </c>
      <c r="M41" s="72">
        <v>53938.620999999999</v>
      </c>
      <c r="N41" s="72">
        <f>11331.27324+4217.90344+10000+10020.01025+15188.57594+1242.23713+1938.59938</f>
        <v>53938.59938</v>
      </c>
      <c r="O41" s="72">
        <f>11331.27324+4217.90344+10000+10020.01025+15188.57594+1242.23713+1938.59938</f>
        <v>53938.59938</v>
      </c>
      <c r="P41" s="32">
        <f t="shared" si="4"/>
        <v>99.99995991740316</v>
      </c>
      <c r="Q41" s="32">
        <f t="shared" ref="Q41:Q50" si="37">O41/K41*100</f>
        <v>99.99995991740316</v>
      </c>
      <c r="R41" s="32">
        <f t="shared" si="8"/>
        <v>99.99995991740316</v>
      </c>
    </row>
    <row r="42" spans="1:28" ht="112.5">
      <c r="A42" s="8">
        <v>1</v>
      </c>
      <c r="B42" s="8">
        <v>1</v>
      </c>
      <c r="C42" s="8">
        <v>1</v>
      </c>
      <c r="D42" s="8">
        <v>1</v>
      </c>
      <c r="E42" s="8">
        <v>1</v>
      </c>
      <c r="F42" s="17" t="s">
        <v>27</v>
      </c>
      <c r="G42" s="17" t="s">
        <v>104</v>
      </c>
      <c r="H42" s="17" t="s">
        <v>187</v>
      </c>
      <c r="I42" s="17" t="s">
        <v>103</v>
      </c>
      <c r="J42" s="72">
        <v>35924.699999999997</v>
      </c>
      <c r="K42" s="72">
        <v>35924.699999999997</v>
      </c>
      <c r="L42" s="72">
        <v>35924.699999999997</v>
      </c>
      <c r="M42" s="72">
        <v>35924.699999999997</v>
      </c>
      <c r="N42" s="72">
        <f>2000+2000+4000</f>
        <v>8000</v>
      </c>
      <c r="O42" s="72">
        <f>2000+2000+4000</f>
        <v>8000</v>
      </c>
      <c r="P42" s="32">
        <f t="shared" si="4"/>
        <v>22.268801131255099</v>
      </c>
      <c r="Q42" s="32">
        <f t="shared" si="37"/>
        <v>22.268801131255099</v>
      </c>
      <c r="R42" s="32">
        <f t="shared" si="8"/>
        <v>22.268801131255099</v>
      </c>
    </row>
    <row r="43" spans="1:28" ht="105.75" customHeight="1">
      <c r="A43" s="8">
        <v>1</v>
      </c>
      <c r="B43" s="8">
        <v>1</v>
      </c>
      <c r="C43" s="8">
        <v>1</v>
      </c>
      <c r="D43" s="8">
        <v>1</v>
      </c>
      <c r="E43" s="8">
        <v>1</v>
      </c>
      <c r="F43" s="17" t="s">
        <v>28</v>
      </c>
      <c r="G43" s="17" t="s">
        <v>89</v>
      </c>
      <c r="H43" s="17" t="s">
        <v>187</v>
      </c>
      <c r="I43" s="17" t="s">
        <v>103</v>
      </c>
      <c r="J43" s="72">
        <v>35500</v>
      </c>
      <c r="K43" s="72">
        <v>35500</v>
      </c>
      <c r="L43" s="72">
        <v>35500</v>
      </c>
      <c r="M43" s="72">
        <v>35500</v>
      </c>
      <c r="N43" s="72">
        <v>35500</v>
      </c>
      <c r="O43" s="72">
        <v>35500</v>
      </c>
      <c r="P43" s="32">
        <f t="shared" si="4"/>
        <v>100</v>
      </c>
      <c r="Q43" s="32">
        <f t="shared" si="37"/>
        <v>100</v>
      </c>
      <c r="R43" s="32">
        <f t="shared" si="8"/>
        <v>100</v>
      </c>
    </row>
    <row r="44" spans="1:28" ht="112.5">
      <c r="A44" s="8">
        <v>1</v>
      </c>
      <c r="B44" s="8">
        <v>1</v>
      </c>
      <c r="C44" s="8">
        <v>1</v>
      </c>
      <c r="D44" s="8">
        <v>1</v>
      </c>
      <c r="E44" s="8">
        <v>1</v>
      </c>
      <c r="F44" s="17" t="s">
        <v>209</v>
      </c>
      <c r="G44" s="17" t="s">
        <v>105</v>
      </c>
      <c r="H44" s="17" t="s">
        <v>187</v>
      </c>
      <c r="I44" s="17" t="s">
        <v>103</v>
      </c>
      <c r="J44" s="72">
        <v>106311.8</v>
      </c>
      <c r="K44" s="72">
        <v>106311.8</v>
      </c>
      <c r="L44" s="72">
        <v>106311.8</v>
      </c>
      <c r="M44" s="72">
        <v>106311.8</v>
      </c>
      <c r="N44" s="72">
        <f>36000+70311.821</f>
        <v>106311.821</v>
      </c>
      <c r="O44" s="72">
        <f>36000+70311.821</f>
        <v>106311.821</v>
      </c>
      <c r="P44" s="32">
        <f t="shared" si="4"/>
        <v>100.00001975321649</v>
      </c>
      <c r="Q44" s="32">
        <f t="shared" si="37"/>
        <v>100.00001975321649</v>
      </c>
      <c r="R44" s="32">
        <f t="shared" si="8"/>
        <v>100.00001975321649</v>
      </c>
    </row>
    <row r="45" spans="1:28" ht="93.75">
      <c r="A45" s="8">
        <v>1</v>
      </c>
      <c r="B45" s="8">
        <v>1</v>
      </c>
      <c r="C45" s="8">
        <v>1</v>
      </c>
      <c r="D45" s="8"/>
      <c r="E45" s="8">
        <v>1</v>
      </c>
      <c r="F45" s="17" t="s">
        <v>29</v>
      </c>
      <c r="G45" s="17" t="s">
        <v>93</v>
      </c>
      <c r="H45" s="17" t="s">
        <v>187</v>
      </c>
      <c r="I45" s="17" t="s">
        <v>103</v>
      </c>
      <c r="J45" s="72">
        <v>40000</v>
      </c>
      <c r="K45" s="72">
        <v>40000</v>
      </c>
      <c r="L45" s="72">
        <v>40000</v>
      </c>
      <c r="M45" s="72">
        <v>40000</v>
      </c>
      <c r="N45" s="72">
        <f>30000+10000</f>
        <v>40000</v>
      </c>
      <c r="O45" s="72">
        <f>30000+10000</f>
        <v>40000</v>
      </c>
      <c r="P45" s="32">
        <f t="shared" si="4"/>
        <v>100</v>
      </c>
      <c r="Q45" s="32">
        <f t="shared" si="37"/>
        <v>100</v>
      </c>
      <c r="R45" s="32">
        <f t="shared" si="8"/>
        <v>100</v>
      </c>
    </row>
    <row r="46" spans="1:28" ht="107.25" customHeight="1">
      <c r="A46" s="8">
        <v>1</v>
      </c>
      <c r="B46" s="8">
        <v>1</v>
      </c>
      <c r="C46" s="8">
        <v>1</v>
      </c>
      <c r="D46" s="8"/>
      <c r="E46" s="8">
        <v>1</v>
      </c>
      <c r="F46" s="17" t="s">
        <v>30</v>
      </c>
      <c r="G46" s="17" t="s">
        <v>90</v>
      </c>
      <c r="H46" s="17" t="s">
        <v>187</v>
      </c>
      <c r="I46" s="17" t="s">
        <v>103</v>
      </c>
      <c r="J46" s="72">
        <v>25500</v>
      </c>
      <c r="K46" s="72">
        <v>25500</v>
      </c>
      <c r="L46" s="72">
        <v>25500</v>
      </c>
      <c r="M46" s="72">
        <v>25500</v>
      </c>
      <c r="N46" s="72">
        <f>7750+1055.78668+100+6594.21332+10000</f>
        <v>25500</v>
      </c>
      <c r="O46" s="72">
        <f>7750+1055.78668+100+6594.21332+10000</f>
        <v>25500</v>
      </c>
      <c r="P46" s="32">
        <f t="shared" si="4"/>
        <v>100</v>
      </c>
      <c r="Q46" s="32">
        <f t="shared" si="37"/>
        <v>100</v>
      </c>
      <c r="R46" s="32">
        <f t="shared" si="8"/>
        <v>100</v>
      </c>
    </row>
    <row r="47" spans="1:28" s="5" customFormat="1" ht="103.5" customHeight="1">
      <c r="A47" s="8"/>
      <c r="B47" s="8"/>
      <c r="C47" s="8"/>
      <c r="D47" s="8"/>
      <c r="E47" s="8"/>
      <c r="F47" s="17" t="s">
        <v>208</v>
      </c>
      <c r="G47" s="17" t="s">
        <v>107</v>
      </c>
      <c r="H47" s="17" t="s">
        <v>187</v>
      </c>
      <c r="I47" s="17" t="s">
        <v>103</v>
      </c>
      <c r="J47" s="72">
        <v>13000</v>
      </c>
      <c r="K47" s="72">
        <v>13000</v>
      </c>
      <c r="L47" s="72">
        <v>13000</v>
      </c>
      <c r="M47" s="72">
        <v>13000</v>
      </c>
      <c r="N47" s="72">
        <v>13000</v>
      </c>
      <c r="O47" s="72">
        <v>13000</v>
      </c>
      <c r="P47" s="32">
        <f t="shared" ref="P47:P50" si="38">O47/L47*100</f>
        <v>100</v>
      </c>
      <c r="Q47" s="32">
        <f t="shared" si="37"/>
        <v>100</v>
      </c>
      <c r="R47" s="32">
        <f t="shared" ref="R47:R48" si="39">O47/M47*100</f>
        <v>100</v>
      </c>
    </row>
    <row r="48" spans="1:28" s="5" customFormat="1" ht="156.6" customHeight="1">
      <c r="A48" s="8"/>
      <c r="B48" s="8"/>
      <c r="C48" s="8"/>
      <c r="D48" s="8"/>
      <c r="E48" s="8"/>
      <c r="F48" s="17" t="s">
        <v>207</v>
      </c>
      <c r="G48" s="44" t="s">
        <v>85</v>
      </c>
      <c r="H48" s="17" t="s">
        <v>187</v>
      </c>
      <c r="I48" s="17" t="s">
        <v>103</v>
      </c>
      <c r="J48" s="72">
        <v>70000</v>
      </c>
      <c r="K48" s="72">
        <v>70000</v>
      </c>
      <c r="L48" s="72">
        <v>70000</v>
      </c>
      <c r="M48" s="72">
        <v>70000</v>
      </c>
      <c r="N48" s="72">
        <v>70000</v>
      </c>
      <c r="O48" s="72">
        <v>70000</v>
      </c>
      <c r="P48" s="32">
        <f t="shared" si="38"/>
        <v>100</v>
      </c>
      <c r="Q48" s="32">
        <f t="shared" si="37"/>
        <v>100</v>
      </c>
      <c r="R48" s="32">
        <f t="shared" si="39"/>
        <v>100</v>
      </c>
    </row>
    <row r="49" spans="1:28" s="5" customFormat="1" ht="163.5" customHeight="1">
      <c r="A49" s="8"/>
      <c r="B49" s="8"/>
      <c r="C49" s="8"/>
      <c r="D49" s="8"/>
      <c r="E49" s="8"/>
      <c r="F49" s="17" t="s">
        <v>206</v>
      </c>
      <c r="G49" s="44" t="s">
        <v>85</v>
      </c>
      <c r="H49" s="17" t="s">
        <v>187</v>
      </c>
      <c r="I49" s="17" t="s">
        <v>103</v>
      </c>
      <c r="J49" s="72">
        <v>5000</v>
      </c>
      <c r="K49" s="72">
        <v>5000</v>
      </c>
      <c r="L49" s="72">
        <v>5000</v>
      </c>
      <c r="M49" s="72">
        <v>5000</v>
      </c>
      <c r="N49" s="72">
        <v>5000</v>
      </c>
      <c r="O49" s="72">
        <v>5000</v>
      </c>
      <c r="P49" s="32">
        <f t="shared" si="38"/>
        <v>100</v>
      </c>
      <c r="Q49" s="32">
        <f t="shared" si="37"/>
        <v>100</v>
      </c>
      <c r="R49" s="32">
        <f t="shared" ref="R49:R50" si="40">O49/M49*100</f>
        <v>100</v>
      </c>
    </row>
    <row r="50" spans="1:28" s="5" customFormat="1" ht="98.25" customHeight="1">
      <c r="A50" s="8"/>
      <c r="B50" s="8"/>
      <c r="C50" s="8"/>
      <c r="D50" s="8"/>
      <c r="E50" s="8"/>
      <c r="F50" s="17" t="s">
        <v>205</v>
      </c>
      <c r="G50" s="17" t="s">
        <v>104</v>
      </c>
      <c r="H50" s="17" t="s">
        <v>187</v>
      </c>
      <c r="I50" s="17" t="s">
        <v>103</v>
      </c>
      <c r="J50" s="72">
        <v>10375</v>
      </c>
      <c r="K50" s="72">
        <v>10375</v>
      </c>
      <c r="L50" s="72">
        <v>10375</v>
      </c>
      <c r="M50" s="72">
        <v>10375</v>
      </c>
      <c r="N50" s="72">
        <f>6782+3593</f>
        <v>10375</v>
      </c>
      <c r="O50" s="72">
        <f>6782+3593</f>
        <v>10375</v>
      </c>
      <c r="P50" s="32">
        <f t="shared" si="38"/>
        <v>100</v>
      </c>
      <c r="Q50" s="32">
        <f t="shared" si="37"/>
        <v>100</v>
      </c>
      <c r="R50" s="32">
        <f t="shared" si="40"/>
        <v>100</v>
      </c>
    </row>
    <row r="51" spans="1:28" s="1" customFormat="1" ht="58.5">
      <c r="A51" s="8"/>
      <c r="B51" s="8"/>
      <c r="C51" s="8"/>
      <c r="D51" s="8"/>
      <c r="E51" s="8"/>
      <c r="F51" s="27" t="s">
        <v>31</v>
      </c>
      <c r="G51" s="27"/>
      <c r="H51" s="27"/>
      <c r="I51" s="27"/>
      <c r="J51" s="33">
        <f>SUM(J52:J55)</f>
        <v>266120.44984000002</v>
      </c>
      <c r="K51" s="33">
        <f t="shared" ref="K51:M51" si="41">SUM(K52:K55)</f>
        <v>266120.44984000002</v>
      </c>
      <c r="L51" s="33">
        <f t="shared" si="41"/>
        <v>266120.44984000002</v>
      </c>
      <c r="M51" s="33">
        <f t="shared" si="41"/>
        <v>266120.44984000002</v>
      </c>
      <c r="N51" s="33">
        <f>SUM(N52:N55)</f>
        <v>266116.20355999999</v>
      </c>
      <c r="O51" s="33">
        <f t="shared" ref="O51" si="42">SUM(O52:O55)</f>
        <v>266116.20355999999</v>
      </c>
      <c r="P51" s="34">
        <f t="shared" si="4"/>
        <v>99.998404376663814</v>
      </c>
      <c r="Q51" s="34">
        <f>O51/K51*100</f>
        <v>99.998404376663814</v>
      </c>
      <c r="R51" s="34">
        <f t="shared" si="8"/>
        <v>99.998404376663814</v>
      </c>
    </row>
    <row r="52" spans="1:28" ht="164.25" customHeight="1">
      <c r="A52" s="8">
        <v>1</v>
      </c>
      <c r="B52" s="8">
        <v>1</v>
      </c>
      <c r="C52" s="8">
        <v>1</v>
      </c>
      <c r="D52" s="8">
        <v>1</v>
      </c>
      <c r="E52" s="8"/>
      <c r="F52" s="17" t="s">
        <v>203</v>
      </c>
      <c r="G52" s="44" t="s">
        <v>85</v>
      </c>
      <c r="H52" s="17" t="s">
        <v>187</v>
      </c>
      <c r="I52" s="17" t="s">
        <v>106</v>
      </c>
      <c r="J52" s="72">
        <v>44835.444000000003</v>
      </c>
      <c r="K52" s="72">
        <v>44835.444000000003</v>
      </c>
      <c r="L52" s="72">
        <v>44835.444000000003</v>
      </c>
      <c r="M52" s="72">
        <v>44835.444000000003</v>
      </c>
      <c r="N52" s="72">
        <v>44831.197719999996</v>
      </c>
      <c r="O52" s="72">
        <v>44831.197719999996</v>
      </c>
      <c r="P52" s="32">
        <f t="shared" si="4"/>
        <v>99.990529189361865</v>
      </c>
      <c r="Q52" s="32">
        <f t="shared" ref="Q52:Q55" si="43">O52/K52*100</f>
        <v>99.990529189361865</v>
      </c>
      <c r="R52" s="32">
        <f t="shared" si="8"/>
        <v>99.990529189361865</v>
      </c>
    </row>
    <row r="53" spans="1:28" ht="112.5">
      <c r="A53" s="8">
        <v>1</v>
      </c>
      <c r="B53" s="8">
        <v>1</v>
      </c>
      <c r="C53" s="8">
        <v>1</v>
      </c>
      <c r="D53" s="8">
        <v>1</v>
      </c>
      <c r="E53" s="8"/>
      <c r="F53" s="17" t="s">
        <v>32</v>
      </c>
      <c r="G53" s="17" t="s">
        <v>102</v>
      </c>
      <c r="H53" s="17" t="s">
        <v>187</v>
      </c>
      <c r="I53" s="17" t="s">
        <v>101</v>
      </c>
      <c r="J53" s="72">
        <f>203927.45+0.09705</f>
        <v>203927.54705000002</v>
      </c>
      <c r="K53" s="72">
        <f t="shared" ref="K53:M53" si="44">203927.45+0.09705</f>
        <v>203927.54705000002</v>
      </c>
      <c r="L53" s="72">
        <f t="shared" si="44"/>
        <v>203927.54705000002</v>
      </c>
      <c r="M53" s="72">
        <f t="shared" si="44"/>
        <v>203927.54705000002</v>
      </c>
      <c r="N53" s="72">
        <f>203927.45+0.09705</f>
        <v>203927.54705000002</v>
      </c>
      <c r="O53" s="72">
        <f>203927.45+0.09705</f>
        <v>203927.54705000002</v>
      </c>
      <c r="P53" s="32">
        <f t="shared" si="4"/>
        <v>100</v>
      </c>
      <c r="Q53" s="32">
        <f t="shared" si="43"/>
        <v>100</v>
      </c>
      <c r="R53" s="32">
        <f t="shared" si="8"/>
        <v>100</v>
      </c>
    </row>
    <row r="54" spans="1:28" s="1" customFormat="1" ht="118.15" customHeight="1">
      <c r="A54" s="8">
        <v>1</v>
      </c>
      <c r="B54" s="8">
        <v>1</v>
      </c>
      <c r="C54" s="8">
        <v>1</v>
      </c>
      <c r="D54" s="8">
        <v>1</v>
      </c>
      <c r="E54" s="8"/>
      <c r="F54" s="17" t="s">
        <v>33</v>
      </c>
      <c r="G54" s="17" t="s">
        <v>86</v>
      </c>
      <c r="H54" s="17" t="s">
        <v>187</v>
      </c>
      <c r="I54" s="17" t="s">
        <v>101</v>
      </c>
      <c r="J54" s="72">
        <v>14800</v>
      </c>
      <c r="K54" s="72">
        <v>14800</v>
      </c>
      <c r="L54" s="72">
        <v>14800</v>
      </c>
      <c r="M54" s="72">
        <v>14800</v>
      </c>
      <c r="N54" s="72">
        <f>3822.7+183.287+4019.598+253.933+756.12+4679.92+768.356+316.086</f>
        <v>14800</v>
      </c>
      <c r="O54" s="72">
        <f>3822.7+183.287+4019.598+253.933+756.12+4679.92+768.356+316.086</f>
        <v>14800</v>
      </c>
      <c r="P54" s="32">
        <f t="shared" si="4"/>
        <v>100</v>
      </c>
      <c r="Q54" s="32">
        <f t="shared" si="43"/>
        <v>100</v>
      </c>
      <c r="R54" s="32">
        <f t="shared" si="8"/>
        <v>100</v>
      </c>
      <c r="S54"/>
      <c r="T54"/>
      <c r="U54"/>
      <c r="V54"/>
      <c r="W54"/>
      <c r="X54"/>
      <c r="Y54"/>
      <c r="Z54"/>
      <c r="AA54"/>
      <c r="AB54"/>
    </row>
    <row r="55" spans="1:28" s="1" customFormat="1" ht="102.75" customHeight="1">
      <c r="A55" s="8"/>
      <c r="B55" s="8"/>
      <c r="C55" s="8"/>
      <c r="D55" s="8"/>
      <c r="E55" s="8"/>
      <c r="F55" s="17" t="s">
        <v>204</v>
      </c>
      <c r="G55" s="17" t="s">
        <v>107</v>
      </c>
      <c r="H55" s="17" t="s">
        <v>187</v>
      </c>
      <c r="I55" s="17" t="s">
        <v>101</v>
      </c>
      <c r="J55" s="73">
        <v>2557.4587900000001</v>
      </c>
      <c r="K55" s="73">
        <v>2557.4587900000001</v>
      </c>
      <c r="L55" s="73">
        <v>2557.4587900000001</v>
      </c>
      <c r="M55" s="73">
        <v>2557.4587900000001</v>
      </c>
      <c r="N55" s="73">
        <v>2557.4587900000001</v>
      </c>
      <c r="O55" s="73">
        <v>2557.4587900000001</v>
      </c>
      <c r="P55" s="32">
        <f t="shared" ref="P55" si="45">O55/L55*100</f>
        <v>100</v>
      </c>
      <c r="Q55" s="32">
        <f t="shared" si="43"/>
        <v>100</v>
      </c>
      <c r="R55" s="32">
        <f t="shared" ref="R55" si="46">O55/M55*100</f>
        <v>100</v>
      </c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63.75" customHeight="1">
      <c r="A56" s="8"/>
      <c r="B56" s="8"/>
      <c r="C56" s="8"/>
      <c r="D56" s="8"/>
      <c r="E56" s="8"/>
      <c r="F56" s="28" t="s">
        <v>5</v>
      </c>
      <c r="G56" s="28"/>
      <c r="H56" s="28"/>
      <c r="I56" s="28"/>
      <c r="J56" s="54">
        <f t="shared" ref="J56:O56" si="47">SUM(J57)</f>
        <v>43156.6</v>
      </c>
      <c r="K56" s="54">
        <f t="shared" si="47"/>
        <v>43156.6</v>
      </c>
      <c r="L56" s="54">
        <f t="shared" si="47"/>
        <v>43156.6</v>
      </c>
      <c r="M56" s="54">
        <f t="shared" si="47"/>
        <v>43156.6</v>
      </c>
      <c r="N56" s="54">
        <f t="shared" si="47"/>
        <v>43156.6</v>
      </c>
      <c r="O56" s="54">
        <f t="shared" si="47"/>
        <v>43156.600000000006</v>
      </c>
      <c r="P56" s="53">
        <f t="shared" si="4"/>
        <v>100.00000000000003</v>
      </c>
      <c r="Q56" s="53">
        <f>O56/K56*100</f>
        <v>100.00000000000003</v>
      </c>
      <c r="R56" s="53">
        <f t="shared" si="8"/>
        <v>100.00000000000003</v>
      </c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s="1" customFormat="1" ht="155.44999999999999" customHeight="1">
      <c r="A57" s="8">
        <v>1</v>
      </c>
      <c r="B57" s="8">
        <v>1</v>
      </c>
      <c r="C57" s="8">
        <v>1</v>
      </c>
      <c r="D57" s="8"/>
      <c r="E57" s="8">
        <v>1</v>
      </c>
      <c r="F57" s="17" t="s">
        <v>137</v>
      </c>
      <c r="G57" s="17" t="s">
        <v>85</v>
      </c>
      <c r="H57" s="17" t="s">
        <v>187</v>
      </c>
      <c r="I57" s="17" t="s">
        <v>108</v>
      </c>
      <c r="J57" s="31">
        <v>43156.6</v>
      </c>
      <c r="K57" s="31">
        <v>43156.6</v>
      </c>
      <c r="L57" s="31">
        <v>43156.6</v>
      </c>
      <c r="M57" s="31">
        <v>43156.6</v>
      </c>
      <c r="N57" s="31">
        <v>43156.6</v>
      </c>
      <c r="O57" s="31">
        <f>31190.14572+109+59.68834+1585.55743+42.2049+93.19862+10076.80499</f>
        <v>43156.600000000006</v>
      </c>
      <c r="P57" s="32">
        <f t="shared" si="4"/>
        <v>100.00000000000003</v>
      </c>
      <c r="Q57" s="32">
        <f t="shared" ref="Q57" si="48">O57/K57*100</f>
        <v>100.00000000000003</v>
      </c>
      <c r="R57" s="32">
        <f t="shared" si="8"/>
        <v>100.00000000000003</v>
      </c>
      <c r="S57"/>
      <c r="T57"/>
      <c r="U57"/>
      <c r="V57"/>
      <c r="W57"/>
      <c r="X57"/>
      <c r="Y57"/>
      <c r="Z57"/>
      <c r="AA57"/>
      <c r="AB57"/>
    </row>
    <row r="58" spans="1:28" ht="91.9" customHeight="1">
      <c r="A58" s="8"/>
      <c r="B58" s="8"/>
      <c r="C58" s="8"/>
      <c r="D58" s="8"/>
      <c r="E58" s="8"/>
      <c r="F58" s="28" t="s">
        <v>6</v>
      </c>
      <c r="G58" s="28"/>
      <c r="H58" s="28"/>
      <c r="I58" s="28"/>
      <c r="J58" s="54">
        <f>20350.3+18443.26545</f>
        <v>38793.565449999995</v>
      </c>
      <c r="K58" s="54">
        <f t="shared" ref="K58:M58" si="49">20350.3+18443.26545</f>
        <v>38793.565449999995</v>
      </c>
      <c r="L58" s="54">
        <f t="shared" si="49"/>
        <v>38793.565449999995</v>
      </c>
      <c r="M58" s="54">
        <f t="shared" si="49"/>
        <v>38793.565449999995</v>
      </c>
      <c r="N58" s="54">
        <f>20350.3+18443.26545</f>
        <v>38793.565449999995</v>
      </c>
      <c r="O58" s="54">
        <f>20350.3+18443.25431</f>
        <v>38793.55431</v>
      </c>
      <c r="P58" s="53">
        <f t="shared" si="4"/>
        <v>99.999971283897565</v>
      </c>
      <c r="Q58" s="53">
        <f>O58/K58*100</f>
        <v>99.999971283897565</v>
      </c>
      <c r="R58" s="53">
        <f t="shared" si="8"/>
        <v>99.999971283897565</v>
      </c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08.75" customHeight="1">
      <c r="A59" s="8">
        <v>1</v>
      </c>
      <c r="B59" s="8">
        <v>1</v>
      </c>
      <c r="C59" s="8">
        <v>1</v>
      </c>
      <c r="D59" s="8">
        <v>1</v>
      </c>
      <c r="E59" s="8"/>
      <c r="F59" s="17" t="s">
        <v>34</v>
      </c>
      <c r="G59" s="17" t="s">
        <v>90</v>
      </c>
      <c r="H59" s="17" t="s">
        <v>187</v>
      </c>
      <c r="I59" s="17" t="s">
        <v>87</v>
      </c>
      <c r="J59" s="31">
        <v>20350.3</v>
      </c>
      <c r="K59" s="31">
        <v>20350.3</v>
      </c>
      <c r="L59" s="31">
        <v>20350.3</v>
      </c>
      <c r="M59" s="31">
        <v>20350.3</v>
      </c>
      <c r="N59" s="31">
        <v>20350.3</v>
      </c>
      <c r="O59" s="31">
        <v>20350.3</v>
      </c>
      <c r="P59" s="32">
        <f t="shared" si="4"/>
        <v>100</v>
      </c>
      <c r="Q59" s="32">
        <f t="shared" ref="Q59:Q62" si="50">O59/K59*100</f>
        <v>100</v>
      </c>
      <c r="R59" s="32">
        <f t="shared" si="8"/>
        <v>100</v>
      </c>
    </row>
    <row r="60" spans="1:28" s="1" customFormat="1" ht="156" customHeight="1">
      <c r="A60" s="8">
        <v>1</v>
      </c>
      <c r="B60" s="8">
        <v>1</v>
      </c>
      <c r="C60" s="8">
        <v>1</v>
      </c>
      <c r="D60" s="8">
        <v>1</v>
      </c>
      <c r="E60" s="8"/>
      <c r="F60" s="17" t="s">
        <v>35</v>
      </c>
      <c r="G60" s="17" t="s">
        <v>85</v>
      </c>
      <c r="H60" s="17" t="s">
        <v>187</v>
      </c>
      <c r="I60" s="17" t="s">
        <v>109</v>
      </c>
      <c r="J60" s="31">
        <v>13671.1</v>
      </c>
      <c r="K60" s="31">
        <v>13671.1</v>
      </c>
      <c r="L60" s="31">
        <v>13671.1</v>
      </c>
      <c r="M60" s="31">
        <v>13671.1</v>
      </c>
      <c r="N60" s="31">
        <v>13671.1</v>
      </c>
      <c r="O60" s="31">
        <v>13671.1</v>
      </c>
      <c r="P60" s="32">
        <f t="shared" si="4"/>
        <v>100</v>
      </c>
      <c r="Q60" s="32">
        <f t="shared" si="50"/>
        <v>100</v>
      </c>
      <c r="R60" s="32">
        <f t="shared" si="8"/>
        <v>100</v>
      </c>
      <c r="S60"/>
      <c r="T60"/>
      <c r="U60"/>
      <c r="V60"/>
      <c r="W60"/>
      <c r="X60"/>
      <c r="Y60"/>
      <c r="Z60"/>
      <c r="AA60"/>
      <c r="AB60"/>
    </row>
    <row r="61" spans="1:28" s="1" customFormat="1" ht="155.25" customHeight="1">
      <c r="A61" s="8"/>
      <c r="B61" s="8"/>
      <c r="C61" s="8"/>
      <c r="D61" s="8"/>
      <c r="E61" s="8"/>
      <c r="F61" s="17" t="s">
        <v>66</v>
      </c>
      <c r="G61" s="17" t="s">
        <v>85</v>
      </c>
      <c r="H61" s="17" t="s">
        <v>187</v>
      </c>
      <c r="I61" s="17" t="s">
        <v>109</v>
      </c>
      <c r="J61" s="31">
        <f>464.4+99.9</f>
        <v>564.29999999999995</v>
      </c>
      <c r="K61" s="31">
        <f t="shared" ref="K61:M61" si="51">464.4+99.9</f>
        <v>564.29999999999995</v>
      </c>
      <c r="L61" s="31">
        <f t="shared" si="51"/>
        <v>564.29999999999995</v>
      </c>
      <c r="M61" s="31">
        <f t="shared" si="51"/>
        <v>564.29999999999995</v>
      </c>
      <c r="N61" s="31">
        <f t="shared" ref="N61:O61" si="52">464.4+99.9</f>
        <v>564.29999999999995</v>
      </c>
      <c r="O61" s="31">
        <f t="shared" si="52"/>
        <v>564.29999999999995</v>
      </c>
      <c r="P61" s="32">
        <f t="shared" ref="P61" si="53">O61/L61*100</f>
        <v>100</v>
      </c>
      <c r="Q61" s="32">
        <f t="shared" si="50"/>
        <v>100</v>
      </c>
      <c r="R61" s="32">
        <f t="shared" ref="R61" si="54">O61/M61*100</f>
        <v>100</v>
      </c>
      <c r="S61" s="40"/>
      <c r="T61" s="5"/>
      <c r="U61" s="5"/>
      <c r="V61" s="5"/>
      <c r="W61" s="5"/>
      <c r="X61" s="5"/>
      <c r="Y61" s="5"/>
      <c r="Z61" s="5"/>
      <c r="AA61" s="5"/>
      <c r="AB61" s="5"/>
    </row>
    <row r="62" spans="1:28" s="1" customFormat="1" ht="157.5" customHeight="1">
      <c r="A62" s="8"/>
      <c r="B62" s="8"/>
      <c r="C62" s="8"/>
      <c r="D62" s="8"/>
      <c r="E62" s="8"/>
      <c r="F62" s="17" t="s">
        <v>79</v>
      </c>
      <c r="G62" s="17" t="s">
        <v>85</v>
      </c>
      <c r="H62" s="17" t="s">
        <v>187</v>
      </c>
      <c r="I62" s="17" t="s">
        <v>109</v>
      </c>
      <c r="J62" s="31">
        <v>4207.8999999999996</v>
      </c>
      <c r="K62" s="31">
        <v>4207.8999999999996</v>
      </c>
      <c r="L62" s="31">
        <v>4207.8999999999996</v>
      </c>
      <c r="M62" s="31">
        <v>4207.8999999999996</v>
      </c>
      <c r="N62" s="31">
        <v>4207.8999999999996</v>
      </c>
      <c r="O62" s="31">
        <v>4207.8999999999996</v>
      </c>
      <c r="P62" s="32">
        <f t="shared" ref="P62" si="55">O62/L62*100</f>
        <v>100</v>
      </c>
      <c r="Q62" s="32">
        <f t="shared" si="50"/>
        <v>100</v>
      </c>
      <c r="R62" s="32">
        <f t="shared" ref="R62" si="56">O62/M62*100</f>
        <v>100</v>
      </c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79.900000000000006" customHeight="1">
      <c r="A63" s="8"/>
      <c r="B63" s="8"/>
      <c r="C63" s="8"/>
      <c r="D63" s="8"/>
      <c r="E63" s="8"/>
      <c r="F63" s="28" t="s">
        <v>7</v>
      </c>
      <c r="G63" s="28"/>
      <c r="H63" s="28"/>
      <c r="I63" s="28"/>
      <c r="J63" s="54">
        <f t="shared" ref="J63:M63" si="57">SUM(J64:J67)</f>
        <v>73748.800000000003</v>
      </c>
      <c r="K63" s="54">
        <f t="shared" si="57"/>
        <v>73748.800000000003</v>
      </c>
      <c r="L63" s="54">
        <f t="shared" si="57"/>
        <v>73748.800000000003</v>
      </c>
      <c r="M63" s="54">
        <f t="shared" si="57"/>
        <v>73748.800000000003</v>
      </c>
      <c r="N63" s="54">
        <f t="shared" ref="N63" si="58">SUM(N64:N67)</f>
        <v>73748.800000000003</v>
      </c>
      <c r="O63" s="54">
        <f t="shared" ref="O63" si="59">SUM(O64:O67)</f>
        <v>73748.800000000003</v>
      </c>
      <c r="P63" s="53">
        <f t="shared" si="4"/>
        <v>100</v>
      </c>
      <c r="Q63" s="53">
        <f>O63/K63*100</f>
        <v>100</v>
      </c>
      <c r="R63" s="53">
        <f t="shared" si="8"/>
        <v>100</v>
      </c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08.75" customHeight="1">
      <c r="A64" s="8">
        <v>1</v>
      </c>
      <c r="B64" s="8">
        <v>1</v>
      </c>
      <c r="C64" s="8">
        <v>1</v>
      </c>
      <c r="D64" s="8">
        <v>1</v>
      </c>
      <c r="E64" s="8"/>
      <c r="F64" s="17" t="s">
        <v>36</v>
      </c>
      <c r="G64" s="17" t="s">
        <v>110</v>
      </c>
      <c r="H64" s="17" t="s">
        <v>187</v>
      </c>
      <c r="I64" s="17" t="s">
        <v>101</v>
      </c>
      <c r="J64" s="72">
        <v>39548.800000000003</v>
      </c>
      <c r="K64" s="72">
        <v>39548.800000000003</v>
      </c>
      <c r="L64" s="72">
        <v>39548.800000000003</v>
      </c>
      <c r="M64" s="72">
        <v>39548.800000000003</v>
      </c>
      <c r="N64" s="72">
        <v>39548.800000000003</v>
      </c>
      <c r="O64" s="72">
        <v>39548.800000000003</v>
      </c>
      <c r="P64" s="32">
        <f t="shared" si="4"/>
        <v>100</v>
      </c>
      <c r="Q64" s="32">
        <f t="shared" ref="Q64:Q67" si="60">O64/K64*100</f>
        <v>100</v>
      </c>
      <c r="R64" s="32">
        <f t="shared" si="8"/>
        <v>100</v>
      </c>
    </row>
    <row r="65" spans="1:28" s="1" customFormat="1" ht="100.5" customHeight="1">
      <c r="A65" s="8">
        <v>1</v>
      </c>
      <c r="B65" s="8">
        <v>1</v>
      </c>
      <c r="C65" s="8">
        <v>1</v>
      </c>
      <c r="D65" s="8"/>
      <c r="E65" s="8"/>
      <c r="F65" s="45" t="s">
        <v>37</v>
      </c>
      <c r="G65" s="17" t="s">
        <v>111</v>
      </c>
      <c r="H65" s="17" t="s">
        <v>187</v>
      </c>
      <c r="I65" s="17" t="s">
        <v>101</v>
      </c>
      <c r="J65" s="72">
        <v>26700</v>
      </c>
      <c r="K65" s="72">
        <v>26700</v>
      </c>
      <c r="L65" s="72">
        <v>26700</v>
      </c>
      <c r="M65" s="72">
        <v>26700</v>
      </c>
      <c r="N65" s="72">
        <v>26700</v>
      </c>
      <c r="O65" s="72">
        <v>26700</v>
      </c>
      <c r="P65" s="32">
        <f t="shared" si="4"/>
        <v>100</v>
      </c>
      <c r="Q65" s="32">
        <f t="shared" si="60"/>
        <v>100</v>
      </c>
      <c r="R65" s="32">
        <f t="shared" si="8"/>
        <v>100</v>
      </c>
      <c r="S65"/>
      <c r="T65" s="40"/>
      <c r="U65"/>
      <c r="V65"/>
      <c r="W65"/>
      <c r="X65"/>
      <c r="Y65"/>
      <c r="Z65"/>
      <c r="AA65"/>
      <c r="AB65"/>
    </row>
    <row r="66" spans="1:28" s="1" customFormat="1" ht="156.75" customHeight="1">
      <c r="A66" s="8"/>
      <c r="B66" s="8"/>
      <c r="C66" s="8"/>
      <c r="D66" s="8"/>
      <c r="E66" s="8"/>
      <c r="F66" s="17" t="s">
        <v>195</v>
      </c>
      <c r="G66" s="17" t="s">
        <v>85</v>
      </c>
      <c r="H66" s="17" t="s">
        <v>187</v>
      </c>
      <c r="I66" s="17" t="s">
        <v>112</v>
      </c>
      <c r="J66" s="72">
        <v>6500</v>
      </c>
      <c r="K66" s="72">
        <v>6500</v>
      </c>
      <c r="L66" s="72">
        <v>6500</v>
      </c>
      <c r="M66" s="72">
        <v>6500</v>
      </c>
      <c r="N66" s="72">
        <v>6500</v>
      </c>
      <c r="O66" s="72">
        <v>6500</v>
      </c>
      <c r="P66" s="32">
        <f t="shared" ref="P66:P67" si="61">O66/L66*100</f>
        <v>100</v>
      </c>
      <c r="Q66" s="32">
        <f t="shared" si="60"/>
        <v>100</v>
      </c>
      <c r="R66" s="32">
        <f t="shared" ref="R66:R67" si="62">O66/M66*100</f>
        <v>100</v>
      </c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s="1" customFormat="1" ht="102.75" customHeight="1">
      <c r="A67" s="8"/>
      <c r="B67" s="8"/>
      <c r="C67" s="8"/>
      <c r="D67" s="8"/>
      <c r="E67" s="8"/>
      <c r="F67" s="17" t="s">
        <v>80</v>
      </c>
      <c r="G67" s="17" t="s">
        <v>113</v>
      </c>
      <c r="H67" s="17" t="s">
        <v>187</v>
      </c>
      <c r="I67" s="17" t="s">
        <v>114</v>
      </c>
      <c r="J67" s="72">
        <v>1000</v>
      </c>
      <c r="K67" s="72">
        <v>1000</v>
      </c>
      <c r="L67" s="72">
        <v>1000</v>
      </c>
      <c r="M67" s="72">
        <v>1000</v>
      </c>
      <c r="N67" s="72">
        <v>1000</v>
      </c>
      <c r="O67" s="72">
        <v>1000</v>
      </c>
      <c r="P67" s="32">
        <f t="shared" si="61"/>
        <v>100</v>
      </c>
      <c r="Q67" s="32">
        <f t="shared" si="60"/>
        <v>100</v>
      </c>
      <c r="R67" s="32">
        <f t="shared" si="62"/>
        <v>100</v>
      </c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64.150000000000006" customHeight="1">
      <c r="A68" s="8"/>
      <c r="B68" s="8"/>
      <c r="C68" s="8"/>
      <c r="D68" s="8"/>
      <c r="E68" s="8"/>
      <c r="F68" s="28" t="s">
        <v>8</v>
      </c>
      <c r="G68" s="28"/>
      <c r="H68" s="28"/>
      <c r="I68" s="28"/>
      <c r="J68" s="54">
        <f t="shared" ref="J68:M68" si="63">J69+J70+J71</f>
        <v>84250.907449999999</v>
      </c>
      <c r="K68" s="54">
        <f t="shared" si="63"/>
        <v>84250.907449999999</v>
      </c>
      <c r="L68" s="54">
        <f t="shared" si="63"/>
        <v>84250.907449999999</v>
      </c>
      <c r="M68" s="54">
        <f t="shared" si="63"/>
        <v>84250.907449999999</v>
      </c>
      <c r="N68" s="54">
        <f t="shared" ref="N68" si="64">N69+N70+N71</f>
        <v>84250.907449999999</v>
      </c>
      <c r="O68" s="54">
        <f t="shared" ref="O68" si="65">O69+O70+O71</f>
        <v>84226.117669999992</v>
      </c>
      <c r="P68" s="53">
        <f t="shared" si="4"/>
        <v>99.970576245704279</v>
      </c>
      <c r="Q68" s="53">
        <f>O68/K68*100</f>
        <v>99.970576245704279</v>
      </c>
      <c r="R68" s="53">
        <f t="shared" si="8"/>
        <v>99.970576245704279</v>
      </c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s="1" customFormat="1" ht="157.15" customHeight="1">
      <c r="A69" s="8">
        <v>1</v>
      </c>
      <c r="B69" s="8">
        <v>1</v>
      </c>
      <c r="C69" s="8">
        <v>1</v>
      </c>
      <c r="D69" s="8">
        <v>1</v>
      </c>
      <c r="E69" s="8"/>
      <c r="F69" s="17" t="s">
        <v>136</v>
      </c>
      <c r="G69" s="17" t="s">
        <v>85</v>
      </c>
      <c r="H69" s="17" t="s">
        <v>187</v>
      </c>
      <c r="I69" s="17" t="s">
        <v>115</v>
      </c>
      <c r="J69" s="72">
        <v>82190.417669999995</v>
      </c>
      <c r="K69" s="72">
        <v>82190.417669999995</v>
      </c>
      <c r="L69" s="72">
        <v>82190.417669999995</v>
      </c>
      <c r="M69" s="72">
        <v>82190.417669999995</v>
      </c>
      <c r="N69" s="72">
        <v>82190.417669999995</v>
      </c>
      <c r="O69" s="72">
        <v>82190.417669999995</v>
      </c>
      <c r="P69" s="32">
        <f t="shared" si="4"/>
        <v>100</v>
      </c>
      <c r="Q69" s="32">
        <f t="shared" ref="Q69:Q71" si="66">O69/K69*100</f>
        <v>100</v>
      </c>
      <c r="R69" s="32">
        <f t="shared" si="8"/>
        <v>100</v>
      </c>
      <c r="S69"/>
      <c r="T69"/>
      <c r="U69"/>
      <c r="V69"/>
      <c r="W69"/>
      <c r="X69"/>
      <c r="Y69"/>
      <c r="Z69"/>
      <c r="AA69"/>
      <c r="AB69"/>
    </row>
    <row r="70" spans="1:28" s="1" customFormat="1" ht="154.15" customHeight="1">
      <c r="A70" s="8"/>
      <c r="B70" s="8"/>
      <c r="C70" s="8"/>
      <c r="D70" s="8"/>
      <c r="E70" s="8"/>
      <c r="F70" s="17" t="s">
        <v>67</v>
      </c>
      <c r="G70" s="17" t="s">
        <v>85</v>
      </c>
      <c r="H70" s="17" t="s">
        <v>187</v>
      </c>
      <c r="I70" s="17" t="s">
        <v>115</v>
      </c>
      <c r="J70" s="73">
        <f>5.04502+391.068+58.75453+153.89041+4.95959+415.12447</f>
        <v>1028.84202</v>
      </c>
      <c r="K70" s="73">
        <f t="shared" ref="K70:M70" si="67">5.04502+391.068+58.75453+153.89041+4.95959+415.12447</f>
        <v>1028.84202</v>
      </c>
      <c r="L70" s="73">
        <f t="shared" si="67"/>
        <v>1028.84202</v>
      </c>
      <c r="M70" s="73">
        <f t="shared" si="67"/>
        <v>1028.84202</v>
      </c>
      <c r="N70" s="73">
        <f t="shared" ref="N70" si="68">5.04502+391.068+58.75453+153.89041+4.95959+415.12447</f>
        <v>1028.84202</v>
      </c>
      <c r="O70" s="73">
        <v>1028.8</v>
      </c>
      <c r="P70" s="32">
        <f t="shared" ref="P70:P71" si="69">O70/L70*100</f>
        <v>99.995915796674012</v>
      </c>
      <c r="Q70" s="32">
        <f t="shared" si="66"/>
        <v>99.995915796674012</v>
      </c>
      <c r="R70" s="32">
        <f t="shared" ref="R70:R71" si="70">O70/M70*100</f>
        <v>99.995915796674012</v>
      </c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s="1" customFormat="1" ht="157.5" customHeight="1">
      <c r="A71" s="8"/>
      <c r="B71" s="8"/>
      <c r="C71" s="8"/>
      <c r="D71" s="8"/>
      <c r="E71" s="8"/>
      <c r="F71" s="17" t="s">
        <v>68</v>
      </c>
      <c r="G71" s="17" t="s">
        <v>85</v>
      </c>
      <c r="H71" s="17" t="s">
        <v>187</v>
      </c>
      <c r="I71" s="17" t="s">
        <v>115</v>
      </c>
      <c r="J71" s="73">
        <v>1031.6477600000001</v>
      </c>
      <c r="K71" s="73">
        <v>1031.6477600000001</v>
      </c>
      <c r="L71" s="73">
        <v>1031.6477600000001</v>
      </c>
      <c r="M71" s="73">
        <v>1031.6477600000001</v>
      </c>
      <c r="N71" s="73">
        <v>1031.6477600000001</v>
      </c>
      <c r="O71" s="73">
        <v>1006.9</v>
      </c>
      <c r="P71" s="32">
        <f t="shared" si="69"/>
        <v>97.601142467463887</v>
      </c>
      <c r="Q71" s="32">
        <f t="shared" si="66"/>
        <v>97.601142467463887</v>
      </c>
      <c r="R71" s="32">
        <f t="shared" si="70"/>
        <v>97.601142467463887</v>
      </c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48" customHeight="1">
      <c r="A72" s="8"/>
      <c r="B72" s="8"/>
      <c r="C72" s="8"/>
      <c r="D72" s="8"/>
      <c r="E72" s="8"/>
      <c r="F72" s="28" t="s">
        <v>9</v>
      </c>
      <c r="G72" s="28"/>
      <c r="H72" s="28"/>
      <c r="I72" s="28"/>
      <c r="J72" s="54">
        <f t="shared" ref="J72:O72" si="71">SUM(J73)</f>
        <v>299980.06900000002</v>
      </c>
      <c r="K72" s="54">
        <f t="shared" si="71"/>
        <v>299980.06900000002</v>
      </c>
      <c r="L72" s="54">
        <f t="shared" si="71"/>
        <v>299980.06900000002</v>
      </c>
      <c r="M72" s="54">
        <f t="shared" si="71"/>
        <v>299980.06900000002</v>
      </c>
      <c r="N72" s="54">
        <f t="shared" si="71"/>
        <v>299980.06900000002</v>
      </c>
      <c r="O72" s="54">
        <f t="shared" si="71"/>
        <v>299980.06900000002</v>
      </c>
      <c r="P72" s="53">
        <f t="shared" si="4"/>
        <v>100</v>
      </c>
      <c r="Q72" s="53">
        <f>O72/K72*100</f>
        <v>100</v>
      </c>
      <c r="R72" s="53">
        <f t="shared" si="8"/>
        <v>100</v>
      </c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s="1" customFormat="1" ht="174" customHeight="1">
      <c r="A73" s="8">
        <v>1</v>
      </c>
      <c r="B73" s="8">
        <v>1</v>
      </c>
      <c r="C73" s="8">
        <v>1</v>
      </c>
      <c r="D73" s="8"/>
      <c r="E73" s="8"/>
      <c r="F73" s="17" t="s">
        <v>55</v>
      </c>
      <c r="G73" s="17" t="s">
        <v>116</v>
      </c>
      <c r="H73" s="17" t="s">
        <v>187</v>
      </c>
      <c r="I73" s="17" t="s">
        <v>115</v>
      </c>
      <c r="J73" s="19">
        <v>299980.06900000002</v>
      </c>
      <c r="K73" s="19">
        <v>299980.06900000002</v>
      </c>
      <c r="L73" s="19">
        <v>299980.06900000002</v>
      </c>
      <c r="M73" s="19">
        <v>299980.06900000002</v>
      </c>
      <c r="N73" s="19">
        <v>299980.06900000002</v>
      </c>
      <c r="O73" s="19">
        <v>299980.06900000002</v>
      </c>
      <c r="P73" s="32">
        <f t="shared" si="4"/>
        <v>100</v>
      </c>
      <c r="Q73" s="32">
        <f t="shared" ref="Q73" si="72">O73/K73*100</f>
        <v>100</v>
      </c>
      <c r="R73" s="32">
        <f t="shared" si="8"/>
        <v>100</v>
      </c>
      <c r="S73"/>
      <c r="T73"/>
      <c r="U73"/>
      <c r="V73"/>
      <c r="W73"/>
      <c r="X73"/>
      <c r="Y73"/>
      <c r="Z73"/>
      <c r="AA73"/>
      <c r="AB73"/>
    </row>
    <row r="74" spans="1:28" s="1" customFormat="1" ht="66.75" customHeight="1">
      <c r="A74" s="10"/>
      <c r="B74" s="10"/>
      <c r="C74" s="10"/>
      <c r="D74" s="10"/>
      <c r="E74" s="10"/>
      <c r="F74" s="28" t="s">
        <v>13</v>
      </c>
      <c r="G74" s="28"/>
      <c r="H74" s="28"/>
      <c r="I74" s="28"/>
      <c r="J74" s="55">
        <f t="shared" ref="J74:M74" si="73">J75+J89</f>
        <v>60355.400000000009</v>
      </c>
      <c r="K74" s="55">
        <f t="shared" si="73"/>
        <v>60355.400000000009</v>
      </c>
      <c r="L74" s="55">
        <f t="shared" si="73"/>
        <v>60355.400000000009</v>
      </c>
      <c r="M74" s="55">
        <f t="shared" si="73"/>
        <v>60355.400000000009</v>
      </c>
      <c r="N74" s="55">
        <f t="shared" ref="N74" si="74">N75+N89</f>
        <v>60355.4</v>
      </c>
      <c r="O74" s="55">
        <f t="shared" ref="O74" si="75">O75+O89</f>
        <v>60144.540000000008</v>
      </c>
      <c r="P74" s="53">
        <f t="shared" si="4"/>
        <v>99.650636065704148</v>
      </c>
      <c r="Q74" s="53">
        <f>O74/K74*100</f>
        <v>99.650636065704148</v>
      </c>
      <c r="R74" s="53">
        <f t="shared" si="8"/>
        <v>99.650636065704148</v>
      </c>
    </row>
    <row r="75" spans="1:28" s="1" customFormat="1" ht="45.6" customHeight="1">
      <c r="A75" s="10"/>
      <c r="B75" s="10"/>
      <c r="C75" s="10"/>
      <c r="D75" s="10"/>
      <c r="E75" s="10"/>
      <c r="F75" s="25" t="s">
        <v>69</v>
      </c>
      <c r="G75" s="25"/>
      <c r="H75" s="25"/>
      <c r="I75" s="25"/>
      <c r="J75" s="35">
        <f>J76+J78+J79+J80+J85+J86+J87+J88</f>
        <v>54655.400000000009</v>
      </c>
      <c r="K75" s="35">
        <f t="shared" ref="K75:M75" si="76">K76+K78+K79+K80+K85+K86+K87+K88</f>
        <v>54655.400000000009</v>
      </c>
      <c r="L75" s="35">
        <f t="shared" si="76"/>
        <v>54655.400000000009</v>
      </c>
      <c r="M75" s="35">
        <f t="shared" si="76"/>
        <v>54655.400000000009</v>
      </c>
      <c r="N75" s="35">
        <v>54655.4</v>
      </c>
      <c r="O75" s="35">
        <f t="shared" ref="O75" si="77">O76+O78+O79+O80+O85+O86+O87+O88</f>
        <v>54444.540000000008</v>
      </c>
      <c r="P75" s="36">
        <f t="shared" ref="P75" si="78">O75/L75*100</f>
        <v>99.614200975566916</v>
      </c>
      <c r="Q75" s="36">
        <f>O75/K75*100</f>
        <v>99.614200975566916</v>
      </c>
      <c r="R75" s="36">
        <f t="shared" ref="R75" si="79">O75/M75*100</f>
        <v>99.614200975566916</v>
      </c>
    </row>
    <row r="76" spans="1:28" s="1" customFormat="1" ht="123" customHeight="1">
      <c r="A76" s="8">
        <v>1</v>
      </c>
      <c r="B76" s="8">
        <v>1</v>
      </c>
      <c r="C76" s="8"/>
      <c r="D76" s="8"/>
      <c r="E76" s="8"/>
      <c r="F76" s="17" t="s">
        <v>60</v>
      </c>
      <c r="G76" s="17" t="s">
        <v>211</v>
      </c>
      <c r="H76" s="17" t="s">
        <v>188</v>
      </c>
      <c r="I76" s="17" t="s">
        <v>119</v>
      </c>
      <c r="J76" s="19">
        <v>21657.200000000001</v>
      </c>
      <c r="K76" s="19">
        <v>21657.200000000001</v>
      </c>
      <c r="L76" s="19">
        <v>21657.200000000001</v>
      </c>
      <c r="M76" s="19">
        <v>21657.200000000001</v>
      </c>
      <c r="N76" s="19">
        <v>21657.200000000001</v>
      </c>
      <c r="O76" s="19">
        <v>21657.200000000001</v>
      </c>
      <c r="P76" s="32">
        <f t="shared" si="4"/>
        <v>100</v>
      </c>
      <c r="Q76" s="32">
        <f t="shared" ref="Q76:Q87" si="80">O76/K76*100</f>
        <v>100</v>
      </c>
      <c r="R76" s="32">
        <f t="shared" si="8"/>
        <v>100</v>
      </c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s="1" customFormat="1" ht="150" hidden="1">
      <c r="A77" s="8">
        <v>1</v>
      </c>
      <c r="B77" s="8">
        <v>1</v>
      </c>
      <c r="C77" s="8"/>
      <c r="D77" s="8"/>
      <c r="E77" s="8"/>
      <c r="F77" s="17" t="s">
        <v>38</v>
      </c>
      <c r="G77" s="17" t="s">
        <v>117</v>
      </c>
      <c r="H77" s="17" t="s">
        <v>118</v>
      </c>
      <c r="I77" s="17" t="s">
        <v>119</v>
      </c>
      <c r="J77" s="19"/>
      <c r="K77" s="19"/>
      <c r="L77" s="19"/>
      <c r="M77" s="19"/>
      <c r="N77" s="19"/>
      <c r="O77" s="19"/>
      <c r="P77" s="32"/>
      <c r="Q77" s="32" t="e">
        <f t="shared" si="80"/>
        <v>#DIV/0!</v>
      </c>
      <c r="R77" s="32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s="1" customFormat="1" ht="148.9" customHeight="1">
      <c r="A78" s="8">
        <v>1</v>
      </c>
      <c r="B78" s="8">
        <v>1</v>
      </c>
      <c r="C78" s="8">
        <v>1</v>
      </c>
      <c r="D78" s="8">
        <v>1</v>
      </c>
      <c r="E78" s="8"/>
      <c r="F78" s="17" t="s">
        <v>61</v>
      </c>
      <c r="G78" s="17" t="s">
        <v>211</v>
      </c>
      <c r="H78" s="17" t="s">
        <v>188</v>
      </c>
      <c r="I78" s="17" t="s">
        <v>119</v>
      </c>
      <c r="J78" s="19">
        <f>15000+6000+1700+1455.9</f>
        <v>24155.9</v>
      </c>
      <c r="K78" s="19">
        <f t="shared" ref="K78:M78" si="81">15000+6000+1700+1455.9</f>
        <v>24155.9</v>
      </c>
      <c r="L78" s="19">
        <f t="shared" si="81"/>
        <v>24155.9</v>
      </c>
      <c r="M78" s="19">
        <f t="shared" si="81"/>
        <v>24155.9</v>
      </c>
      <c r="N78" s="19">
        <f t="shared" ref="N78:O78" si="82">15000+6000+1700+1455.9</f>
        <v>24155.9</v>
      </c>
      <c r="O78" s="19">
        <f t="shared" si="82"/>
        <v>24155.9</v>
      </c>
      <c r="P78" s="32">
        <f t="shared" si="4"/>
        <v>100</v>
      </c>
      <c r="Q78" s="32">
        <f t="shared" si="80"/>
        <v>100</v>
      </c>
      <c r="R78" s="32">
        <f t="shared" si="8"/>
        <v>100</v>
      </c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s="1" customFormat="1" ht="120.75" customHeight="1">
      <c r="A79" s="8">
        <v>1</v>
      </c>
      <c r="B79" s="8">
        <v>1</v>
      </c>
      <c r="C79" s="8"/>
      <c r="D79" s="8"/>
      <c r="E79" s="8"/>
      <c r="F79" s="17" t="s">
        <v>185</v>
      </c>
      <c r="G79" s="17" t="s">
        <v>117</v>
      </c>
      <c r="H79" s="17" t="s">
        <v>188</v>
      </c>
      <c r="I79" s="17" t="s">
        <v>119</v>
      </c>
      <c r="J79" s="19">
        <f>4647.4+169.5+409.3</f>
        <v>5226.2</v>
      </c>
      <c r="K79" s="19">
        <f t="shared" ref="K79:M79" si="83">4647.4+169.5+409.3</f>
        <v>5226.2</v>
      </c>
      <c r="L79" s="19">
        <f t="shared" si="83"/>
        <v>5226.2</v>
      </c>
      <c r="M79" s="19">
        <f t="shared" si="83"/>
        <v>5226.2</v>
      </c>
      <c r="N79" s="19">
        <f t="shared" ref="N79" si="84">4647.4+169.5+409.3</f>
        <v>5226.2</v>
      </c>
      <c r="O79" s="19">
        <v>5226.12</v>
      </c>
      <c r="P79" s="32">
        <f t="shared" si="4"/>
        <v>99.99846925108109</v>
      </c>
      <c r="Q79" s="32">
        <f t="shared" si="80"/>
        <v>99.99846925108109</v>
      </c>
      <c r="R79" s="32">
        <f t="shared" si="8"/>
        <v>99.99846925108109</v>
      </c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s="1" customFormat="1" ht="122.25" customHeight="1">
      <c r="A80" s="8">
        <v>1</v>
      </c>
      <c r="B80" s="8">
        <v>1</v>
      </c>
      <c r="C80" s="8"/>
      <c r="D80" s="8"/>
      <c r="E80" s="8"/>
      <c r="F80" s="17" t="s">
        <v>62</v>
      </c>
      <c r="G80" s="17" t="s">
        <v>211</v>
      </c>
      <c r="H80" s="17" t="s">
        <v>188</v>
      </c>
      <c r="I80" s="17" t="s">
        <v>119</v>
      </c>
      <c r="J80" s="19">
        <f>4362.9-1456.9</f>
        <v>2905.9999999999995</v>
      </c>
      <c r="K80" s="19">
        <f t="shared" ref="K80:M80" si="85">4362.9-1456.9</f>
        <v>2905.9999999999995</v>
      </c>
      <c r="L80" s="19">
        <f t="shared" si="85"/>
        <v>2905.9999999999995</v>
      </c>
      <c r="M80" s="19">
        <f t="shared" si="85"/>
        <v>2905.9999999999995</v>
      </c>
      <c r="N80" s="19">
        <f t="shared" ref="N80" si="86">4362.9-1456.9</f>
        <v>2905.9999999999995</v>
      </c>
      <c r="O80" s="19">
        <v>2805.92</v>
      </c>
      <c r="P80" s="32">
        <f t="shared" si="4"/>
        <v>96.556090846524441</v>
      </c>
      <c r="Q80" s="32">
        <f t="shared" si="80"/>
        <v>96.556090846524441</v>
      </c>
      <c r="R80" s="32">
        <f t="shared" si="8"/>
        <v>96.556090846524441</v>
      </c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s="1" customFormat="1" ht="150" hidden="1">
      <c r="A81" s="8">
        <v>1</v>
      </c>
      <c r="B81" s="8"/>
      <c r="C81" s="8"/>
      <c r="D81" s="8"/>
      <c r="E81" s="8"/>
      <c r="F81" s="17" t="s">
        <v>39</v>
      </c>
      <c r="G81" s="17" t="s">
        <v>117</v>
      </c>
      <c r="H81" s="17" t="s">
        <v>118</v>
      </c>
      <c r="I81" s="17" t="s">
        <v>119</v>
      </c>
      <c r="J81" s="19">
        <v>0</v>
      </c>
      <c r="K81" s="19">
        <v>0</v>
      </c>
      <c r="L81" s="19">
        <v>0</v>
      </c>
      <c r="M81" s="19">
        <v>0</v>
      </c>
      <c r="N81" s="19"/>
      <c r="O81" s="19"/>
      <c r="P81" s="32" t="e">
        <f t="shared" si="4"/>
        <v>#DIV/0!</v>
      </c>
      <c r="Q81" s="32" t="e">
        <f t="shared" si="80"/>
        <v>#DIV/0!</v>
      </c>
      <c r="R81" s="32" t="e">
        <f t="shared" si="8"/>
        <v>#DIV/0!</v>
      </c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s="1" customFormat="1" ht="96" hidden="1" customHeight="1">
      <c r="A82" s="8">
        <v>1</v>
      </c>
      <c r="B82" s="8"/>
      <c r="C82" s="8"/>
      <c r="D82" s="8"/>
      <c r="E82" s="8"/>
      <c r="F82" s="17" t="s">
        <v>40</v>
      </c>
      <c r="G82" s="17" t="s">
        <v>117</v>
      </c>
      <c r="H82" s="17" t="s">
        <v>118</v>
      </c>
      <c r="I82" s="17" t="s">
        <v>119</v>
      </c>
      <c r="J82" s="19">
        <v>0</v>
      </c>
      <c r="K82" s="19">
        <v>0</v>
      </c>
      <c r="L82" s="19">
        <v>0</v>
      </c>
      <c r="M82" s="19">
        <v>0</v>
      </c>
      <c r="N82" s="19"/>
      <c r="O82" s="19"/>
      <c r="P82" s="32" t="e">
        <f t="shared" si="4"/>
        <v>#DIV/0!</v>
      </c>
      <c r="Q82" s="32" t="e">
        <f t="shared" si="80"/>
        <v>#DIV/0!</v>
      </c>
      <c r="R82" s="32" t="e">
        <f t="shared" si="8"/>
        <v>#DIV/0!</v>
      </c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s="1" customFormat="1" ht="150" hidden="1">
      <c r="A83" s="8">
        <v>1</v>
      </c>
      <c r="B83" s="8"/>
      <c r="C83" s="8"/>
      <c r="D83" s="8"/>
      <c r="E83" s="8"/>
      <c r="F83" s="17" t="s">
        <v>41</v>
      </c>
      <c r="G83" s="17" t="s">
        <v>117</v>
      </c>
      <c r="H83" s="17" t="s">
        <v>118</v>
      </c>
      <c r="I83" s="17" t="s">
        <v>119</v>
      </c>
      <c r="J83" s="19">
        <v>0</v>
      </c>
      <c r="K83" s="19">
        <v>0</v>
      </c>
      <c r="L83" s="19">
        <v>0</v>
      </c>
      <c r="M83" s="19">
        <v>0</v>
      </c>
      <c r="N83" s="19"/>
      <c r="O83" s="19"/>
      <c r="P83" s="32" t="e">
        <f t="shared" si="4"/>
        <v>#DIV/0!</v>
      </c>
      <c r="Q83" s="32" t="e">
        <f t="shared" si="80"/>
        <v>#DIV/0!</v>
      </c>
      <c r="R83" s="32" t="e">
        <f t="shared" si="8"/>
        <v>#DIV/0!</v>
      </c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s="1" customFormat="1" ht="150" hidden="1">
      <c r="A84" s="8">
        <v>1</v>
      </c>
      <c r="B84" s="8">
        <v>1</v>
      </c>
      <c r="C84" s="8"/>
      <c r="D84" s="8"/>
      <c r="E84" s="8"/>
      <c r="F84" s="17" t="s">
        <v>59</v>
      </c>
      <c r="G84" s="17" t="s">
        <v>117</v>
      </c>
      <c r="H84" s="17" t="s">
        <v>118</v>
      </c>
      <c r="I84" s="17" t="s">
        <v>119</v>
      </c>
      <c r="J84" s="19"/>
      <c r="K84" s="19"/>
      <c r="L84" s="19"/>
      <c r="M84" s="19"/>
      <c r="N84" s="19"/>
      <c r="O84" s="19"/>
      <c r="P84" s="32"/>
      <c r="Q84" s="32" t="e">
        <f t="shared" si="80"/>
        <v>#DIV/0!</v>
      </c>
      <c r="R84" s="32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s="1" customFormat="1" ht="127.5" customHeight="1">
      <c r="A85" s="8">
        <v>1</v>
      </c>
      <c r="B85" s="8">
        <v>1</v>
      </c>
      <c r="C85" s="8"/>
      <c r="D85" s="8"/>
      <c r="E85" s="8"/>
      <c r="F85" s="17" t="s">
        <v>63</v>
      </c>
      <c r="G85" s="17" t="s">
        <v>211</v>
      </c>
      <c r="H85" s="17" t="s">
        <v>188</v>
      </c>
      <c r="I85" s="17" t="s">
        <v>119</v>
      </c>
      <c r="J85" s="19">
        <f>540.7+1+95-36.9</f>
        <v>599.80000000000007</v>
      </c>
      <c r="K85" s="19">
        <f t="shared" ref="K85:M85" si="87">540.7+1+95-36.9</f>
        <v>599.80000000000007</v>
      </c>
      <c r="L85" s="19">
        <f t="shared" si="87"/>
        <v>599.80000000000007</v>
      </c>
      <c r="M85" s="19">
        <f t="shared" si="87"/>
        <v>599.80000000000007</v>
      </c>
      <c r="N85" s="19">
        <f t="shared" ref="N85" si="88">540.7+1+95-36.9</f>
        <v>599.80000000000007</v>
      </c>
      <c r="O85" s="19">
        <v>599.4</v>
      </c>
      <c r="P85" s="32">
        <f t="shared" si="4"/>
        <v>99.933311103701215</v>
      </c>
      <c r="Q85" s="32">
        <f t="shared" si="80"/>
        <v>99.933311103701215</v>
      </c>
      <c r="R85" s="32">
        <f t="shared" si="8"/>
        <v>99.933311103701215</v>
      </c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s="1" customFormat="1" ht="120.75" customHeight="1">
      <c r="A86" s="8"/>
      <c r="B86" s="8"/>
      <c r="C86" s="8"/>
      <c r="D86" s="8"/>
      <c r="E86" s="8"/>
      <c r="F86" s="17" t="s">
        <v>139</v>
      </c>
      <c r="G86" s="17" t="s">
        <v>211</v>
      </c>
      <c r="H86" s="17" t="s">
        <v>188</v>
      </c>
      <c r="I86" s="17" t="s">
        <v>119</v>
      </c>
      <c r="J86" s="19">
        <v>61.3</v>
      </c>
      <c r="K86" s="19">
        <v>61.3</v>
      </c>
      <c r="L86" s="19">
        <v>61.3</v>
      </c>
      <c r="M86" s="19">
        <v>61.3</v>
      </c>
      <c r="N86" s="19">
        <v>61.3</v>
      </c>
      <c r="O86" s="19"/>
      <c r="P86" s="32">
        <f t="shared" ref="P86" si="89">O86/L86*100</f>
        <v>0</v>
      </c>
      <c r="Q86" s="32">
        <f t="shared" si="80"/>
        <v>0</v>
      </c>
      <c r="R86" s="32">
        <f t="shared" si="8"/>
        <v>0</v>
      </c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s="1" customFormat="1" ht="123" customHeight="1">
      <c r="A87" s="8"/>
      <c r="B87" s="8"/>
      <c r="C87" s="8"/>
      <c r="D87" s="8"/>
      <c r="E87" s="8"/>
      <c r="F87" s="17" t="s">
        <v>184</v>
      </c>
      <c r="G87" s="17" t="s">
        <v>117</v>
      </c>
      <c r="H87" s="17" t="s">
        <v>188</v>
      </c>
      <c r="I87" s="17" t="s">
        <v>119</v>
      </c>
      <c r="J87" s="19">
        <v>49</v>
      </c>
      <c r="K87" s="19">
        <v>49</v>
      </c>
      <c r="L87" s="19">
        <v>49</v>
      </c>
      <c r="M87" s="19">
        <v>49</v>
      </c>
      <c r="N87" s="19">
        <v>49</v>
      </c>
      <c r="O87" s="19"/>
      <c r="P87" s="32">
        <f t="shared" ref="P87:P88" si="90">O87/L87*100</f>
        <v>0</v>
      </c>
      <c r="Q87" s="32">
        <f t="shared" si="80"/>
        <v>0</v>
      </c>
      <c r="R87" s="32">
        <f t="shared" ref="R87:R90" si="91">O87/M87*100</f>
        <v>0</v>
      </c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s="1" customFormat="1" ht="150.6" hidden="1" customHeight="1">
      <c r="A88" s="8"/>
      <c r="B88" s="8"/>
      <c r="C88" s="8"/>
      <c r="D88" s="8"/>
      <c r="E88" s="8"/>
      <c r="F88" s="17" t="s">
        <v>140</v>
      </c>
      <c r="G88" s="17" t="s">
        <v>117</v>
      </c>
      <c r="H88" s="17" t="s">
        <v>118</v>
      </c>
      <c r="I88" s="17" t="s">
        <v>119</v>
      </c>
      <c r="J88" s="19"/>
      <c r="K88" s="19"/>
      <c r="L88" s="19"/>
      <c r="M88" s="19"/>
      <c r="N88" s="19"/>
      <c r="O88" s="19"/>
      <c r="P88" s="32" t="e">
        <f t="shared" si="90"/>
        <v>#DIV/0!</v>
      </c>
      <c r="Q88" s="32"/>
      <c r="R88" s="32" t="e">
        <f t="shared" si="91"/>
        <v>#DIV/0!</v>
      </c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s="1" customFormat="1" ht="37.5">
      <c r="A89" s="8"/>
      <c r="B89" s="8"/>
      <c r="C89" s="8"/>
      <c r="D89" s="8"/>
      <c r="E89" s="8"/>
      <c r="F89" s="25" t="s">
        <v>213</v>
      </c>
      <c r="G89" s="17"/>
      <c r="H89" s="17"/>
      <c r="I89" s="17"/>
      <c r="J89" s="26">
        <f t="shared" ref="J89:O89" si="92">J90</f>
        <v>5700</v>
      </c>
      <c r="K89" s="26">
        <f t="shared" si="92"/>
        <v>5700</v>
      </c>
      <c r="L89" s="26">
        <f t="shared" si="92"/>
        <v>5700</v>
      </c>
      <c r="M89" s="26">
        <f t="shared" si="92"/>
        <v>5700</v>
      </c>
      <c r="N89" s="26">
        <f t="shared" si="92"/>
        <v>5700</v>
      </c>
      <c r="O89" s="26">
        <f t="shared" si="92"/>
        <v>5700</v>
      </c>
      <c r="P89" s="36">
        <v>0</v>
      </c>
      <c r="Q89" s="36">
        <f t="shared" ref="Q89" si="93">O89/K89*100</f>
        <v>100</v>
      </c>
      <c r="R89" s="36">
        <f t="shared" si="91"/>
        <v>100</v>
      </c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s="1" customFormat="1" ht="96" customHeight="1">
      <c r="A90" s="8"/>
      <c r="B90" s="8"/>
      <c r="C90" s="8"/>
      <c r="D90" s="8"/>
      <c r="E90" s="8"/>
      <c r="F90" s="17" t="s">
        <v>141</v>
      </c>
      <c r="G90" s="17" t="s">
        <v>212</v>
      </c>
      <c r="H90" s="17" t="s">
        <v>188</v>
      </c>
      <c r="I90" s="17" t="s">
        <v>120</v>
      </c>
      <c r="J90" s="19">
        <v>5700</v>
      </c>
      <c r="K90" s="19">
        <v>5700</v>
      </c>
      <c r="L90" s="19">
        <v>5700</v>
      </c>
      <c r="M90" s="19">
        <v>5700</v>
      </c>
      <c r="N90" s="19">
        <v>5700</v>
      </c>
      <c r="O90" s="19">
        <v>5700</v>
      </c>
      <c r="P90" s="32">
        <v>0</v>
      </c>
      <c r="Q90" s="32">
        <f t="shared" ref="Q90:Q93" si="94">O90/K90*100</f>
        <v>100</v>
      </c>
      <c r="R90" s="32">
        <f t="shared" si="91"/>
        <v>100</v>
      </c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58.15" customHeight="1">
      <c r="A91" s="8"/>
      <c r="B91" s="8"/>
      <c r="C91" s="8"/>
      <c r="D91" s="8"/>
      <c r="E91" s="8"/>
      <c r="F91" s="28" t="s">
        <v>14</v>
      </c>
      <c r="G91" s="51"/>
      <c r="H91" s="51"/>
      <c r="I91" s="51"/>
      <c r="J91" s="54">
        <f t="shared" ref="J91:M91" si="95">SUM(J92:J101)</f>
        <v>140276.49</v>
      </c>
      <c r="K91" s="54">
        <f t="shared" si="95"/>
        <v>140276.49</v>
      </c>
      <c r="L91" s="54">
        <f t="shared" si="95"/>
        <v>140276.49</v>
      </c>
      <c r="M91" s="54">
        <f t="shared" si="95"/>
        <v>140276.49</v>
      </c>
      <c r="N91" s="54">
        <f t="shared" ref="N91" si="96">SUM(N92:N101)</f>
        <v>120905.59947</v>
      </c>
      <c r="O91" s="54">
        <f t="shared" ref="O91" si="97">SUM(O92:O101)</f>
        <v>120905.59947</v>
      </c>
      <c r="P91" s="53">
        <f t="shared" si="4"/>
        <v>86.190921564975014</v>
      </c>
      <c r="Q91" s="53">
        <f>O91/K91*100</f>
        <v>86.190921564975014</v>
      </c>
      <c r="R91" s="53">
        <f t="shared" si="8"/>
        <v>86.190921564975014</v>
      </c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19.45" customHeight="1">
      <c r="A92" s="8">
        <v>1</v>
      </c>
      <c r="B92" s="8">
        <v>1</v>
      </c>
      <c r="C92" s="8"/>
      <c r="D92" s="8"/>
      <c r="E92" s="8">
        <v>1</v>
      </c>
      <c r="F92" s="17" t="s">
        <v>42</v>
      </c>
      <c r="G92" s="17" t="s">
        <v>121</v>
      </c>
      <c r="H92" s="17" t="s">
        <v>122</v>
      </c>
      <c r="I92" s="17" t="s">
        <v>87</v>
      </c>
      <c r="J92" s="19">
        <v>70470</v>
      </c>
      <c r="K92" s="19">
        <v>70470</v>
      </c>
      <c r="L92" s="19">
        <v>70470</v>
      </c>
      <c r="M92" s="19">
        <v>70470</v>
      </c>
      <c r="N92" s="19">
        <v>59175.961669999997</v>
      </c>
      <c r="O92" s="19">
        <v>59175.961669999997</v>
      </c>
      <c r="P92" s="32">
        <f t="shared" si="4"/>
        <v>83.97326758904498</v>
      </c>
      <c r="Q92" s="32">
        <f t="shared" si="94"/>
        <v>83.97326758904498</v>
      </c>
      <c r="R92" s="32">
        <f t="shared" si="8"/>
        <v>83.97326758904498</v>
      </c>
    </row>
    <row r="93" spans="1:28" ht="127.9" customHeight="1">
      <c r="A93" s="8">
        <v>1</v>
      </c>
      <c r="B93" s="8">
        <v>1</v>
      </c>
      <c r="C93" s="8">
        <v>1</v>
      </c>
      <c r="D93" s="8"/>
      <c r="E93" s="8">
        <v>1</v>
      </c>
      <c r="F93" s="17" t="s">
        <v>43</v>
      </c>
      <c r="G93" s="17" t="s">
        <v>121</v>
      </c>
      <c r="H93" s="17" t="s">
        <v>122</v>
      </c>
      <c r="I93" s="17" t="s">
        <v>87</v>
      </c>
      <c r="J93" s="19">
        <v>48188.49</v>
      </c>
      <c r="K93" s="19">
        <v>48188.49</v>
      </c>
      <c r="L93" s="19">
        <v>48188.49</v>
      </c>
      <c r="M93" s="19">
        <v>48188.49</v>
      </c>
      <c r="N93" s="19">
        <v>48188.49</v>
      </c>
      <c r="O93" s="19">
        <v>48188.49</v>
      </c>
      <c r="P93" s="32">
        <f t="shared" si="4"/>
        <v>100</v>
      </c>
      <c r="Q93" s="32">
        <f t="shared" si="94"/>
        <v>100</v>
      </c>
      <c r="R93" s="32">
        <f t="shared" si="8"/>
        <v>100</v>
      </c>
    </row>
    <row r="94" spans="1:28" s="5" customFormat="1" ht="112.5" hidden="1">
      <c r="A94" s="8">
        <v>1</v>
      </c>
      <c r="B94" s="8"/>
      <c r="C94" s="8"/>
      <c r="D94" s="8"/>
      <c r="E94" s="8"/>
      <c r="F94" s="17" t="s">
        <v>44</v>
      </c>
      <c r="G94" s="17" t="s">
        <v>121</v>
      </c>
      <c r="H94" s="17" t="s">
        <v>122</v>
      </c>
      <c r="I94" s="17" t="s">
        <v>87</v>
      </c>
      <c r="J94" s="19">
        <v>0</v>
      </c>
      <c r="K94" s="19">
        <v>0</v>
      </c>
      <c r="L94" s="19">
        <v>0</v>
      </c>
      <c r="M94" s="19">
        <v>0</v>
      </c>
      <c r="N94" s="19"/>
      <c r="O94" s="19"/>
      <c r="P94" s="32" t="e">
        <f t="shared" si="4"/>
        <v>#DIV/0!</v>
      </c>
      <c r="Q94" s="32"/>
      <c r="R94" s="32" t="e">
        <f t="shared" si="8"/>
        <v>#DIV/0!</v>
      </c>
    </row>
    <row r="95" spans="1:28" s="5" customFormat="1" ht="112.5" hidden="1">
      <c r="A95" s="8">
        <v>1</v>
      </c>
      <c r="B95" s="8"/>
      <c r="C95" s="8"/>
      <c r="D95" s="8"/>
      <c r="E95" s="8"/>
      <c r="F95" s="17" t="s">
        <v>45</v>
      </c>
      <c r="G95" s="17" t="s">
        <v>121</v>
      </c>
      <c r="H95" s="17" t="s">
        <v>122</v>
      </c>
      <c r="I95" s="17" t="s">
        <v>109</v>
      </c>
      <c r="J95" s="19">
        <v>0</v>
      </c>
      <c r="K95" s="19">
        <v>0</v>
      </c>
      <c r="L95" s="19">
        <v>0</v>
      </c>
      <c r="M95" s="19">
        <v>0</v>
      </c>
      <c r="N95" s="19"/>
      <c r="O95" s="19"/>
      <c r="P95" s="32" t="e">
        <f t="shared" si="4"/>
        <v>#DIV/0!</v>
      </c>
      <c r="Q95" s="32"/>
      <c r="R95" s="32" t="e">
        <f t="shared" si="8"/>
        <v>#DIV/0!</v>
      </c>
    </row>
    <row r="96" spans="1:28" ht="135.75" customHeight="1">
      <c r="A96" s="8">
        <v>1</v>
      </c>
      <c r="B96" s="8">
        <v>1</v>
      </c>
      <c r="C96" s="8"/>
      <c r="D96" s="8">
        <v>1</v>
      </c>
      <c r="E96" s="8">
        <v>1</v>
      </c>
      <c r="F96" s="18" t="s">
        <v>201</v>
      </c>
      <c r="G96" s="17" t="s">
        <v>123</v>
      </c>
      <c r="H96" s="17" t="s">
        <v>122</v>
      </c>
      <c r="I96" s="17" t="s">
        <v>124</v>
      </c>
      <c r="J96" s="19">
        <v>19718</v>
      </c>
      <c r="K96" s="19">
        <v>19718</v>
      </c>
      <c r="L96" s="19">
        <v>19718</v>
      </c>
      <c r="M96" s="19">
        <v>19718</v>
      </c>
      <c r="N96" s="19">
        <v>11641.147800000001</v>
      </c>
      <c r="O96" s="19">
        <v>11641.147800000001</v>
      </c>
      <c r="P96" s="32">
        <f t="shared" si="4"/>
        <v>59.038177299929004</v>
      </c>
      <c r="Q96" s="32">
        <f t="shared" ref="Q96:Q97" si="98">O96/K96*100</f>
        <v>59.038177299929004</v>
      </c>
      <c r="R96" s="32">
        <f t="shared" ref="R96" si="99">O96/M96*100</f>
        <v>59.038177299929004</v>
      </c>
    </row>
    <row r="97" spans="1:28" ht="135.75" customHeight="1">
      <c r="A97" s="8">
        <v>1</v>
      </c>
      <c r="B97" s="8">
        <v>1</v>
      </c>
      <c r="C97" s="8"/>
      <c r="D97" s="8"/>
      <c r="E97" s="8">
        <v>1</v>
      </c>
      <c r="F97" s="17" t="s">
        <v>202</v>
      </c>
      <c r="G97" s="17" t="s">
        <v>123</v>
      </c>
      <c r="H97" s="17" t="s">
        <v>122</v>
      </c>
      <c r="I97" s="17" t="s">
        <v>115</v>
      </c>
      <c r="J97" s="19">
        <f>2000-100</f>
        <v>1900</v>
      </c>
      <c r="K97" s="19">
        <f t="shared" ref="K97:M97" si="100">2000-100</f>
        <v>1900</v>
      </c>
      <c r="L97" s="19">
        <f t="shared" si="100"/>
        <v>1900</v>
      </c>
      <c r="M97" s="19">
        <f t="shared" si="100"/>
        <v>1900</v>
      </c>
      <c r="N97" s="19">
        <f t="shared" ref="N97:O97" si="101">2000-100</f>
        <v>1900</v>
      </c>
      <c r="O97" s="19">
        <f t="shared" si="101"/>
        <v>1900</v>
      </c>
      <c r="P97" s="32">
        <f t="shared" si="4"/>
        <v>100</v>
      </c>
      <c r="Q97" s="32">
        <f t="shared" si="98"/>
        <v>100</v>
      </c>
      <c r="R97" s="32">
        <f t="shared" ref="R97" si="102">O97/M97*100</f>
        <v>100</v>
      </c>
    </row>
    <row r="98" spans="1:28" ht="150.6" hidden="1" customHeight="1">
      <c r="A98" s="8">
        <v>1</v>
      </c>
      <c r="B98" s="8">
        <v>1</v>
      </c>
      <c r="C98" s="8">
        <v>1</v>
      </c>
      <c r="D98" s="8"/>
      <c r="E98" s="8">
        <v>1</v>
      </c>
      <c r="F98" s="17" t="s">
        <v>70</v>
      </c>
      <c r="G98" s="17" t="s">
        <v>123</v>
      </c>
      <c r="H98" s="17" t="s">
        <v>122</v>
      </c>
      <c r="I98" s="17" t="s">
        <v>125</v>
      </c>
      <c r="J98" s="31"/>
      <c r="K98" s="31"/>
      <c r="L98" s="31"/>
      <c r="M98" s="31"/>
      <c r="N98" s="19"/>
      <c r="O98" s="19"/>
      <c r="P98" s="32">
        <v>0</v>
      </c>
      <c r="Q98" s="32"/>
      <c r="R98" s="32">
        <v>0</v>
      </c>
    </row>
    <row r="99" spans="1:28" s="5" customFormat="1" ht="112.5" hidden="1">
      <c r="A99" s="8">
        <v>1</v>
      </c>
      <c r="B99" s="8"/>
      <c r="C99" s="8"/>
      <c r="D99" s="8"/>
      <c r="E99" s="8"/>
      <c r="F99" s="17" t="s">
        <v>46</v>
      </c>
      <c r="G99" s="17" t="s">
        <v>121</v>
      </c>
      <c r="H99" s="17" t="s">
        <v>122</v>
      </c>
      <c r="I99" s="17" t="s">
        <v>124</v>
      </c>
      <c r="J99" s="19">
        <v>0</v>
      </c>
      <c r="K99" s="19">
        <v>0</v>
      </c>
      <c r="L99" s="19">
        <v>0</v>
      </c>
      <c r="M99" s="19">
        <v>0</v>
      </c>
      <c r="N99" s="19"/>
      <c r="O99" s="19"/>
      <c r="P99" s="32">
        <v>0</v>
      </c>
      <c r="Q99" s="32"/>
      <c r="R99" s="32">
        <v>0</v>
      </c>
    </row>
    <row r="100" spans="1:28" s="5" customFormat="1" ht="150" hidden="1">
      <c r="A100" s="8">
        <v>1</v>
      </c>
      <c r="B100" s="8"/>
      <c r="C100" s="8"/>
      <c r="D100" s="8"/>
      <c r="E100" s="8"/>
      <c r="F100" s="17" t="s">
        <v>47</v>
      </c>
      <c r="G100" s="17" t="s">
        <v>123</v>
      </c>
      <c r="H100" s="17" t="s">
        <v>122</v>
      </c>
      <c r="I100" s="17" t="s">
        <v>125</v>
      </c>
      <c r="J100" s="19">
        <v>0</v>
      </c>
      <c r="K100" s="19">
        <v>0</v>
      </c>
      <c r="L100" s="19">
        <v>0</v>
      </c>
      <c r="M100" s="19">
        <v>0</v>
      </c>
      <c r="N100" s="19"/>
      <c r="O100" s="19"/>
      <c r="P100" s="32">
        <v>0</v>
      </c>
      <c r="Q100" s="32"/>
      <c r="R100" s="32">
        <v>0</v>
      </c>
    </row>
    <row r="101" spans="1:28" ht="112.5" hidden="1">
      <c r="A101" s="8">
        <v>1</v>
      </c>
      <c r="B101" s="8">
        <v>1</v>
      </c>
      <c r="C101" s="8">
        <v>1</v>
      </c>
      <c r="D101" s="8"/>
      <c r="E101" s="8">
        <v>1</v>
      </c>
      <c r="F101" s="18" t="s">
        <v>71</v>
      </c>
      <c r="G101" s="17" t="s">
        <v>121</v>
      </c>
      <c r="H101" s="17" t="s">
        <v>122</v>
      </c>
      <c r="I101" s="17" t="s">
        <v>108</v>
      </c>
      <c r="J101" s="31"/>
      <c r="K101" s="31"/>
      <c r="L101" s="31"/>
      <c r="M101" s="31"/>
      <c r="N101" s="31"/>
      <c r="O101" s="31"/>
      <c r="P101" s="32">
        <v>0</v>
      </c>
      <c r="Q101" s="32"/>
      <c r="R101" s="32">
        <v>0</v>
      </c>
    </row>
    <row r="102" spans="1:28" ht="116.45" customHeight="1">
      <c r="A102" s="8"/>
      <c r="B102" s="8"/>
      <c r="C102" s="8"/>
      <c r="D102" s="8"/>
      <c r="E102" s="8"/>
      <c r="F102" s="28" t="s">
        <v>15</v>
      </c>
      <c r="G102" s="51"/>
      <c r="H102" s="51"/>
      <c r="I102" s="51"/>
      <c r="J102" s="54">
        <f t="shared" ref="J102:M102" si="103">SUM(J103:J111)</f>
        <v>188355.87289</v>
      </c>
      <c r="K102" s="54">
        <f t="shared" si="103"/>
        <v>188355.87289</v>
      </c>
      <c r="L102" s="54">
        <f t="shared" si="103"/>
        <v>188355.87289</v>
      </c>
      <c r="M102" s="54">
        <f t="shared" si="103"/>
        <v>188355.87289</v>
      </c>
      <c r="N102" s="54">
        <f t="shared" ref="N102" si="104">SUM(N103:N111)</f>
        <v>114446.91114999999</v>
      </c>
      <c r="O102" s="54">
        <f t="shared" ref="O102" si="105">SUM(O103:O111)</f>
        <v>101384.42062999998</v>
      </c>
      <c r="P102" s="53">
        <f t="shared" ref="P102:P116" si="106">O102/L102*100</f>
        <v>53.82599388828644</v>
      </c>
      <c r="Q102" s="53">
        <f>O102/K102*100</f>
        <v>53.82599388828644</v>
      </c>
      <c r="R102" s="53">
        <f t="shared" ref="R102:R113" si="107">O102/M102*100</f>
        <v>53.82599388828644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98.45" customHeight="1">
      <c r="A103" s="8">
        <v>1</v>
      </c>
      <c r="B103" s="8">
        <v>1</v>
      </c>
      <c r="C103" s="8">
        <v>1</v>
      </c>
      <c r="D103" s="8"/>
      <c r="E103" s="8"/>
      <c r="F103" s="17" t="s">
        <v>48</v>
      </c>
      <c r="G103" s="17" t="s">
        <v>96</v>
      </c>
      <c r="H103" s="17" t="s">
        <v>187</v>
      </c>
      <c r="I103" s="37" t="s">
        <v>114</v>
      </c>
      <c r="J103" s="72">
        <f t="shared" ref="J103:N103" si="108">7502.18718+2117.24592</f>
        <v>9619.4331000000002</v>
      </c>
      <c r="K103" s="72">
        <f t="shared" si="108"/>
        <v>9619.4331000000002</v>
      </c>
      <c r="L103" s="72">
        <f t="shared" si="108"/>
        <v>9619.4331000000002</v>
      </c>
      <c r="M103" s="72">
        <f t="shared" si="108"/>
        <v>9619.4331000000002</v>
      </c>
      <c r="N103" s="72">
        <f t="shared" si="108"/>
        <v>9619.4331000000002</v>
      </c>
      <c r="O103" s="72">
        <f>7502.18718+2117.24592</f>
        <v>9619.4331000000002</v>
      </c>
      <c r="P103" s="32">
        <f t="shared" si="106"/>
        <v>100</v>
      </c>
      <c r="Q103" s="32">
        <f t="shared" ref="Q103:Q106" si="109">O103/K103*100</f>
        <v>100</v>
      </c>
      <c r="R103" s="32">
        <f t="shared" si="107"/>
        <v>100</v>
      </c>
    </row>
    <row r="104" spans="1:28" s="5" customFormat="1" ht="93.75">
      <c r="A104" s="8">
        <v>1</v>
      </c>
      <c r="B104" s="8">
        <v>1</v>
      </c>
      <c r="C104" s="8">
        <v>1</v>
      </c>
      <c r="D104" s="8">
        <v>1</v>
      </c>
      <c r="E104" s="8">
        <v>1</v>
      </c>
      <c r="F104" s="17" t="s">
        <v>49</v>
      </c>
      <c r="G104" s="17" t="s">
        <v>126</v>
      </c>
      <c r="H104" s="17" t="s">
        <v>187</v>
      </c>
      <c r="I104" s="37" t="s">
        <v>114</v>
      </c>
      <c r="J104" s="72">
        <v>91959.4</v>
      </c>
      <c r="K104" s="72">
        <v>91959.4</v>
      </c>
      <c r="L104" s="72">
        <v>91959.4</v>
      </c>
      <c r="M104" s="72">
        <v>91959.4</v>
      </c>
      <c r="N104" s="72">
        <v>88028.501499999998</v>
      </c>
      <c r="O104" s="72">
        <v>74987.964529999997</v>
      </c>
      <c r="P104" s="32">
        <f t="shared" si="106"/>
        <v>81.544643103369523</v>
      </c>
      <c r="Q104" s="32">
        <f t="shared" si="109"/>
        <v>81.544643103369523</v>
      </c>
      <c r="R104" s="32">
        <f t="shared" si="107"/>
        <v>81.544643103369523</v>
      </c>
    </row>
    <row r="105" spans="1:28" ht="112.5" hidden="1">
      <c r="A105" s="8">
        <v>1</v>
      </c>
      <c r="B105" s="8">
        <v>1</v>
      </c>
      <c r="C105" s="8"/>
      <c r="D105" s="8"/>
      <c r="E105" s="8">
        <v>1</v>
      </c>
      <c r="F105" s="17" t="s">
        <v>50</v>
      </c>
      <c r="G105" s="17" t="s">
        <v>92</v>
      </c>
      <c r="H105" s="17" t="s">
        <v>187</v>
      </c>
      <c r="I105" s="17" t="s">
        <v>119</v>
      </c>
      <c r="J105" s="31"/>
      <c r="K105" s="31"/>
      <c r="L105" s="31"/>
      <c r="M105" s="31"/>
      <c r="N105" s="31"/>
      <c r="O105" s="31"/>
      <c r="P105" s="32">
        <v>0</v>
      </c>
      <c r="Q105" s="32" t="e">
        <f t="shared" si="109"/>
        <v>#DIV/0!</v>
      </c>
      <c r="R105" s="32">
        <v>0</v>
      </c>
    </row>
    <row r="106" spans="1:28" ht="157.15" customHeight="1">
      <c r="A106" s="8">
        <v>1</v>
      </c>
      <c r="B106" s="8">
        <v>1</v>
      </c>
      <c r="C106" s="8"/>
      <c r="D106" s="8">
        <v>1</v>
      </c>
      <c r="E106" s="8">
        <v>1</v>
      </c>
      <c r="F106" s="17" t="s">
        <v>142</v>
      </c>
      <c r="G106" s="17" t="s">
        <v>85</v>
      </c>
      <c r="H106" s="17" t="s">
        <v>187</v>
      </c>
      <c r="I106" s="37" t="s">
        <v>114</v>
      </c>
      <c r="J106" s="19">
        <v>896.24679000000003</v>
      </c>
      <c r="K106" s="19">
        <v>896.24679000000003</v>
      </c>
      <c r="L106" s="19">
        <v>896.24679000000003</v>
      </c>
      <c r="M106" s="19">
        <v>896.24679000000003</v>
      </c>
      <c r="N106" s="19">
        <f>896.24679+21.93676</f>
        <v>918.18355000000008</v>
      </c>
      <c r="O106" s="19">
        <v>896.23</v>
      </c>
      <c r="P106" s="32">
        <f t="shared" ref="P106" si="110">O106/L106*100</f>
        <v>99.99812663206302</v>
      </c>
      <c r="Q106" s="32">
        <f t="shared" si="109"/>
        <v>99.99812663206302</v>
      </c>
      <c r="R106" s="32">
        <f t="shared" ref="R106:R109" si="111">O106/M106*100</f>
        <v>99.99812663206302</v>
      </c>
    </row>
    <row r="107" spans="1:28" ht="93.75" hidden="1">
      <c r="A107" s="8">
        <v>1</v>
      </c>
      <c r="B107" s="8">
        <v>1</v>
      </c>
      <c r="C107" s="8"/>
      <c r="D107" s="8"/>
      <c r="E107" s="8">
        <v>1</v>
      </c>
      <c r="F107" s="17" t="s">
        <v>51</v>
      </c>
      <c r="G107" s="17" t="s">
        <v>96</v>
      </c>
      <c r="H107" s="17" t="s">
        <v>83</v>
      </c>
      <c r="I107" s="17" t="s">
        <v>119</v>
      </c>
      <c r="J107" s="31">
        <v>0</v>
      </c>
      <c r="K107" s="31">
        <v>0</v>
      </c>
      <c r="L107" s="31">
        <v>0</v>
      </c>
      <c r="M107" s="31">
        <v>0</v>
      </c>
      <c r="N107" s="31"/>
      <c r="O107" s="31"/>
      <c r="P107" s="32" t="e">
        <f t="shared" si="106"/>
        <v>#DIV/0!</v>
      </c>
      <c r="Q107" s="32"/>
      <c r="R107" s="32" t="e">
        <f t="shared" si="107"/>
        <v>#DIV/0!</v>
      </c>
    </row>
    <row r="108" spans="1:28" s="5" customFormat="1" ht="160.5" customHeight="1">
      <c r="A108" s="8"/>
      <c r="B108" s="8"/>
      <c r="C108" s="8"/>
      <c r="D108" s="8"/>
      <c r="E108" s="8"/>
      <c r="F108" s="17" t="s">
        <v>143</v>
      </c>
      <c r="G108" s="17" t="s">
        <v>85</v>
      </c>
      <c r="H108" s="17" t="s">
        <v>187</v>
      </c>
      <c r="I108" s="17" t="s">
        <v>119</v>
      </c>
      <c r="J108" s="19">
        <v>8784.9509999999991</v>
      </c>
      <c r="K108" s="19">
        <v>8784.9509999999991</v>
      </c>
      <c r="L108" s="19">
        <v>8784.9509999999991</v>
      </c>
      <c r="M108" s="19">
        <v>8784.9509999999991</v>
      </c>
      <c r="N108" s="19">
        <v>8784.9509999999991</v>
      </c>
      <c r="O108" s="19">
        <v>8784.9509999999991</v>
      </c>
      <c r="P108" s="32">
        <f t="shared" si="106"/>
        <v>100</v>
      </c>
      <c r="Q108" s="32">
        <f t="shared" ref="Q108:Q111" si="112">O108/K108*100</f>
        <v>100</v>
      </c>
      <c r="R108" s="32">
        <f t="shared" si="111"/>
        <v>100</v>
      </c>
    </row>
    <row r="109" spans="1:28" s="1" customFormat="1" ht="150">
      <c r="A109" s="8">
        <v>1</v>
      </c>
      <c r="B109" s="8">
        <v>1</v>
      </c>
      <c r="C109" s="8"/>
      <c r="D109" s="8"/>
      <c r="E109" s="8">
        <v>1</v>
      </c>
      <c r="F109" s="17" t="s">
        <v>157</v>
      </c>
      <c r="G109" s="17" t="s">
        <v>85</v>
      </c>
      <c r="H109" s="17" t="s">
        <v>187</v>
      </c>
      <c r="I109" s="17" t="s">
        <v>114</v>
      </c>
      <c r="J109" s="19">
        <v>70000</v>
      </c>
      <c r="K109" s="19">
        <v>70000</v>
      </c>
      <c r="L109" s="19">
        <v>70000</v>
      </c>
      <c r="M109" s="19">
        <v>70000</v>
      </c>
      <c r="N109" s="19"/>
      <c r="O109" s="19"/>
      <c r="P109" s="32">
        <v>0</v>
      </c>
      <c r="Q109" s="32">
        <f t="shared" si="112"/>
        <v>0</v>
      </c>
      <c r="R109" s="32">
        <f t="shared" si="111"/>
        <v>0</v>
      </c>
      <c r="S109"/>
      <c r="T109"/>
      <c r="U109"/>
      <c r="V109"/>
      <c r="W109"/>
      <c r="X109"/>
      <c r="Y109"/>
      <c r="Z109"/>
      <c r="AA109"/>
      <c r="AB109"/>
    </row>
    <row r="110" spans="1:28" s="1" customFormat="1" ht="102.6" customHeight="1">
      <c r="A110" s="8"/>
      <c r="B110" s="8"/>
      <c r="C110" s="8"/>
      <c r="D110" s="8"/>
      <c r="E110" s="8"/>
      <c r="F110" s="17" t="s">
        <v>200</v>
      </c>
      <c r="G110" s="17" t="s">
        <v>96</v>
      </c>
      <c r="H110" s="17" t="s">
        <v>187</v>
      </c>
      <c r="I110" s="17" t="s">
        <v>119</v>
      </c>
      <c r="J110" s="19">
        <v>6496.4</v>
      </c>
      <c r="K110" s="19">
        <v>6496.4</v>
      </c>
      <c r="L110" s="19">
        <v>6496.4</v>
      </c>
      <c r="M110" s="19">
        <v>6496.4</v>
      </c>
      <c r="N110" s="19">
        <v>6496.4</v>
      </c>
      <c r="O110" s="19">
        <v>6496.4</v>
      </c>
      <c r="P110" s="66">
        <f t="shared" ref="P110" si="113">O110/L110*100</f>
        <v>100</v>
      </c>
      <c r="Q110" s="32">
        <f t="shared" si="112"/>
        <v>100</v>
      </c>
      <c r="R110" s="32">
        <f t="shared" ref="R110" si="114">O110/M110*100</f>
        <v>100</v>
      </c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s="1" customFormat="1" ht="159" customHeight="1">
      <c r="A111" s="8"/>
      <c r="B111" s="8"/>
      <c r="C111" s="8"/>
      <c r="D111" s="8"/>
      <c r="E111" s="8"/>
      <c r="F111" s="17" t="s">
        <v>158</v>
      </c>
      <c r="G111" s="17" t="s">
        <v>85</v>
      </c>
      <c r="H111" s="17" t="s">
        <v>187</v>
      </c>
      <c r="I111" s="37" t="s">
        <v>114</v>
      </c>
      <c r="J111" s="19">
        <v>599.44200000000001</v>
      </c>
      <c r="K111" s="19">
        <v>599.44200000000001</v>
      </c>
      <c r="L111" s="19">
        <v>599.44200000000001</v>
      </c>
      <c r="M111" s="19">
        <v>599.44200000000001</v>
      </c>
      <c r="N111" s="19">
        <v>599.44200000000001</v>
      </c>
      <c r="O111" s="19">
        <v>599.44200000000001</v>
      </c>
      <c r="P111" s="66">
        <f t="shared" ref="P111" si="115">O111/L111*100</f>
        <v>100</v>
      </c>
      <c r="Q111" s="32">
        <f t="shared" si="112"/>
        <v>100</v>
      </c>
      <c r="R111" s="32">
        <f t="shared" ref="R111" si="116">O111/M111*100</f>
        <v>100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60.6" customHeight="1">
      <c r="A112" s="8"/>
      <c r="B112" s="8"/>
      <c r="C112" s="8"/>
      <c r="D112" s="8"/>
      <c r="E112" s="8"/>
      <c r="F112" s="28" t="s">
        <v>16</v>
      </c>
      <c r="G112" s="28"/>
      <c r="H112" s="28"/>
      <c r="I112" s="28"/>
      <c r="J112" s="55">
        <f t="shared" ref="J112:O112" si="117">SUM(J113)</f>
        <v>485277.28331999999</v>
      </c>
      <c r="K112" s="55">
        <f t="shared" si="117"/>
        <v>485277.28331999999</v>
      </c>
      <c r="L112" s="55">
        <f t="shared" si="117"/>
        <v>485277.28331999999</v>
      </c>
      <c r="M112" s="55">
        <f t="shared" si="117"/>
        <v>485277.28331999999</v>
      </c>
      <c r="N112" s="55">
        <f t="shared" si="117"/>
        <v>485277.28331999999</v>
      </c>
      <c r="O112" s="55">
        <f t="shared" si="117"/>
        <v>485277.28331999999</v>
      </c>
      <c r="P112" s="53">
        <f t="shared" si="106"/>
        <v>100</v>
      </c>
      <c r="Q112" s="53">
        <f>O112/K112*100</f>
        <v>100</v>
      </c>
      <c r="R112" s="53">
        <f t="shared" si="107"/>
        <v>100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s="4" customFormat="1" ht="186.75" customHeight="1">
      <c r="A113" s="9">
        <v>1</v>
      </c>
      <c r="B113" s="9">
        <v>1</v>
      </c>
      <c r="C113" s="9">
        <v>1</v>
      </c>
      <c r="D113" s="9"/>
      <c r="E113" s="9"/>
      <c r="F113" s="17" t="s">
        <v>52</v>
      </c>
      <c r="G113" s="17" t="s">
        <v>127</v>
      </c>
      <c r="H113" s="17" t="s">
        <v>128</v>
      </c>
      <c r="I113" s="17" t="s">
        <v>94</v>
      </c>
      <c r="J113" s="31">
        <v>485277.28331999999</v>
      </c>
      <c r="K113" s="31">
        <v>485277.28331999999</v>
      </c>
      <c r="L113" s="31">
        <v>485277.28331999999</v>
      </c>
      <c r="M113" s="31">
        <v>485277.28331999999</v>
      </c>
      <c r="N113" s="31">
        <v>485277.28331999999</v>
      </c>
      <c r="O113" s="31">
        <v>485277.28331999999</v>
      </c>
      <c r="P113" s="32">
        <f t="shared" si="106"/>
        <v>100</v>
      </c>
      <c r="Q113" s="32">
        <f t="shared" ref="Q113" si="118">O113/K113*100</f>
        <v>100</v>
      </c>
      <c r="R113" s="32">
        <f t="shared" si="107"/>
        <v>100</v>
      </c>
    </row>
    <row r="114" spans="1:28" ht="107.45" hidden="1" customHeight="1">
      <c r="A114" s="8"/>
      <c r="B114" s="8"/>
      <c r="C114" s="8"/>
      <c r="D114" s="8"/>
      <c r="E114" s="8"/>
      <c r="F114" s="47" t="s">
        <v>17</v>
      </c>
      <c r="G114" s="47"/>
      <c r="H114" s="47"/>
      <c r="I114" s="47"/>
      <c r="J114" s="48">
        <f t="shared" ref="J114:M114" si="119">SUM(J115:J116)</f>
        <v>0</v>
      </c>
      <c r="K114" s="48">
        <f t="shared" si="119"/>
        <v>0</v>
      </c>
      <c r="L114" s="48">
        <f t="shared" si="119"/>
        <v>0</v>
      </c>
      <c r="M114" s="48">
        <f t="shared" si="119"/>
        <v>0</v>
      </c>
      <c r="N114" s="48">
        <f t="shared" ref="N114" si="120">SUM(N115:N116)</f>
        <v>0</v>
      </c>
      <c r="O114" s="48">
        <f t="shared" ref="O114" si="121">SUM(O115:O116)</f>
        <v>0</v>
      </c>
      <c r="P114" s="46" t="e">
        <f t="shared" si="106"/>
        <v>#DIV/0!</v>
      </c>
      <c r="Q114" s="46"/>
      <c r="R114" s="46">
        <v>0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93.75" hidden="1">
      <c r="A115" s="8">
        <v>1</v>
      </c>
      <c r="B115" s="8">
        <v>1</v>
      </c>
      <c r="C115" s="8">
        <v>1</v>
      </c>
      <c r="D115" s="8">
        <v>1</v>
      </c>
      <c r="E115" s="8">
        <v>1</v>
      </c>
      <c r="F115" s="17" t="s">
        <v>53</v>
      </c>
      <c r="G115" s="17" t="s">
        <v>129</v>
      </c>
      <c r="H115" s="44" t="s">
        <v>83</v>
      </c>
      <c r="I115" s="44" t="s">
        <v>94</v>
      </c>
      <c r="J115" s="19"/>
      <c r="K115" s="19"/>
      <c r="L115" s="19"/>
      <c r="M115" s="19"/>
      <c r="N115" s="19"/>
      <c r="O115" s="19"/>
      <c r="P115" s="32" t="e">
        <f t="shared" si="106"/>
        <v>#DIV/0!</v>
      </c>
      <c r="Q115" s="32"/>
      <c r="R115" s="32">
        <v>0</v>
      </c>
    </row>
    <row r="116" spans="1:28" s="1" customFormat="1" ht="93" hidden="1" customHeight="1">
      <c r="A116" s="8">
        <v>1</v>
      </c>
      <c r="B116" s="8">
        <v>1</v>
      </c>
      <c r="C116" s="8">
        <v>1</v>
      </c>
      <c r="D116" s="8">
        <v>1</v>
      </c>
      <c r="E116" s="8">
        <v>1</v>
      </c>
      <c r="F116" s="17" t="s">
        <v>54</v>
      </c>
      <c r="G116" s="17" t="s">
        <v>129</v>
      </c>
      <c r="H116" s="44" t="s">
        <v>83</v>
      </c>
      <c r="I116" s="17" t="s">
        <v>119</v>
      </c>
      <c r="J116" s="19"/>
      <c r="K116" s="19"/>
      <c r="L116" s="19"/>
      <c r="M116" s="19"/>
      <c r="N116" s="19"/>
      <c r="O116" s="19"/>
      <c r="P116" s="32" t="e">
        <f t="shared" si="106"/>
        <v>#DIV/0!</v>
      </c>
      <c r="Q116" s="32"/>
      <c r="R116" s="32">
        <v>0</v>
      </c>
      <c r="S116"/>
      <c r="T116"/>
      <c r="U116"/>
      <c r="V116"/>
      <c r="W116"/>
      <c r="X116"/>
      <c r="Y116"/>
      <c r="Z116"/>
      <c r="AA116"/>
      <c r="AB116"/>
    </row>
    <row r="117" spans="1:28" ht="117.6" customHeight="1">
      <c r="F117" s="28" t="s">
        <v>177</v>
      </c>
      <c r="G117" s="28"/>
      <c r="H117" s="28"/>
      <c r="I117" s="28"/>
      <c r="J117" s="56">
        <f>SUM(J118:J119)</f>
        <v>1531.2508600000001</v>
      </c>
      <c r="K117" s="56">
        <f t="shared" ref="K117:M117" si="122">SUM(K118:K119)</f>
        <v>1531.2508600000001</v>
      </c>
      <c r="L117" s="56">
        <f t="shared" si="122"/>
        <v>1531.2508600000001</v>
      </c>
      <c r="M117" s="56">
        <f t="shared" si="122"/>
        <v>1531.2508600000001</v>
      </c>
      <c r="N117" s="56">
        <f t="shared" ref="N117" si="123">SUM(N118:N119)</f>
        <v>1531.2508600000001</v>
      </c>
      <c r="O117" s="56">
        <f t="shared" ref="O117" si="124">SUM(O118:O119)</f>
        <v>1531.2508600000001</v>
      </c>
      <c r="P117" s="53">
        <f t="shared" ref="P117:P119" si="125">O117/L117*100</f>
        <v>100</v>
      </c>
      <c r="Q117" s="53">
        <f>O117/K117*100</f>
        <v>100</v>
      </c>
      <c r="R117" s="53">
        <f t="shared" ref="R117:R120" si="126">O117/M117*100</f>
        <v>100</v>
      </c>
    </row>
    <row r="118" spans="1:28" ht="183.6" customHeight="1">
      <c r="F118" s="41" t="s">
        <v>199</v>
      </c>
      <c r="G118" s="17" t="s">
        <v>85</v>
      </c>
      <c r="H118" s="17" t="s">
        <v>187</v>
      </c>
      <c r="I118" s="17" t="s">
        <v>130</v>
      </c>
      <c r="J118" s="68">
        <v>1336.3702000000001</v>
      </c>
      <c r="K118" s="68">
        <v>1336.3702000000001</v>
      </c>
      <c r="L118" s="68">
        <v>1336.3702000000001</v>
      </c>
      <c r="M118" s="68">
        <v>1336.3702000000001</v>
      </c>
      <c r="N118" s="68">
        <v>1336.3702000000001</v>
      </c>
      <c r="O118" s="68">
        <v>1336.3702000000001</v>
      </c>
      <c r="P118" s="32">
        <f t="shared" si="125"/>
        <v>100</v>
      </c>
      <c r="Q118" s="32">
        <f t="shared" ref="Q118:Q119" si="127">O118/K118*100</f>
        <v>100</v>
      </c>
      <c r="R118" s="32">
        <f t="shared" si="126"/>
        <v>100</v>
      </c>
    </row>
    <row r="119" spans="1:28" ht="165.75" customHeight="1">
      <c r="F119" s="17" t="s">
        <v>198</v>
      </c>
      <c r="G119" s="17" t="s">
        <v>85</v>
      </c>
      <c r="H119" s="17" t="s">
        <v>187</v>
      </c>
      <c r="I119" s="17" t="s">
        <v>130</v>
      </c>
      <c r="J119" s="68">
        <v>194.88066000000001</v>
      </c>
      <c r="K119" s="68">
        <v>194.88066000000001</v>
      </c>
      <c r="L119" s="68">
        <v>194.88066000000001</v>
      </c>
      <c r="M119" s="68">
        <v>194.88066000000001</v>
      </c>
      <c r="N119" s="68">
        <v>194.88066000000001</v>
      </c>
      <c r="O119" s="68">
        <v>194.88066000000001</v>
      </c>
      <c r="P119" s="32">
        <f t="shared" si="125"/>
        <v>100</v>
      </c>
      <c r="Q119" s="32">
        <f t="shared" si="127"/>
        <v>100</v>
      </c>
      <c r="R119" s="32">
        <f t="shared" si="126"/>
        <v>100</v>
      </c>
    </row>
    <row r="120" spans="1:28" s="5" customFormat="1" ht="85.9" customHeight="1">
      <c r="A120" s="6"/>
      <c r="B120" s="6"/>
      <c r="C120" s="6"/>
      <c r="D120" s="6"/>
      <c r="E120" s="6"/>
      <c r="F120" s="28" t="s">
        <v>176</v>
      </c>
      <c r="G120" s="28"/>
      <c r="H120" s="28"/>
      <c r="I120" s="28"/>
      <c r="J120" s="57">
        <f>J121+J122+J123</f>
        <v>8367.7583599999998</v>
      </c>
      <c r="K120" s="57">
        <f t="shared" ref="K120:M120" si="128">K121+K122+K123</f>
        <v>8367.7583599999998</v>
      </c>
      <c r="L120" s="57">
        <f t="shared" si="128"/>
        <v>8367.7583599999998</v>
      </c>
      <c r="M120" s="57">
        <f t="shared" si="128"/>
        <v>8367.7583599999998</v>
      </c>
      <c r="N120" s="57">
        <f t="shared" ref="N120:O120" si="129">N121+N122+N123</f>
        <v>3151.5343000000003</v>
      </c>
      <c r="O120" s="57">
        <f t="shared" si="129"/>
        <v>3151.5343000000003</v>
      </c>
      <c r="P120" s="53">
        <f t="shared" ref="P120:P123" si="130">O120/L120*100</f>
        <v>37.662826343852508</v>
      </c>
      <c r="Q120" s="53">
        <f>O120/K120*100</f>
        <v>37.662826343852508</v>
      </c>
      <c r="R120" s="53">
        <f t="shared" si="126"/>
        <v>37.662826343852508</v>
      </c>
    </row>
    <row r="121" spans="1:28" s="5" customFormat="1" ht="181.5" customHeight="1">
      <c r="A121" s="6"/>
      <c r="B121" s="6"/>
      <c r="C121" s="6"/>
      <c r="D121" s="6"/>
      <c r="E121" s="6"/>
      <c r="F121" s="17" t="s">
        <v>81</v>
      </c>
      <c r="G121" s="17" t="s">
        <v>131</v>
      </c>
      <c r="H121" s="17" t="s">
        <v>132</v>
      </c>
      <c r="I121" s="17" t="s">
        <v>87</v>
      </c>
      <c r="J121" s="68">
        <v>2112.761</v>
      </c>
      <c r="K121" s="68">
        <v>2112.761</v>
      </c>
      <c r="L121" s="68">
        <v>2112.761</v>
      </c>
      <c r="M121" s="68">
        <v>2112.761</v>
      </c>
      <c r="N121" s="68">
        <v>1896.5443</v>
      </c>
      <c r="O121" s="68">
        <v>1896.5443</v>
      </c>
      <c r="P121" s="32">
        <f t="shared" si="130"/>
        <v>89.766154335488025</v>
      </c>
      <c r="Q121" s="32">
        <f t="shared" ref="Q121:Q123" si="131">O121/K121*100</f>
        <v>89.766154335488025</v>
      </c>
      <c r="R121" s="32">
        <f t="shared" ref="R121:R122" si="132">O121/M121*100</f>
        <v>89.766154335488025</v>
      </c>
    </row>
    <row r="122" spans="1:28" s="5" customFormat="1" ht="179.25" customHeight="1">
      <c r="A122" s="6"/>
      <c r="B122" s="6"/>
      <c r="C122" s="6"/>
      <c r="D122" s="6"/>
      <c r="E122" s="6"/>
      <c r="F122" s="41" t="s">
        <v>197</v>
      </c>
      <c r="G122" s="17" t="s">
        <v>96</v>
      </c>
      <c r="H122" s="17" t="s">
        <v>132</v>
      </c>
      <c r="I122" s="17" t="s">
        <v>87</v>
      </c>
      <c r="J122" s="68">
        <v>5000</v>
      </c>
      <c r="K122" s="68">
        <v>5000</v>
      </c>
      <c r="L122" s="68">
        <v>5000</v>
      </c>
      <c r="M122" s="68">
        <v>5000</v>
      </c>
      <c r="N122" s="68"/>
      <c r="O122" s="68"/>
      <c r="P122" s="32">
        <f t="shared" ref="P122" si="133">O122/L122*100</f>
        <v>0</v>
      </c>
      <c r="Q122" s="32">
        <f t="shared" si="131"/>
        <v>0</v>
      </c>
      <c r="R122" s="32">
        <f t="shared" si="132"/>
        <v>0</v>
      </c>
    </row>
    <row r="123" spans="1:28" s="5" customFormat="1" ht="186" customHeight="1">
      <c r="A123" s="6"/>
      <c r="B123" s="6"/>
      <c r="C123" s="6"/>
      <c r="D123" s="6"/>
      <c r="E123" s="6"/>
      <c r="F123" s="17" t="s">
        <v>159</v>
      </c>
      <c r="G123" s="17" t="s">
        <v>160</v>
      </c>
      <c r="H123" s="17" t="s">
        <v>132</v>
      </c>
      <c r="I123" s="17" t="s">
        <v>161</v>
      </c>
      <c r="J123" s="68">
        <v>1254.9973600000001</v>
      </c>
      <c r="K123" s="68">
        <v>1254.9973600000001</v>
      </c>
      <c r="L123" s="68">
        <v>1254.9973600000001</v>
      </c>
      <c r="M123" s="68">
        <v>1254.9973600000001</v>
      </c>
      <c r="N123" s="68">
        <v>1254.99</v>
      </c>
      <c r="O123" s="68">
        <v>1254.99</v>
      </c>
      <c r="P123" s="32">
        <f t="shared" si="130"/>
        <v>99.999413544583078</v>
      </c>
      <c r="Q123" s="32">
        <f t="shared" si="131"/>
        <v>99.999413544583078</v>
      </c>
      <c r="R123" s="32">
        <f t="shared" ref="R123" si="134">O123/M123*100</f>
        <v>99.999413544583078</v>
      </c>
    </row>
    <row r="124" spans="1:28" s="5" customFormat="1" ht="142.15" customHeight="1">
      <c r="A124" s="6"/>
      <c r="B124" s="6"/>
      <c r="C124" s="6"/>
      <c r="D124" s="6"/>
      <c r="E124" s="6"/>
      <c r="F124" s="58" t="s">
        <v>162</v>
      </c>
      <c r="G124" s="51"/>
      <c r="H124" s="51"/>
      <c r="I124" s="51"/>
      <c r="J124" s="57">
        <f>J125</f>
        <v>6000</v>
      </c>
      <c r="K124" s="57">
        <f t="shared" ref="K124:M124" si="135">K125</f>
        <v>6000</v>
      </c>
      <c r="L124" s="57">
        <f t="shared" si="135"/>
        <v>6000</v>
      </c>
      <c r="M124" s="57">
        <f t="shared" si="135"/>
        <v>6000</v>
      </c>
      <c r="N124" s="57">
        <f t="shared" ref="N124:O124" si="136">N125</f>
        <v>0</v>
      </c>
      <c r="O124" s="57">
        <f t="shared" si="136"/>
        <v>0</v>
      </c>
      <c r="P124" s="53">
        <f t="shared" ref="P124:P125" si="137">O124/L124*100</f>
        <v>0</v>
      </c>
      <c r="Q124" s="53">
        <f>O124/K124*100</f>
        <v>0</v>
      </c>
      <c r="R124" s="53">
        <f t="shared" ref="R124:R125" si="138">O124/M124*100</f>
        <v>0</v>
      </c>
    </row>
    <row r="125" spans="1:28" s="5" customFormat="1" ht="161.25" customHeight="1">
      <c r="A125" s="6"/>
      <c r="B125" s="6"/>
      <c r="C125" s="6"/>
      <c r="D125" s="6"/>
      <c r="E125" s="6"/>
      <c r="F125" s="49" t="s">
        <v>163</v>
      </c>
      <c r="G125" s="17" t="s">
        <v>85</v>
      </c>
      <c r="H125" s="17" t="s">
        <v>187</v>
      </c>
      <c r="I125" s="17" t="s">
        <v>145</v>
      </c>
      <c r="J125" s="68">
        <v>6000</v>
      </c>
      <c r="K125" s="68">
        <v>6000</v>
      </c>
      <c r="L125" s="68">
        <v>6000</v>
      </c>
      <c r="M125" s="68">
        <v>6000</v>
      </c>
      <c r="N125" s="68"/>
      <c r="O125" s="68"/>
      <c r="P125" s="32">
        <f t="shared" si="137"/>
        <v>0</v>
      </c>
      <c r="Q125" s="32"/>
      <c r="R125" s="32">
        <f t="shared" si="138"/>
        <v>0</v>
      </c>
    </row>
    <row r="126" spans="1:28" s="5" customFormat="1" ht="80.45" customHeight="1">
      <c r="A126" s="6"/>
      <c r="B126" s="6"/>
      <c r="C126" s="6"/>
      <c r="D126" s="6"/>
      <c r="E126" s="6"/>
      <c r="F126" s="58" t="s">
        <v>164</v>
      </c>
      <c r="G126" s="51"/>
      <c r="H126" s="51"/>
      <c r="I126" s="51"/>
      <c r="J126" s="57">
        <f>J127</f>
        <v>17212.3</v>
      </c>
      <c r="K126" s="57">
        <f t="shared" ref="K126:M126" si="139">K127</f>
        <v>17212.3</v>
      </c>
      <c r="L126" s="57">
        <f t="shared" si="139"/>
        <v>17212.3</v>
      </c>
      <c r="M126" s="57">
        <f t="shared" si="139"/>
        <v>17212.3</v>
      </c>
      <c r="N126" s="57">
        <f t="shared" ref="N126:O126" si="140">N127</f>
        <v>17212.3</v>
      </c>
      <c r="O126" s="57">
        <f t="shared" si="140"/>
        <v>17212.3</v>
      </c>
      <c r="P126" s="53">
        <f t="shared" ref="P126:P127" si="141">O126/L126*100</f>
        <v>100</v>
      </c>
      <c r="Q126" s="53">
        <f>O126/K126*100</f>
        <v>100</v>
      </c>
      <c r="R126" s="53">
        <f t="shared" ref="R126:R127" si="142">O126/M126*100</f>
        <v>100</v>
      </c>
    </row>
    <row r="127" spans="1:28" s="5" customFormat="1" ht="247.9" customHeight="1">
      <c r="A127" s="6"/>
      <c r="B127" s="6"/>
      <c r="C127" s="6"/>
      <c r="D127" s="6"/>
      <c r="E127" s="6"/>
      <c r="F127" s="49" t="s">
        <v>165</v>
      </c>
      <c r="G127" s="17" t="s">
        <v>166</v>
      </c>
      <c r="H127" s="17" t="s">
        <v>167</v>
      </c>
      <c r="I127" s="17" t="s">
        <v>168</v>
      </c>
      <c r="J127" s="68">
        <v>17212.3</v>
      </c>
      <c r="K127" s="68">
        <v>17212.3</v>
      </c>
      <c r="L127" s="68">
        <v>17212.3</v>
      </c>
      <c r="M127" s="68">
        <v>17212.3</v>
      </c>
      <c r="N127" s="68">
        <v>17212.3</v>
      </c>
      <c r="O127" s="68">
        <v>17212.3</v>
      </c>
      <c r="P127" s="32">
        <f t="shared" si="141"/>
        <v>100</v>
      </c>
      <c r="Q127" s="32">
        <f t="shared" ref="Q127" si="143">O127/K127*100</f>
        <v>100</v>
      </c>
      <c r="R127" s="32">
        <f t="shared" si="142"/>
        <v>100</v>
      </c>
    </row>
    <row r="128" spans="1:28" ht="43.5" customHeight="1">
      <c r="F128" s="84" t="s">
        <v>72</v>
      </c>
      <c r="G128" s="85"/>
      <c r="H128" s="85"/>
      <c r="I128" s="85"/>
      <c r="J128" s="85"/>
      <c r="K128" s="86"/>
      <c r="L128" s="86"/>
      <c r="M128" s="87"/>
      <c r="N128" s="87"/>
      <c r="O128" s="87"/>
      <c r="P128" s="87"/>
      <c r="Q128" s="87"/>
      <c r="R128" s="88"/>
    </row>
    <row r="129" spans="1:18" s="5" customFormat="1" ht="40.5" customHeight="1">
      <c r="A129" s="6"/>
      <c r="B129" s="6"/>
      <c r="C129" s="6"/>
      <c r="D129" s="6"/>
      <c r="E129" s="6"/>
      <c r="F129" s="28" t="s">
        <v>73</v>
      </c>
      <c r="G129" s="59"/>
      <c r="H129" s="59"/>
      <c r="I129" s="60"/>
      <c r="J129" s="61">
        <f>J130+J131+J132+J133+J134+J135</f>
        <v>155708.5</v>
      </c>
      <c r="K129" s="61">
        <f t="shared" ref="K129:L129" si="144">K130+K131+K132+K133+K134+K135</f>
        <v>155708.5</v>
      </c>
      <c r="L129" s="61">
        <f t="shared" si="144"/>
        <v>155708.5</v>
      </c>
      <c r="M129" s="61">
        <f t="shared" ref="M129" si="145">M130+M131+M132+M133+M134+M135</f>
        <v>155708.5</v>
      </c>
      <c r="N129" s="61">
        <f t="shared" ref="N129:O129" si="146">N130+N131+N132+N133+N134+N135</f>
        <v>110092.46163999999</v>
      </c>
      <c r="O129" s="61">
        <f t="shared" si="146"/>
        <v>110092.46163999999</v>
      </c>
      <c r="P129" s="53">
        <f t="shared" ref="P129:P139" si="147">O129/L129*100</f>
        <v>70.704207952680804</v>
      </c>
      <c r="Q129" s="53">
        <f>O129/K129*100</f>
        <v>70.704207952680804</v>
      </c>
      <c r="R129" s="53">
        <f t="shared" ref="R129:R139" si="148">O129/M129*100</f>
        <v>70.704207952680804</v>
      </c>
    </row>
    <row r="130" spans="1:18" s="5" customFormat="1" ht="102.75" customHeight="1">
      <c r="A130" s="6"/>
      <c r="B130" s="6"/>
      <c r="C130" s="6"/>
      <c r="D130" s="6"/>
      <c r="E130" s="6"/>
      <c r="F130" s="17" t="s">
        <v>74</v>
      </c>
      <c r="G130" s="17" t="s">
        <v>82</v>
      </c>
      <c r="H130" s="17" t="s">
        <v>187</v>
      </c>
      <c r="I130" s="17" t="s">
        <v>103</v>
      </c>
      <c r="J130" s="74">
        <v>1604</v>
      </c>
      <c r="K130" s="74">
        <v>1604</v>
      </c>
      <c r="L130" s="74">
        <v>1604</v>
      </c>
      <c r="M130" s="74">
        <v>1604</v>
      </c>
      <c r="N130" s="74">
        <v>1604</v>
      </c>
      <c r="O130" s="74">
        <v>1604</v>
      </c>
      <c r="P130" s="32">
        <f t="shared" si="147"/>
        <v>100</v>
      </c>
      <c r="Q130" s="32">
        <f t="shared" ref="Q130:Q135" si="149">O130/K130*100</f>
        <v>100</v>
      </c>
      <c r="R130" s="32">
        <f t="shared" si="148"/>
        <v>100</v>
      </c>
    </row>
    <row r="131" spans="1:18" s="5" customFormat="1" ht="97.15" customHeight="1">
      <c r="A131" s="6"/>
      <c r="B131" s="6"/>
      <c r="C131" s="6"/>
      <c r="D131" s="6"/>
      <c r="E131" s="6"/>
      <c r="F131" s="17" t="s">
        <v>75</v>
      </c>
      <c r="G131" s="17" t="s">
        <v>84</v>
      </c>
      <c r="H131" s="17" t="s">
        <v>187</v>
      </c>
      <c r="I131" s="17" t="s">
        <v>103</v>
      </c>
      <c r="J131" s="74">
        <v>23204.2</v>
      </c>
      <c r="K131" s="74">
        <v>23204.2</v>
      </c>
      <c r="L131" s="74">
        <v>23204.2</v>
      </c>
      <c r="M131" s="74">
        <v>23204.2</v>
      </c>
      <c r="N131" s="74">
        <v>23204.2</v>
      </c>
      <c r="O131" s="74">
        <v>23204.2</v>
      </c>
      <c r="P131" s="32">
        <f t="shared" si="147"/>
        <v>100</v>
      </c>
      <c r="Q131" s="32">
        <f t="shared" si="149"/>
        <v>100</v>
      </c>
      <c r="R131" s="32">
        <f t="shared" si="148"/>
        <v>100</v>
      </c>
    </row>
    <row r="132" spans="1:18" s="5" customFormat="1" ht="113.45" customHeight="1">
      <c r="A132" s="6"/>
      <c r="B132" s="6"/>
      <c r="C132" s="6"/>
      <c r="D132" s="6"/>
      <c r="E132" s="6"/>
      <c r="F132" s="17" t="s">
        <v>169</v>
      </c>
      <c r="G132" s="17" t="s">
        <v>90</v>
      </c>
      <c r="H132" s="17" t="s">
        <v>187</v>
      </c>
      <c r="I132" s="17" t="s">
        <v>103</v>
      </c>
      <c r="J132" s="74">
        <v>60700.3</v>
      </c>
      <c r="K132" s="74">
        <v>60700.3</v>
      </c>
      <c r="L132" s="74">
        <v>60700.3</v>
      </c>
      <c r="M132" s="74">
        <v>60700.3</v>
      </c>
      <c r="N132" s="75">
        <f>49593.17798+11107.08366</f>
        <v>60700.261639999997</v>
      </c>
      <c r="O132" s="75">
        <f>49593.17798+11107.08366</f>
        <v>60700.261639999997</v>
      </c>
      <c r="P132" s="32">
        <f t="shared" ref="P132:P135" si="150">O132/L132*100</f>
        <v>99.999936804266198</v>
      </c>
      <c r="Q132" s="32">
        <f t="shared" si="149"/>
        <v>99.999936804266198</v>
      </c>
      <c r="R132" s="32">
        <f t="shared" ref="R132:R135" si="151">O132/M132*100</f>
        <v>99.999936804266198</v>
      </c>
    </row>
    <row r="133" spans="1:18" s="5" customFormat="1" ht="118.15" customHeight="1">
      <c r="A133" s="6"/>
      <c r="B133" s="6"/>
      <c r="C133" s="6"/>
      <c r="D133" s="6"/>
      <c r="E133" s="6"/>
      <c r="F133" s="17" t="s">
        <v>196</v>
      </c>
      <c r="G133" s="17" t="s">
        <v>105</v>
      </c>
      <c r="H133" s="17" t="s">
        <v>187</v>
      </c>
      <c r="I133" s="17" t="s">
        <v>103</v>
      </c>
      <c r="J133" s="74">
        <v>45616</v>
      </c>
      <c r="K133" s="74">
        <v>45616</v>
      </c>
      <c r="L133" s="74">
        <v>45616</v>
      </c>
      <c r="M133" s="74">
        <v>45616</v>
      </c>
      <c r="N133" s="75"/>
      <c r="O133" s="75"/>
      <c r="P133" s="32">
        <f t="shared" si="150"/>
        <v>0</v>
      </c>
      <c r="Q133" s="32">
        <f t="shared" si="149"/>
        <v>0</v>
      </c>
      <c r="R133" s="32">
        <f t="shared" si="151"/>
        <v>0</v>
      </c>
    </row>
    <row r="134" spans="1:18" s="5" customFormat="1" ht="113.45" customHeight="1">
      <c r="A134" s="6"/>
      <c r="B134" s="6"/>
      <c r="C134" s="6"/>
      <c r="D134" s="6"/>
      <c r="E134" s="6"/>
      <c r="F134" s="17" t="s">
        <v>170</v>
      </c>
      <c r="G134" s="17" t="s">
        <v>104</v>
      </c>
      <c r="H134" s="17" t="s">
        <v>187</v>
      </c>
      <c r="I134" s="17" t="s">
        <v>103</v>
      </c>
      <c r="J134" s="74">
        <v>13000</v>
      </c>
      <c r="K134" s="74">
        <v>13000</v>
      </c>
      <c r="L134" s="74">
        <v>13000</v>
      </c>
      <c r="M134" s="74">
        <v>13000</v>
      </c>
      <c r="N134" s="75">
        <f>6362.4+6637.6</f>
        <v>13000</v>
      </c>
      <c r="O134" s="75">
        <f>6362.4+6637.6</f>
        <v>13000</v>
      </c>
      <c r="P134" s="32">
        <f t="shared" si="150"/>
        <v>100</v>
      </c>
      <c r="Q134" s="32">
        <f t="shared" si="149"/>
        <v>100</v>
      </c>
      <c r="R134" s="32">
        <f t="shared" si="151"/>
        <v>100</v>
      </c>
    </row>
    <row r="135" spans="1:18" s="5" customFormat="1" ht="118.15" customHeight="1">
      <c r="A135" s="6"/>
      <c r="B135" s="6"/>
      <c r="C135" s="6"/>
      <c r="D135" s="6"/>
      <c r="E135" s="6"/>
      <c r="F135" s="17" t="s">
        <v>171</v>
      </c>
      <c r="G135" s="17" t="s">
        <v>121</v>
      </c>
      <c r="H135" s="17" t="s">
        <v>187</v>
      </c>
      <c r="I135" s="17" t="s">
        <v>103</v>
      </c>
      <c r="J135" s="74">
        <v>11584</v>
      </c>
      <c r="K135" s="74">
        <v>11584</v>
      </c>
      <c r="L135" s="74">
        <v>11584</v>
      </c>
      <c r="M135" s="74">
        <v>11584</v>
      </c>
      <c r="N135" s="74">
        <v>11584</v>
      </c>
      <c r="O135" s="74">
        <v>11584</v>
      </c>
      <c r="P135" s="32">
        <f t="shared" si="150"/>
        <v>100</v>
      </c>
      <c r="Q135" s="32">
        <f t="shared" si="149"/>
        <v>100</v>
      </c>
      <c r="R135" s="32">
        <f t="shared" si="151"/>
        <v>100</v>
      </c>
    </row>
    <row r="136" spans="1:18" s="5" customFormat="1" ht="64.900000000000006" customHeight="1">
      <c r="A136" s="6"/>
      <c r="B136" s="6"/>
      <c r="C136" s="6"/>
      <c r="D136" s="6"/>
      <c r="E136" s="6"/>
      <c r="F136" s="28" t="s">
        <v>16</v>
      </c>
      <c r="G136" s="51"/>
      <c r="H136" s="51"/>
      <c r="I136" s="78"/>
      <c r="J136" s="62">
        <f>J137</f>
        <v>369800</v>
      </c>
      <c r="K136" s="62">
        <f t="shared" ref="K136:M136" si="152">K137</f>
        <v>369800</v>
      </c>
      <c r="L136" s="62">
        <f t="shared" si="152"/>
        <v>369800</v>
      </c>
      <c r="M136" s="62">
        <f t="shared" si="152"/>
        <v>369800</v>
      </c>
      <c r="N136" s="62">
        <f t="shared" ref="N136:O136" si="153">N137</f>
        <v>369800</v>
      </c>
      <c r="O136" s="62">
        <f t="shared" si="153"/>
        <v>369800</v>
      </c>
      <c r="P136" s="53">
        <f t="shared" ref="P136:P137" si="154">O136/L136*100</f>
        <v>100</v>
      </c>
      <c r="Q136" s="53">
        <f>O136/K136*100</f>
        <v>100</v>
      </c>
      <c r="R136" s="53">
        <f t="shared" ref="R136:R137" si="155">O136/M136*100</f>
        <v>100</v>
      </c>
    </row>
    <row r="137" spans="1:18" s="5" customFormat="1" ht="180" customHeight="1">
      <c r="A137" s="6"/>
      <c r="B137" s="6"/>
      <c r="C137" s="6"/>
      <c r="D137" s="6"/>
      <c r="E137" s="6"/>
      <c r="F137" s="17" t="s">
        <v>52</v>
      </c>
      <c r="G137" s="17" t="s">
        <v>127</v>
      </c>
      <c r="H137" s="17" t="s">
        <v>128</v>
      </c>
      <c r="I137" s="17" t="s">
        <v>94</v>
      </c>
      <c r="J137" s="74">
        <v>369800</v>
      </c>
      <c r="K137" s="74">
        <v>369800</v>
      </c>
      <c r="L137" s="74">
        <v>369800</v>
      </c>
      <c r="M137" s="74">
        <v>369800</v>
      </c>
      <c r="N137" s="74">
        <v>369800</v>
      </c>
      <c r="O137" s="74">
        <v>369800</v>
      </c>
      <c r="P137" s="32">
        <f t="shared" si="154"/>
        <v>100</v>
      </c>
      <c r="Q137" s="32">
        <f t="shared" ref="Q137" si="156">O137/K137*100</f>
        <v>100</v>
      </c>
      <c r="R137" s="32">
        <f t="shared" si="155"/>
        <v>100</v>
      </c>
    </row>
    <row r="138" spans="1:18" s="5" customFormat="1" ht="81" customHeight="1">
      <c r="A138" s="6"/>
      <c r="B138" s="6"/>
      <c r="C138" s="6"/>
      <c r="D138" s="6"/>
      <c r="E138" s="6"/>
      <c r="F138" s="63" t="s">
        <v>76</v>
      </c>
      <c r="G138" s="51"/>
      <c r="H138" s="51"/>
      <c r="I138" s="60"/>
      <c r="J138" s="62">
        <f>J139</f>
        <v>207.34217000000001</v>
      </c>
      <c r="K138" s="62">
        <f t="shared" ref="K138:M138" si="157">K139</f>
        <v>207.34217000000001</v>
      </c>
      <c r="L138" s="62">
        <f t="shared" si="157"/>
        <v>207.34217000000001</v>
      </c>
      <c r="M138" s="62">
        <f t="shared" si="157"/>
        <v>207.34217000000001</v>
      </c>
      <c r="N138" s="62">
        <f t="shared" ref="N138:O138" si="158">N139</f>
        <v>207.34217000000001</v>
      </c>
      <c r="O138" s="62">
        <f t="shared" si="158"/>
        <v>207.34217000000001</v>
      </c>
      <c r="P138" s="53">
        <f t="shared" si="147"/>
        <v>100</v>
      </c>
      <c r="Q138" s="53">
        <f>O138/K138*100</f>
        <v>100</v>
      </c>
      <c r="R138" s="53">
        <f t="shared" si="148"/>
        <v>100</v>
      </c>
    </row>
    <row r="139" spans="1:18" s="5" customFormat="1" ht="162.6" customHeight="1">
      <c r="A139" s="6"/>
      <c r="B139" s="6"/>
      <c r="C139" s="6"/>
      <c r="D139" s="6"/>
      <c r="E139" s="6"/>
      <c r="F139" s="17" t="s">
        <v>77</v>
      </c>
      <c r="G139" s="17" t="s">
        <v>85</v>
      </c>
      <c r="H139" s="17" t="s">
        <v>187</v>
      </c>
      <c r="I139" s="17" t="s">
        <v>115</v>
      </c>
      <c r="J139" s="74">
        <v>207.34217000000001</v>
      </c>
      <c r="K139" s="74">
        <v>207.34217000000001</v>
      </c>
      <c r="L139" s="74">
        <v>207.34217000000001</v>
      </c>
      <c r="M139" s="74">
        <v>207.34217000000001</v>
      </c>
      <c r="N139" s="74">
        <v>207.34217000000001</v>
      </c>
      <c r="O139" s="74">
        <v>207.34217000000001</v>
      </c>
      <c r="P139" s="32">
        <f t="shared" si="147"/>
        <v>100</v>
      </c>
      <c r="Q139" s="32">
        <f t="shared" ref="Q139" si="159">O139/K139*100</f>
        <v>100</v>
      </c>
      <c r="R139" s="32">
        <f t="shared" si="148"/>
        <v>100</v>
      </c>
    </row>
  </sheetData>
  <mergeCells count="20">
    <mergeCell ref="F128:R128"/>
    <mergeCell ref="F1:R1"/>
    <mergeCell ref="P3:R3"/>
    <mergeCell ref="L4:L5"/>
    <mergeCell ref="M4:M5"/>
    <mergeCell ref="N4:N5"/>
    <mergeCell ref="O4:O5"/>
    <mergeCell ref="F4:F5"/>
    <mergeCell ref="K4:K5"/>
    <mergeCell ref="H4:H5"/>
    <mergeCell ref="I4:I5"/>
    <mergeCell ref="G4:G5"/>
    <mergeCell ref="F2:R2"/>
    <mergeCell ref="J4:J5"/>
    <mergeCell ref="Q4:R4"/>
    <mergeCell ref="A4:A5"/>
    <mergeCell ref="B4:B5"/>
    <mergeCell ref="C4:C5"/>
    <mergeCell ref="D4:D5"/>
    <mergeCell ref="E4:E5"/>
  </mergeCells>
  <pageMargins left="0.19685039370078741" right="0.19685039370078741" top="0.15748031496062992" bottom="0.15748031496062992" header="0.31496062992125984" footer="0.31496062992125984"/>
  <pageSetup paperSize="9" scale="54" fitToHeight="0" orientation="landscape" r:id="rId1"/>
  <headerFooter>
    <oddFooter>&amp;C&amp;P</oddFooter>
  </headerFooter>
  <colBreaks count="1" manualBreakCount="1">
    <brk id="18" max="1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Хабаров Михаил Викторович</dc:creator>
  <cp:lastModifiedBy>Pavlenko</cp:lastModifiedBy>
  <cp:lastPrinted>2016-02-18T08:14:46Z</cp:lastPrinted>
  <dcterms:created xsi:type="dcterms:W3CDTF">2014-01-29T06:46:20Z</dcterms:created>
  <dcterms:modified xsi:type="dcterms:W3CDTF">2016-03-15T12:33:17Z</dcterms:modified>
</cp:coreProperties>
</file>