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19440" windowHeight="12075" tabRatio="604"/>
  </bookViews>
  <sheets>
    <sheet name="на 02.01.16    " sheetId="16" r:id="rId1"/>
  </sheets>
  <definedNames>
    <definedName name="_xlnm.Print_Titles" localSheetId="0">'на 02.01.16    '!$6:$8</definedName>
    <definedName name="_xlnm.Print_Area" localSheetId="0">'на 02.01.16    '!$B$1:$AN$283</definedName>
  </definedNames>
  <calcPr calcId="125725"/>
</workbook>
</file>

<file path=xl/calcChain.xml><?xml version="1.0" encoding="utf-8"?>
<calcChain xmlns="http://schemas.openxmlformats.org/spreadsheetml/2006/main">
  <c r="AL231" i="16"/>
  <c r="AJ157"/>
  <c r="AL91"/>
  <c r="AI71" l="1"/>
  <c r="AI243"/>
  <c r="AI244"/>
  <c r="AL23"/>
  <c r="AL21"/>
  <c r="AL13"/>
  <c r="AL150"/>
  <c r="AL199"/>
  <c r="AL206"/>
  <c r="AL205"/>
  <c r="AL204"/>
  <c r="AL203"/>
  <c r="AL202"/>
  <c r="AL201"/>
  <c r="AL171"/>
  <c r="AM169"/>
  <c r="AK169"/>
  <c r="AJ169"/>
  <c r="AI169"/>
  <c r="AL168"/>
  <c r="AL167"/>
  <c r="AL166"/>
  <c r="AL165"/>
  <c r="AL159"/>
  <c r="AL81"/>
  <c r="AL72"/>
  <c r="AM241" l="1"/>
  <c r="AL241"/>
  <c r="AK241"/>
  <c r="AM163" l="1"/>
  <c r="AM45"/>
  <c r="AM257"/>
  <c r="AM261" s="1"/>
  <c r="AL257"/>
  <c r="AL261" s="1"/>
  <c r="AK257"/>
  <c r="AJ257"/>
  <c r="AI257"/>
  <c r="AM278"/>
  <c r="AK278"/>
  <c r="AH278"/>
  <c r="AG278"/>
  <c r="AE278"/>
  <c r="AD278"/>
  <c r="AC278"/>
  <c r="AA278"/>
  <c r="Z278"/>
  <c r="Y278"/>
  <c r="U278"/>
  <c r="U274" s="1"/>
  <c r="AF277"/>
  <c r="AF278" s="1"/>
  <c r="M277"/>
  <c r="M278" s="1"/>
  <c r="M274" s="1"/>
  <c r="AL276"/>
  <c r="AK276"/>
  <c r="AK274" s="1"/>
  <c r="AH276"/>
  <c r="AH274" s="1"/>
  <c r="AG276"/>
  <c r="AG274" s="1"/>
  <c r="AF276"/>
  <c r="AI275"/>
  <c r="AI276" s="1"/>
  <c r="AM274"/>
  <c r="AE274"/>
  <c r="AD274"/>
  <c r="AC274"/>
  <c r="AA274"/>
  <c r="Z274"/>
  <c r="Y274"/>
  <c r="T274"/>
  <c r="S274"/>
  <c r="R274"/>
  <c r="Q274"/>
  <c r="P274"/>
  <c r="O274"/>
  <c r="N274"/>
  <c r="AM273"/>
  <c r="AM270" s="1"/>
  <c r="AL273"/>
  <c r="AL270" s="1"/>
  <c r="AH273"/>
  <c r="AH270" s="1"/>
  <c r="AG273"/>
  <c r="AE273"/>
  <c r="AE270" s="1"/>
  <c r="AD273"/>
  <c r="AD270" s="1"/>
  <c r="AC273"/>
  <c r="AC270" s="1"/>
  <c r="AA273"/>
  <c r="AA270" s="1"/>
  <c r="Z273"/>
  <c r="Z270" s="1"/>
  <c r="Y273"/>
  <c r="Y270" s="1"/>
  <c r="X273"/>
  <c r="X270" s="1"/>
  <c r="W273"/>
  <c r="W270" s="1"/>
  <c r="U273"/>
  <c r="U270" s="1"/>
  <c r="T273"/>
  <c r="T270" s="1"/>
  <c r="S273"/>
  <c r="S270" s="1"/>
  <c r="R273"/>
  <c r="R270" s="1"/>
  <c r="Q273"/>
  <c r="Q270" s="1"/>
  <c r="P273"/>
  <c r="P270" s="1"/>
  <c r="O273"/>
  <c r="O270" s="1"/>
  <c r="N273"/>
  <c r="N270" s="1"/>
  <c r="L273"/>
  <c r="L270" s="1"/>
  <c r="K273"/>
  <c r="K270" s="1"/>
  <c r="J273"/>
  <c r="J270" s="1"/>
  <c r="I273"/>
  <c r="I270" s="1"/>
  <c r="H273"/>
  <c r="H270" s="1"/>
  <c r="G273"/>
  <c r="G270" s="1"/>
  <c r="E273"/>
  <c r="E270" s="1"/>
  <c r="D273"/>
  <c r="D270" s="1"/>
  <c r="C273"/>
  <c r="C270" s="1"/>
  <c r="M272"/>
  <c r="M273" s="1"/>
  <c r="F272"/>
  <c r="F273" s="1"/>
  <c r="F270" s="1"/>
  <c r="AF271"/>
  <c r="AF273" s="1"/>
  <c r="AF270" s="1"/>
  <c r="M271"/>
  <c r="V271" s="1"/>
  <c r="AG270"/>
  <c r="AM269"/>
  <c r="AL269"/>
  <c r="AH269"/>
  <c r="AG269"/>
  <c r="AF269"/>
  <c r="AE269"/>
  <c r="AD269"/>
  <c r="AC269"/>
  <c r="AA269"/>
  <c r="Z269"/>
  <c r="Y269"/>
  <c r="X269"/>
  <c r="W269"/>
  <c r="U269"/>
  <c r="T269"/>
  <c r="S269"/>
  <c r="R269"/>
  <c r="Q269"/>
  <c r="P269"/>
  <c r="O269"/>
  <c r="N269"/>
  <c r="M269"/>
  <c r="L269"/>
  <c r="K269"/>
  <c r="J269"/>
  <c r="I269"/>
  <c r="H269"/>
  <c r="G269"/>
  <c r="F269"/>
  <c r="E269"/>
  <c r="D269"/>
  <c r="C269"/>
  <c r="V268"/>
  <c r="AB268" s="1"/>
  <c r="AB269" s="1"/>
  <c r="AN267"/>
  <c r="AM267"/>
  <c r="AL267"/>
  <c r="AK267"/>
  <c r="AJ267"/>
  <c r="AH267"/>
  <c r="AG267"/>
  <c r="AF267"/>
  <c r="AE267"/>
  <c r="AD267"/>
  <c r="AC267"/>
  <c r="AA267"/>
  <c r="Z267"/>
  <c r="Y267"/>
  <c r="X267"/>
  <c r="W267"/>
  <c r="U267"/>
  <c r="U264" s="1"/>
  <c r="T267"/>
  <c r="S267"/>
  <c r="R267"/>
  <c r="Q267"/>
  <c r="P267"/>
  <c r="O267"/>
  <c r="N267"/>
  <c r="M267"/>
  <c r="M264" s="1"/>
  <c r="L267"/>
  <c r="K267"/>
  <c r="J267"/>
  <c r="H267"/>
  <c r="G267"/>
  <c r="F267"/>
  <c r="E267"/>
  <c r="D267"/>
  <c r="C267"/>
  <c r="AB266"/>
  <c r="I266"/>
  <c r="I265"/>
  <c r="AM263"/>
  <c r="AL263"/>
  <c r="AK263"/>
  <c r="AJ263"/>
  <c r="AI263"/>
  <c r="AH263"/>
  <c r="AG263"/>
  <c r="AF263"/>
  <c r="AE263"/>
  <c r="AD263"/>
  <c r="AC263"/>
  <c r="AB263"/>
  <c r="AA263"/>
  <c r="Z263"/>
  <c r="Y263"/>
  <c r="X263"/>
  <c r="W263"/>
  <c r="U263"/>
  <c r="T263"/>
  <c r="S263"/>
  <c r="R263"/>
  <c r="Q263"/>
  <c r="P263"/>
  <c r="O263"/>
  <c r="N263"/>
  <c r="M263"/>
  <c r="L263"/>
  <c r="L264" s="1"/>
  <c r="K263"/>
  <c r="J263"/>
  <c r="J264" s="1"/>
  <c r="H263"/>
  <c r="G263"/>
  <c r="F263"/>
  <c r="E263"/>
  <c r="D263"/>
  <c r="C263"/>
  <c r="I262"/>
  <c r="V262" s="1"/>
  <c r="V263" s="1"/>
  <c r="AH261"/>
  <c r="AG261"/>
  <c r="AF261"/>
  <c r="AE261"/>
  <c r="AE252" s="1"/>
  <c r="AD261"/>
  <c r="AC261"/>
  <c r="AA261"/>
  <c r="Z261"/>
  <c r="Y261"/>
  <c r="X261"/>
  <c r="W261"/>
  <c r="W252" s="1"/>
  <c r="U261"/>
  <c r="T261"/>
  <c r="S261"/>
  <c r="R261"/>
  <c r="Q261"/>
  <c r="P261"/>
  <c r="O261"/>
  <c r="N261"/>
  <c r="N252" s="1"/>
  <c r="M261"/>
  <c r="L261"/>
  <c r="K261"/>
  <c r="J261"/>
  <c r="H261"/>
  <c r="G261"/>
  <c r="F261"/>
  <c r="E261"/>
  <c r="E252" s="1"/>
  <c r="D261"/>
  <c r="I259"/>
  <c r="V259" s="1"/>
  <c r="AB259" s="1"/>
  <c r="C258"/>
  <c r="I258" s="1"/>
  <c r="V258" s="1"/>
  <c r="AB258" s="1"/>
  <c r="V256"/>
  <c r="AB256" s="1"/>
  <c r="C255"/>
  <c r="I254"/>
  <c r="V254" s="1"/>
  <c r="AF252"/>
  <c r="AL251"/>
  <c r="AL246" s="1"/>
  <c r="AK251"/>
  <c r="AK246" s="1"/>
  <c r="AH251"/>
  <c r="AH246" s="1"/>
  <c r="AE251"/>
  <c r="AE246" s="1"/>
  <c r="AD251"/>
  <c r="AD246" s="1"/>
  <c r="AC251"/>
  <c r="AC246" s="1"/>
  <c r="AA251"/>
  <c r="Z251"/>
  <c r="Z246" s="1"/>
  <c r="X251"/>
  <c r="X246" s="1"/>
  <c r="W251"/>
  <c r="W246" s="1"/>
  <c r="U251"/>
  <c r="U246" s="1"/>
  <c r="T251"/>
  <c r="T246" s="1"/>
  <c r="S251"/>
  <c r="S246" s="1"/>
  <c r="R251"/>
  <c r="R246" s="1"/>
  <c r="Q251"/>
  <c r="Q246" s="1"/>
  <c r="P251"/>
  <c r="O251"/>
  <c r="O246" s="1"/>
  <c r="L251"/>
  <c r="L246" s="1"/>
  <c r="K251"/>
  <c r="K246" s="1"/>
  <c r="J251"/>
  <c r="J246" s="1"/>
  <c r="H251"/>
  <c r="H246" s="1"/>
  <c r="G251"/>
  <c r="G246" s="1"/>
  <c r="F251"/>
  <c r="E251"/>
  <c r="E246" s="1"/>
  <c r="D251"/>
  <c r="D246" s="1"/>
  <c r="N250"/>
  <c r="C250"/>
  <c r="I250" s="1"/>
  <c r="AI249"/>
  <c r="AJ249" s="1"/>
  <c r="C248"/>
  <c r="AG247"/>
  <c r="AG251" s="1"/>
  <c r="AG246" s="1"/>
  <c r="AF247"/>
  <c r="AF251" s="1"/>
  <c r="AF246" s="1"/>
  <c r="Y247"/>
  <c r="Y251" s="1"/>
  <c r="Y246" s="1"/>
  <c r="N247"/>
  <c r="M247"/>
  <c r="M251" s="1"/>
  <c r="M246" s="1"/>
  <c r="F247"/>
  <c r="AA246"/>
  <c r="P246"/>
  <c r="F246"/>
  <c r="AM245"/>
  <c r="AM239" s="1"/>
  <c r="AK245"/>
  <c r="AK239" s="1"/>
  <c r="AJ245"/>
  <c r="AJ239" s="1"/>
  <c r="AH245"/>
  <c r="AE245"/>
  <c r="AE239" s="1"/>
  <c r="AD245"/>
  <c r="AD239" s="1"/>
  <c r="AC245"/>
  <c r="AC239" s="1"/>
  <c r="AA245"/>
  <c r="AA239" s="1"/>
  <c r="Z245"/>
  <c r="Z239" s="1"/>
  <c r="X245"/>
  <c r="X239" s="1"/>
  <c r="U245"/>
  <c r="U239" s="1"/>
  <c r="T245"/>
  <c r="T239" s="1"/>
  <c r="S245"/>
  <c r="S239" s="1"/>
  <c r="R245"/>
  <c r="R239" s="1"/>
  <c r="Q245"/>
  <c r="Q239" s="1"/>
  <c r="P245"/>
  <c r="P239" s="1"/>
  <c r="O245"/>
  <c r="O239" s="1"/>
  <c r="L245"/>
  <c r="L239" s="1"/>
  <c r="K245"/>
  <c r="K239" s="1"/>
  <c r="J245"/>
  <c r="J239" s="1"/>
  <c r="H245"/>
  <c r="H239" s="1"/>
  <c r="G245"/>
  <c r="G239" s="1"/>
  <c r="E245"/>
  <c r="E239" s="1"/>
  <c r="D245"/>
  <c r="D239" s="1"/>
  <c r="AF244"/>
  <c r="N244"/>
  <c r="M244"/>
  <c r="F244"/>
  <c r="F245" s="1"/>
  <c r="F239" s="1"/>
  <c r="C244"/>
  <c r="AG243"/>
  <c r="AG245" s="1"/>
  <c r="AG239" s="1"/>
  <c r="AF243"/>
  <c r="Y243"/>
  <c r="W243"/>
  <c r="N243"/>
  <c r="V243" s="1"/>
  <c r="AG242"/>
  <c r="AF242"/>
  <c r="Y242"/>
  <c r="W242"/>
  <c r="W245" s="1"/>
  <c r="W239" s="1"/>
  <c r="M242"/>
  <c r="C242"/>
  <c r="I242" s="1"/>
  <c r="AL239"/>
  <c r="AH239"/>
  <c r="AM237"/>
  <c r="AH237"/>
  <c r="AG237"/>
  <c r="AE237"/>
  <c r="AD237"/>
  <c r="AC237"/>
  <c r="AA237"/>
  <c r="Z237"/>
  <c r="Y237"/>
  <c r="W237"/>
  <c r="U237"/>
  <c r="T237"/>
  <c r="S237"/>
  <c r="R237"/>
  <c r="Q237"/>
  <c r="P237"/>
  <c r="O237"/>
  <c r="N237"/>
  <c r="L237"/>
  <c r="J237"/>
  <c r="H237"/>
  <c r="G237"/>
  <c r="F237"/>
  <c r="E237"/>
  <c r="D237"/>
  <c r="C237"/>
  <c r="AF236"/>
  <c r="AF237" s="1"/>
  <c r="AB236"/>
  <c r="M236"/>
  <c r="M237" s="1"/>
  <c r="K236"/>
  <c r="I236"/>
  <c r="K235"/>
  <c r="I235"/>
  <c r="V235" s="1"/>
  <c r="AM234"/>
  <c r="AH234"/>
  <c r="AG234"/>
  <c r="AF234"/>
  <c r="AE234"/>
  <c r="AD234"/>
  <c r="AC234"/>
  <c r="AA234"/>
  <c r="Z234"/>
  <c r="Y234"/>
  <c r="W234"/>
  <c r="U234"/>
  <c r="T234"/>
  <c r="S234"/>
  <c r="R234"/>
  <c r="Q234"/>
  <c r="P234"/>
  <c r="O234"/>
  <c r="N234"/>
  <c r="L234"/>
  <c r="K234"/>
  <c r="J234"/>
  <c r="I234"/>
  <c r="H234"/>
  <c r="G234"/>
  <c r="F234"/>
  <c r="E234"/>
  <c r="D234"/>
  <c r="C234"/>
  <c r="M233"/>
  <c r="M234" s="1"/>
  <c r="AM232"/>
  <c r="AL232"/>
  <c r="AK232"/>
  <c r="AJ232"/>
  <c r="AI232"/>
  <c r="AM230"/>
  <c r="AK230"/>
  <c r="AH230"/>
  <c r="AG230"/>
  <c r="AF230"/>
  <c r="AE230"/>
  <c r="AD230"/>
  <c r="AC230"/>
  <c r="AA230"/>
  <c r="Z230"/>
  <c r="Y230"/>
  <c r="W230"/>
  <c r="U230"/>
  <c r="T230"/>
  <c r="S230"/>
  <c r="R230"/>
  <c r="Q230"/>
  <c r="P230"/>
  <c r="O230"/>
  <c r="N230"/>
  <c r="M230"/>
  <c r="L230"/>
  <c r="K230"/>
  <c r="J230"/>
  <c r="I230"/>
  <c r="H230"/>
  <c r="G230"/>
  <c r="F230"/>
  <c r="E230"/>
  <c r="D230"/>
  <c r="C230"/>
  <c r="V229"/>
  <c r="AI229" s="1"/>
  <c r="AK228"/>
  <c r="AH228"/>
  <c r="AG228"/>
  <c r="AF228"/>
  <c r="AE228"/>
  <c r="AC228"/>
  <c r="AA228"/>
  <c r="Z228"/>
  <c r="Y228"/>
  <c r="W228"/>
  <c r="U228"/>
  <c r="T228"/>
  <c r="S228"/>
  <c r="R228"/>
  <c r="Q228"/>
  <c r="P228"/>
  <c r="O228"/>
  <c r="N228"/>
  <c r="L228"/>
  <c r="K228"/>
  <c r="J228"/>
  <c r="I228"/>
  <c r="AD227"/>
  <c r="M227"/>
  <c r="V227" s="1"/>
  <c r="AD226"/>
  <c r="M226"/>
  <c r="V226" s="1"/>
  <c r="X226" s="1"/>
  <c r="AB226" s="1"/>
  <c r="AI224"/>
  <c r="AL223"/>
  <c r="AD223"/>
  <c r="AI222"/>
  <c r="AJ222" s="1"/>
  <c r="AD221"/>
  <c r="M221"/>
  <c r="AM220"/>
  <c r="AH220"/>
  <c r="AG220"/>
  <c r="AF220"/>
  <c r="AC220"/>
  <c r="AA220"/>
  <c r="Z220"/>
  <c r="Y220"/>
  <c r="W220"/>
  <c r="U220"/>
  <c r="T220"/>
  <c r="S220"/>
  <c r="R220"/>
  <c r="Q220"/>
  <c r="P220"/>
  <c r="O220"/>
  <c r="M220"/>
  <c r="L220"/>
  <c r="K220"/>
  <c r="J220"/>
  <c r="H220"/>
  <c r="G220"/>
  <c r="E220"/>
  <c r="C220"/>
  <c r="AN219"/>
  <c r="AE219"/>
  <c r="AE220" s="1"/>
  <c r="AD219"/>
  <c r="I219"/>
  <c r="V219" s="1"/>
  <c r="X219" s="1"/>
  <c r="AB219" s="1"/>
  <c r="F219"/>
  <c r="F220" s="1"/>
  <c r="D219"/>
  <c r="D220" s="1"/>
  <c r="N217"/>
  <c r="AD216"/>
  <c r="X216"/>
  <c r="AB216" s="1"/>
  <c r="V216"/>
  <c r="AI216" s="1"/>
  <c r="AI215"/>
  <c r="AI214"/>
  <c r="AJ214" s="1"/>
  <c r="V213"/>
  <c r="AI213" s="1"/>
  <c r="AI212"/>
  <c r="AI211"/>
  <c r="AJ211" s="1"/>
  <c r="AB211"/>
  <c r="AM210"/>
  <c r="AH210"/>
  <c r="AG210"/>
  <c r="AF210"/>
  <c r="AE210"/>
  <c r="AD210"/>
  <c r="AC210"/>
  <c r="AB210"/>
  <c r="AA210"/>
  <c r="Z210"/>
  <c r="Y210"/>
  <c r="X210"/>
  <c r="W210"/>
  <c r="V210"/>
  <c r="AI209"/>
  <c r="AI208"/>
  <c r="AJ208" s="1"/>
  <c r="AE207"/>
  <c r="AC207"/>
  <c r="AA207"/>
  <c r="Z207"/>
  <c r="W207"/>
  <c r="T207"/>
  <c r="S207"/>
  <c r="R207"/>
  <c r="Q207"/>
  <c r="P207"/>
  <c r="O207"/>
  <c r="L207"/>
  <c r="K207"/>
  <c r="J207"/>
  <c r="H207"/>
  <c r="G207"/>
  <c r="D207"/>
  <c r="AG206"/>
  <c r="AF206"/>
  <c r="AD206"/>
  <c r="N206"/>
  <c r="M206"/>
  <c r="E206"/>
  <c r="F206" s="1"/>
  <c r="I206" s="1"/>
  <c r="AH200"/>
  <c r="AF200"/>
  <c r="AD200"/>
  <c r="AB200"/>
  <c r="AF199"/>
  <c r="AL198"/>
  <c r="AD197"/>
  <c r="I197"/>
  <c r="V197" s="1"/>
  <c r="E197"/>
  <c r="AD196"/>
  <c r="N196"/>
  <c r="V196" s="1"/>
  <c r="AL196" s="1"/>
  <c r="AL195"/>
  <c r="AG195"/>
  <c r="AF195"/>
  <c r="AD195"/>
  <c r="N195"/>
  <c r="M195"/>
  <c r="E195"/>
  <c r="AD194"/>
  <c r="I194"/>
  <c r="V194" s="1"/>
  <c r="X194" s="1"/>
  <c r="AB194" s="1"/>
  <c r="AD193"/>
  <c r="E193"/>
  <c r="F193" s="1"/>
  <c r="I193" s="1"/>
  <c r="V193" s="1"/>
  <c r="AD192"/>
  <c r="M192"/>
  <c r="I192"/>
  <c r="F192"/>
  <c r="AG191"/>
  <c r="AD191"/>
  <c r="Y191"/>
  <c r="N191"/>
  <c r="M191"/>
  <c r="F191"/>
  <c r="I191" s="1"/>
  <c r="E191"/>
  <c r="AD190"/>
  <c r="F190"/>
  <c r="I190" s="1"/>
  <c r="V190" s="1"/>
  <c r="AD189"/>
  <c r="F189"/>
  <c r="I189" s="1"/>
  <c r="V189" s="1"/>
  <c r="X189" s="1"/>
  <c r="AB189" s="1"/>
  <c r="AL188"/>
  <c r="AD188"/>
  <c r="AH187"/>
  <c r="AF187"/>
  <c r="AD187"/>
  <c r="M187"/>
  <c r="F187"/>
  <c r="I187" s="1"/>
  <c r="AD186"/>
  <c r="M186"/>
  <c r="I186"/>
  <c r="F186"/>
  <c r="AD185"/>
  <c r="I185"/>
  <c r="V185" s="1"/>
  <c r="X185" s="1"/>
  <c r="AB185" s="1"/>
  <c r="AN184"/>
  <c r="AN207" s="1"/>
  <c r="AG184"/>
  <c r="AD184"/>
  <c r="U184"/>
  <c r="C184"/>
  <c r="I184" s="1"/>
  <c r="AD183"/>
  <c r="N183"/>
  <c r="M183"/>
  <c r="E183"/>
  <c r="F183" s="1"/>
  <c r="I183" s="1"/>
  <c r="AL182"/>
  <c r="AG182"/>
  <c r="AD182"/>
  <c r="AG181"/>
  <c r="AD181"/>
  <c r="N181"/>
  <c r="M181"/>
  <c r="E181"/>
  <c r="F181" s="1"/>
  <c r="I181" s="1"/>
  <c r="AD180"/>
  <c r="Y180"/>
  <c r="N180"/>
  <c r="V180" s="1"/>
  <c r="AH179"/>
  <c r="AF179"/>
  <c r="AG178"/>
  <c r="AF178"/>
  <c r="AD178"/>
  <c r="N178"/>
  <c r="M178"/>
  <c r="E178"/>
  <c r="F178" s="1"/>
  <c r="I178" s="1"/>
  <c r="AG177"/>
  <c r="AD177"/>
  <c r="AB177"/>
  <c r="AD176"/>
  <c r="M176"/>
  <c r="I176"/>
  <c r="AD175"/>
  <c r="V175"/>
  <c r="X175" s="1"/>
  <c r="AB175" s="1"/>
  <c r="AD174"/>
  <c r="E174"/>
  <c r="AM173"/>
  <c r="AK173"/>
  <c r="AJ173"/>
  <c r="AH173"/>
  <c r="AC173"/>
  <c r="W173"/>
  <c r="T173"/>
  <c r="S173"/>
  <c r="R173"/>
  <c r="Q173"/>
  <c r="P173"/>
  <c r="O173"/>
  <c r="L173"/>
  <c r="J173"/>
  <c r="H173"/>
  <c r="G173"/>
  <c r="E173"/>
  <c r="AG172"/>
  <c r="AG173" s="1"/>
  <c r="AF172"/>
  <c r="AF173" s="1"/>
  <c r="AE172"/>
  <c r="AE173" s="1"/>
  <c r="AA172"/>
  <c r="AD172" s="1"/>
  <c r="AD173" s="1"/>
  <c r="Z172"/>
  <c r="Z173" s="1"/>
  <c r="Y172"/>
  <c r="Y173" s="1"/>
  <c r="U172"/>
  <c r="U173" s="1"/>
  <c r="N172"/>
  <c r="N173" s="1"/>
  <c r="M172"/>
  <c r="M173" s="1"/>
  <c r="K172"/>
  <c r="K173" s="1"/>
  <c r="F172"/>
  <c r="F173" s="1"/>
  <c r="D172"/>
  <c r="D173" s="1"/>
  <c r="C172"/>
  <c r="AL170"/>
  <c r="AH169"/>
  <c r="AG169"/>
  <c r="AE169"/>
  <c r="AC169"/>
  <c r="AA169"/>
  <c r="Z169"/>
  <c r="Y169"/>
  <c r="W169"/>
  <c r="U169"/>
  <c r="M169"/>
  <c r="L169"/>
  <c r="J169"/>
  <c r="I169"/>
  <c r="H169"/>
  <c r="G169"/>
  <c r="F169"/>
  <c r="E169"/>
  <c r="AD168"/>
  <c r="AD169" s="1"/>
  <c r="N168"/>
  <c r="V168" s="1"/>
  <c r="V169" s="1"/>
  <c r="AF164"/>
  <c r="AK163"/>
  <c r="AH163"/>
  <c r="AE163"/>
  <c r="AC163"/>
  <c r="AA163"/>
  <c r="Z163"/>
  <c r="Y163"/>
  <c r="W163"/>
  <c r="U163"/>
  <c r="T163"/>
  <c r="S163"/>
  <c r="R163"/>
  <c r="Q163"/>
  <c r="P163"/>
  <c r="O163"/>
  <c r="L163"/>
  <c r="K163"/>
  <c r="J163"/>
  <c r="H163"/>
  <c r="G163"/>
  <c r="D163"/>
  <c r="C163"/>
  <c r="AJ163"/>
  <c r="AF162"/>
  <c r="AD162"/>
  <c r="E162"/>
  <c r="F162" s="1"/>
  <c r="I162" s="1"/>
  <c r="V162" s="1"/>
  <c r="X162" s="1"/>
  <c r="AB162" s="1"/>
  <c r="AL161"/>
  <c r="AG161"/>
  <c r="AD161"/>
  <c r="AF158"/>
  <c r="AD158"/>
  <c r="M158"/>
  <c r="E158"/>
  <c r="F158" s="1"/>
  <c r="I158" s="1"/>
  <c r="AG157"/>
  <c r="AD157"/>
  <c r="N157"/>
  <c r="N163" s="1"/>
  <c r="E157"/>
  <c r="F157" s="1"/>
  <c r="I157" s="1"/>
  <c r="AN156"/>
  <c r="AF156"/>
  <c r="AD156"/>
  <c r="M156"/>
  <c r="V156" s="1"/>
  <c r="AD155"/>
  <c r="E155"/>
  <c r="F155" s="1"/>
  <c r="I155" s="1"/>
  <c r="V155" s="1"/>
  <c r="X155" s="1"/>
  <c r="AB155" s="1"/>
  <c r="AG154"/>
  <c r="AF154"/>
  <c r="AE154"/>
  <c r="AC154"/>
  <c r="AA154"/>
  <c r="Z154"/>
  <c r="W154"/>
  <c r="T154"/>
  <c r="S154"/>
  <c r="R154"/>
  <c r="Q154"/>
  <c r="P154"/>
  <c r="O154"/>
  <c r="L154"/>
  <c r="K154"/>
  <c r="J154"/>
  <c r="H154"/>
  <c r="G154"/>
  <c r="D154"/>
  <c r="C154"/>
  <c r="AD153"/>
  <c r="N153"/>
  <c r="N154" s="1"/>
  <c r="E153"/>
  <c r="F153" s="1"/>
  <c r="I153" s="1"/>
  <c r="AD145"/>
  <c r="I145"/>
  <c r="V145" s="1"/>
  <c r="AI144"/>
  <c r="AI143"/>
  <c r="AL143" s="1"/>
  <c r="AD143"/>
  <c r="AI142"/>
  <c r="AL140"/>
  <c r="AH139"/>
  <c r="AI139" s="1"/>
  <c r="AD138"/>
  <c r="I138"/>
  <c r="V138" s="1"/>
  <c r="AI138" s="1"/>
  <c r="AL137"/>
  <c r="AI136"/>
  <c r="AL136" s="1"/>
  <c r="AD136"/>
  <c r="AD135"/>
  <c r="V135"/>
  <c r="AI135" s="1"/>
  <c r="AL135" s="1"/>
  <c r="AD134"/>
  <c r="V134"/>
  <c r="AI134" s="1"/>
  <c r="AD133"/>
  <c r="U133"/>
  <c r="V133" s="1"/>
  <c r="I133"/>
  <c r="AD132"/>
  <c r="F132"/>
  <c r="AI131"/>
  <c r="AD130"/>
  <c r="Y130"/>
  <c r="Y154" s="1"/>
  <c r="M130"/>
  <c r="V130" s="1"/>
  <c r="X130" s="1"/>
  <c r="AD129"/>
  <c r="V129"/>
  <c r="X129" s="1"/>
  <c r="AD128"/>
  <c r="M128"/>
  <c r="V128" s="1"/>
  <c r="X128" s="1"/>
  <c r="AB128" s="1"/>
  <c r="AD127"/>
  <c r="M127"/>
  <c r="V127" s="1"/>
  <c r="AI127" s="1"/>
  <c r="AD125"/>
  <c r="M125"/>
  <c r="V125" s="1"/>
  <c r="X125" s="1"/>
  <c r="AB125" s="1"/>
  <c r="AD124"/>
  <c r="M124"/>
  <c r="V124" s="1"/>
  <c r="AI124" s="1"/>
  <c r="AL124" s="1"/>
  <c r="AI123"/>
  <c r="AL123" s="1"/>
  <c r="AD123"/>
  <c r="AB123"/>
  <c r="X123"/>
  <c r="M123"/>
  <c r="AM154"/>
  <c r="AI121"/>
  <c r="AL121" s="1"/>
  <c r="AD119"/>
  <c r="M119"/>
  <c r="V119" s="1"/>
  <c r="X119" s="1"/>
  <c r="AB119" s="1"/>
  <c r="AD118"/>
  <c r="M118"/>
  <c r="V118" s="1"/>
  <c r="AD117"/>
  <c r="M117"/>
  <c r="V117" s="1"/>
  <c r="AI117" s="1"/>
  <c r="AD116"/>
  <c r="M116"/>
  <c r="V116" s="1"/>
  <c r="AI116" s="1"/>
  <c r="AL116" s="1"/>
  <c r="AD115"/>
  <c r="M115"/>
  <c r="V115" s="1"/>
  <c r="X115" s="1"/>
  <c r="AB115" s="1"/>
  <c r="AD114"/>
  <c r="U114"/>
  <c r="M114"/>
  <c r="AD113"/>
  <c r="M113"/>
  <c r="I113"/>
  <c r="AM112"/>
  <c r="AK112"/>
  <c r="AH112"/>
  <c r="AG112"/>
  <c r="AF112"/>
  <c r="AE112"/>
  <c r="AD112"/>
  <c r="AC112"/>
  <c r="AA112"/>
  <c r="Z112"/>
  <c r="Y112"/>
  <c r="W112"/>
  <c r="U112"/>
  <c r="T112"/>
  <c r="S112"/>
  <c r="R112"/>
  <c r="Q112"/>
  <c r="P112"/>
  <c r="O112"/>
  <c r="N112"/>
  <c r="M112"/>
  <c r="L112"/>
  <c r="K112"/>
  <c r="J112"/>
  <c r="I112"/>
  <c r="H112"/>
  <c r="G112"/>
  <c r="F112"/>
  <c r="E112"/>
  <c r="D112"/>
  <c r="C112"/>
  <c r="V111"/>
  <c r="X111" s="1"/>
  <c r="AK110"/>
  <c r="AH110"/>
  <c r="AE110"/>
  <c r="AC110"/>
  <c r="AA110"/>
  <c r="Z110"/>
  <c r="T110"/>
  <c r="S110"/>
  <c r="R110"/>
  <c r="Q110"/>
  <c r="P110"/>
  <c r="O110"/>
  <c r="H110"/>
  <c r="G110"/>
  <c r="AG109"/>
  <c r="AD109"/>
  <c r="N109"/>
  <c r="N110" s="1"/>
  <c r="M109"/>
  <c r="F109"/>
  <c r="D109"/>
  <c r="C109"/>
  <c r="AL107"/>
  <c r="AD107"/>
  <c r="K107"/>
  <c r="J107"/>
  <c r="J110" s="1"/>
  <c r="F107"/>
  <c r="E107"/>
  <c r="AD106"/>
  <c r="V106"/>
  <c r="X106" s="1"/>
  <c r="AB106" s="1"/>
  <c r="F106"/>
  <c r="AD105"/>
  <c r="X105"/>
  <c r="AB105" s="1"/>
  <c r="V105"/>
  <c r="AI105" s="1"/>
  <c r="AL103"/>
  <c r="AD102"/>
  <c r="V102"/>
  <c r="X102" s="1"/>
  <c r="AB102" s="1"/>
  <c r="AL101"/>
  <c r="AD100"/>
  <c r="X100"/>
  <c r="AB100" s="1"/>
  <c r="V100"/>
  <c r="AD99"/>
  <c r="M99"/>
  <c r="V99" s="1"/>
  <c r="X99" s="1"/>
  <c r="AD98"/>
  <c r="M98"/>
  <c r="V98" s="1"/>
  <c r="X98" s="1"/>
  <c r="AB98" s="1"/>
  <c r="AL97"/>
  <c r="AD97"/>
  <c r="M97"/>
  <c r="I97"/>
  <c r="AL96"/>
  <c r="AD96"/>
  <c r="I96"/>
  <c r="V96" s="1"/>
  <c r="X96" s="1"/>
  <c r="AB96" s="1"/>
  <c r="AG95"/>
  <c r="AD95"/>
  <c r="W95"/>
  <c r="W110" s="1"/>
  <c r="M95"/>
  <c r="F95"/>
  <c r="I95" s="1"/>
  <c r="AF94"/>
  <c r="AD94"/>
  <c r="Y94"/>
  <c r="Y110" s="1"/>
  <c r="U94"/>
  <c r="V94" s="1"/>
  <c r="AM110"/>
  <c r="AM9" s="1"/>
  <c r="AD93"/>
  <c r="U93"/>
  <c r="M93"/>
  <c r="AD92"/>
  <c r="L92"/>
  <c r="L110" s="1"/>
  <c r="K92"/>
  <c r="D92"/>
  <c r="I92" s="1"/>
  <c r="AF90"/>
  <c r="AD90"/>
  <c r="I90"/>
  <c r="V90" s="1"/>
  <c r="AD89"/>
  <c r="M89"/>
  <c r="K89"/>
  <c r="F89"/>
  <c r="I89" s="1"/>
  <c r="AD88"/>
  <c r="AB88"/>
  <c r="I88"/>
  <c r="V88" s="1"/>
  <c r="AI88" s="1"/>
  <c r="AL88" s="1"/>
  <c r="AD87"/>
  <c r="I87"/>
  <c r="V87" s="1"/>
  <c r="AM86"/>
  <c r="AH86"/>
  <c r="AG86"/>
  <c r="AF86"/>
  <c r="AC86"/>
  <c r="AA86"/>
  <c r="Z86"/>
  <c r="Y86"/>
  <c r="U86"/>
  <c r="T86"/>
  <c r="S86"/>
  <c r="R86"/>
  <c r="Q86"/>
  <c r="P86"/>
  <c r="O86"/>
  <c r="M86"/>
  <c r="L86"/>
  <c r="K86"/>
  <c r="J86"/>
  <c r="I86"/>
  <c r="H86"/>
  <c r="G86"/>
  <c r="E86"/>
  <c r="D86"/>
  <c r="C86"/>
  <c r="AD85"/>
  <c r="AB85"/>
  <c r="V85"/>
  <c r="AI85" s="1"/>
  <c r="AL85" s="1"/>
  <c r="AD84"/>
  <c r="V84"/>
  <c r="X84" s="1"/>
  <c r="AI83"/>
  <c r="AD82"/>
  <c r="V82"/>
  <c r="AI82" s="1"/>
  <c r="AE80"/>
  <c r="AE86" s="1"/>
  <c r="AD80"/>
  <c r="V80"/>
  <c r="X80" s="1"/>
  <c r="AB80" s="1"/>
  <c r="AD79"/>
  <c r="V79"/>
  <c r="AI79" s="1"/>
  <c r="AD78"/>
  <c r="W78"/>
  <c r="W86" s="1"/>
  <c r="N78"/>
  <c r="N86" s="1"/>
  <c r="F78"/>
  <c r="F86" s="1"/>
  <c r="AD77"/>
  <c r="X77"/>
  <c r="AB77" s="1"/>
  <c r="V77"/>
  <c r="AI77" s="1"/>
  <c r="AL77" s="1"/>
  <c r="AM76"/>
  <c r="AK76"/>
  <c r="AH76"/>
  <c r="AE76"/>
  <c r="AA76"/>
  <c r="Z76"/>
  <c r="W76"/>
  <c r="U76"/>
  <c r="T76"/>
  <c r="S76"/>
  <c r="R76"/>
  <c r="Q76"/>
  <c r="P76"/>
  <c r="O76"/>
  <c r="L76"/>
  <c r="K76"/>
  <c r="J76"/>
  <c r="H76"/>
  <c r="G76"/>
  <c r="D76"/>
  <c r="AD75"/>
  <c r="F75"/>
  <c r="I75" s="1"/>
  <c r="V75" s="1"/>
  <c r="X75" s="1"/>
  <c r="E75"/>
  <c r="AD74"/>
  <c r="V74"/>
  <c r="AI74" s="1"/>
  <c r="AL71"/>
  <c r="AD70"/>
  <c r="X70"/>
  <c r="V70"/>
  <c r="AI70" s="1"/>
  <c r="AD69"/>
  <c r="M69"/>
  <c r="V69" s="1"/>
  <c r="AI69" s="1"/>
  <c r="AF68"/>
  <c r="AF76" s="1"/>
  <c r="AD68"/>
  <c r="M68"/>
  <c r="V68" s="1"/>
  <c r="AI67"/>
  <c r="AD67"/>
  <c r="AD66"/>
  <c r="V66"/>
  <c r="X66" s="1"/>
  <c r="AB66" s="1"/>
  <c r="AD65"/>
  <c r="M65"/>
  <c r="V65" s="1"/>
  <c r="AD64"/>
  <c r="V64"/>
  <c r="X64" s="1"/>
  <c r="AB64" s="1"/>
  <c r="AI63"/>
  <c r="AD63"/>
  <c r="AB63"/>
  <c r="AD62"/>
  <c r="V62"/>
  <c r="X62" s="1"/>
  <c r="AB62" s="1"/>
  <c r="AI61"/>
  <c r="AJ61" s="1"/>
  <c r="AD60"/>
  <c r="E60"/>
  <c r="F60" s="1"/>
  <c r="I60" s="1"/>
  <c r="V60" s="1"/>
  <c r="AD59"/>
  <c r="I59"/>
  <c r="V59" s="1"/>
  <c r="AD58"/>
  <c r="I58"/>
  <c r="V58" s="1"/>
  <c r="E58"/>
  <c r="AD57"/>
  <c r="AB57"/>
  <c r="I57"/>
  <c r="V57" s="1"/>
  <c r="X57" s="1"/>
  <c r="AD56"/>
  <c r="E56"/>
  <c r="F56" s="1"/>
  <c r="I56" s="1"/>
  <c r="V56" s="1"/>
  <c r="AD55"/>
  <c r="F55"/>
  <c r="I55" s="1"/>
  <c r="V55" s="1"/>
  <c r="X55" s="1"/>
  <c r="AB55" s="1"/>
  <c r="E55"/>
  <c r="V54"/>
  <c r="AD53"/>
  <c r="E53"/>
  <c r="F53" s="1"/>
  <c r="I53" s="1"/>
  <c r="V53" s="1"/>
  <c r="AI53" s="1"/>
  <c r="AG52"/>
  <c r="AG76" s="1"/>
  <c r="AD52"/>
  <c r="Y52"/>
  <c r="Y76" s="1"/>
  <c r="N52"/>
  <c r="N76" s="1"/>
  <c r="F52"/>
  <c r="C52"/>
  <c r="AC51"/>
  <c r="AD51" s="1"/>
  <c r="E51"/>
  <c r="F51" s="1"/>
  <c r="I51" s="1"/>
  <c r="V51" s="1"/>
  <c r="X51" s="1"/>
  <c r="AB51" s="1"/>
  <c r="AD50"/>
  <c r="V50"/>
  <c r="AI50" s="1"/>
  <c r="AD49"/>
  <c r="M49"/>
  <c r="V49" s="1"/>
  <c r="X49" s="1"/>
  <c r="AB49" s="1"/>
  <c r="I49"/>
  <c r="E49"/>
  <c r="AD48"/>
  <c r="I48"/>
  <c r="V48" s="1"/>
  <c r="E48"/>
  <c r="AD47"/>
  <c r="I47"/>
  <c r="V47" s="1"/>
  <c r="AI47" s="1"/>
  <c r="AL47" s="1"/>
  <c r="E47"/>
  <c r="AD46"/>
  <c r="M46"/>
  <c r="I46"/>
  <c r="E46"/>
  <c r="AK45"/>
  <c r="AJ45"/>
  <c r="AH45"/>
  <c r="AE45"/>
  <c r="AC45"/>
  <c r="AA45"/>
  <c r="Z45"/>
  <c r="W45"/>
  <c r="T45"/>
  <c r="S45"/>
  <c r="R45"/>
  <c r="Q45"/>
  <c r="P45"/>
  <c r="O45"/>
  <c r="L45"/>
  <c r="K45"/>
  <c r="J45"/>
  <c r="H45"/>
  <c r="G45"/>
  <c r="E45"/>
  <c r="D45"/>
  <c r="C45"/>
  <c r="AL44"/>
  <c r="AF44"/>
  <c r="AD44"/>
  <c r="AF43"/>
  <c r="AL43" s="1"/>
  <c r="AD43"/>
  <c r="AF42"/>
  <c r="AD42"/>
  <c r="U42"/>
  <c r="U45" s="1"/>
  <c r="N42"/>
  <c r="N45" s="1"/>
  <c r="M42"/>
  <c r="F42"/>
  <c r="I42" s="1"/>
  <c r="AL41"/>
  <c r="AF41"/>
  <c r="AD41"/>
  <c r="AL40"/>
  <c r="AF40"/>
  <c r="AD40"/>
  <c r="AL39"/>
  <c r="AG39"/>
  <c r="AF39"/>
  <c r="AD39"/>
  <c r="Y39"/>
  <c r="AL38"/>
  <c r="AF38"/>
  <c r="AD38"/>
  <c r="X38"/>
  <c r="AB38" s="1"/>
  <c r="AD37"/>
  <c r="M37"/>
  <c r="I37"/>
  <c r="AD36"/>
  <c r="M36"/>
  <c r="F36"/>
  <c r="I36" s="1"/>
  <c r="AI35"/>
  <c r="AL35" s="1"/>
  <c r="AL34"/>
  <c r="AD34"/>
  <c r="M34"/>
  <c r="V34" s="1"/>
  <c r="AI34" s="1"/>
  <c r="AD33"/>
  <c r="F33"/>
  <c r="I33" s="1"/>
  <c r="V33" s="1"/>
  <c r="AD32"/>
  <c r="F32"/>
  <c r="AG31"/>
  <c r="AD31"/>
  <c r="Y31"/>
  <c r="AD30"/>
  <c r="Y30"/>
  <c r="M30"/>
  <c r="F30"/>
  <c r="I30" s="1"/>
  <c r="AK29"/>
  <c r="AJ29"/>
  <c r="AH29"/>
  <c r="AG29"/>
  <c r="AF29"/>
  <c r="AE29"/>
  <c r="AC29"/>
  <c r="AA29"/>
  <c r="Z29"/>
  <c r="W29"/>
  <c r="T29"/>
  <c r="S29"/>
  <c r="R29"/>
  <c r="Q29"/>
  <c r="P29"/>
  <c r="O29"/>
  <c r="N29"/>
  <c r="M29"/>
  <c r="L29"/>
  <c r="K29"/>
  <c r="J29"/>
  <c r="H29"/>
  <c r="G29"/>
  <c r="F29"/>
  <c r="E29"/>
  <c r="D29"/>
  <c r="C29"/>
  <c r="AD28"/>
  <c r="I28"/>
  <c r="I29" s="1"/>
  <c r="AM29"/>
  <c r="AD27"/>
  <c r="Y27"/>
  <c r="Y29" s="1"/>
  <c r="U27"/>
  <c r="U29" s="1"/>
  <c r="AM26"/>
  <c r="AK26"/>
  <c r="AH26"/>
  <c r="AG26"/>
  <c r="AE26"/>
  <c r="Z26"/>
  <c r="W26"/>
  <c r="U26"/>
  <c r="T26"/>
  <c r="S26"/>
  <c r="R26"/>
  <c r="Q26"/>
  <c r="P26"/>
  <c r="O26"/>
  <c r="N26"/>
  <c r="L26"/>
  <c r="K26"/>
  <c r="J26"/>
  <c r="H26"/>
  <c r="G26"/>
  <c r="F26"/>
  <c r="E26"/>
  <c r="D26"/>
  <c r="C26"/>
  <c r="AD24"/>
  <c r="I24"/>
  <c r="V24" s="1"/>
  <c r="AI24" s="1"/>
  <c r="AL24" s="1"/>
  <c r="AF22"/>
  <c r="AF26" s="1"/>
  <c r="AD22"/>
  <c r="I22"/>
  <c r="V22" s="1"/>
  <c r="AC21"/>
  <c r="AC26" s="1"/>
  <c r="AA21"/>
  <c r="AA26" s="1"/>
  <c r="I21"/>
  <c r="V21" s="1"/>
  <c r="AD20"/>
  <c r="V20"/>
  <c r="X20" s="1"/>
  <c r="AB20" s="1"/>
  <c r="AD19"/>
  <c r="V19"/>
  <c r="X19" s="1"/>
  <c r="AB19" s="1"/>
  <c r="AD18"/>
  <c r="V18"/>
  <c r="X18" s="1"/>
  <c r="AB18" s="1"/>
  <c r="AD17"/>
  <c r="X17"/>
  <c r="AB17" s="1"/>
  <c r="V17"/>
  <c r="AL17" s="1"/>
  <c r="AD16"/>
  <c r="V16"/>
  <c r="X16" s="1"/>
  <c r="AB16" s="1"/>
  <c r="AD15"/>
  <c r="V15"/>
  <c r="AI15" s="1"/>
  <c r="AL15" s="1"/>
  <c r="AD14"/>
  <c r="Y14"/>
  <c r="Y26" s="1"/>
  <c r="M14"/>
  <c r="M26" s="1"/>
  <c r="I14"/>
  <c r="AB12"/>
  <c r="AI12" s="1"/>
  <c r="AJ12" s="1"/>
  <c r="AI11"/>
  <c r="AJ11" s="1"/>
  <c r="AB11"/>
  <c r="AB10"/>
  <c r="AI20" l="1"/>
  <c r="AL20" s="1"/>
  <c r="AI68"/>
  <c r="X134"/>
  <c r="AB134" s="1"/>
  <c r="N251"/>
  <c r="N246" s="1"/>
  <c r="F264"/>
  <c r="V92"/>
  <c r="T264"/>
  <c r="AM264"/>
  <c r="D264"/>
  <c r="AC264"/>
  <c r="E154"/>
  <c r="I172"/>
  <c r="V172" s="1"/>
  <c r="V178"/>
  <c r="X178" s="1"/>
  <c r="AB178" s="1"/>
  <c r="V242"/>
  <c r="AB242" s="1"/>
  <c r="AI19"/>
  <c r="AL19" s="1"/>
  <c r="AJ50"/>
  <c r="AL50" s="1"/>
  <c r="V269"/>
  <c r="M45"/>
  <c r="AG163"/>
  <c r="V195"/>
  <c r="X195" s="1"/>
  <c r="V97"/>
  <c r="X97" s="1"/>
  <c r="AB97" s="1"/>
  <c r="V46"/>
  <c r="AI46" s="1"/>
  <c r="X124"/>
  <c r="AB124" s="1"/>
  <c r="N169"/>
  <c r="V233"/>
  <c r="V234" s="1"/>
  <c r="AC252"/>
  <c r="C264"/>
  <c r="V272"/>
  <c r="AI272" s="1"/>
  <c r="X82"/>
  <c r="AB82" s="1"/>
  <c r="X74"/>
  <c r="AB74" s="1"/>
  <c r="X69"/>
  <c r="AB69" s="1"/>
  <c r="AI18"/>
  <c r="AL18" s="1"/>
  <c r="H264"/>
  <c r="Z264"/>
  <c r="R264"/>
  <c r="N264"/>
  <c r="M252"/>
  <c r="AL252"/>
  <c r="AE264"/>
  <c r="Q252"/>
  <c r="Z252"/>
  <c r="K252"/>
  <c r="O264"/>
  <c r="AH252"/>
  <c r="E264"/>
  <c r="W264"/>
  <c r="Q264"/>
  <c r="AD264"/>
  <c r="G264"/>
  <c r="X112"/>
  <c r="AB111"/>
  <c r="AB112" s="1"/>
  <c r="Y195"/>
  <c r="AI33"/>
  <c r="AL33" s="1"/>
  <c r="X33"/>
  <c r="AB33" s="1"/>
  <c r="AH207"/>
  <c r="V158"/>
  <c r="X158" s="1"/>
  <c r="AB158" s="1"/>
  <c r="I220"/>
  <c r="X24"/>
  <c r="AB24" s="1"/>
  <c r="Y45"/>
  <c r="V36"/>
  <c r="X36" s="1"/>
  <c r="AB36" s="1"/>
  <c r="X79"/>
  <c r="AB79" s="1"/>
  <c r="V107"/>
  <c r="X107" s="1"/>
  <c r="AB107" s="1"/>
  <c r="V112"/>
  <c r="X116"/>
  <c r="AB116" s="1"/>
  <c r="X213"/>
  <c r="AJ213" s="1"/>
  <c r="AD228"/>
  <c r="AF245"/>
  <c r="AF239" s="1"/>
  <c r="I244"/>
  <c r="I245" s="1"/>
  <c r="I239" s="1"/>
  <c r="G252"/>
  <c r="P252"/>
  <c r="Y252"/>
  <c r="V30"/>
  <c r="X30" s="1"/>
  <c r="AJ26"/>
  <c r="AH154"/>
  <c r="V157"/>
  <c r="X157" s="1"/>
  <c r="AB157" s="1"/>
  <c r="AD220"/>
  <c r="U252"/>
  <c r="V277"/>
  <c r="W277" s="1"/>
  <c r="W278" s="1"/>
  <c r="V230"/>
  <c r="V192"/>
  <c r="X192" s="1"/>
  <c r="AB192" s="1"/>
  <c r="X15"/>
  <c r="AB15" s="1"/>
  <c r="AG45"/>
  <c r="X34"/>
  <c r="AB34" s="1"/>
  <c r="V37"/>
  <c r="AF110"/>
  <c r="X5"/>
  <c r="X135"/>
  <c r="Y264"/>
  <c r="AH264"/>
  <c r="AA264"/>
  <c r="O252"/>
  <c r="AD21"/>
  <c r="AD26" s="1"/>
  <c r="X46"/>
  <c r="AB46" s="1"/>
  <c r="AJ102"/>
  <c r="AL102" s="1"/>
  <c r="AF163"/>
  <c r="X229"/>
  <c r="X230" s="1"/>
  <c r="AG264"/>
  <c r="AI268"/>
  <c r="AJ268" s="1"/>
  <c r="AJ269" s="1"/>
  <c r="AJ264" s="1"/>
  <c r="AI271"/>
  <c r="AJ271" s="1"/>
  <c r="AB271"/>
  <c r="T9"/>
  <c r="V89"/>
  <c r="AI89" s="1"/>
  <c r="D110"/>
  <c r="D9" s="1"/>
  <c r="U110"/>
  <c r="AD163"/>
  <c r="C173"/>
  <c r="V187"/>
  <c r="X187" s="1"/>
  <c r="AB187" s="1"/>
  <c r="Y245"/>
  <c r="Y239" s="1"/>
  <c r="AI277"/>
  <c r="AI22"/>
  <c r="AL22" s="1"/>
  <c r="V28"/>
  <c r="X28" s="1"/>
  <c r="AB28" s="1"/>
  <c r="V42"/>
  <c r="X42" s="1"/>
  <c r="AB42" s="1"/>
  <c r="J9"/>
  <c r="X53"/>
  <c r="AB53" s="1"/>
  <c r="AI84"/>
  <c r="AJ84" s="1"/>
  <c r="AL84" s="1"/>
  <c r="K110"/>
  <c r="AG110"/>
  <c r="I109"/>
  <c r="V109" s="1"/>
  <c r="X109" s="1"/>
  <c r="AB109" s="1"/>
  <c r="AA173"/>
  <c r="AI236"/>
  <c r="AJ236" s="1"/>
  <c r="AK236" s="1"/>
  <c r="F252"/>
  <c r="AJ275"/>
  <c r="AJ276" s="1"/>
  <c r="S264"/>
  <c r="AL264"/>
  <c r="F110"/>
  <c r="AD86"/>
  <c r="X168"/>
  <c r="AD207"/>
  <c r="V186"/>
  <c r="X186" s="1"/>
  <c r="AB186" s="1"/>
  <c r="V274"/>
  <c r="AD76"/>
  <c r="K264"/>
  <c r="V78"/>
  <c r="V86" s="1"/>
  <c r="V183"/>
  <c r="X183" s="1"/>
  <c r="AB183" s="1"/>
  <c r="AL222"/>
  <c r="AI57"/>
  <c r="AJ57" s="1"/>
  <c r="AL57" s="1"/>
  <c r="E163"/>
  <c r="N207"/>
  <c r="N245"/>
  <c r="N239" s="1"/>
  <c r="V250"/>
  <c r="AB250" s="1"/>
  <c r="P264"/>
  <c r="X264"/>
  <c r="M270"/>
  <c r="AM252"/>
  <c r="M154"/>
  <c r="C207"/>
  <c r="AD29"/>
  <c r="V95"/>
  <c r="X95" s="1"/>
  <c r="AB95" s="1"/>
  <c r="V27"/>
  <c r="AI31"/>
  <c r="AL31" s="1"/>
  <c r="X117"/>
  <c r="AB117" s="1"/>
  <c r="J252"/>
  <c r="R252"/>
  <c r="AA252"/>
  <c r="S252"/>
  <c r="AF264"/>
  <c r="V278"/>
  <c r="AI210"/>
  <c r="L9"/>
  <c r="O9"/>
  <c r="Q9"/>
  <c r="G238"/>
  <c r="P9"/>
  <c r="H9"/>
  <c r="AN9"/>
  <c r="X252"/>
  <c r="H252"/>
  <c r="AI256"/>
  <c r="D252"/>
  <c r="T252"/>
  <c r="X190"/>
  <c r="AB190" s="1"/>
  <c r="AL128"/>
  <c r="X48"/>
  <c r="AI48"/>
  <c r="X92"/>
  <c r="AB92" s="1"/>
  <c r="AI92"/>
  <c r="AI56"/>
  <c r="X56"/>
  <c r="AL117"/>
  <c r="AL134"/>
  <c r="AL189"/>
  <c r="AB75"/>
  <c r="X133"/>
  <c r="AB133" s="1"/>
  <c r="AI133"/>
  <c r="AL185"/>
  <c r="X235"/>
  <c r="V237"/>
  <c r="AI235"/>
  <c r="AB84"/>
  <c r="AB99"/>
  <c r="X118"/>
  <c r="AB118" s="1"/>
  <c r="X27"/>
  <c r="C76"/>
  <c r="E52"/>
  <c r="E76" s="1"/>
  <c r="X156"/>
  <c r="AB156" s="1"/>
  <c r="AI156"/>
  <c r="AL162"/>
  <c r="AL180"/>
  <c r="V184"/>
  <c r="U207"/>
  <c r="AK211"/>
  <c r="AK220" s="1"/>
  <c r="V221"/>
  <c r="M228"/>
  <c r="AI58"/>
  <c r="X58"/>
  <c r="AI65"/>
  <c r="X65"/>
  <c r="AJ70"/>
  <c r="AL70" s="1"/>
  <c r="AB70"/>
  <c r="AJ83"/>
  <c r="AL83" s="1"/>
  <c r="AJ144"/>
  <c r="AL219"/>
  <c r="AM228"/>
  <c r="AL82"/>
  <c r="AL131"/>
  <c r="F174"/>
  <c r="E207"/>
  <c r="AB213"/>
  <c r="I26"/>
  <c r="AI49"/>
  <c r="AI66"/>
  <c r="AI99"/>
  <c r="AJ99" s="1"/>
  <c r="AL127"/>
  <c r="AI175"/>
  <c r="H238"/>
  <c r="AA9"/>
  <c r="M76"/>
  <c r="AD110"/>
  <c r="AB130"/>
  <c r="F163"/>
  <c r="V181"/>
  <c r="V206"/>
  <c r="AL213"/>
  <c r="X22"/>
  <c r="AB22" s="1"/>
  <c r="G9"/>
  <c r="X47"/>
  <c r="AB47" s="1"/>
  <c r="X68"/>
  <c r="M110"/>
  <c r="AD154"/>
  <c r="X127"/>
  <c r="AB127" s="1"/>
  <c r="X138"/>
  <c r="AI155"/>
  <c r="M163"/>
  <c r="AF207"/>
  <c r="Y207"/>
  <c r="AI194"/>
  <c r="X196"/>
  <c r="AB196" s="1"/>
  <c r="I237"/>
  <c r="AB243"/>
  <c r="AG252"/>
  <c r="X21"/>
  <c r="AB21" s="1"/>
  <c r="AI87"/>
  <c r="X87"/>
  <c r="AL100"/>
  <c r="X193"/>
  <c r="X197"/>
  <c r="C261"/>
  <c r="C252" s="1"/>
  <c r="I255"/>
  <c r="AI60"/>
  <c r="X60"/>
  <c r="E92"/>
  <c r="AL177"/>
  <c r="V265"/>
  <c r="I267"/>
  <c r="I264" s="1"/>
  <c r="X94"/>
  <c r="AB94" s="1"/>
  <c r="AJ212"/>
  <c r="N220"/>
  <c r="V217"/>
  <c r="V273"/>
  <c r="V270" s="1"/>
  <c r="AI278"/>
  <c r="AI274"/>
  <c r="R9"/>
  <c r="AI75"/>
  <c r="AJ75" s="1"/>
  <c r="AC76"/>
  <c r="AC9" s="1"/>
  <c r="V93"/>
  <c r="AI98"/>
  <c r="AJ98" s="1"/>
  <c r="AI115"/>
  <c r="AJ139"/>
  <c r="AL139" s="1"/>
  <c r="U154"/>
  <c r="M207"/>
  <c r="AG207"/>
  <c r="AJ179"/>
  <c r="AK179" s="1"/>
  <c r="AD252"/>
  <c r="I263"/>
  <c r="AJ215"/>
  <c r="AL215" s="1"/>
  <c r="AL55"/>
  <c r="AJ129"/>
  <c r="AK129" s="1"/>
  <c r="AB129"/>
  <c r="AJ142"/>
  <c r="AI145"/>
  <c r="X145"/>
  <c r="AB145" s="1"/>
  <c r="AJ209"/>
  <c r="AL209" s="1"/>
  <c r="AL216"/>
  <c r="I110"/>
  <c r="AJ105"/>
  <c r="V14"/>
  <c r="AI16"/>
  <c r="AL16" s="1"/>
  <c r="Z9"/>
  <c r="I52"/>
  <c r="V52" s="1"/>
  <c r="V76" s="1"/>
  <c r="AJ63"/>
  <c r="AL63" s="1"/>
  <c r="AI64"/>
  <c r="AJ67"/>
  <c r="V113"/>
  <c r="V114"/>
  <c r="AI119"/>
  <c r="AI125"/>
  <c r="I163"/>
  <c r="V176"/>
  <c r="V191"/>
  <c r="AL214"/>
  <c r="AL224"/>
  <c r="M245"/>
  <c r="M239" s="1"/>
  <c r="V244"/>
  <c r="V245" s="1"/>
  <c r="V239" s="1"/>
  <c r="C245"/>
  <c r="C239" s="1"/>
  <c r="AM251"/>
  <c r="AM246" s="1"/>
  <c r="X59"/>
  <c r="AI59"/>
  <c r="X90"/>
  <c r="AI90"/>
  <c r="AB168"/>
  <c r="AB169" s="1"/>
  <c r="X169"/>
  <c r="AL200"/>
  <c r="E109"/>
  <c r="C110"/>
  <c r="AF169"/>
  <c r="AI227"/>
  <c r="X227"/>
  <c r="F45"/>
  <c r="I32"/>
  <c r="AL46"/>
  <c r="AL61"/>
  <c r="F154"/>
  <c r="I132"/>
  <c r="AI230"/>
  <c r="X233"/>
  <c r="AI233"/>
  <c r="C251"/>
  <c r="C246" s="1"/>
  <c r="I248"/>
  <c r="V220"/>
  <c r="W9"/>
  <c r="AD45"/>
  <c r="V153"/>
  <c r="J238"/>
  <c r="S9"/>
  <c r="AE9"/>
  <c r="AF45"/>
  <c r="F76"/>
  <c r="AI80"/>
  <c r="X180"/>
  <c r="AB180" s="1"/>
  <c r="AL186"/>
  <c r="AL211"/>
  <c r="K237"/>
  <c r="V247"/>
  <c r="AL208"/>
  <c r="AB277"/>
  <c r="L252"/>
  <c r="AF274"/>
  <c r="AB195" l="1"/>
  <c r="AI111"/>
  <c r="AI112" s="1"/>
  <c r="AB229"/>
  <c r="AB230" s="1"/>
  <c r="AJ229"/>
  <c r="AJ230" s="1"/>
  <c r="Z279"/>
  <c r="AK268"/>
  <c r="AK269" s="1"/>
  <c r="AK264" s="1"/>
  <c r="D238"/>
  <c r="W274"/>
  <c r="W279" s="1"/>
  <c r="V163"/>
  <c r="AI269"/>
  <c r="X277"/>
  <c r="AJ277" s="1"/>
  <c r="AJ274" s="1"/>
  <c r="I173"/>
  <c r="AB272"/>
  <c r="AB273" s="1"/>
  <c r="AB270" s="1"/>
  <c r="AE279"/>
  <c r="AJ74"/>
  <c r="AL74" s="1"/>
  <c r="AJ69"/>
  <c r="AL69" s="1"/>
  <c r="C238"/>
  <c r="AI30"/>
  <c r="AL30" s="1"/>
  <c r="Y9"/>
  <c r="Y279" s="1"/>
  <c r="V29"/>
  <c r="P279"/>
  <c r="O279"/>
  <c r="Q279"/>
  <c r="AH9"/>
  <c r="AH279" s="1"/>
  <c r="U9"/>
  <c r="U279" s="1"/>
  <c r="C9"/>
  <c r="C279" s="1"/>
  <c r="AG9"/>
  <c r="AG279" s="1"/>
  <c r="T279"/>
  <c r="AI37"/>
  <c r="AL37" s="1"/>
  <c r="X37"/>
  <c r="AB37" s="1"/>
  <c r="AJ79"/>
  <c r="AL79" s="1"/>
  <c r="N9"/>
  <c r="N279" s="1"/>
  <c r="S279"/>
  <c r="G279"/>
  <c r="J279"/>
  <c r="AL179"/>
  <c r="K9"/>
  <c r="K279" s="1"/>
  <c r="AA279"/>
  <c r="E110"/>
  <c r="E238" s="1"/>
  <c r="AI36"/>
  <c r="AL36" s="1"/>
  <c r="K238"/>
  <c r="AF9"/>
  <c r="AF279" s="1"/>
  <c r="R279"/>
  <c r="AI163"/>
  <c r="X78"/>
  <c r="AI78"/>
  <c r="AL78" s="1"/>
  <c r="I76"/>
  <c r="AD9"/>
  <c r="AD279" s="1"/>
  <c r="AI28"/>
  <c r="AL28" s="1"/>
  <c r="AJ53"/>
  <c r="AL53" s="1"/>
  <c r="AI250"/>
  <c r="AJ250" s="1"/>
  <c r="AJ251" s="1"/>
  <c r="AJ246" s="1"/>
  <c r="X89"/>
  <c r="AB163"/>
  <c r="L279"/>
  <c r="H279"/>
  <c r="D279"/>
  <c r="M9"/>
  <c r="M279" s="1"/>
  <c r="AI261"/>
  <c r="AI252" s="1"/>
  <c r="AJ256"/>
  <c r="AC279"/>
  <c r="AL80"/>
  <c r="AJ60"/>
  <c r="AL60" s="1"/>
  <c r="AB60"/>
  <c r="AB278"/>
  <c r="AB274"/>
  <c r="X234"/>
  <c r="AB233"/>
  <c r="AB234" s="1"/>
  <c r="AJ233"/>
  <c r="AJ234" s="1"/>
  <c r="AJ87"/>
  <c r="AL87" s="1"/>
  <c r="AB87"/>
  <c r="AL155"/>
  <c r="AJ58"/>
  <c r="AL58" s="1"/>
  <c r="AB58"/>
  <c r="AL156"/>
  <c r="X29"/>
  <c r="AB27"/>
  <c r="AB29" s="1"/>
  <c r="AL42"/>
  <c r="AL183"/>
  <c r="AI234"/>
  <c r="AJ227"/>
  <c r="AL227" s="1"/>
  <c r="AB227"/>
  <c r="AL105"/>
  <c r="AL157"/>
  <c r="X181"/>
  <c r="AB181" s="1"/>
  <c r="AL175"/>
  <c r="AM175" s="1"/>
  <c r="F207"/>
  <c r="F238" s="1"/>
  <c r="I174"/>
  <c r="X221"/>
  <c r="AI221"/>
  <c r="V228"/>
  <c r="AB59"/>
  <c r="AJ59"/>
  <c r="AL59" s="1"/>
  <c r="AL125"/>
  <c r="AL129"/>
  <c r="X217"/>
  <c r="V255"/>
  <c r="I261"/>
  <c r="I252" s="1"/>
  <c r="AJ65"/>
  <c r="AL65" s="1"/>
  <c r="AB65"/>
  <c r="AL178"/>
  <c r="AJ56"/>
  <c r="AL56" s="1"/>
  <c r="AB56"/>
  <c r="AL109"/>
  <c r="AJ220"/>
  <c r="X163"/>
  <c r="AL212"/>
  <c r="AL144"/>
  <c r="AL67"/>
  <c r="AK209"/>
  <c r="AK210" s="1"/>
  <c r="AI153"/>
  <c r="X153"/>
  <c r="AB153" s="1"/>
  <c r="AL164"/>
  <c r="AL169" s="1"/>
  <c r="AB265"/>
  <c r="AB267" s="1"/>
  <c r="AB264" s="1"/>
  <c r="V267"/>
  <c r="V264" s="1"/>
  <c r="AL27"/>
  <c r="I45"/>
  <c r="V32"/>
  <c r="AL130"/>
  <c r="X93"/>
  <c r="AB93" s="1"/>
  <c r="AL94"/>
  <c r="AJ90"/>
  <c r="AL90" s="1"/>
  <c r="AB90"/>
  <c r="AL98"/>
  <c r="AL49"/>
  <c r="AB30"/>
  <c r="AL95"/>
  <c r="AL190"/>
  <c r="AL210"/>
  <c r="AL229"/>
  <c r="AJ64"/>
  <c r="AL64" s="1"/>
  <c r="AL145"/>
  <c r="AB197"/>
  <c r="AJ197"/>
  <c r="AL197" s="1"/>
  <c r="AJ68"/>
  <c r="AB68"/>
  <c r="AL99"/>
  <c r="AB247"/>
  <c r="AI247"/>
  <c r="I154"/>
  <c r="V132"/>
  <c r="V154" s="1"/>
  <c r="AB48"/>
  <c r="AJ48"/>
  <c r="AL48" s="1"/>
  <c r="V173"/>
  <c r="X172"/>
  <c r="AB244"/>
  <c r="AB245" s="1"/>
  <c r="AB239" s="1"/>
  <c r="X176"/>
  <c r="AB176" s="1"/>
  <c r="AI113"/>
  <c r="X113"/>
  <c r="X14"/>
  <c r="V26"/>
  <c r="AI14"/>
  <c r="AL115"/>
  <c r="AB193"/>
  <c r="AL193"/>
  <c r="AL194"/>
  <c r="AM194" s="1"/>
  <c r="AJ194"/>
  <c r="AK194" s="1"/>
  <c r="X184"/>
  <c r="AB184" s="1"/>
  <c r="AL118"/>
  <c r="AI237"/>
  <c r="AL187"/>
  <c r="AL192"/>
  <c r="AJ210"/>
  <c r="AL277"/>
  <c r="X274"/>
  <c r="AJ272"/>
  <c r="AJ273" s="1"/>
  <c r="AJ270" s="1"/>
  <c r="AI273"/>
  <c r="AI270" s="1"/>
  <c r="AL119"/>
  <c r="I251"/>
  <c r="I246" s="1"/>
  <c r="V248"/>
  <c r="V251" s="1"/>
  <c r="V246" s="1"/>
  <c r="AI245"/>
  <c r="AI239" s="1"/>
  <c r="X206"/>
  <c r="AB206" s="1"/>
  <c r="AJ235"/>
  <c r="AJ237" s="1"/>
  <c r="X237"/>
  <c r="AB235"/>
  <c r="AB237" s="1"/>
  <c r="AL133"/>
  <c r="AL158"/>
  <c r="X191"/>
  <c r="AB191" s="1"/>
  <c r="AI114"/>
  <c r="X114"/>
  <c r="AB114" s="1"/>
  <c r="X52"/>
  <c r="AB52" s="1"/>
  <c r="AI52"/>
  <c r="AL75"/>
  <c r="AJ138"/>
  <c r="AJ154" s="1"/>
  <c r="AB138"/>
  <c r="AL62"/>
  <c r="AL226"/>
  <c r="AL66"/>
  <c r="AL92"/>
  <c r="AL142"/>
  <c r="AL236"/>
  <c r="V110"/>
  <c r="AJ111" l="1"/>
  <c r="AJ112" s="1"/>
  <c r="AJ278"/>
  <c r="AI29"/>
  <c r="AK138"/>
  <c r="AK154" s="1"/>
  <c r="X278"/>
  <c r="AJ86"/>
  <c r="AI86"/>
  <c r="AB76"/>
  <c r="E9"/>
  <c r="E279" s="1"/>
  <c r="X110"/>
  <c r="AK272"/>
  <c r="AK273" s="1"/>
  <c r="AK270" s="1"/>
  <c r="AB89"/>
  <c r="AB110" s="1"/>
  <c r="X76"/>
  <c r="AJ89"/>
  <c r="AL89" s="1"/>
  <c r="AF5"/>
  <c r="AB78"/>
  <c r="AB86" s="1"/>
  <c r="X86"/>
  <c r="AL86"/>
  <c r="AK233"/>
  <c r="AK234" s="1"/>
  <c r="AL233"/>
  <c r="AL234" s="1"/>
  <c r="AK197"/>
  <c r="AK207" s="1"/>
  <c r="AJ261"/>
  <c r="AJ252" s="1"/>
  <c r="AK256"/>
  <c r="AK261" s="1"/>
  <c r="AK252" s="1"/>
  <c r="X26"/>
  <c r="AB14"/>
  <c r="AB26" s="1"/>
  <c r="AB255"/>
  <c r="AB261" s="1"/>
  <c r="AB252" s="1"/>
  <c r="V261"/>
  <c r="V252" s="1"/>
  <c r="I207"/>
  <c r="I9" s="1"/>
  <c r="I279" s="1"/>
  <c r="V174"/>
  <c r="AL114"/>
  <c r="AL14"/>
  <c r="AL26" s="1"/>
  <c r="AI26"/>
  <c r="AL93"/>
  <c r="AL230"/>
  <c r="AL29"/>
  <c r="AL153"/>
  <c r="F9"/>
  <c r="F279" s="1"/>
  <c r="AL163"/>
  <c r="AJ76"/>
  <c r="AI110"/>
  <c r="AL184"/>
  <c r="AI173"/>
  <c r="AL172"/>
  <c r="AL173" s="1"/>
  <c r="AL52"/>
  <c r="AI76"/>
  <c r="AL274"/>
  <c r="AL278"/>
  <c r="AL68"/>
  <c r="AI228"/>
  <c r="AL181"/>
  <c r="AL235"/>
  <c r="AL217"/>
  <c r="AL220" s="1"/>
  <c r="AI220"/>
  <c r="AL113"/>
  <c r="AB172"/>
  <c r="AB173" s="1"/>
  <c r="X173"/>
  <c r="AI32"/>
  <c r="X32"/>
  <c r="V45"/>
  <c r="AL191"/>
  <c r="AL176"/>
  <c r="AJ221"/>
  <c r="AJ228" s="1"/>
  <c r="X228"/>
  <c r="AB221"/>
  <c r="AB228" s="1"/>
  <c r="AL138"/>
  <c r="AB248"/>
  <c r="AB251" s="1"/>
  <c r="AB246" s="1"/>
  <c r="AI248"/>
  <c r="AB113"/>
  <c r="AI132"/>
  <c r="AI154" s="1"/>
  <c r="X132"/>
  <c r="AB132" s="1"/>
  <c r="AI267"/>
  <c r="AI264" s="1"/>
  <c r="AB217"/>
  <c r="AB220" s="1"/>
  <c r="X220"/>
  <c r="AK235"/>
  <c r="AK237" s="1"/>
  <c r="AJ110"/>
  <c r="AL111" l="1"/>
  <c r="AL112" s="1"/>
  <c r="AL110"/>
  <c r="AL221"/>
  <c r="AL228" s="1"/>
  <c r="AL76"/>
  <c r="AK9"/>
  <c r="AK279" s="1"/>
  <c r="AI174"/>
  <c r="V207"/>
  <c r="V9" s="1"/>
  <c r="V279" s="1"/>
  <c r="X174"/>
  <c r="AL32"/>
  <c r="AL45" s="1"/>
  <c r="AI45"/>
  <c r="AB32"/>
  <c r="AB45" s="1"/>
  <c r="X45"/>
  <c r="X154"/>
  <c r="AB154"/>
  <c r="AI251"/>
  <c r="AI246" s="1"/>
  <c r="AL132"/>
  <c r="AL154" s="1"/>
  <c r="AL237"/>
  <c r="AI207" l="1"/>
  <c r="X207"/>
  <c r="X9" s="1"/>
  <c r="X279" s="1"/>
  <c r="AB174"/>
  <c r="AB207" s="1"/>
  <c r="AB9" s="1"/>
  <c r="AB279" s="1"/>
  <c r="AJ174"/>
  <c r="AJ207" s="1"/>
  <c r="AJ9" s="1"/>
  <c r="AJ279" s="1"/>
  <c r="AL174" l="1"/>
  <c r="AL207" s="1"/>
  <c r="AI9"/>
  <c r="AI279" s="1"/>
  <c r="AM174" l="1"/>
  <c r="AM207" s="1"/>
  <c r="AL9"/>
  <c r="AL279" s="1"/>
  <c r="AM279" l="1"/>
  <c r="AN7"/>
</calcChain>
</file>

<file path=xl/sharedStrings.xml><?xml version="1.0" encoding="utf-8"?>
<sst xmlns="http://schemas.openxmlformats.org/spreadsheetml/2006/main" count="347" uniqueCount="329">
  <si>
    <t xml:space="preserve">Информация о не использованных на 01.01.2013 остатках целевых средств федерального бюджета, Государственной корпорации - Фонда содействия реформированию жилищно-коммунального хозяйства, Фонда обязательного медицинского страхования и Пенсионного фонда </t>
  </si>
  <si>
    <t>Наименование межбюджетного трансферта</t>
  </si>
  <si>
    <r>
      <t xml:space="preserve">Остаток на счете ОБЛАСТНОГО бюджета  </t>
    </r>
    <r>
      <rPr>
        <sz val="14"/>
        <rFont val="Times New Roman"/>
        <family val="1"/>
        <charset val="204"/>
      </rPr>
      <t xml:space="preserve">на 01.01.2013             </t>
    </r>
    <r>
      <rPr>
        <b/>
        <sz val="14"/>
        <rFont val="Times New Roman"/>
        <family val="1"/>
        <charset val="204"/>
      </rPr>
      <t xml:space="preserve">   </t>
    </r>
  </si>
  <si>
    <r>
      <t xml:space="preserve">Остаток на счетах МЕСТНЫХ бюджетов и на  счетах бюджета АФОМСа </t>
    </r>
    <r>
      <rPr>
        <sz val="14"/>
        <rFont val="Times New Roman"/>
        <family val="1"/>
        <charset val="204"/>
      </rPr>
      <t>на 01.01.2013</t>
    </r>
  </si>
  <si>
    <t>Процедуры возврата остатков в федеральный бюджет и в бюджет субъекта РФ</t>
  </si>
  <si>
    <t>возвращено в местные бюджеты</t>
  </si>
  <si>
    <t>поступило в 2013 году</t>
  </si>
  <si>
    <t>восстановлено в областной бюджет в 2013 году</t>
  </si>
  <si>
    <t>кассовые расходы областного бюджета</t>
  </si>
  <si>
    <t>остаток на счете областного бюджета на 01.01.2014</t>
  </si>
  <si>
    <r>
      <t xml:space="preserve">Остаток на счетах МЕСТНЫХ бюджетов АО и НАО, на  счетах бюджета АФОМСа </t>
    </r>
    <r>
      <rPr>
        <sz val="14"/>
        <rFont val="Times New Roman"/>
        <family val="1"/>
        <charset val="204"/>
      </rPr>
      <t>на 01.01.2014</t>
    </r>
  </si>
  <si>
    <t>поступило в 2014 году</t>
  </si>
  <si>
    <t>восстановлено в областной бюджет в 2014 году</t>
  </si>
  <si>
    <t xml:space="preserve">Коды </t>
  </si>
  <si>
    <t>подлежит возврату в федеральный бюджет  в безусловном порядке до 29.01.2013</t>
  </si>
  <si>
    <r>
      <t>возвращено в федеральный бюджет</t>
    </r>
    <r>
      <rPr>
        <sz val="13"/>
        <rFont val="Times New Roman"/>
        <family val="1"/>
        <charset val="204"/>
      </rPr>
      <t xml:space="preserve"> из бюджета субъекта РФ (области)</t>
    </r>
  </si>
  <si>
    <r>
      <t>направлены обращения</t>
    </r>
    <r>
      <rPr>
        <sz val="13"/>
        <rFont val="Times New Roman"/>
        <family val="1"/>
        <charset val="204"/>
      </rPr>
      <t xml:space="preserve">  федеральным ИОГВ  о возврате  остатков в бюджет субъекта РФ </t>
    </r>
  </si>
  <si>
    <r>
      <t xml:space="preserve">федеральным ИОГВ </t>
    </r>
    <r>
      <rPr>
        <b/>
        <sz val="13"/>
        <rFont val="Times New Roman"/>
        <family val="1"/>
        <charset val="204"/>
      </rPr>
      <t>подтверждена потребность</t>
    </r>
    <r>
      <rPr>
        <sz val="13"/>
        <rFont val="Times New Roman"/>
        <family val="1"/>
        <charset val="204"/>
      </rPr>
      <t xml:space="preserve"> в использовании  на те же цели </t>
    </r>
  </si>
  <si>
    <t>остаток на счете областного бюджета после возврата в федеральный бюджет</t>
  </si>
  <si>
    <r>
      <t xml:space="preserve">возвращено из федерального бюджета </t>
    </r>
    <r>
      <rPr>
        <sz val="13"/>
        <rFont val="Times New Roman"/>
        <family val="1"/>
        <charset val="204"/>
      </rPr>
      <t>в  2013 году для использования на те же цели</t>
    </r>
  </si>
  <si>
    <r>
      <t xml:space="preserve">не поступило из федерального бюджета </t>
    </r>
    <r>
      <rPr>
        <sz val="13"/>
        <rFont val="Times New Roman"/>
        <family val="1"/>
        <charset val="204"/>
      </rPr>
      <t xml:space="preserve"> из заявленных в обращениях сумм</t>
    </r>
  </si>
  <si>
    <t>подлежит возврату в федеральный бюджет  в безусловном порядке до 29.01.2014</t>
  </si>
  <si>
    <r>
      <t xml:space="preserve">возвращено из федерального бюджета </t>
    </r>
    <r>
      <rPr>
        <sz val="13"/>
        <rFont val="Times New Roman"/>
        <family val="1"/>
        <charset val="204"/>
      </rPr>
      <t>в  2014 году для использования на те же цели</t>
    </r>
  </si>
  <si>
    <t>9 =8-6</t>
  </si>
  <si>
    <t>1. СРЕДСТВА ФЕДЕРАЛЬНОГО БЮДЖЕТА (субсидии, субвенции, иные целевые  межбюджетные трансферты, за исключением дотаций)</t>
  </si>
  <si>
    <t>из них:</t>
  </si>
  <si>
    <t>01920202116020000151 019/0409/3150206/010      к/ц 043</t>
  </si>
  <si>
    <t xml:space="preserve">  Субсидии бюджетам субъектов РФ на бюджетные инвестиции в объекты капитального строительства государственной собственности субъектов РФ (объекты капитального строительства собственности муниципальных образований)</t>
  </si>
  <si>
    <t>Субсидии бюджетам субъектов Российской Федерации и муниципальных образований в рамках федеральной  целевой программы  "Развитие      водохозяйственного комплекса Российской Федерации  в  2012 - 2020 годах" 690</t>
  </si>
  <si>
    <t>Субсидии бюджетам субъектов Российской Федерации на бюджетные инвестиции в объекты капитального строительства государственной собственности субъектов Российской Федерации 264</t>
  </si>
  <si>
    <t>Субсидии бюджетам субъектов Российской Федерации и муниципальных образований в рамках федеральной целевой программы "Развитие российских космодромов на 2006 - 2015 годы", на развитие российских космодромов на 2006-2015 годы (501)</t>
  </si>
  <si>
    <t>Субсидии бюджетам субъектов Российской Федерации и муниципальных образований в рамках федеральной целевой программы "Развитие российских космодромов на 2006 - 2015 годы", на развитие российских космодромов на 2006-2015 годы(506)</t>
  </si>
  <si>
    <t>Субсидии бюджетам субъектов Российской Федерации и муниципальных образований в рамках федеральной целевой программы "Развитие российских космодромов на 2006 - 2015 годы", на развитие российских космодромов на 2006-2015 годы (507)</t>
  </si>
  <si>
    <t>Субсидии бюджетам субъектов Российской Федерации и муниципальных образований в рамках федеральной целевой программы "Развитие российских космодромов на 2006 - 2015 годы", на развитие российских космодромов на 2006-2015 годы (508)</t>
  </si>
  <si>
    <t>Субсидии бюджетам субъектов Российской Федерации и муниципальных образований в рамках федеральной целевой программы "Развитие российских космодромов на 2006 - 2015 годы", на развитие российских космодромов на 2006-2015 годы (509)</t>
  </si>
  <si>
    <t>Субсидии бюджетам субъектов Российской Федерации и муниципальных образований в рамках федеральной целевой программы "Развитие физической культуры и спорта  в Российской Федерации на 2006 - 2015 годы" на  расходы общепрограммного характера (595)</t>
  </si>
  <si>
    <t>01920202077020000151 019/0502/1020102/020/251 к/ц 284  019/0409/1008103/963/310  к/ц 550</t>
  </si>
  <si>
    <t>Итого гл.019:</t>
  </si>
  <si>
    <t>Субсидии бюджетам субъектов Российской Федерации и муниципальных образований на реализацию Программы "Энергосбережение и повышение энергетической эффективности на период до 2020 года" 304 (гл.023+062+075+156)</t>
  </si>
  <si>
    <t>Итого по министерствуТЭК и ЖКХ Архангельской области</t>
  </si>
  <si>
    <t>04520202077020000151  передано гл.131</t>
  </si>
  <si>
    <t xml:space="preserve">    Субвенции бюджетам субъектов Российской Федерации на осуществление полномочий Российской Федерации в области охраны и использования охотничьих ресурсов по контролю, надзору, выдаче разрешений на добычу охотничьих ресурсов и заключению охотхозяйственных соглашений (356)</t>
  </si>
  <si>
    <t xml:space="preserve">    Субвенции бюджетам субъектов Российской Федерации на осуществление полномочий Российской Федерации в области охраны и использования охотничьих ресурсов по контролю, надзору, выдаче разрешений на добычу охотничьих ресурсов и заключению охотхозяйственных соглашений (355)</t>
  </si>
  <si>
    <t xml:space="preserve">04520203032020000151  045/0603/0015100/012             к/ц 356                   </t>
  </si>
  <si>
    <t xml:space="preserve">  Субсидии бюджетам субъектов Российской Федерации на приобретение специализированной лесопожарной техники и оборудования</t>
  </si>
  <si>
    <t>субвенции бюджетам субъектов Российской Федерации на охрану и использование объектов животного мира (за исключением охотничьих ресурсов и водных биологических ресурсов) (340)</t>
  </si>
  <si>
    <t>Субсидии бюджетам субъектов Российской Федерации и муниципальных образований на мероприятия федеральной целевой программы "Развитие водохозяйственного комплекса Российской Федерации в 2012 - 2020 годах" государственной программы Российской Федерации "Воспроизводство и использование природных ресурсов" (692)</t>
  </si>
  <si>
    <t>04520202124020000151 045/0407/2920200/012/310   к/ц 041</t>
  </si>
  <si>
    <t>Субвенции бюджетам субъектов Российской Федерации и муниципальных образований на охрану и использование охотничьих ресурсов (331)</t>
  </si>
  <si>
    <t xml:space="preserve"> Субвенции бюджетам субъектов Российской Федерации на осуществление отдельных полномочий в области лесных отношений (охрана лесов от пожаров)</t>
  </si>
  <si>
    <t>Субвенции бюджетам субъектов Российской Федерации на осуществление отдельных полномочий в области водных отношений 035</t>
  </si>
  <si>
    <t xml:space="preserve">  Субвенции бюджетам субъектов Российской Федерации на осуществление отдельных полномочий в области лесных отношений (073)</t>
  </si>
  <si>
    <t xml:space="preserve">  Субвенции бюджетам субъектов Российской Федерации на осуществление отдельных полномочий в области лесных отношений (072)</t>
  </si>
  <si>
    <t xml:space="preserve">  Субвенции бюджетам субъектов Российской Федерации на осуществление отдельных полномочий в области лесных отношений (054)</t>
  </si>
  <si>
    <t>04520203018020000151  045/0407/2920100/012,019   к/ц 040</t>
  </si>
  <si>
    <t xml:space="preserve">  Субвенции бюджетам субъектов Российской Федерации на приобретение специализированной лесопожарной техники и оборудования (041)</t>
  </si>
  <si>
    <t>Итого гл.045:</t>
  </si>
  <si>
    <t>Итого по министерству природных ресурсов и лесопромышленного комплекса Архангельской области</t>
  </si>
  <si>
    <t xml:space="preserve">06220203054020000151 062/0909/0014900/012            к/ц 350        </t>
  </si>
  <si>
    <t xml:space="preserve">   Субвенции  на осуществление переданных полномочий Российской Федерации в области охраны здоровья граждан </t>
  </si>
  <si>
    <t>06220203068020000151 062/1003/5050302/005          к/ц 151 и без к/ц</t>
  </si>
  <si>
    <t xml:space="preserve">    Субсидии бюджетам субъектов Российской Федерации на закупки оборудования и расходных материалов для неонатального и аудиологического скрининга (142)</t>
  </si>
  <si>
    <t>06220202024020000151 062/0909/5201802/009,800/251      к/ц 100</t>
  </si>
  <si>
    <t xml:space="preserve">    Субсидии бюджетам субъектов Российской Федерации на мероприятия по пренатальной (дородовой) диагностике 112</t>
  </si>
  <si>
    <t>06220202097020000151 062/0909/5202100/017,800/251     к/ц 105</t>
  </si>
  <si>
    <t>Субвенции бюджетам субъектов Российской Федерации и муниципальных образований на оказание отдельным категориям граждан государственной социальной помощи  по обеспечению лекарственными средствами, изделиями медицинского назначения,  а также специализированными продуктами лечебного питания для детей-инвалидов 151</t>
  </si>
  <si>
    <t>Иные межбюджетные трансферты на реализацию отдельных полномочий в области лекарственного обеспечения в рамках подпрограммы "Профилактика заболеваний и формирование здорового образа жизни. Развитие первичной медико-санитарной помощи" государственной программы Российской Федерации "Развитие здравоохранения" 155</t>
  </si>
  <si>
    <t>06220202106020000151  062/0909/4851600/012/310  к/ц 145</t>
  </si>
  <si>
    <t>Субсидии бюджетам субъектов Российской Федерации на денежные выплаты медицинскому персоналу фельдшерско-акушерских пунктов, врачам, фельдшерам и медицинским сестрам скорой медицинской помощи 100</t>
  </si>
  <si>
    <t>06220202005020000151 062/0707/4320200/012,819/262  к/ц 150</t>
  </si>
  <si>
    <t xml:space="preserve">    Субсидии бюджетам субъектов Российской Федерации на реализацию мероприятий по финансовому обеспечению оказания дополнительной медицинской помощи, оказываемой врачами-терапевтами участковыми, врачами-педиатрами участковыми, врачами общей практики (семейными врачами), медицинскими сестрами участковыми врачей-терапевтов участковых, врачей педиатров-участковых, медицинскими сестрами врачей общей практики (семейных врачей)</t>
  </si>
  <si>
    <t>06220203053020000151 062/1003/5051900/905,832      к/ц 190</t>
  </si>
  <si>
    <t xml:space="preserve">  Субсидии бюджетам субъектов Российской Федерации на мероприятия по совершенствованию медицинской помощи больным с онкологическими заболеваниями</t>
  </si>
  <si>
    <t>Иные межбюджетные трансферты на осуществление организационных мероприятий по обеспечению лиц лекарственными препаратами, предназначенными для лечения больных злокачественными новообразованиями лимфоидной, кроветворной и родственных им тканей, гемофилией, муковисцидозом, гипофизарным нанизмом, болезнью Гоше, рассеянным склерозом, а также после трансплантации органов и (или) тканей в рамках подпрограммы "Профилактика заболеваний и формирование здорового образа жизни. Развитие первичной медико-санитарной помощи" государственной программы Российской Федерации "Развитие здравоохранения" (131)</t>
  </si>
  <si>
    <t>06220203004020000151 062/1003/5052901/905,832     к/ц 210</t>
  </si>
  <si>
    <t xml:space="preserve">  Субсидии бюджетам субъектов Российской Федерации на осуществление организационных мероприятий по обеспечению граждан лекарственными средствами, предназначенными для лечения больных гемофилией, муковисцидозом, гипофизарным нанизмом, болезнью Гоше (125)</t>
  </si>
  <si>
    <t xml:space="preserve">        Субсидии бюджетам субъектов Российской Федерации и муниципальных образований  на подпрограмму "Сахарный диабет" федеральной целевой программы "Предупреждение и борьба с социально значимыми заболеваниями (2007 - 2012 годы)"</t>
  </si>
  <si>
    <t xml:space="preserve">        Субсидии бюджетам субъектов Российской Федерации и муниципальных образований  в рамках федеральной целевой программы "Предупреждение и борьба с социально значимыми заболеваниями (2007 - 2012 годы)" на подпрограмму "Онкология"</t>
  </si>
  <si>
    <t xml:space="preserve">        Субсидии бюджетам субъектов Российской Федерации и муниципальных образований  на подпрограмму "Инфекции, передаваемые половым путем" федеральной целевой программы "Предупреждение и борьба с социально значимыми заболеваниями (2007 - 2012 годы)"</t>
  </si>
  <si>
    <t xml:space="preserve">        Субсидии бюджетам субъектов Российской Федерации и муниципальных образований  в рамках федеральной целевой программу "Предупреждение и борьба с социально значимыми заболеваниями (2007 - 2012 годы)" на подпрограмму "Психические расстройства"</t>
  </si>
  <si>
    <t xml:space="preserve">        Субсидии бюджетам субъектов Российской Федерации и муниципальных образований в рамках подпрограммы "Артериальная гипертония" федеральной целевой программы  "Предупреждение и борьба с социально значимыми заболеваниями (2007-2012 годы)"</t>
  </si>
  <si>
    <t>Субсидии бюджетам субъектов Российской Федерации и муниципальных образований на реализацию отдельных мероприятий Государственной программы Российской Федерации "Развитие здравоохранения" в рамках подпрограммы "Совершенствование оказания специализированной, включая высокотехнологичную, медицинской помощи, скорой, в том числе скорой специализированной, медицинской помощи, медицинской эвакуации" государственной программы Российской Федерации "Развитие здравоохранения" 133</t>
  </si>
  <si>
    <t>Субсидии бюджетам субъектов Российской Федерации и муниципальных образований на мероприятия, направленные на формирование здорового образа жизни у населения Российской Федерации, включая сокрыщение потребления алкоголя и табака (134)</t>
  </si>
  <si>
    <t>Иные межбюджетные ьрнасферты на реализацию мероприятий по профилактике ВИЧ-инфекции и гепатитов В и С (148)</t>
  </si>
  <si>
    <t>Субсидии, передаваемые бюджетам субъектов Российской Федерации на финансовое обеспечение закупок антивирусных препаратов для профилактики и лечерия лиц, инфицированных вирусами иммунодефицита человека и гепатитов В и С (137)</t>
  </si>
  <si>
    <t>Межбюджетные трансферты, передаваемые бюджетам субъектов Российской Федерации на финансовое обеспечение закупок антивирусных препаратов для профилактики и лечерия лиц, инфицированных вирусами иммунодефицита человека и гепатитов В и С (138)</t>
  </si>
  <si>
    <t>Иные межбюджетные на реализацию мероприятий, направленных на обследование населения с целью выявления туберкулеза, лечения больных туберкулезом, профилактические мероприятия (128)</t>
  </si>
  <si>
    <t>Иные межбюджетные на реализацию мероприятий, направленных на обследование населения с целью выявления туберкулеза, лечения больных туберкулезом, профилактические мероприятия (129)</t>
  </si>
  <si>
    <t>субсидии бюджетам субъектов Российской Федерации на высокотехнологичные виды медицинской помощи 130</t>
  </si>
  <si>
    <t>Иные межбюджетные трансферты на отдельные полномочия в области обеспечения лекарственными препаратами</t>
  </si>
  <si>
    <t>Межбюджетные трансферты передаваемые бюджетам субъектов Российской Федерации на финансовое обеспечение закупок антибактериальных и противотуберкулезных лекарственных препаратов (второго порядка) применяемых при лечении больных туберкулезом с множественной лекарственной устойчивостью возбудителя, и диагностических средств для выявления, определения сувствительности микобактерии туберкулеза им мониторинга лечения больных туберкулезом с множественной лекарственной устойчивостью возбудителя 129</t>
  </si>
  <si>
    <t>Иные межбюджетные трансферты на ме6роприятия по развитию службы крови (123)</t>
  </si>
  <si>
    <t>06220203070020000151 062/1003/5053402/005,830/262  к/ц 200</t>
  </si>
  <si>
    <t>Субсидии бюджетам субъектов РФ на ме6роприятия по развитию службы крови (124)</t>
  </si>
  <si>
    <t>Итого гл.062:</t>
  </si>
  <si>
    <t>Итого по министерству здравоохранения Архангельской области</t>
  </si>
  <si>
    <t>Субвенции бюджетам субъектов РФ на осуществление переданных полномочий РФ по государственной охране объектов культурного наследия фед.значения</t>
  </si>
  <si>
    <t>Иные межбюджетные трансферты на комплектование книжных фондов библиотек муниципальных образований</t>
  </si>
  <si>
    <t>Субсидии бюджетам субъектов Российской Федерации и муниципальных образований в рамках федеральной целевой программы  "Культура России (2012 - 2016 годы)" 472</t>
  </si>
  <si>
    <t>Субсидии бюджетам субъектов Российской Федерации и муниципальных образований в рамках федеральной целевой программы  "Культура России (2012 - 2018 годы)" (474)</t>
  </si>
  <si>
    <t>Иные межбюджетные трансферты на государственную поддержку муниципальных учреждений культутры, находящихся на территориях сельских поселений (091)</t>
  </si>
  <si>
    <t>Иные межбюджетные трансферты на государственную поддержку (грант) комплексного развития региональных и муниципальных учреждений культуры в рамках подпрограммы "Искусство" государственной программы Российской Федерации "Развитие культуры и туризма" 144</t>
  </si>
  <si>
    <t>Иные межбюджетные трансферты на государственную поддержку лучших работников муниципальных учреждений культуры, находящихся на территории сельских поселений (092)</t>
  </si>
  <si>
    <t>Иные межбюджетные трансферты на подключение общедоступных библиотек Российской Федерации к сети Интернет и развитие системы библиотечного дела с учетом задачи расширения информационных технологий и оцифровки 088</t>
  </si>
  <si>
    <t>Итого по министерству культуры Архангельской области</t>
  </si>
  <si>
    <t>07520204025020000151 075/0801/4400200/017,800/251 к/ц 090</t>
  </si>
  <si>
    <t xml:space="preserve">    Субсидии бюджетам субъектов Российской Федерации на бюджетные инвестиции в объекты капитального строительства государственной собственности субъектов Российской Федерации (объекты капитального строительства собственности муниципальных образований)</t>
  </si>
  <si>
    <t xml:space="preserve">        Субсидии бюджетам субъектов Российской Федерации и муниципальных образований в рамках федеральной целевой программы "Развитие российских космодромов на 2006 - 2015 годы" на развитие инфраструктуры города Мирного</t>
  </si>
  <si>
    <t>Осуществление полномочий Российской Федерации по контролю качества образования, лицензированию и государственной аккредитации образовательных учреждений, надзору и контролю за соблюдением законодательства в области образования (375)</t>
  </si>
  <si>
    <t xml:space="preserve">    Межбюджетные трансферты, передаваемые бюджетам  субъектов РФ на выплату стипендий Президента РФ и Правительства РФ  для обучающихся по направлениям подготовки направлениям модернизации и технологического развития экономики РФ  064
</t>
  </si>
  <si>
    <t>07520202142020000151 075/0702/3602600/012/310    к/ц 077</t>
  </si>
  <si>
    <t xml:space="preserve">  Субсидии бюджетам субъектов Российской Федерации на обеспечение жилыми помещениями детей-сирот, детей, оставшихся без попечения родителей, а также детей, находящихся под опекой (попечительством), не имеющих закрепленного жилого помещения (165)</t>
  </si>
  <si>
    <t xml:space="preserve">07520202104020000151 07511902000020000151 075/0709/4361400/012  </t>
  </si>
  <si>
    <t xml:space="preserve">  Субсидии бюджетам субъектов Российской Федерации на организацию дистанционного обучения инвалидов</t>
  </si>
  <si>
    <t>07520203020020000151 075/1004/5050502/832,905         к/ц 206</t>
  </si>
  <si>
    <t>Субвенции бюджетам субъектов Российской Федерации на выплату единовременного пособия при всех формах устройства детей, лишенных родительского попечения, в семью (206)</t>
  </si>
  <si>
    <t>Иные межбюджетные трансферты на стипендии Президента Российской Федерации и Правительства Российской Федерации для обучающихся по направлениям подготовки (специальностям), соответствующим приоритетным направлениям модернизации и технологического развития экономики Российской Федерации 63</t>
  </si>
  <si>
    <t>Иные межбюджетные трансферты на стипендии Президента Российской Федерации и Правительства Российской Федерации для обучающихся по направлениям подготовки (специальностям), соответствующим приоритетным направлениям модернизации и технологического развития экономики Российской Федерации 64</t>
  </si>
  <si>
    <t>Субсидии бюджетам субъектов Российской Федерации и муниципальных образований на возмещение части затрат в связи  с предоставлением учителям общеобразовательных учреждений ипотечного кредита (241)</t>
  </si>
  <si>
    <t>Субсидии бюджетам субъектов Российской Федерации и муниципальных образований на софинансирование капитальных вложений в объекты государственной собственности субъектов Российской Федерации в рамках федеральной целевой программы "Повышение безопасности дорожного движения в 2013 - 2020 годах" государственной программы Российской Федерации "Обеспечение общественного порядка и противодействие преступности" 487</t>
  </si>
  <si>
    <t>Субсидии бюджетам субъектов Российской Федерации и муниципальных образований на поощрение лучших учителей (056)</t>
  </si>
  <si>
    <t>Федеральная целевая программа развития образования на 2011 - 2015 годы (622)</t>
  </si>
  <si>
    <t>Федеральная целевая программа развития образования на 2011 - 2015 годы (630)</t>
  </si>
  <si>
    <t>07520202145020000151  075/0702/4362100/010,022,800  к/ц 058</t>
  </si>
  <si>
    <t>Федеральная целевая программа развития образования на 2011 - 2015 годы (601)</t>
  </si>
  <si>
    <t>07520202037020000151  075/0702/5200902/001,009,811,812  к/ц 051</t>
  </si>
  <si>
    <t>Субсидии бюджетам субъектов Российской Федерации на ежемесячное денежное вознаграждение за классное руководство 051</t>
  </si>
  <si>
    <t>Итого гл.075:</t>
  </si>
  <si>
    <t>Итого по министерству образования и науки Архангельской области</t>
  </si>
  <si>
    <t>Субвенции бюджетам субъектов Российской Федерации на организацию, регулирование и охрану водных биологических ресурсов</t>
  </si>
  <si>
    <t>Итого по агентству по рыбному хозяйству Архангельской области</t>
  </si>
  <si>
    <t xml:space="preserve">        Субсидии бюджетам субъектов Российской Федерации и муниципальных образований в рамках федеральной целевой программы  "Социальное развитие села до 2013 года" (515)</t>
  </si>
  <si>
    <t xml:space="preserve">        Субсидии бюджетам субъектов Российской Федерации и муниципальных образований в рамках федеральной целевой программы  "Социальное развитие села до 2013 года" (519)</t>
  </si>
  <si>
    <t xml:space="preserve">        Субсидии бюджетам субъектов Российской Федерации и муниципальных образований в рамках федеральной целевой программы  "Социальное развитие села до 2013 года" (522)</t>
  </si>
  <si>
    <t xml:space="preserve">        Субсидии бюджетам субъектов Российской Федерации и муниципальных образований в рамках федеральной целевой программы  "Социальное развитие села до 2013 года" (524)</t>
  </si>
  <si>
    <t>Субсидии бюджетам субъектов Российской Федерации и муниципальных образований на возмещение части затрат на приобретение семян с учетом доставки в районы Крайнего Севера и приравненные к ним местности (011)</t>
  </si>
  <si>
    <t>Субсидии бюджетам субъектов Российской Федерации и муниципальных образований на возмещение части процентной ставки по краткосрочным кредитам (займам) на развитие растеневодства, переработки и реализации продукции растеневодства (001)</t>
  </si>
  <si>
    <t>Субсидии бюджетам субъектов Российской Федерации и муниципальных образований на возмещение части процентной ставки по инвестиционным кредитам (займам) на развитие растеневодства, переработки и развития инфраструктуры и логистического обеспечения рынков продукции растеневодства (002)</t>
  </si>
  <si>
    <t>Субсидии бюджетам субъектов Российской Федерации и муниципальных образований  на поддержку начинающих фермеров в рамках подпрограммы "Поддержка малых форм хозяйствования" государственной программы развития сельского хозяйства и регулирования рынков сельскохозяйственной продукции, сырья и продовольствия на 2013 - 2020 годы 006</t>
  </si>
  <si>
    <t>Субсидии бюджетам субъектов Российской Федерации и муниципальных образований на оказание несвязанной поддержки сельскохозяйственным товаропроизводителям в области растеневодства (009)</t>
  </si>
  <si>
    <t>Субсидии бюджетам субъектов Российской Федерации и муниципальных образований на 1 литр реализованного товарного молока (016)</t>
  </si>
  <si>
    <t>Субсидии бюджетам субъектов Российской Федерации и муниципальных образований на возмещение части затрат по наращиванию поголовья северных оленей, моралов и мясных табунных лошадей (033)</t>
  </si>
  <si>
    <t>Субсидии бюджетам субъектов Российской Федерации и муниципальных образований на возмещение части процентной ставки по краткосрочным кредитам (займам) на развитие животноводства, переработки и реализации продукции животноводства (036)</t>
  </si>
  <si>
    <t>Субсидии бюджетам субъектов Российской Федерации и муниципальных образований на возмещение части процентной ставки по инвестиционным кредитам (займам) на развитие животноводства, переработки и развития инфраструктуры и логистического обеспечения рынков продукции животноводства (037_</t>
  </si>
  <si>
    <t>Субсидии бюджетам субъектов Российской Федерации и муниципальных образований на поддержку начинающих фермеров (006)</t>
  </si>
  <si>
    <t>Субсидии бюджетам субъектов Российской Федерации и муниципальных образований на возмещение части процентной ставки по долгосрочным, среднесрочным и краткосрочным кредитам, взятым малыми формами хозяйствования (048)</t>
  </si>
  <si>
    <t xml:space="preserve"> Субсидии бюджетам субъектов Российской Федерации и муниципальных образований  на возмещение части затрат на приобретение элитных семян в рамках подпрограммы "Развитие подотрасли 024</t>
  </si>
  <si>
    <t>08320203005020000151  083/0405/2700400/012           к/ц 335</t>
  </si>
  <si>
    <t xml:space="preserve">  Субсидии бюджетам субъектов Российской Федерации на поддержку северного оленеводства и табунного коневодства (027)</t>
  </si>
  <si>
    <t>08320202013020000151  083/0405/2670504/006     к/ц 012</t>
  </si>
  <si>
    <t xml:space="preserve">    Субсидии бюджетам субъектов Российской Федерации на поддержку племенного животноводства (028)</t>
  </si>
  <si>
    <t>Субсидии бюджетам субъектов Российской Федерации и муниципальных образований на  возмещение  затрат, связанных с  оказанием  поддержки сельскохозяйственных товаропроизводителей, осуществляющих  производство свинины,  мяса  птицы  и  яиц,  в связи с удорожанием приобретенных кормов (050)</t>
  </si>
  <si>
    <t>Субсидии бюджетам субъектов Российской Федерации и муниципальных образований на возмещение части затрат крестьянских (фермерских) хозяйств, включая индивидуальных предпринимателей, при оформлении в собственность используемых ими земельных участков из земель сельскохозяйственного назначения (019)</t>
  </si>
  <si>
    <t>Субсидии бюджетам субъектов Российской Федерации и муниципальных образований на возмещение части процентной ставки по инвестиционным кредитам на строительство и реконструкцию объектов мясного скотоводства в рамках подпрограммы "Развитие мясного скотоводства" государственной программы развития сельского хозяйства и регулирования рынков сельскохозяйственной продукции, сырья и продовольствия на 2013 - 2020 годы 044</t>
  </si>
  <si>
    <t>Субсидии бюджетам субъектов Российской Федерации и муниципальных образований на возмещение части затрат сельскохозяйственных товаропроизводителей на уплату страховой премии, начисленной по договору сельскохозяйственного страхования в области животноводства в рамках подпрограммы "Развитие подотрасли животноводства, переработки и реализации продукции животноводства" государственной программы развития сельского хозяйства и регулирования рынков сельскохозяйственной продукции, сырья и продовольствия на 2013 - 2020 годы 038</t>
  </si>
  <si>
    <t xml:space="preserve">  Субсидии бюджетам субъектов Российской Федерации на поддержку завоз семян для выращивания кормовых культур в районах Крайнего Северных и приравненных к ним местностях, вкл. производство продукции растиневодства на низкопродуктивных пашнях</t>
  </si>
  <si>
    <t>Субсидии бюджетам субъектов Российской Федерации и муниципальных образований на реализацию мероприятий федеральной целевой программы "Устойчивое развитие сельских территорий на 2014 - 2017 годы и на период до 2020 года" государственной программы развития сельского хозяйства и регулирования рынков сельскохозяйственной продукции, сырья и продовольствия на 2013 - 2020 годы (343)</t>
  </si>
  <si>
    <t>Субсидии бюджетам субъектов Российской Федерации и муниципальных образований на реализацию мероприятий федеральной целевой программы "Устойчивое развитие сельских территорий на 2014 - 2017 годы и на период до 2020 года" государственной программы развития сельского хозяйства и регулирования рынков сельскохозяйственной продукции, сырья и продовольствия на 2013 - 2020 годы (344)</t>
  </si>
  <si>
    <t>Субсидии бюджетам субъектов Российской Федерации и муниципальных образований на реализацию мероприятий федеральной целевой программы "Устойчивое развитие сельских территорий на 2014 - 2017 годы и на период до 2020 года" государственной программы развития сельского хозяйства и регулирования рынков сельскохозяйственной продукции, сырья и продовольствия на 2013 - 2020 годы (345)</t>
  </si>
  <si>
    <t>Субсидии бюджетам субъектов Российской Федерации и муниципальных образований на реализацию мероприятий федеральной целевой программы "Устойчивое развитие сельских территорий на 2014 - 2017 годы и на период до 2020 года" государственной программы развития сельского хозяйства и регулирования рынков сельскохозяйственной продукции, сырья и продовольствия на 2013 - 2020 годы (347)</t>
  </si>
  <si>
    <t>Субсидии бюджетам субъектов Российской Федерации и муниципальных образований на реализацию мероприятий федеральной целевой программы "Устойчивое развитие сельских территорий на 2014 - 2017 годы и на период до 2020 года" государственной программы развития сельского хозяйства и регулирования рынков сельскохозяйственной продукции, сырья и продовольствия на 2013 - 2020 годы (348)</t>
  </si>
  <si>
    <t xml:space="preserve">        Субсидии бюджетам субъектов Российской Федерации и муниципальных образований на возмещение сельскохозяйственным товаропроизводителям, организациям агропромышленного комплекса независимо от их организационно-правовых форм и крестьянским (фермерским) хозяйствам, сельскохозяйственным потребительским кооперативам части затрат на уплату процентов по инвестиционным кредитам, полученным в российских кредитных организациях, и займам, полученным в сельскохозяйственных кредитных потребительских кооперативах в 2004 - 2012 годах на срок от 2 до 10 лет</t>
  </si>
  <si>
    <t>08320202065020000151 083/0405/2670501/006,017/242  к/ц 010</t>
  </si>
  <si>
    <t>Итого гл.083:</t>
  </si>
  <si>
    <t>Иные межбюджетные трансферты на развитие и поддержку социальной и инженерной инфраструктуры закрытых административно-территориальных образований</t>
  </si>
  <si>
    <t>Дотации бюджетам субъектов Российской Федерации на предоставление дотаций бюджетам закрытых административно-территориальных образований</t>
  </si>
  <si>
    <t>Иные межбюджетные трансферты на переселение граждан из закрытых административно-территориальных образований 245</t>
  </si>
  <si>
    <t>Итого гл.090:</t>
  </si>
  <si>
    <t>Итого по министерству финансов Архангельской области</t>
  </si>
  <si>
    <t>Субсидии бюджетам субъектов Российской Федерации и муниципальных образований на реализацию мероприятий подпрограммы "Автомобильные дороги" федеральной целевой программы "Развитие транспортной системы России (2010 - 2020 годы)" в рамках государственной программы Российской Федерации "Развитие транспортной системы" 550</t>
  </si>
  <si>
    <t>Субсидии бюджетам субъектов Российской Федерации и муниципальных образований на компенсацию части потерь в доходах организациям железнодорожного транспорта в связи с принятием субъектами Российской Федерации решений об установлении льгот по тарифам на проезд обучающихся и воспитанников общеобразовательных  учреждений, учащихся очной формы обучения образовательных учреждений начального профессионального, среднего профессионального и высшего профессионального образования железнодорожным транспортом общего пользования в пригородном сообщении</t>
  </si>
  <si>
    <t>Субсидии бюджетам субъектов Российской Федерации и муниципальных образований на мероприятия, предусмотренные программами развития пилотных инновационных территориальных кластеров в рамках подпрограммы "Стимулирование инноваций" государственной программы Российской Федерации "Экономическое развитие и инновационная экономика" 328</t>
  </si>
  <si>
    <t>13820202009020000151 13821902000020000151 138/0412/3450100/012      к/ц 260</t>
  </si>
  <si>
    <t xml:space="preserve">   Субсидии бюджетам субъектов Российской Федерации на государственную поддержку малого предпринимательства, включая крестьянские (фермерские) хозяйства 260</t>
  </si>
  <si>
    <t>Итого гл.138:</t>
  </si>
  <si>
    <t xml:space="preserve">15620203025020000151 156/0401/5100201/001,012 156/0401/5100202/001 156/1003/5100200/005,013 156/1105/5100200/009/251        к/ц 390 </t>
  </si>
  <si>
    <t xml:space="preserve">    Субсидии бюджетам субъектов Российской Федерации на оздоровление детей 153</t>
  </si>
  <si>
    <t>Иные межбюджетные трансферты на финансовое обеспечение мероприятий, связанных с отдыхом и оздоровлением детей в организациях отдыха детей и их оздоровления, расположенных в Республике Крым и г. Севастополе, в рамках подпрограммы "Совершенствование социальной поддержки семьи и детей" государственной программы Российской Федерации "Социальная поддержка граждан" 152</t>
  </si>
  <si>
    <t xml:space="preserve">    Субсидии бюджетам субъектов РФ на осуществление ежемесячной денежной выплаты, назначенной в случае рождения третьего ребенка или последующих детей до достижения ребенком возраста трех лет (168)</t>
  </si>
  <si>
    <t xml:space="preserve">15620702000020000180  156/0401/5100400/001      </t>
  </si>
  <si>
    <t xml:space="preserve">   Межбюджетные трансферты, передаваемые бюджетам субъектов РФ на выплату региональной доплаты к пенсии (170)</t>
  </si>
  <si>
    <t>Иные межбюджетные трансферты на финансовое обеспечение мероприятий по временному социально-бытовому обустройству лиц, вынужденно покинувших территорию Украины и находящихся в пунктах временного размещения, по иным непрограммным мероприятиям в рамках непрограммного направления деятельности "Реализация функций иных федеральных органов государственной власти" 171</t>
  </si>
  <si>
    <t xml:space="preserve">   Субвенции бюджетам субъектов Российской Федерации на выплату единовременного пособия беременной жене военнослужащего, проходящего срочную военную службу по призыву, и ежемесячного пособия на ребенка военнослужащего, проходящего военную службу по призыву (190)</t>
  </si>
  <si>
    <t xml:space="preserve">   Субвенции бюджетам субъектов Российской Федерации на выплату единовременного пособия беременной жене военнослужащего, проходящего срочную военную службу по призыву, и ежемесячного пособия на ребенка военнослужащего, проходящего военную службу по призыву (191)</t>
  </si>
  <si>
    <t xml:space="preserve">   Субвенции бюджетам субъектов Российской Федерации на обеспечение мер социальной поддержки для лиц, награжденных знаком "Почетный донор СССР", "Почетный донор России" (211)</t>
  </si>
  <si>
    <t xml:space="preserve">   Субвенции бюджетам субъектов Российской Федерации на обеспечение мер социальной поддержки для лиц, награжденных знаком "Почетный донор СССР", "Почетный донор России" (210)</t>
  </si>
  <si>
    <t xml:space="preserve">   Субвенции бюджетам субъектов Российской Федерации на государственные единовременные пособия и ежемесячные денежные компенсации гражданам при возникновении поствакцинальных осложнений (195)</t>
  </si>
  <si>
    <t xml:space="preserve">   Субвенции бюджетам субъектов Российской Федерации на выплаты инвалидам компенсаций страховых премий по договорам обязательного страхования гражданской ответственности владельцев транспортных средств (180)</t>
  </si>
  <si>
    <t xml:space="preserve">    Субсидии бюджетам субъектов Российской Федерации на реализацию мероприятий, предусмотренных региональной программой переселения, включенной в Государственную программу по оказанию содействия добровольному переселению в Российскую Федерацию соотечественников, проживающих за рубежом 246</t>
  </si>
  <si>
    <t xml:space="preserve">    Субсидии бюджетам субъектов Российской Федерации на реализацию мероприятий, предусмотренных региональной программой переселения, включенной в Государственную программу по оказанию содействия добровольному переселению в Российскую Федерацию соотечественников, проживающих за рубежом 240</t>
  </si>
  <si>
    <t xml:space="preserve">    Межбюджетные трансферты бюджетам субъектов Российской Федерации на выплату единовременного денежного поощрения при награждении орденом "Родительская слава"</t>
  </si>
  <si>
    <t xml:space="preserve">   Субвенции бюджетам субъектов Российской Федерации на перевозку несовершеннолетних, самовольно ушедших из семей, детских домов, школ-интернатов, специальных учебно-воспитательных и иных детских учреждений (186)</t>
  </si>
  <si>
    <t xml:space="preserve">   Субвенции бюджетам субъектов Российской Федерации на осуществление полномочий Российской Федерации в области содействия занятости населения, включая расходы по осуществлению этих полномочий</t>
  </si>
  <si>
    <t xml:space="preserve">  Прочие безвозмездные поступления в бюджеты субъектов Российской Федерации</t>
  </si>
  <si>
    <t>Субвенции бюджетам Российской Федерации на социальные выплаты безработным гражданам (К/ц 390)</t>
  </si>
  <si>
    <t xml:space="preserve">   Прочие мероприятия, осуществляемые за счет межбюджетных трансфертов прошлых лет из федерального бюджета (единовременные денежные компенсации реабилитированным лицам)</t>
  </si>
  <si>
    <t>Субсидии бюджетам субъектов Российской Федерации и муниципальных образований на мероприятия государственной программы Российской Федерации "Доступная среда" на 2011 - 2015 годы в рамках подпрограммы "Обеспечение доступности приоритетных объектов и услуг в приоритетных сферах жизнедеятельности инвалидов и других маломобильных групп населения" государственной программы Российской Федерации "Доступная среда" на 2011 - 2015 годы (443)</t>
  </si>
  <si>
    <t>Итого гл.156:</t>
  </si>
  <si>
    <t>Итого по министерству труда, занятости социального развития Архангельской области</t>
  </si>
  <si>
    <t>Иные межбюджетные трансферты на государственную поддержку (грант) реализации лучших событийных региональных и межрегиональных проектов в рамках развития культурно-познавательного туризма в рамках подпрограммы "Туризм" государственной программы Российской Федерации "Развитие культуры и туризма" 139</t>
  </si>
  <si>
    <t>Агентство по туризму  и международному сотрудничеству Архангельской области</t>
  </si>
  <si>
    <t>Субсидии бюджетам субъектов Российской Федерации и муниципальных образований на приобретение оборудования для быстровозводимых физкультурно-оздоровительных комплексов, включая металлоконструкции и металлоизделия в рамках подпрограммы "Развитие физической культуры и массового спорта" государственной программы Российской Федерации "Развитие физической культуры и спорта" 107</t>
  </si>
  <si>
    <t>Субсидии бюджетам субъектов Российской Федерации на оказание адресной финансовой поддержки спортивным организациям, осуществляющим подготовку спортивного резерва для сборных команд Российской Федерации (108)</t>
  </si>
  <si>
    <t>Субсидии бюджетам субъектов Российской Федерации и муниципальных образований на мероприятия государственной программы Российской Федерации "Доступная среда" на 2011 - 2015 годы в рамках подпрограммы "Обеспечение доступности приоритетных объектов и услуг в приоритетных сферах жизнедеятельности инвалидов и других маломобильных групп населения" государственной программы Российской Федерации "Доступная среда" на 2011 - 2015 годы (437)</t>
  </si>
  <si>
    <t>Субсидии бюджетам субъектов Российской Федерации и муниципальных образований на реализацию мероприятий подпрограммы "Развитие футбола в Российской Федерации на 2008 - 2015 годы" в рамках федеральной целевой программы "Развитие физической культуры и спорта в Российской Федерации на 2006 - 2015 годы" государственной программы Российской Федерации "Развитие физической культуры и спорта" 600</t>
  </si>
  <si>
    <t>убсидии бюджетам субъектов Российской Федерации и муниципальных образований на приобретение оборудования для быстровозводимых физкультурно-оздоровительных комплексов, включая метталллоконструкции и металлоизделия</t>
  </si>
  <si>
    <t>Межбюджетные трансферты, передаваемые бюджетам субъектов Российской Федерации на содержание депутатов Государственной Думы и их помощников (385)</t>
  </si>
  <si>
    <t>Субсидии бюджетам субъектов Российской Федерации и муниципальных образований на мероприятия государственной программы Российской Федерации "Доступная среда" на 2011 - 2015 годы в рамках подпрограммы "Обеспечение доступности приоритетных объектов и услуг в приоритетных сферах жизнедеятельности инвалидов и других маломобильных групп населения" государственной программы Российской Федерации "Доступная среда" на 2011 - 2015 годы 437</t>
  </si>
  <si>
    <t>Субсидии бюджетам субъектов Российской Федерации и муниципальных образований на поддержку региональных проектов в сфкре информационных тнхнологий 694</t>
  </si>
  <si>
    <t>Иные межбюджетные трансферты на создание и развитие сети многофункциональных центров предоставления государственных и муниципальных услуг в рамках подпрограммы "Совершенствование государственного и муниципального управления" государственной программы Российской Федерации "Экономическое развитие и инновационная экономика" (349)</t>
  </si>
  <si>
    <t>Межбюджетные трансферты, передаваемые бюджетам субъектов Российской Федерации на содержание членов Совета Федерации и их помощников (380)</t>
  </si>
  <si>
    <t>Итого по администрации Губернатора Архангельской области и Правительства Архангельской области</t>
  </si>
  <si>
    <t>Субсидии бюджетам субъектов Российской Федерации и муниципальных образований на мероприятия по поддержке социально ориентированных некоммерческих организаций в рамках подпрограммы "Повышение эффективности государственной поддержки социально ориентированных некоммерческих организаций" государственной программы Российской Федерации "Социальная поддержка граждан" 311</t>
  </si>
  <si>
    <t>Итого по министерству по местному самоуправлению и внутренней политике Архангельской области</t>
  </si>
  <si>
    <t>Субвенции бюджетам субъектов Российской Федерации на государственную регистрацию актов гражданского состояния</t>
  </si>
  <si>
    <t>Итого по агентству ЗАГС Архангельской области</t>
  </si>
  <si>
    <t>ФЦП "Развитие водохозяйственного комплекса Российской Федерации в 2012- 2020 годах"</t>
  </si>
  <si>
    <t xml:space="preserve">73320203019020000151 733/0406/2800400/012/012,830     к/ц 035 </t>
  </si>
  <si>
    <t xml:space="preserve">   Субвенции бюджетам субъектов Российской Федерации на осуществление отдельных полномочий в области водных отношений 035</t>
  </si>
  <si>
    <t>Итого гл.733:</t>
  </si>
  <si>
    <t>Итого по агентству природных ресурсов и экологии Архангельской области</t>
  </si>
  <si>
    <t xml:space="preserve">Всего </t>
  </si>
  <si>
    <t>ВСЕГО:</t>
  </si>
  <si>
    <t xml:space="preserve">2. СРЕДСТВА, ПОСТУПАЮЩИЕ ОТ ГОСУДАРСТВЕННОЙ КОРПОРАЦИИ - ФОНД СОДЕЙСТВИЯ РЕФОРМИРОВАНИЮ ЖИЛИЩНО-КОММУНАЛЬНОГО ХОЗЯЙСТВА </t>
  </si>
  <si>
    <t xml:space="preserve">3. СРЕДСТВА, ПОСТУПАЮЩИЕ ОТ ФОНДА ОБЯЗАТЕЛЬНОГО МЕДИЦИНСКОГО СТРАХОВАНИЯ </t>
  </si>
  <si>
    <t>Единовременные компенсационные выплаты медицинским работникам</t>
  </si>
  <si>
    <t xml:space="preserve">  Межбюджетные трансферты, передаваемые бюджетам субъектов Российской Федерации на реализацию региональной программы модернизации здравоохранения субъектов Российской Федерации в части укрепления материально-технической базы медицинских учреждений</t>
  </si>
  <si>
    <t>программа модернизации здравоохранения (строительсво перинатального центра)</t>
  </si>
  <si>
    <t xml:space="preserve">  Межбюджетные трансферты, передаваемые бюджетам субъектов Российской Федерации на  реализацию региональной программы модернизации здравоохранения  на 2011-2012 г, по внедрению современных информационных систем</t>
  </si>
  <si>
    <t>"Развитие массового жилищного строительства в Архангельской области на 2010 – 2013 годы"</t>
  </si>
  <si>
    <t>Субсидии бюджетам субъектов Российской Федерации и муниципальных образований в рамках федеральной  целевой программы  "Развитие      водохозяйственного комплекса Российской Федерации  в  2012 - 2020 годах"</t>
  </si>
  <si>
    <t xml:space="preserve">      Долгосрочная целевая программа Архангельской области "Развитие города Архангельска как административного центра Архангельской области на 2012 – 2015 годы"</t>
  </si>
  <si>
    <t xml:space="preserve"> </t>
  </si>
  <si>
    <t xml:space="preserve">      Долгосрочная целевая программа Архангельской области "Развитие водохозяйственного комплекса Архангельской области на 2012-2020 годы"</t>
  </si>
  <si>
    <t>"Развитие массового жилищного строительства в Архангельской области на 2010-2013 годы"</t>
  </si>
  <si>
    <t xml:space="preserve">      Долгосрочная целевая программа Архангельской области "Капитальный ремонт зданий, находящихся в государственной собственности Архангельской области, на 2012 – 2014 годы"</t>
  </si>
  <si>
    <t>Итого по агентству по ремонту объектов, находящихся в государственной собственности Архангельской области, и сохранению объектов культурного наследия Архангельской области</t>
  </si>
  <si>
    <t>5. СРЕДСТВА ЗА СЧЕТ ПЕНСИОННОГО ФОНДА</t>
  </si>
  <si>
    <t xml:space="preserve"> Прочие мероприятия, осуществляемые за счет средств Пенсионного Фонда</t>
  </si>
  <si>
    <t>6. ПРОЧИЕ БЕЗВОЗМЕЗДНЫЕ ПОСТУПЛЕНИЯ</t>
  </si>
  <si>
    <t>на развитие систсемы территориального общественного самоуправления за счет безвозмездных поступлений по соглашению о сотрудничестве в сфере социально-экономического развития Архангельской области</t>
  </si>
  <si>
    <t>Мероприятия по обеспечению мобилизационной готовности экономики</t>
  </si>
  <si>
    <t>остаток на счетах НАО</t>
  </si>
  <si>
    <t>Единая субвенция бюджетам субъектов Российской Федерации в рамках подпрограммы "Совершенствование федеративных отношений и механизмов управления региональным развитием" государственной программы Российской Федерации "Региональная политика и федеративные отношения 177</t>
  </si>
  <si>
    <t>Субсидии бюджетам субъектов Российской Федерации и муниципальных образований на реализацию мероприятий по поэтапному внедрению Всероссийского физкультурно-спортивного комплекса "Готов к труду и обороне" (ГТО) в рамках подпрограммы "Развитие физической культуры и массового спорта" государственной программы Российской Федерации "Развитие физической культуры и спорта" 102</t>
  </si>
  <si>
    <t>Субвенции бюджетам субъектов  Российской Федерации  на  обеспечение жильем отдельных категорий граждан, установленных Федеральным законом от 12 января  1995 года N 5-ФЗ "О ветеранах", в соответствии с Указом Президента Российской Федерации от 7 мая 2008 №714 "Об обеспечении жильем ветеранов Великой Отечественной войны 1941-1945 годов" (201)</t>
  </si>
  <si>
    <t>Субсидии на развитие семейных животноводческих ферм в рамках подпрограммы "Поддержка малых форм хозяйствования" государственной программы Российской Федерации "Государственная программа развития сельского хозяйства и регулирования рынков сельскохозяйственной продукции, сырья и продовольствия на 2013 - 2020 годы" 007</t>
  </si>
  <si>
    <t>Софинансирование расходов, возникающих при оказании гражданам Российской Федерации высокотехнологичной медицинской помощи, не включенной в базовую программу обязательного медицинского страхования, в рамках подпрограммы "Совершенствование оказания специализированной, включая высокотехнологичную, медицинской помощи" государственной программы Российской Федерации "Развитие здравоохранения" 828</t>
  </si>
  <si>
    <t>Субсидии на 1 килограмм реализованного и (или) отгруженного на собственную переработку молока в рамках подпрограммы "Развитие молочного скотоводства" государственной программы Российской Федерации "Государственная программа развития сельского хозяйства и регулирования рынков сельскохозяйственной продукции, сырья и продовольствия на 2013 - 2020 годы" 846</t>
  </si>
  <si>
    <t>Субсидии на поддержку племенного животноводства в рамках подпрограммы  "Поддержка племенного дела селекции и семеноводства"  государственной программы Российской Федерации "Государственная программа развития сельского хозяйства и регулирования рынков сельскохозяйственной продукции, сырья и продовольствия на 2013 - 2020 годы 837</t>
  </si>
  <si>
    <t>Субсидии бюджетам субъектов Российской Федерации и муниципальных образований на реализацию мероприятий федеральной целевой программы "Устойчивое развитие сельских территорий на 2014 - 2017 годы и на период до 2020 года" государственной программы развития сельского хозяйства и регулирования рынков сельскохозяйственной продукции, сырья и продовольствия на 2013 - 2020 годы (344-00025)</t>
  </si>
  <si>
    <t>Межбюджетные трансферты, передаваемые бюджетам субъектов Российской Федерации в целях улучшения лекарственного обеспечения граждан 850</t>
  </si>
  <si>
    <t>Субвенции бюджетам субъектов Российской Федерации на организацию, регулирование и охрану водных биологических ресурсов035</t>
  </si>
  <si>
    <t xml:space="preserve"> Субсидии на возмещение части затрат на приобретение элитных семян в рамках подпрограммы "Поддержка племенного дела селекции и семеноводства" государственной программы Российской Федерации "Государственная программа развития сельского хозяйства и регулирования рынков сельскохозяйственной продукции, сырья и продовольствия на 2013 - 2020 годы" 836</t>
  </si>
  <si>
    <t>Субсидия на финансовое обеспечение мероприятий федеральной целевой программы развития образования на 2011 - 2015 годы государственной программы Российской Федерации "Развитие образования" на 2013 - 2020 годы (842)</t>
  </si>
  <si>
    <t xml:space="preserve">Субсидии на возмещение части затрат сельскохозяйственных товаропроизводителей на уплату страховой премии, начисленной по договору сельскохозяйственного страхования в области растениеводства, в рамках подпрограммы "Развитие подотрасли растениеводства, переработки и реализации продукции растениеводства" государственной программы Российской Федерации "Государственная программа развития сельского хозяйства и регулирования рынков сельскохозяйственной продукции, сырья и продовольствия на 2013 - 2020 годы" 003
</t>
  </si>
  <si>
    <t>Субсидии на поддержку племенного крупного рогатого скота мясного направления в рамках подпрограммы "Поддержка племенного дела селекции и семеноводства" государственной программы Российской Федерации "Государственная программа развития сельского хозяйства и регулирования рынков сельскохозяйственной продукции, сырья и продовольствия на 2013 - 2020 годы" 838</t>
  </si>
  <si>
    <t>Субсидии  на реализацию комплексных инвестиционных проектов по развитию инновационных территориальных кластеров в рамках подпрограммы "Стимулирование инноваций" государственной программы Российской Федерации "Экономическое развитие и инновационная экономика" 795</t>
  </si>
  <si>
    <t>Субсидия на софинансирование капитальных вложений в объекты государственной собственности субъектов Российской Федерации в рамках подпрограммы "Искусство" государственной программы Российской Федерации "Развитие культуры и туризма" 280-12866</t>
  </si>
  <si>
    <t>Субсидии на возмещение части процентной ставки по краткосрочным кредитам (займам) на развитие молочного скотоводства в рамках подпрограммы "Развитие молочного скотоводства" государственной программы Российской Федерации "Государственная программа развития сельского хозяйства и регулирования рынков сельскохозяйственной продукции, сырья и продовольствия на 2013 - 2020 годы"855</t>
  </si>
  <si>
    <t>Субсидии на возмещение части процентной ставки по краткосрочным кредитам (займам) на переработку продукции растениеводства и животноводства в рамках подпрограммы "Развитие оптово-распределительных центров и инфраструктуры системы социального питания" государственной программы Российской Федерации "Государственная программа развития сельского хозяйства и регулирования рынков сельскохозяйственной продукции, сырья и продовольствия на 2013 - 2020 годы" 857</t>
  </si>
  <si>
    <t>компьютерная грамотность пенсионеров</t>
  </si>
  <si>
    <t>Субсидии  на мероприятия по поддержке социально ориентированных некоммерческих организаций в рамках подпрограммы "Повышение эффективности государственной поддержки социально ориентированных некоммерческих организаций" государственной программы Российской Федерации "Социальная поддержка граждан"311</t>
  </si>
  <si>
    <t>Субсидии на софинансирование региональных программ повышения мобильности трудовых ресурсов в рамках подпрограммы "Активная политика занятости населения и социальная поддержка безработных граждан" государственной программы Российской Федерации "Содействие занятости населения"797</t>
  </si>
  <si>
    <t xml:space="preserve"> Субсидии бюджетам субъектов Российской Федерации и муниципальных образований на модернизацию региональных систем общего образования (058)</t>
  </si>
  <si>
    <t>Итого по министерству строительства и архитектуры  Архангельской области</t>
  </si>
  <si>
    <t>Иные межбюджетные трансферты для оказания адресной финансовой помощи гражданам Украины, имеющим статус беженца или получившим временное убежище на территории Российской Федерации и проживающим в жилых помещениях граждан Российской Федерации в рамках подпрограммы "Внешняя трудовая миграция" государственной программы Российской Федерации "Содействие занятости населения"</t>
  </si>
  <si>
    <t>Итого по министерству строительства и архитектуры Архангельской области</t>
  </si>
  <si>
    <t>Субсидии на возмещение части прямых понесенных затрат на создание и модернизацию объектов животноводческих комплексов молочного направления (молочных ферм) в рамках подпрограммы "Развитие молочного скотоводства" государственной программы Российской Федерации "Государственная программа развития сельского хозяйства и регулирования рынков сельскохозяйственной продукции, сырья и продовольствия на 2013 - 2020 годы" 878</t>
  </si>
  <si>
    <t xml:space="preserve">   Бюджетные инвестиции бюджетам субъектов Российской Федерации в объекты капитального строительства государственной собственности субъектов Российской Федерации 246 (2013 год)</t>
  </si>
  <si>
    <t>Итого по министерству экономического развития  Архангельской области</t>
  </si>
  <si>
    <t xml:space="preserve">    Безвозмездные поступления в бюджеты субъектов Российской Федерации от государственной корпорации - Фонд содействия реформированию жилищно-коммунального хозяйства на обеспечение мероприятий по переселению граждан из аварийного жилищного фонда (5129502) </t>
  </si>
  <si>
    <t>остаток на счете областного бюджета на 01.01.2016</t>
  </si>
  <si>
    <t>остаток на счетах МЕСТНЫХ БЮДЖЕТОВ на 01.01.2016</t>
  </si>
  <si>
    <t xml:space="preserve">Процедуры возврата остатков в федеральный бюджет </t>
  </si>
  <si>
    <t xml:space="preserve">3. СРЕДСТВА ЗА СЧЕТ ФЕДЕРАЛЬНЫХ БЮДЖЕТНЫХ КРЕДИТОВ </t>
  </si>
  <si>
    <t xml:space="preserve">4. СРЕДСТВА ЗА СЧЕТ ФЕДЕРАЛЬНЫХ ЦЕЛЕВЫХ ДОТАЦИЙ </t>
  </si>
  <si>
    <t xml:space="preserve">Субсидии бюджетам субъектов Российской Федерации и муниципальных образований в рамках федеральной целевой программы "Развитие российских космодромов на 2006 - 2015 годы", на развитие российских космодромов на 2006-2015 годы </t>
  </si>
  <si>
    <t xml:space="preserve">Приложение № 42 к пояснительной записке к отчету об исполнении областного бюджета за 2015 год </t>
  </si>
  <si>
    <t>руб.</t>
  </si>
  <si>
    <t>подлежит возврату в федеральный бюджет   до 30.01.2016</t>
  </si>
  <si>
    <t>Субсидии бюджетам субъектов Российской Федерации и муниципальных образований на мероприятия федеральной целевой программы "Развитие водохозяйственного комплекса Российской Федерации в 2012 - 2020 годах" государственной программы Российской Федерации "Воспроизводство и использование природных ресурсов"</t>
  </si>
  <si>
    <t xml:space="preserve">Субвенции бюджетам субъектов Российской Федерации на осуществление отдельных полномочий в области лесных отношений </t>
  </si>
  <si>
    <t xml:space="preserve">Иные межбюджетные трансферты на комплектование книжных фондов библиотек муниципальных образований и государственных библиотек городов Москвы и Санкт-Петербурга в рамках подпрограммы "Наследие" государственной программы Российской Федерации "Развитие культуры и туризма" на 2013 - 2020 годы 
</t>
  </si>
  <si>
    <t xml:space="preserve">Субсидии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 в рамках подпрограммы "Совершенствование социальной поддержки семьи и детей" государственной программы Российской Федерации "Социальная поддержка граждан" </t>
  </si>
  <si>
    <t xml:space="preserve">  Субсидии бюджетам субъектов Российской Федерации на обеспечение жилыми помещениями детей-сирот, детей, оставшихся без попечения родителей, а также детей, находящихся под опекой (попечительством), не имеющих закрепленного жилого помещения </t>
  </si>
  <si>
    <t xml:space="preserve">Субсидии бюджетам субъектов Российской Федерации  на модернизацию системы дошкольного образования </t>
  </si>
  <si>
    <t xml:space="preserve">Субсидии бюджетам субъектов Российской Федерации и муниципальных образований на мероприятия государственной программы Российской Федерации "Доступная среда" на 2011 - 2015 годы в рамках подпрограммы "Обеспечение доступности приоритетных объектов и услуг в приоритетных сферах жизнедеятельности инвалидов и других маломобильных групп населения" государственной программы Российской Федерации "Доступная среда" на 2011 - 2015 годы </t>
  </si>
  <si>
    <t>Субсидии на возмещение части процентной ставки по инвестиционным кредитам (займам) на строительство и реконструкцию объектов для молочного скотоводства в рамках подпрограммы "Развитие молочного скотоводства" государственной программы Российской Федерации " Государственная программа развития сельского хозяйства и регулирования рынков сельскохозяйственной продукции, сырья и продовольствия на 2013 - 2020 годы"</t>
  </si>
  <si>
    <t>Субвенции бюджетам субъектов Российской Федерации и муниципальных образований на осуществление первичного воинского учета на территориях, где  отсутствуют  военные комиссариаты</t>
  </si>
  <si>
    <t xml:space="preserve">Единая субвенция бюджетам субъектов Российской Федерации в рамках подпрограммы "Совершенствование федеративных отношений и механизмов управления региональным развитием" государственной программы Российской Федерации "Региональная политика и федеративные отношения </t>
  </si>
  <si>
    <t>Итого по министерству агропромышленного комплекса и торговли Архангельской области</t>
  </si>
  <si>
    <t xml:space="preserve">Иные межбюджетные трансферты на финансовое обеспечение дорожной деятельности в рамках подпрограммы "Дорожное хозяйство" государственной программы Российской Федерации "Развитие транспортной системы" </t>
  </si>
  <si>
    <t xml:space="preserve">Иные межбюджетные трансферты на реализацию мероприятий региональных программ в сфере дорожного хозяйства по решениям Правительства Российской Федерации в рамках подпрограммы "Дорожное хозяйство" государственной программы Российской Федерации "Развитие транспортной системы" </t>
  </si>
  <si>
    <t>Итого по министерству транспорта Архангельской области</t>
  </si>
  <si>
    <t xml:space="preserve">Субсидии бюджетам субъектов Российской Федерации на государственную поддержку малого предпринимательства, включая крестьянские (фермерские) хозяйства </t>
  </si>
  <si>
    <t xml:space="preserve">Субвенции бюджетам субъектов Российской Федерации на составление(изменение и дополнение) списков кандидатов в присяжные заседатели федеральных судов общей юрисдикции в Российской Федерации </t>
  </si>
  <si>
    <t xml:space="preserve">Субвенции бюджетам субъектов Российской Федерации на выплату государственных пособий лицам, не подлежащим обязательному социальному страхованию на случай  временной нетрудоспособности и в связи с материнством, и лицам, уволенным  в связи с ликвидацией, организаций (прекращением деятельности, полномочий физическими лицами) </t>
  </si>
  <si>
    <t xml:space="preserve">  Субвенции бюджетам субъектов  Российской Федерации  на  обеспечение жильем отдельных категорий граждан, установленных Федеральным законом от 12 января  1995 года N 5-ФЗ "О ветеранах", в соответствии с Указом Президента Российской Федерации от 7 мая 2008 №714 "Об обеспечении жильем ветеранов Великой Отечественной войны 1941-1945 годов" </t>
  </si>
  <si>
    <t xml:space="preserve">    Субвенции бюджетам субъектов Российской Федерации на обеспечение жильем отдельных категорий граждан, установленных Федеральными законами от 12 января 1995 года № 5-ФЗ "О ветеранах" и от 24 ноября 1995 года № 181-ФЗ "О социальной защите инвалидов в Российской Федерации"</t>
  </si>
  <si>
    <t xml:space="preserve">   Субвенции бюджетам субъектов Российской Федерации на оплату жилищно-коммунальных услуг отдельным категориям граждан </t>
  </si>
  <si>
    <t xml:space="preserve">Субвенции бюджетам Российской Федерации на социальные выплаты безработным гражданам </t>
  </si>
  <si>
    <t xml:space="preserve">Иные межбюджетные трансферты для оказания адресной финансовой помощи гражданам Украины, имеющим статус беженца или получившим временное убежище на территории Российской Федерации и проживающим в жилых помещениях граждан Российской Федерации, в рамках подпрограммы «Внешняя трудовая миграция» государственной программы Российской Федерации «Содействие занятости населения» </t>
  </si>
  <si>
    <t xml:space="preserve">Межбюджетные трансферты, передаваемые бюджетам субъектов Российской Федерации на финансовое обеспечение мероприятий по временному социально-бытовому обустройству лиц, вынужденно покинувших территорию Украины и находящихся в пунктах временного размещения </t>
  </si>
  <si>
    <t>Субсидии  на реализацию мероприятий, предусмотренных региональной программой переселения, включенной в Государственную программу по оказанию содействия добровольному переселению в Российскую Федерацию соотечественников, проживающих за рубежом, в рамках подпрограммы "Оказание содействия добровольному переселению в Российскую Федерацию соотечественников, проживающих за рубежом" государственной программы Российской Федерации "Содействие занятости населения"</t>
  </si>
  <si>
    <t xml:space="preserve">Субвенции на осуществление переданных полномочий Российской Федерации по предоставлению отдельных мер социальной поддержки граждан, подвергшихся воздействию радиации </t>
  </si>
  <si>
    <t xml:space="preserve">   Субсидии бюджетам субъектов Российской Федерации на реализацию дополнительных мероприятий, направленных на снижение напряженности на рынке труда субъектов Российской Федерации </t>
  </si>
  <si>
    <t xml:space="preserve">Субсидии бюджетам субъектов Российской Федерации и муниципальных образований в рамках федеральной  целевой программы  "Жилище" на 2011 - 2015 годы на подпрограмму "Обеспечение жильем молодых семей" </t>
  </si>
  <si>
    <t>Субсидии бюджетам субъектов Российской Федерации и муниципальных образований в рамках федеральной  целевой программы  "Жилище" на 2011 - 2015 годы на подпрограмму "Обеспечение жильем молодых семей"</t>
  </si>
  <si>
    <t>Итого по министерству по делам молодежи и спорту Архангельской области</t>
  </si>
  <si>
    <t xml:space="preserve">Субсидии бюджетам субъектов Российской Федерации на подготовку управленческих кадров </t>
  </si>
  <si>
    <t xml:space="preserve">Субсидии  на  софинансирование капитальных вложений в объекты муниципальной собственности в рамках подпрограммы "Создание условий для обеспечения качественными услугами ЖКХ граждан России" государственной программы Российской Федерации "Обеспечение доступным и комфортным жильем и коммунальными услугами граждан Российской Федерации" </t>
  </si>
  <si>
    <t>Итого по агентству по развитию Соловецкого архипелага Архангельской области</t>
  </si>
  <si>
    <t>Безвозмездные поступления в бюджеты субъектов Российской Федерации от государственной корпорации - Фонд содействия реформированию жилищно-коммунального хозяйства на обеспечение мероприятий по капитальному ремонту многоквартирных домов</t>
  </si>
  <si>
    <t xml:space="preserve">Безвозмездные поступления в бюджеты субъектов Российской Федерации от государственной корпорации - Фонд содействия реформированию жилищно-коммунального хозяйства на обеспечение мероприятий по переселению граждан из аварийного жилищного фонда с учетом необходимости развития малоэтажного жилищного строительства </t>
  </si>
  <si>
    <t xml:space="preserve">Безвозмездные поступления в бюджеты субъектов Российской Федерации от государственной корпорации - Фонд содействия реформированию жилищно-коммунального хозяйства на обеспечение мероприятий по переселению граждан из аварийного жилищного фонда </t>
  </si>
  <si>
    <t>Итого по министерству топливно-энергетического и жилищно-коммунального хозяйства Архангельской области</t>
  </si>
  <si>
    <t>Обеспечение мероприятий, связанных с ликвидацией аварийного жилищного фонда</t>
  </si>
  <si>
    <t>Реализация комплексных программ поддержки развития дошкольных образовательных учреждений Архангельской области</t>
  </si>
  <si>
    <t>Бюджетные инвестиции в объекты капитального строительства государственной собственности субъектов Российской Федерации</t>
  </si>
  <si>
    <t>Субсидии на создание в общеобразовательных организациях, расположенных в сельской местности, условий для занятий физической культурой и спортом в рамках подпрограммы  "Развитие дошкольного, общего и дополнительного образования детей" государственной программы Российской Федерации "Развитие образования" на 2013 - 2020 годы*</t>
  </si>
  <si>
    <t>Субсидии бюджетам субъектов Российской Федерации и муниципальных образований на закупку автотранспортных средств и коммунальной техники **</t>
  </si>
  <si>
    <t>**заявка на возврат сформирована министерством транспорта Архангельской области 29.01.2016 и проведена УФК по Архангельской области и Ненецкому автономному округу 01.02.2016</t>
  </si>
  <si>
    <t>*заявка на возврат сформирована министерством образования и науки Архангельской области 02.02.2016 и проведена УФК по Архангельской области и Ненецкому автономному округу 03.02.2016</t>
  </si>
  <si>
    <t xml:space="preserve">Иные межбюджетные трансферты на компенсацию расходов, связанных с оказанием в 2014 году медицинскими организациями, подведомственными органами исполнительной власти субъектов Российской Федерации и органам местного самоуправления, гражданам Украины и лицам без гражданства медицинской помощи и проведением профилактических прививок, включенных в календарь профилактических прививок по эпидемическим показаниям, по иным непрограммным мероприятиям в рамках непрограммного направления деятельности "Реализация функций иных федеральных органов государственной власти" </t>
  </si>
  <si>
    <t xml:space="preserve">Иные межбюджетные трансферты, передаваемые бюджетам субъектов Российской Федерации на выплату региональной доплаты к пенсии  </t>
  </si>
  <si>
    <t xml:space="preserve">Долгосрочная целевая программа Архангельской области "Капитальный ремонт зданий, находящихся в государственной собственности Архангельской области, на 2012 – 2014 годы" </t>
  </si>
  <si>
    <t>возвращено в федеральный бюджет и ГК - Фонд содействия реформированию ЖКХ из бюджета Архангельской области</t>
  </si>
  <si>
    <t>Информация об остатках целевых средств федерального бюджета, Государственной корпорации - Фонда содействия реформированию жилищно-коммунального хозяйства, Фонда обязательного медицинского страхования и Пенсионного фонда на 01.01.2016 и их возврате</t>
  </si>
</sst>
</file>

<file path=xl/styles.xml><?xml version="1.0" encoding="utf-8"?>
<styleSheet xmlns="http://schemas.openxmlformats.org/spreadsheetml/2006/main">
  <numFmts count="4">
    <numFmt numFmtId="43" formatCode="_-* #,##0.00_р_._-;\-* #,##0.00_р_._-;_-* &quot;-&quot;??_р_._-;_-@_-"/>
    <numFmt numFmtId="164" formatCode="#,##0.00_ ;\-#,##0.00\ "/>
    <numFmt numFmtId="165" formatCode="00\.00\.00"/>
    <numFmt numFmtId="166" formatCode="000000"/>
  </numFmts>
  <fonts count="3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4"/>
      <name val="Arial"/>
      <family val="2"/>
      <charset val="204"/>
    </font>
    <font>
      <b/>
      <sz val="16"/>
      <name val="Times New Roman"/>
      <family val="1"/>
      <charset val="204"/>
    </font>
    <font>
      <sz val="10"/>
      <name val="Arial Cyr"/>
      <charset val="204"/>
    </font>
    <font>
      <b/>
      <sz val="14"/>
      <color indexed="10"/>
      <name val="Arial"/>
      <family val="2"/>
      <charset val="204"/>
    </font>
    <font>
      <sz val="11"/>
      <name val="Times New Roman"/>
      <family val="1"/>
      <charset val="204"/>
    </font>
    <font>
      <sz val="14"/>
      <name val="Arial Cyr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0"/>
      <name val="Arial"/>
      <family val="2"/>
      <charset val="204"/>
    </font>
    <font>
      <sz val="13"/>
      <name val="Times New Roman"/>
      <family val="1"/>
      <charset val="204"/>
    </font>
    <font>
      <sz val="8"/>
      <name val="Arial"/>
      <family val="2"/>
      <charset val="204"/>
    </font>
    <font>
      <i/>
      <sz val="16"/>
      <name val="Times New Roman"/>
      <family val="1"/>
      <charset val="204"/>
    </font>
    <font>
      <sz val="8"/>
      <name val="Arial Cyr"/>
      <charset val="204"/>
    </font>
    <font>
      <sz val="10"/>
      <color indexed="8"/>
      <name val="Times New Roman"/>
      <family val="1"/>
      <charset val="204"/>
    </font>
    <font>
      <b/>
      <sz val="20"/>
      <name val="Arial Cyr"/>
      <charset val="204"/>
    </font>
    <font>
      <sz val="11"/>
      <color indexed="8"/>
      <name val="Times New Roman"/>
      <family val="1"/>
      <charset val="204"/>
    </font>
    <font>
      <b/>
      <sz val="12"/>
      <name val="Arial Cyr"/>
      <charset val="204"/>
    </font>
    <font>
      <sz val="12"/>
      <name val="Times New Roman"/>
      <family val="1"/>
      <charset val="204"/>
    </font>
    <font>
      <sz val="16"/>
      <name val="Times New Roman"/>
      <family val="1"/>
      <charset val="204"/>
    </font>
    <font>
      <sz val="12"/>
      <name val="Arial Cyr"/>
      <charset val="204"/>
    </font>
    <font>
      <sz val="12"/>
      <color indexed="8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rgb="FFFF0000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4" fillId="0" borderId="0"/>
    <xf numFmtId="43" fontId="4" fillId="0" borderId="0" applyFont="0" applyFill="0" applyBorder="0" applyAlignment="0" applyProtection="0"/>
  </cellStyleXfs>
  <cellXfs count="169">
    <xf numFmtId="0" fontId="0" fillId="0" borderId="0" xfId="0"/>
    <xf numFmtId="0" fontId="2" fillId="0" borderId="0" xfId="1" applyFont="1" applyBorder="1" applyAlignment="1" applyProtection="1">
      <alignment horizontal="center" vertical="center" wrapText="1"/>
      <protection hidden="1"/>
    </xf>
    <xf numFmtId="0" fontId="4" fillId="0" borderId="0" xfId="2"/>
    <xf numFmtId="43" fontId="4" fillId="0" borderId="0" xfId="2" applyNumberFormat="1"/>
    <xf numFmtId="0" fontId="4" fillId="2" borderId="0" xfId="2" applyFill="1"/>
    <xf numFmtId="0" fontId="5" fillId="0" borderId="1" xfId="1" applyFont="1" applyBorder="1" applyAlignment="1" applyProtection="1">
      <alignment horizontal="center" vertical="center" wrapText="1"/>
      <protection hidden="1"/>
    </xf>
    <xf numFmtId="0" fontId="6" fillId="0" borderId="0" xfId="2" applyFont="1" applyBorder="1" applyAlignment="1">
      <alignment horizontal="center" vertical="center" wrapText="1"/>
    </xf>
    <xf numFmtId="4" fontId="6" fillId="0" borderId="0" xfId="2" applyNumberFormat="1" applyFont="1" applyBorder="1" applyAlignment="1">
      <alignment horizontal="center" vertical="center" wrapText="1"/>
    </xf>
    <xf numFmtId="0" fontId="6" fillId="0" borderId="0" xfId="2" applyFont="1" applyFill="1"/>
    <xf numFmtId="0" fontId="6" fillId="0" borderId="0" xfId="2" applyFont="1" applyFill="1" applyAlignment="1">
      <alignment horizontal="right" vertical="center" wrapText="1"/>
    </xf>
    <xf numFmtId="0" fontId="7" fillId="0" borderId="0" xfId="2" applyFont="1" applyAlignment="1">
      <alignment horizontal="center" vertical="center" wrapText="1"/>
    </xf>
    <xf numFmtId="2" fontId="4" fillId="0" borderId="0" xfId="2" applyNumberFormat="1"/>
    <xf numFmtId="0" fontId="8" fillId="0" borderId="0" xfId="2" applyFont="1"/>
    <xf numFmtId="164" fontId="4" fillId="0" borderId="0" xfId="2" applyNumberFormat="1"/>
    <xf numFmtId="0" fontId="14" fillId="0" borderId="2" xfId="1" applyNumberFormat="1" applyFont="1" applyFill="1" applyBorder="1" applyAlignment="1" applyProtection="1">
      <alignment horizontal="center" vertical="center" wrapText="1"/>
      <protection hidden="1"/>
    </xf>
    <xf numFmtId="0" fontId="16" fillId="0" borderId="2" xfId="1" applyNumberFormat="1" applyFont="1" applyFill="1" applyBorder="1" applyAlignment="1" applyProtection="1">
      <alignment horizontal="center" vertical="center" wrapText="1"/>
      <protection hidden="1"/>
    </xf>
    <xf numFmtId="0" fontId="16" fillId="0" borderId="3" xfId="1" applyNumberFormat="1" applyFont="1" applyFill="1" applyBorder="1" applyAlignment="1" applyProtection="1">
      <alignment horizontal="center" vertical="center" wrapText="1"/>
      <protection hidden="1"/>
    </xf>
    <xf numFmtId="0" fontId="16" fillId="0" borderId="6" xfId="1" applyNumberFormat="1" applyFont="1" applyFill="1" applyBorder="1" applyAlignment="1" applyProtection="1">
      <alignment horizontal="center" vertical="center" wrapText="1"/>
      <protection hidden="1"/>
    </xf>
    <xf numFmtId="49" fontId="18" fillId="3" borderId="6" xfId="2" applyNumberFormat="1" applyFont="1" applyFill="1" applyBorder="1" applyAlignment="1">
      <alignment horizontal="center" vertical="top" wrapText="1" shrinkToFit="1"/>
    </xf>
    <xf numFmtId="49" fontId="18" fillId="0" borderId="2" xfId="2" applyNumberFormat="1" applyFont="1" applyFill="1" applyBorder="1" applyAlignment="1">
      <alignment horizontal="center" vertical="top" wrapText="1" shrinkToFit="1"/>
    </xf>
    <xf numFmtId="0" fontId="4" fillId="0" borderId="0" xfId="2" applyFill="1"/>
    <xf numFmtId="49" fontId="18" fillId="0" borderId="3" xfId="2" applyNumberFormat="1" applyFont="1" applyFill="1" applyBorder="1" applyAlignment="1">
      <alignment horizontal="center" vertical="top" wrapText="1" shrinkToFit="1"/>
    </xf>
    <xf numFmtId="164" fontId="9" fillId="2" borderId="8" xfId="3" applyNumberFormat="1" applyFont="1" applyFill="1" applyBorder="1" applyAlignment="1" applyProtection="1">
      <alignment horizontal="right" vertical="center" wrapText="1"/>
      <protection hidden="1"/>
    </xf>
    <xf numFmtId="164" fontId="6" fillId="2" borderId="8" xfId="3" applyNumberFormat="1" applyFont="1" applyFill="1" applyBorder="1" applyAlignment="1" applyProtection="1">
      <alignment horizontal="right" vertical="center" wrapText="1"/>
      <protection hidden="1"/>
    </xf>
    <xf numFmtId="49" fontId="18" fillId="4" borderId="6" xfId="2" applyNumberFormat="1" applyFont="1" applyFill="1" applyBorder="1" applyAlignment="1">
      <alignment horizontal="center" vertical="top" wrapText="1" shrinkToFit="1"/>
    </xf>
    <xf numFmtId="4" fontId="19" fillId="2" borderId="8" xfId="2" applyNumberFormat="1" applyFont="1" applyFill="1" applyBorder="1" applyAlignment="1">
      <alignment horizontal="right" vertical="center" shrinkToFit="1"/>
    </xf>
    <xf numFmtId="49" fontId="18" fillId="4" borderId="5" xfId="2" applyNumberFormat="1" applyFont="1" applyFill="1" applyBorder="1" applyAlignment="1">
      <alignment horizontal="center" vertical="top" wrapText="1" shrinkToFit="1"/>
    </xf>
    <xf numFmtId="0" fontId="16" fillId="0" borderId="5" xfId="1" applyNumberFormat="1" applyFont="1" applyFill="1" applyBorder="1" applyAlignment="1" applyProtection="1">
      <alignment horizontal="center" vertical="center" wrapText="1"/>
      <protection hidden="1"/>
    </xf>
    <xf numFmtId="49" fontId="18" fillId="0" borderId="6" xfId="2" applyNumberFormat="1" applyFont="1" applyFill="1" applyBorder="1" applyAlignment="1">
      <alignment horizontal="center" vertical="top" wrapText="1" shrinkToFit="1"/>
    </xf>
    <xf numFmtId="49" fontId="18" fillId="0" borderId="5" xfId="2" applyNumberFormat="1" applyFont="1" applyFill="1" applyBorder="1" applyAlignment="1">
      <alignment horizontal="center" vertical="top" wrapText="1" shrinkToFit="1"/>
    </xf>
    <xf numFmtId="4" fontId="6" fillId="2" borderId="8" xfId="2" applyNumberFormat="1" applyFont="1" applyFill="1" applyBorder="1" applyAlignment="1">
      <alignment horizontal="right" vertical="center"/>
    </xf>
    <xf numFmtId="49" fontId="18" fillId="6" borderId="2" xfId="2" applyNumberFormat="1" applyFont="1" applyFill="1" applyBorder="1" applyAlignment="1">
      <alignment horizontal="center" vertical="top" wrapText="1" shrinkToFit="1"/>
    </xf>
    <xf numFmtId="0" fontId="16" fillId="0" borderId="10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8" xfId="2" applyBorder="1"/>
    <xf numFmtId="49" fontId="18" fillId="6" borderId="3" xfId="2" applyNumberFormat="1" applyFont="1" applyFill="1" applyBorder="1" applyAlignment="1">
      <alignment horizontal="center" vertical="top" wrapText="1" shrinkToFit="1"/>
    </xf>
    <xf numFmtId="49" fontId="18" fillId="3" borderId="6" xfId="2" applyNumberFormat="1" applyFont="1" applyFill="1" applyBorder="1" applyAlignment="1">
      <alignment horizontal="center" vertical="center" wrapText="1" shrinkToFit="1"/>
    </xf>
    <xf numFmtId="49" fontId="18" fillId="3" borderId="5" xfId="2" applyNumberFormat="1" applyFont="1" applyFill="1" applyBorder="1" applyAlignment="1">
      <alignment horizontal="center" vertical="top" wrapText="1" shrinkToFit="1"/>
    </xf>
    <xf numFmtId="49" fontId="18" fillId="3" borderId="5" xfId="2" applyNumberFormat="1" applyFont="1" applyFill="1" applyBorder="1" applyAlignment="1">
      <alignment horizontal="center" vertical="center" wrapText="1" shrinkToFit="1"/>
    </xf>
    <xf numFmtId="0" fontId="16" fillId="6" borderId="2" xfId="1" applyNumberFormat="1" applyFont="1" applyFill="1" applyBorder="1" applyAlignment="1" applyProtection="1">
      <alignment horizontal="center" vertical="center" wrapText="1"/>
      <protection hidden="1"/>
    </xf>
    <xf numFmtId="0" fontId="16" fillId="6" borderId="4" xfId="1" applyNumberFormat="1" applyFont="1" applyFill="1" applyBorder="1" applyAlignment="1" applyProtection="1">
      <alignment horizontal="center" vertical="center" wrapText="1"/>
      <protection hidden="1"/>
    </xf>
    <xf numFmtId="49" fontId="18" fillId="0" borderId="6" xfId="2" applyNumberFormat="1" applyFont="1" applyFill="1" applyBorder="1" applyAlignment="1">
      <alignment horizontal="center" vertical="center" wrapText="1" shrinkToFit="1"/>
    </xf>
    <xf numFmtId="0" fontId="16" fillId="6" borderId="3" xfId="1" applyNumberFormat="1" applyFont="1" applyFill="1" applyBorder="1" applyAlignment="1" applyProtection="1">
      <alignment horizontal="center" vertical="center" wrapText="1"/>
      <protection hidden="1"/>
    </xf>
    <xf numFmtId="0" fontId="16" fillId="6" borderId="11" xfId="1" applyNumberFormat="1" applyFont="1" applyFill="1" applyBorder="1" applyAlignment="1" applyProtection="1">
      <alignment horizontal="center" vertical="center" wrapText="1"/>
      <protection hidden="1"/>
    </xf>
    <xf numFmtId="0" fontId="16" fillId="0" borderId="12" xfId="1" applyNumberFormat="1" applyFont="1" applyFill="1" applyBorder="1" applyAlignment="1" applyProtection="1">
      <alignment horizontal="center" vertical="center" wrapText="1"/>
      <protection hidden="1"/>
    </xf>
    <xf numFmtId="4" fontId="4" fillId="0" borderId="0" xfId="2" applyNumberFormat="1"/>
    <xf numFmtId="49" fontId="18" fillId="3" borderId="9" xfId="2" applyNumberFormat="1" applyFont="1" applyFill="1" applyBorder="1" applyAlignment="1">
      <alignment horizontal="center" vertical="top" wrapText="1" shrinkToFit="1"/>
    </xf>
    <xf numFmtId="0" fontId="16" fillId="2" borderId="3" xfId="1" applyNumberFormat="1" applyFont="1" applyFill="1" applyBorder="1" applyAlignment="1" applyProtection="1">
      <alignment horizontal="center" vertical="center" wrapText="1"/>
      <protection hidden="1"/>
    </xf>
    <xf numFmtId="0" fontId="14" fillId="0" borderId="2" xfId="1" applyNumberFormat="1" applyFont="1" applyFill="1" applyBorder="1" applyAlignment="1" applyProtection="1">
      <alignment horizontal="center"/>
      <protection hidden="1"/>
    </xf>
    <xf numFmtId="0" fontId="14" fillId="0" borderId="0" xfId="1" applyNumberFormat="1" applyFont="1" applyFill="1" applyBorder="1" applyAlignment="1" applyProtection="1">
      <alignment horizontal="center"/>
      <protection hidden="1"/>
    </xf>
    <xf numFmtId="0" fontId="1" fillId="0" borderId="0" xfId="1" applyProtection="1">
      <protection hidden="1"/>
    </xf>
    <xf numFmtId="0" fontId="8" fillId="2" borderId="8" xfId="1" applyNumberFormat="1" applyFont="1" applyFill="1" applyBorder="1" applyAlignment="1" applyProtection="1">
      <alignment horizontal="justify" vertical="center" wrapText="1"/>
      <protection hidden="1"/>
    </xf>
    <xf numFmtId="164" fontId="9" fillId="2" borderId="8" xfId="3" applyNumberFormat="1" applyFont="1" applyFill="1" applyBorder="1" applyAlignment="1" applyProtection="1">
      <alignment vertical="center" wrapText="1"/>
      <protection hidden="1"/>
    </xf>
    <xf numFmtId="164" fontId="6" fillId="2" borderId="8" xfId="3" applyNumberFormat="1" applyFont="1" applyFill="1" applyBorder="1" applyAlignment="1" applyProtection="1">
      <alignment vertical="center" wrapText="1"/>
      <protection hidden="1"/>
    </xf>
    <xf numFmtId="0" fontId="6" fillId="0" borderId="0" xfId="2" applyFont="1"/>
    <xf numFmtId="4" fontId="6" fillId="2" borderId="8" xfId="0" applyNumberFormat="1" applyFont="1" applyFill="1" applyBorder="1" applyAlignment="1">
      <alignment horizontal="right" vertical="center"/>
    </xf>
    <xf numFmtId="4" fontId="6" fillId="2" borderId="7" xfId="0" applyNumberFormat="1" applyFont="1" applyFill="1" applyBorder="1" applyAlignment="1">
      <alignment horizontal="right" vertical="center"/>
    </xf>
    <xf numFmtId="4" fontId="4" fillId="0" borderId="0" xfId="2" applyNumberFormat="1" applyFill="1"/>
    <xf numFmtId="164" fontId="4" fillId="0" borderId="0" xfId="2" applyNumberFormat="1" applyFill="1"/>
    <xf numFmtId="0" fontId="12" fillId="0" borderId="0" xfId="2" applyFont="1" applyFill="1"/>
    <xf numFmtId="43" fontId="22" fillId="0" borderId="0" xfId="2" applyNumberFormat="1" applyFont="1"/>
    <xf numFmtId="0" fontId="0" fillId="2" borderId="8" xfId="0" applyFill="1" applyBorder="1"/>
    <xf numFmtId="0" fontId="3" fillId="0" borderId="0" xfId="1" applyFont="1" applyBorder="1" applyAlignment="1" applyProtection="1">
      <alignment horizontal="center" vertical="center" wrapText="1"/>
      <protection hidden="1"/>
    </xf>
    <xf numFmtId="0" fontId="0" fillId="0" borderId="0" xfId="0" applyAlignment="1"/>
    <xf numFmtId="0" fontId="6" fillId="2" borderId="8" xfId="2" applyFont="1" applyFill="1" applyBorder="1" applyAlignment="1">
      <alignment vertical="top" wrapText="1"/>
    </xf>
    <xf numFmtId="49" fontId="19" fillId="2" borderId="8" xfId="2" applyNumberFormat="1" applyFont="1" applyFill="1" applyBorder="1" applyAlignment="1">
      <alignment horizontal="left" vertical="top" wrapText="1"/>
    </xf>
    <xf numFmtId="0" fontId="4" fillId="2" borderId="8" xfId="2" applyFill="1" applyBorder="1"/>
    <xf numFmtId="49" fontId="21" fillId="2" borderId="8" xfId="2" applyNumberFormat="1" applyFont="1" applyFill="1" applyBorder="1" applyAlignment="1">
      <alignment horizontal="left" vertical="top" wrapText="1"/>
    </xf>
    <xf numFmtId="43" fontId="9" fillId="2" borderId="8" xfId="3" applyFont="1" applyFill="1" applyBorder="1" applyAlignment="1" applyProtection="1">
      <alignment horizontal="right" vertical="center" wrapText="1"/>
      <protection hidden="1"/>
    </xf>
    <xf numFmtId="43" fontId="6" fillId="2" borderId="8" xfId="3" applyFont="1" applyFill="1" applyBorder="1" applyAlignment="1" applyProtection="1">
      <alignment horizontal="right" vertical="center" wrapText="1"/>
      <protection hidden="1"/>
    </xf>
    <xf numFmtId="0" fontId="8" fillId="2" borderId="8" xfId="2" applyFont="1" applyFill="1" applyBorder="1" applyAlignment="1">
      <alignment vertical="top" wrapText="1"/>
    </xf>
    <xf numFmtId="0" fontId="6" fillId="2" borderId="8" xfId="1" applyNumberFormat="1" applyFont="1" applyFill="1" applyBorder="1" applyAlignment="1" applyProtection="1">
      <alignment horizontal="left" vertical="top" wrapText="1"/>
      <protection hidden="1"/>
    </xf>
    <xf numFmtId="0" fontId="6" fillId="2" borderId="8" xfId="2" applyNumberFormat="1" applyFont="1" applyFill="1" applyBorder="1" applyAlignment="1">
      <alignment vertical="top" wrapText="1"/>
    </xf>
    <xf numFmtId="0" fontId="9" fillId="2" borderId="8" xfId="2" applyFont="1" applyFill="1" applyBorder="1" applyAlignment="1">
      <alignment vertical="top" wrapText="1"/>
    </xf>
    <xf numFmtId="0" fontId="3" fillId="2" borderId="8" xfId="1" applyNumberFormat="1" applyFont="1" applyFill="1" applyBorder="1" applyAlignment="1" applyProtection="1">
      <alignment horizontal="center" vertical="center" wrapText="1"/>
      <protection hidden="1"/>
    </xf>
    <xf numFmtId="4" fontId="3" fillId="2" borderId="8" xfId="1" applyNumberFormat="1" applyFont="1" applyFill="1" applyBorder="1" applyAlignment="1" applyProtection="1">
      <alignment horizontal="center" vertical="center" wrapText="1"/>
      <protection hidden="1"/>
    </xf>
    <xf numFmtId="4" fontId="4" fillId="2" borderId="8" xfId="2" applyNumberFormat="1" applyFill="1" applyBorder="1" applyAlignment="1">
      <alignment vertical="center"/>
    </xf>
    <xf numFmtId="0" fontId="8" fillId="2" borderId="8" xfId="2" applyFont="1" applyFill="1" applyBorder="1"/>
    <xf numFmtId="0" fontId="11" fillId="0" borderId="0" xfId="0" applyFont="1" applyFill="1" applyAlignment="1">
      <alignment horizontal="justify" vertical="center" wrapText="1"/>
    </xf>
    <xf numFmtId="0" fontId="24" fillId="0" borderId="0" xfId="2" applyFont="1" applyAlignment="1">
      <alignment horizontal="right"/>
    </xf>
    <xf numFmtId="0" fontId="23" fillId="2" borderId="8" xfId="2" applyFont="1" applyFill="1" applyBorder="1" applyAlignment="1">
      <alignment vertical="top" wrapText="1"/>
    </xf>
    <xf numFmtId="4" fontId="23" fillId="2" borderId="8" xfId="0" applyNumberFormat="1" applyFont="1" applyFill="1" applyBorder="1" applyAlignment="1">
      <alignment horizontal="right" vertical="center"/>
    </xf>
    <xf numFmtId="49" fontId="25" fillId="0" borderId="5" xfId="2" applyNumberFormat="1" applyFont="1" applyFill="1" applyBorder="1" applyAlignment="1">
      <alignment horizontal="center" vertical="top" wrapText="1" shrinkToFit="1"/>
    </xf>
    <xf numFmtId="0" fontId="25" fillId="0" borderId="0" xfId="2" applyFont="1"/>
    <xf numFmtId="49" fontId="25" fillId="0" borderId="3" xfId="2" applyNumberFormat="1" applyFont="1" applyFill="1" applyBorder="1" applyAlignment="1">
      <alignment horizontal="center" vertical="top" wrapText="1" shrinkToFit="1"/>
    </xf>
    <xf numFmtId="4" fontId="23" fillId="2" borderId="8" xfId="2" applyNumberFormat="1" applyFont="1" applyFill="1" applyBorder="1" applyAlignment="1">
      <alignment horizontal="right" vertical="center"/>
    </xf>
    <xf numFmtId="4" fontId="26" fillId="2" borderId="8" xfId="2" applyNumberFormat="1" applyFont="1" applyFill="1" applyBorder="1" applyAlignment="1">
      <alignment horizontal="right" vertical="center" shrinkToFit="1"/>
    </xf>
    <xf numFmtId="0" fontId="26" fillId="2" borderId="8" xfId="2" applyNumberFormat="1" applyFont="1" applyFill="1" applyBorder="1" applyAlignment="1">
      <alignment horizontal="left" vertical="top" wrapText="1"/>
    </xf>
    <xf numFmtId="43" fontId="12" fillId="2" borderId="8" xfId="3" applyFont="1" applyFill="1" applyBorder="1" applyAlignment="1" applyProtection="1">
      <alignment horizontal="right" vertical="center" wrapText="1"/>
      <protection hidden="1"/>
    </xf>
    <xf numFmtId="43" fontId="23" fillId="2" borderId="8" xfId="3" applyFont="1" applyFill="1" applyBorder="1" applyAlignment="1" applyProtection="1">
      <alignment horizontal="right" vertical="center" wrapText="1"/>
      <protection hidden="1"/>
    </xf>
    <xf numFmtId="49" fontId="26" fillId="2" borderId="8" xfId="2" applyNumberFormat="1" applyFont="1" applyFill="1" applyBorder="1" applyAlignment="1">
      <alignment horizontal="left" vertical="top" wrapText="1"/>
    </xf>
    <xf numFmtId="0" fontId="27" fillId="2" borderId="8" xfId="0" applyFont="1" applyFill="1" applyBorder="1"/>
    <xf numFmtId="4" fontId="23" fillId="2" borderId="8" xfId="1" applyNumberFormat="1" applyFont="1" applyFill="1" applyBorder="1" applyAlignment="1" applyProtection="1">
      <alignment horizontal="right" vertical="center" wrapText="1"/>
      <protection hidden="1"/>
    </xf>
    <xf numFmtId="4" fontId="12" fillId="2" borderId="8" xfId="1" applyNumberFormat="1" applyFont="1" applyFill="1" applyBorder="1" applyAlignment="1" applyProtection="1">
      <alignment horizontal="right" vertical="center" wrapText="1"/>
      <protection hidden="1"/>
    </xf>
    <xf numFmtId="164" fontId="12" fillId="2" borderId="8" xfId="3" applyNumberFormat="1" applyFont="1" applyFill="1" applyBorder="1" applyAlignment="1" applyProtection="1">
      <alignment horizontal="right" vertical="center" wrapText="1"/>
      <protection hidden="1"/>
    </xf>
    <xf numFmtId="164" fontId="23" fillId="2" borderId="8" xfId="3" applyNumberFormat="1" applyFont="1" applyFill="1" applyBorder="1" applyAlignment="1" applyProtection="1">
      <alignment horizontal="right" vertical="center" wrapText="1"/>
      <protection hidden="1"/>
    </xf>
    <xf numFmtId="0" fontId="23" fillId="2" borderId="8" xfId="2" applyNumberFormat="1" applyFont="1" applyFill="1" applyBorder="1" applyAlignment="1">
      <alignment horizontal="left" vertical="top" wrapText="1" shrinkToFit="1"/>
    </xf>
    <xf numFmtId="0" fontId="26" fillId="2" borderId="8" xfId="2" applyFont="1" applyFill="1" applyBorder="1" applyAlignment="1">
      <alignment horizontal="left" vertical="top" wrapText="1"/>
    </xf>
    <xf numFmtId="0" fontId="25" fillId="2" borderId="8" xfId="2" applyFont="1" applyFill="1" applyBorder="1"/>
    <xf numFmtId="0" fontId="23" fillId="2" borderId="8" xfId="1" applyNumberFormat="1" applyFont="1" applyFill="1" applyBorder="1" applyAlignment="1" applyProtection="1">
      <alignment horizontal="left" vertical="top" wrapText="1"/>
      <protection hidden="1"/>
    </xf>
    <xf numFmtId="0" fontId="23" fillId="2" borderId="8" xfId="2" applyNumberFormat="1" applyFont="1" applyFill="1" applyBorder="1" applyAlignment="1">
      <alignment vertical="top" wrapText="1"/>
    </xf>
    <xf numFmtId="0" fontId="12" fillId="2" borderId="8" xfId="2" applyFont="1" applyFill="1" applyBorder="1" applyAlignment="1">
      <alignment vertical="top" wrapText="1"/>
    </xf>
    <xf numFmtId="4" fontId="12" fillId="2" borderId="8" xfId="2" applyNumberFormat="1" applyFont="1" applyFill="1" applyBorder="1" applyAlignment="1">
      <alignment vertical="top" wrapText="1"/>
    </xf>
    <xf numFmtId="4" fontId="12" fillId="2" borderId="8" xfId="1" applyNumberFormat="1" applyFont="1" applyFill="1" applyBorder="1" applyAlignment="1" applyProtection="1">
      <alignment horizontal="center" vertical="center" wrapText="1"/>
      <protection hidden="1"/>
    </xf>
    <xf numFmtId="164" fontId="12" fillId="2" borderId="8" xfId="3" applyNumberFormat="1" applyFont="1" applyFill="1" applyBorder="1" applyAlignment="1" applyProtection="1">
      <alignment vertical="center" wrapText="1"/>
      <protection hidden="1"/>
    </xf>
    <xf numFmtId="164" fontId="23" fillId="2" borderId="8" xfId="3" applyNumberFormat="1" applyFont="1" applyFill="1" applyBorder="1" applyAlignment="1" applyProtection="1">
      <alignment vertical="center" wrapText="1"/>
      <protection hidden="1"/>
    </xf>
    <xf numFmtId="0" fontId="9" fillId="5" borderId="13" xfId="2" applyFont="1" applyFill="1" applyBorder="1" applyAlignment="1">
      <alignment vertical="top" wrapText="1"/>
    </xf>
    <xf numFmtId="0" fontId="15" fillId="0" borderId="8" xfId="1" applyNumberFormat="1" applyFont="1" applyFill="1" applyBorder="1" applyAlignment="1" applyProtection="1">
      <alignment horizontal="center" vertical="center" wrapText="1"/>
      <protection hidden="1"/>
    </xf>
    <xf numFmtId="0" fontId="6" fillId="0" borderId="8" xfId="1" applyNumberFormat="1" applyFont="1" applyFill="1" applyBorder="1" applyAlignment="1" applyProtection="1">
      <alignment horizontal="center" vertical="center" wrapText="1"/>
      <protection hidden="1"/>
    </xf>
    <xf numFmtId="0" fontId="6" fillId="0" borderId="8" xfId="2" applyNumberFormat="1" applyFont="1" applyBorder="1" applyAlignment="1">
      <alignment horizontal="center" vertical="center"/>
    </xf>
    <xf numFmtId="0" fontId="6" fillId="0" borderId="8" xfId="2" applyNumberFormat="1" applyFont="1" applyFill="1" applyBorder="1" applyAlignment="1">
      <alignment horizontal="center" vertical="center"/>
    </xf>
    <xf numFmtId="0" fontId="4" fillId="0" borderId="8" xfId="2" applyFont="1" applyBorder="1" applyAlignment="1">
      <alignment horizontal="center"/>
    </xf>
    <xf numFmtId="0" fontId="4" fillId="0" borderId="8" xfId="2" applyFont="1" applyFill="1" applyBorder="1" applyAlignment="1">
      <alignment horizontal="center"/>
    </xf>
    <xf numFmtId="0" fontId="4" fillId="0" borderId="8" xfId="2" applyBorder="1" applyAlignment="1">
      <alignment horizontal="center"/>
    </xf>
    <xf numFmtId="0" fontId="4" fillId="2" borderId="8" xfId="2" applyFill="1" applyBorder="1" applyAlignment="1">
      <alignment horizontal="center"/>
    </xf>
    <xf numFmtId="0" fontId="0" fillId="0" borderId="8" xfId="0" applyBorder="1" applyAlignment="1">
      <alignment horizontal="center"/>
    </xf>
    <xf numFmtId="43" fontId="3" fillId="2" borderId="8" xfId="1" applyNumberFormat="1" applyFont="1" applyFill="1" applyBorder="1" applyAlignment="1" applyProtection="1">
      <alignment horizontal="center" vertical="center" wrapText="1"/>
      <protection hidden="1"/>
    </xf>
    <xf numFmtId="0" fontId="17" fillId="2" borderId="8" xfId="1" applyNumberFormat="1" applyFont="1" applyFill="1" applyBorder="1" applyAlignment="1" applyProtection="1">
      <alignment horizontal="left" vertical="center" wrapText="1"/>
      <protection hidden="1"/>
    </xf>
    <xf numFmtId="0" fontId="6" fillId="2" borderId="8" xfId="2" applyFont="1" applyFill="1" applyBorder="1" applyAlignment="1">
      <alignment horizontal="left" vertical="top" wrapText="1"/>
    </xf>
    <xf numFmtId="0" fontId="6" fillId="2" borderId="8" xfId="2" applyNumberFormat="1" applyFont="1" applyFill="1" applyBorder="1" applyAlignment="1">
      <alignment horizontal="left" vertical="top" wrapText="1"/>
    </xf>
    <xf numFmtId="49" fontId="12" fillId="2" borderId="8" xfId="2" applyNumberFormat="1" applyFont="1" applyFill="1" applyBorder="1" applyAlignment="1">
      <alignment horizontal="left" vertical="top" wrapText="1" shrinkToFit="1"/>
    </xf>
    <xf numFmtId="49" fontId="6" fillId="2" borderId="8" xfId="2" applyNumberFormat="1" applyFont="1" applyFill="1" applyBorder="1" applyAlignment="1">
      <alignment horizontal="left" vertical="top" wrapText="1" shrinkToFit="1"/>
    </xf>
    <xf numFmtId="49" fontId="9" fillId="2" borderId="8" xfId="2" applyNumberFormat="1" applyFont="1" applyFill="1" applyBorder="1" applyAlignment="1">
      <alignment horizontal="left" vertical="top" wrapText="1" shrinkToFit="1"/>
    </xf>
    <xf numFmtId="0" fontId="23" fillId="2" borderId="8" xfId="2" applyFont="1" applyFill="1" applyBorder="1" applyAlignment="1">
      <alignment horizontal="left" vertical="top" wrapText="1"/>
    </xf>
    <xf numFmtId="0" fontId="23" fillId="2" borderId="8" xfId="2" applyNumberFormat="1" applyFont="1" applyFill="1" applyBorder="1" applyAlignment="1">
      <alignment horizontal="left" vertical="top" wrapText="1"/>
    </xf>
    <xf numFmtId="165" fontId="6" fillId="2" borderId="8" xfId="1" applyNumberFormat="1" applyFont="1" applyFill="1" applyBorder="1" applyAlignment="1" applyProtection="1">
      <alignment horizontal="left" vertical="top" wrapText="1"/>
      <protection hidden="1"/>
    </xf>
    <xf numFmtId="0" fontId="20" fillId="2" borderId="8" xfId="2" applyFont="1" applyFill="1" applyBorder="1"/>
    <xf numFmtId="43" fontId="25" fillId="2" borderId="8" xfId="2" applyNumberFormat="1" applyFont="1" applyFill="1" applyBorder="1"/>
    <xf numFmtId="165" fontId="23" fillId="2" borderId="8" xfId="1" applyNumberFormat="1" applyFont="1" applyFill="1" applyBorder="1" applyAlignment="1" applyProtection="1">
      <alignment horizontal="left" vertical="center" wrapText="1"/>
      <protection hidden="1"/>
    </xf>
    <xf numFmtId="0" fontId="23" fillId="2" borderId="8" xfId="1" applyNumberFormat="1" applyFont="1" applyFill="1" applyBorder="1" applyAlignment="1" applyProtection="1">
      <alignment horizontal="left" vertical="center" wrapText="1"/>
      <protection hidden="1"/>
    </xf>
    <xf numFmtId="49" fontId="23" fillId="2" borderId="8" xfId="0" applyNumberFormat="1" applyFont="1" applyFill="1" applyBorder="1" applyAlignment="1">
      <alignment horizontal="justify" vertical="top" wrapText="1"/>
    </xf>
    <xf numFmtId="4" fontId="28" fillId="2" borderId="8" xfId="2" applyNumberFormat="1" applyFont="1" applyFill="1" applyBorder="1" applyAlignment="1">
      <alignment horizontal="right" vertical="center"/>
    </xf>
    <xf numFmtId="43" fontId="12" fillId="2" borderId="8" xfId="3" applyFont="1" applyFill="1" applyBorder="1" applyAlignment="1" applyProtection="1">
      <alignment horizontal="center" vertical="center" wrapText="1"/>
      <protection hidden="1"/>
    </xf>
    <xf numFmtId="43" fontId="23" fillId="2" borderId="8" xfId="3" applyFont="1" applyFill="1" applyBorder="1" applyAlignment="1" applyProtection="1">
      <alignment horizontal="center" vertical="center" wrapText="1"/>
      <protection hidden="1"/>
    </xf>
    <xf numFmtId="4" fontId="25" fillId="2" borderId="8" xfId="2" applyNumberFormat="1" applyFont="1" applyFill="1" applyBorder="1"/>
    <xf numFmtId="49" fontId="23" fillId="2" borderId="8" xfId="2" applyNumberFormat="1" applyFont="1" applyFill="1" applyBorder="1" applyAlignment="1">
      <alignment horizontal="left" vertical="top" wrapText="1" shrinkToFit="1"/>
    </xf>
    <xf numFmtId="166" fontId="26" fillId="2" borderId="8" xfId="0" applyNumberFormat="1" applyFont="1" applyFill="1" applyBorder="1" applyAlignment="1">
      <alignment horizontal="justify" vertical="center" wrapText="1"/>
    </xf>
    <xf numFmtId="164" fontId="25" fillId="2" borderId="8" xfId="2" applyNumberFormat="1" applyFont="1" applyFill="1" applyBorder="1"/>
    <xf numFmtId="4" fontId="29" fillId="2" borderId="8" xfId="2" applyNumberFormat="1" applyFont="1" applyFill="1" applyBorder="1" applyAlignment="1">
      <alignment horizontal="right" vertical="center"/>
    </xf>
    <xf numFmtId="164" fontId="23" fillId="2" borderId="8" xfId="2" applyNumberFormat="1" applyFont="1" applyFill="1" applyBorder="1" applyAlignment="1">
      <alignment horizontal="right" vertical="center"/>
    </xf>
    <xf numFmtId="4" fontId="12" fillId="2" borderId="8" xfId="1" applyNumberFormat="1" applyFont="1" applyFill="1" applyBorder="1" applyAlignment="1" applyProtection="1">
      <alignment horizontal="left" vertical="center" wrapText="1"/>
      <protection hidden="1"/>
    </xf>
    <xf numFmtId="0" fontId="12" fillId="2" borderId="8" xfId="1" applyNumberFormat="1" applyFont="1" applyFill="1" applyBorder="1" applyAlignment="1" applyProtection="1">
      <alignment horizontal="left" vertical="center"/>
      <protection hidden="1"/>
    </xf>
    <xf numFmtId="4" fontId="12" fillId="2" borderId="8" xfId="1" applyNumberFormat="1" applyFont="1" applyFill="1" applyBorder="1" applyAlignment="1" applyProtection="1">
      <alignment horizontal="right" vertical="center"/>
      <protection hidden="1"/>
    </xf>
    <xf numFmtId="164" fontId="3" fillId="2" borderId="8" xfId="1" applyNumberFormat="1" applyFont="1" applyFill="1" applyBorder="1" applyAlignment="1" applyProtection="1">
      <alignment horizontal="center" vertical="center" wrapText="1"/>
      <protection hidden="1"/>
    </xf>
    <xf numFmtId="0" fontId="23" fillId="2" borderId="8" xfId="2" applyFont="1" applyFill="1" applyBorder="1"/>
    <xf numFmtId="164" fontId="3" fillId="2" borderId="8" xfId="3" applyNumberFormat="1" applyFont="1" applyFill="1" applyBorder="1" applyAlignment="1" applyProtection="1">
      <alignment vertical="center" wrapText="1"/>
      <protection hidden="1"/>
    </xf>
    <xf numFmtId="49" fontId="3" fillId="2" borderId="8" xfId="2" applyNumberFormat="1" applyFont="1" applyFill="1" applyBorder="1" applyAlignment="1">
      <alignment horizontal="left" vertical="top" wrapText="1" shrinkToFit="1"/>
    </xf>
    <xf numFmtId="49" fontId="8" fillId="2" borderId="8" xfId="2" applyNumberFormat="1" applyFont="1" applyFill="1" applyBorder="1" applyAlignment="1">
      <alignment horizontal="left" vertical="top" wrapText="1" shrinkToFit="1"/>
    </xf>
    <xf numFmtId="0" fontId="3" fillId="2" borderId="8" xfId="1" applyNumberFormat="1" applyFont="1" applyFill="1" applyBorder="1" applyAlignment="1" applyProtection="1">
      <alignment horizontal="left" vertical="center"/>
      <protection hidden="1"/>
    </xf>
    <xf numFmtId="4" fontId="3" fillId="2" borderId="8" xfId="1" applyNumberFormat="1" applyFont="1" applyFill="1" applyBorder="1" applyAlignment="1" applyProtection="1">
      <alignment horizontal="right" vertical="center"/>
      <protection hidden="1"/>
    </xf>
    <xf numFmtId="164" fontId="3" fillId="2" borderId="8" xfId="1" applyNumberFormat="1" applyFont="1" applyFill="1" applyBorder="1" applyAlignment="1" applyProtection="1">
      <alignment horizontal="right" vertical="center" wrapText="1"/>
      <protection hidden="1"/>
    </xf>
    <xf numFmtId="4" fontId="3" fillId="2" borderId="8" xfId="1" applyNumberFormat="1" applyFont="1" applyFill="1" applyBorder="1" applyAlignment="1" applyProtection="1">
      <alignment horizontal="right" vertical="center" wrapText="1"/>
      <protection hidden="1"/>
    </xf>
    <xf numFmtId="0" fontId="23" fillId="0" borderId="0" xfId="2" applyFont="1"/>
    <xf numFmtId="0" fontId="23" fillId="2" borderId="0" xfId="2" applyFont="1" applyFill="1"/>
    <xf numFmtId="0" fontId="12" fillId="2" borderId="8" xfId="1" applyNumberFormat="1" applyFont="1" applyFill="1" applyBorder="1" applyAlignment="1" applyProtection="1">
      <alignment horizontal="center" vertical="center" wrapText="1"/>
      <protection hidden="1"/>
    </xf>
    <xf numFmtId="0" fontId="13" fillId="0" borderId="8" xfId="1" applyNumberFormat="1" applyFont="1" applyFill="1" applyBorder="1" applyAlignment="1" applyProtection="1">
      <alignment horizontal="center" vertical="center" wrapText="1"/>
      <protection hidden="1"/>
    </xf>
    <xf numFmtId="0" fontId="23" fillId="0" borderId="0" xfId="2" applyFont="1" applyAlignment="1">
      <alignment vertical="center" wrapText="1"/>
    </xf>
    <xf numFmtId="0" fontId="30" fillId="0" borderId="0" xfId="0" applyFont="1" applyAlignment="1">
      <alignment vertical="center" wrapText="1"/>
    </xf>
    <xf numFmtId="0" fontId="12" fillId="0" borderId="8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0" xfId="1" applyFont="1" applyBorder="1" applyAlignment="1" applyProtection="1">
      <alignment horizontal="center" vertical="center" wrapText="1"/>
      <protection hidden="1"/>
    </xf>
    <xf numFmtId="0" fontId="0" fillId="0" borderId="0" xfId="0" applyAlignment="1"/>
    <xf numFmtId="0" fontId="9" fillId="0" borderId="8" xfId="1" applyNumberFormat="1" applyFont="1" applyFill="1" applyBorder="1" applyAlignment="1" applyProtection="1">
      <alignment horizontal="center" vertical="center" wrapText="1"/>
      <protection hidden="1"/>
    </xf>
    <xf numFmtId="0" fontId="10" fillId="0" borderId="8" xfId="1" applyNumberFormat="1" applyFont="1" applyFill="1" applyBorder="1" applyAlignment="1" applyProtection="1">
      <alignment horizontal="center" vertical="center" wrapText="1"/>
      <protection hidden="1"/>
    </xf>
    <xf numFmtId="0" fontId="12" fillId="0" borderId="8" xfId="2" applyFont="1" applyBorder="1" applyAlignment="1">
      <alignment horizontal="center" vertical="center" wrapText="1"/>
    </xf>
    <xf numFmtId="0" fontId="4" fillId="0" borderId="8" xfId="2" applyBorder="1" applyAlignment="1">
      <alignment horizontal="center" vertical="center" wrapText="1"/>
    </xf>
    <xf numFmtId="0" fontId="13" fillId="0" borderId="8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8" xfId="2" applyBorder="1" applyAlignment="1"/>
    <xf numFmtId="0" fontId="12" fillId="2" borderId="8" xfId="1" applyNumberFormat="1" applyFont="1" applyFill="1" applyBorder="1" applyAlignment="1" applyProtection="1">
      <alignment horizontal="center" vertical="center" wrapText="1"/>
      <protection hidden="1"/>
    </xf>
    <xf numFmtId="0" fontId="11" fillId="0" borderId="0" xfId="0" applyFont="1" applyFill="1" applyAlignment="1">
      <alignment horizontal="justify" vertical="center" wrapText="1"/>
    </xf>
    <xf numFmtId="0" fontId="12" fillId="0" borderId="8" xfId="0" applyFont="1" applyBorder="1" applyAlignment="1">
      <alignment horizontal="center" vertical="center" wrapText="1"/>
    </xf>
  </cellXfs>
  <cellStyles count="4">
    <cellStyle name="Обычный" xfId="0" builtinId="0"/>
    <cellStyle name="Обычный 2" xfId="2"/>
    <cellStyle name="Обычный_tmp" xfId="1"/>
    <cellStyle name="Финансовый 2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0</xdr:colOff>
      <xdr:row>21</xdr:row>
      <xdr:rowOff>0</xdr:rowOff>
    </xdr:from>
    <xdr:to>
      <xdr:col>34</xdr:col>
      <xdr:colOff>123825</xdr:colOff>
      <xdr:row>25</xdr:row>
      <xdr:rowOff>123825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276725" y="13887450"/>
          <a:ext cx="123825" cy="1238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13</xdr:row>
      <xdr:rowOff>0</xdr:rowOff>
    </xdr:from>
    <xdr:to>
      <xdr:col>34</xdr:col>
      <xdr:colOff>114300</xdr:colOff>
      <xdr:row>16</xdr:row>
      <xdr:rowOff>123825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276725" y="6105525"/>
          <a:ext cx="114300" cy="1238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13</xdr:row>
      <xdr:rowOff>0</xdr:rowOff>
    </xdr:from>
    <xdr:to>
      <xdr:col>34</xdr:col>
      <xdr:colOff>114300</xdr:colOff>
      <xdr:row>16</xdr:row>
      <xdr:rowOff>123825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276725" y="6105525"/>
          <a:ext cx="114300" cy="1238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N303"/>
  <sheetViews>
    <sheetView tabSelected="1" view="pageBreakPreview" topLeftCell="B1" zoomScale="75" zoomScaleNormal="75" zoomScaleSheetLayoutView="75" workbookViewId="0">
      <selection activeCell="AM4" sqref="B3:AM4"/>
    </sheetView>
  </sheetViews>
  <sheetFormatPr defaultRowHeight="15"/>
  <cols>
    <col min="1" max="1" width="0.140625" style="2" hidden="1" customWidth="1"/>
    <col min="2" max="2" width="64.140625" style="53" customWidth="1"/>
    <col min="3" max="3" width="24.7109375" style="53" hidden="1" customWidth="1"/>
    <col min="4" max="4" width="25.85546875" style="53" hidden="1" customWidth="1"/>
    <col min="5" max="5" width="23.140625" style="53" hidden="1" customWidth="1"/>
    <col min="6" max="6" width="23.5703125" style="8" hidden="1" customWidth="1"/>
    <col min="7" max="7" width="23.85546875" style="2" hidden="1" customWidth="1"/>
    <col min="8" max="8" width="20.28515625" style="2" hidden="1" customWidth="1"/>
    <col min="9" max="9" width="27.85546875" style="2" hidden="1" customWidth="1"/>
    <col min="10" max="10" width="24.28515625" style="2" hidden="1" customWidth="1"/>
    <col min="11" max="11" width="23.5703125" style="2" hidden="1" customWidth="1"/>
    <col min="12" max="12" width="25.28515625" style="2" hidden="1" customWidth="1"/>
    <col min="13" max="13" width="26.42578125" style="2" hidden="1" customWidth="1"/>
    <col min="14" max="14" width="23.28515625" style="2" hidden="1" customWidth="1"/>
    <col min="15" max="15" width="21" style="2" hidden="1" customWidth="1"/>
    <col min="16" max="17" width="20.85546875" style="2" hidden="1" customWidth="1"/>
    <col min="18" max="18" width="18.85546875" style="2" hidden="1" customWidth="1"/>
    <col min="19" max="19" width="20" style="2" hidden="1" customWidth="1"/>
    <col min="20" max="20" width="11.42578125" style="12" hidden="1" customWidth="1"/>
    <col min="21" max="21" width="27.7109375" style="2" hidden="1" customWidth="1"/>
    <col min="22" max="22" width="27.85546875" style="2" hidden="1" customWidth="1"/>
    <col min="23" max="23" width="27" style="2" hidden="1" customWidth="1"/>
    <col min="24" max="24" width="28.7109375" style="2" hidden="1" customWidth="1"/>
    <col min="25" max="25" width="28.42578125" style="2" hidden="1" customWidth="1"/>
    <col min="26" max="26" width="28.28515625" style="2" hidden="1" customWidth="1"/>
    <col min="27" max="27" width="27.28515625" style="2" hidden="1" customWidth="1"/>
    <col min="28" max="28" width="26.140625" style="2" hidden="1" customWidth="1"/>
    <col min="29" max="29" width="25.28515625" style="2" hidden="1" customWidth="1"/>
    <col min="30" max="30" width="25.42578125" style="2" hidden="1" customWidth="1"/>
    <col min="31" max="31" width="26.7109375" style="2" hidden="1" customWidth="1"/>
    <col min="32" max="32" width="27.5703125" style="2" hidden="1" customWidth="1"/>
    <col min="33" max="33" width="27" style="4" hidden="1" customWidth="1"/>
    <col min="34" max="34" width="27" style="2" hidden="1" customWidth="1"/>
    <col min="35" max="36" width="27.42578125" style="2" customWidth="1"/>
    <col min="37" max="37" width="27.42578125" style="2" hidden="1" customWidth="1"/>
    <col min="38" max="38" width="28.28515625" style="2" customWidth="1"/>
    <col min="39" max="39" width="30.5703125" style="2" customWidth="1"/>
    <col min="40" max="40" width="14.140625" style="2" hidden="1" customWidth="1"/>
    <col min="41" max="41" width="29.7109375" style="2" customWidth="1"/>
    <col min="42" max="245" width="9.140625" style="2"/>
    <col min="246" max="246" width="0" style="2" hidden="1" customWidth="1"/>
    <col min="247" max="247" width="64.140625" style="2" customWidth="1"/>
    <col min="248" max="266" width="0" style="2" hidden="1" customWidth="1"/>
    <col min="267" max="267" width="27.85546875" style="2" customWidth="1"/>
    <col min="268" max="268" width="27" style="2" customWidth="1"/>
    <col min="269" max="269" width="28.7109375" style="2" customWidth="1"/>
    <col min="270" max="270" width="28.42578125" style="2" customWidth="1"/>
    <col min="271" max="271" width="28.28515625" style="2" customWidth="1"/>
    <col min="272" max="272" width="27.28515625" style="2" customWidth="1"/>
    <col min="273" max="273" width="26.140625" style="2" customWidth="1"/>
    <col min="274" max="274" width="25.28515625" style="2" customWidth="1"/>
    <col min="275" max="275" width="25.42578125" style="2" customWidth="1"/>
    <col min="276" max="276" width="26.7109375" style="2" customWidth="1"/>
    <col min="277" max="277" width="27.5703125" style="2" customWidth="1"/>
    <col min="278" max="279" width="27" style="2" customWidth="1"/>
    <col min="280" max="281" width="27.42578125" style="2" customWidth="1"/>
    <col min="282" max="282" width="28.28515625" style="2" customWidth="1"/>
    <col min="283" max="501" width="9.140625" style="2"/>
    <col min="502" max="502" width="0" style="2" hidden="1" customWidth="1"/>
    <col min="503" max="503" width="64.140625" style="2" customWidth="1"/>
    <col min="504" max="522" width="0" style="2" hidden="1" customWidth="1"/>
    <col min="523" max="523" width="27.85546875" style="2" customWidth="1"/>
    <col min="524" max="524" width="27" style="2" customWidth="1"/>
    <col min="525" max="525" width="28.7109375" style="2" customWidth="1"/>
    <col min="526" max="526" width="28.42578125" style="2" customWidth="1"/>
    <col min="527" max="527" width="28.28515625" style="2" customWidth="1"/>
    <col min="528" max="528" width="27.28515625" style="2" customWidth="1"/>
    <col min="529" max="529" width="26.140625" style="2" customWidth="1"/>
    <col min="530" max="530" width="25.28515625" style="2" customWidth="1"/>
    <col min="531" max="531" width="25.42578125" style="2" customWidth="1"/>
    <col min="532" max="532" width="26.7109375" style="2" customWidth="1"/>
    <col min="533" max="533" width="27.5703125" style="2" customWidth="1"/>
    <col min="534" max="535" width="27" style="2" customWidth="1"/>
    <col min="536" max="537" width="27.42578125" style="2" customWidth="1"/>
    <col min="538" max="538" width="28.28515625" style="2" customWidth="1"/>
    <col min="539" max="757" width="9.140625" style="2"/>
    <col min="758" max="758" width="0" style="2" hidden="1" customWidth="1"/>
    <col min="759" max="759" width="64.140625" style="2" customWidth="1"/>
    <col min="760" max="778" width="0" style="2" hidden="1" customWidth="1"/>
    <col min="779" max="779" width="27.85546875" style="2" customWidth="1"/>
    <col min="780" max="780" width="27" style="2" customWidth="1"/>
    <col min="781" max="781" width="28.7109375" style="2" customWidth="1"/>
    <col min="782" max="782" width="28.42578125" style="2" customWidth="1"/>
    <col min="783" max="783" width="28.28515625" style="2" customWidth="1"/>
    <col min="784" max="784" width="27.28515625" style="2" customWidth="1"/>
    <col min="785" max="785" width="26.140625" style="2" customWidth="1"/>
    <col min="786" max="786" width="25.28515625" style="2" customWidth="1"/>
    <col min="787" max="787" width="25.42578125" style="2" customWidth="1"/>
    <col min="788" max="788" width="26.7109375" style="2" customWidth="1"/>
    <col min="789" max="789" width="27.5703125" style="2" customWidth="1"/>
    <col min="790" max="791" width="27" style="2" customWidth="1"/>
    <col min="792" max="793" width="27.42578125" style="2" customWidth="1"/>
    <col min="794" max="794" width="28.28515625" style="2" customWidth="1"/>
    <col min="795" max="1013" width="9.140625" style="2"/>
    <col min="1014" max="1014" width="0" style="2" hidden="1" customWidth="1"/>
    <col min="1015" max="1015" width="64.140625" style="2" customWidth="1"/>
    <col min="1016" max="1034" width="0" style="2" hidden="1" customWidth="1"/>
    <col min="1035" max="1035" width="27.85546875" style="2" customWidth="1"/>
    <col min="1036" max="1036" width="27" style="2" customWidth="1"/>
    <col min="1037" max="1037" width="28.7109375" style="2" customWidth="1"/>
    <col min="1038" max="1038" width="28.42578125" style="2" customWidth="1"/>
    <col min="1039" max="1039" width="28.28515625" style="2" customWidth="1"/>
    <col min="1040" max="1040" width="27.28515625" style="2" customWidth="1"/>
    <col min="1041" max="1041" width="26.140625" style="2" customWidth="1"/>
    <col min="1042" max="1042" width="25.28515625" style="2" customWidth="1"/>
    <col min="1043" max="1043" width="25.42578125" style="2" customWidth="1"/>
    <col min="1044" max="1044" width="26.7109375" style="2" customWidth="1"/>
    <col min="1045" max="1045" width="27.5703125" style="2" customWidth="1"/>
    <col min="1046" max="1047" width="27" style="2" customWidth="1"/>
    <col min="1048" max="1049" width="27.42578125" style="2" customWidth="1"/>
    <col min="1050" max="1050" width="28.28515625" style="2" customWidth="1"/>
    <col min="1051" max="1269" width="9.140625" style="2"/>
    <col min="1270" max="1270" width="0" style="2" hidden="1" customWidth="1"/>
    <col min="1271" max="1271" width="64.140625" style="2" customWidth="1"/>
    <col min="1272" max="1290" width="0" style="2" hidden="1" customWidth="1"/>
    <col min="1291" max="1291" width="27.85546875" style="2" customWidth="1"/>
    <col min="1292" max="1292" width="27" style="2" customWidth="1"/>
    <col min="1293" max="1293" width="28.7109375" style="2" customWidth="1"/>
    <col min="1294" max="1294" width="28.42578125" style="2" customWidth="1"/>
    <col min="1295" max="1295" width="28.28515625" style="2" customWidth="1"/>
    <col min="1296" max="1296" width="27.28515625" style="2" customWidth="1"/>
    <col min="1297" max="1297" width="26.140625" style="2" customWidth="1"/>
    <col min="1298" max="1298" width="25.28515625" style="2" customWidth="1"/>
    <col min="1299" max="1299" width="25.42578125" style="2" customWidth="1"/>
    <col min="1300" max="1300" width="26.7109375" style="2" customWidth="1"/>
    <col min="1301" max="1301" width="27.5703125" style="2" customWidth="1"/>
    <col min="1302" max="1303" width="27" style="2" customWidth="1"/>
    <col min="1304" max="1305" width="27.42578125" style="2" customWidth="1"/>
    <col min="1306" max="1306" width="28.28515625" style="2" customWidth="1"/>
    <col min="1307" max="1525" width="9.140625" style="2"/>
    <col min="1526" max="1526" width="0" style="2" hidden="1" customWidth="1"/>
    <col min="1527" max="1527" width="64.140625" style="2" customWidth="1"/>
    <col min="1528" max="1546" width="0" style="2" hidden="1" customWidth="1"/>
    <col min="1547" max="1547" width="27.85546875" style="2" customWidth="1"/>
    <col min="1548" max="1548" width="27" style="2" customWidth="1"/>
    <col min="1549" max="1549" width="28.7109375" style="2" customWidth="1"/>
    <col min="1550" max="1550" width="28.42578125" style="2" customWidth="1"/>
    <col min="1551" max="1551" width="28.28515625" style="2" customWidth="1"/>
    <col min="1552" max="1552" width="27.28515625" style="2" customWidth="1"/>
    <col min="1553" max="1553" width="26.140625" style="2" customWidth="1"/>
    <col min="1554" max="1554" width="25.28515625" style="2" customWidth="1"/>
    <col min="1555" max="1555" width="25.42578125" style="2" customWidth="1"/>
    <col min="1556" max="1556" width="26.7109375" style="2" customWidth="1"/>
    <col min="1557" max="1557" width="27.5703125" style="2" customWidth="1"/>
    <col min="1558" max="1559" width="27" style="2" customWidth="1"/>
    <col min="1560" max="1561" width="27.42578125" style="2" customWidth="1"/>
    <col min="1562" max="1562" width="28.28515625" style="2" customWidth="1"/>
    <col min="1563" max="1781" width="9.140625" style="2"/>
    <col min="1782" max="1782" width="0" style="2" hidden="1" customWidth="1"/>
    <col min="1783" max="1783" width="64.140625" style="2" customWidth="1"/>
    <col min="1784" max="1802" width="0" style="2" hidden="1" customWidth="1"/>
    <col min="1803" max="1803" width="27.85546875" style="2" customWidth="1"/>
    <col min="1804" max="1804" width="27" style="2" customWidth="1"/>
    <col min="1805" max="1805" width="28.7109375" style="2" customWidth="1"/>
    <col min="1806" max="1806" width="28.42578125" style="2" customWidth="1"/>
    <col min="1807" max="1807" width="28.28515625" style="2" customWidth="1"/>
    <col min="1808" max="1808" width="27.28515625" style="2" customWidth="1"/>
    <col min="1809" max="1809" width="26.140625" style="2" customWidth="1"/>
    <col min="1810" max="1810" width="25.28515625" style="2" customWidth="1"/>
    <col min="1811" max="1811" width="25.42578125" style="2" customWidth="1"/>
    <col min="1812" max="1812" width="26.7109375" style="2" customWidth="1"/>
    <col min="1813" max="1813" width="27.5703125" style="2" customWidth="1"/>
    <col min="1814" max="1815" width="27" style="2" customWidth="1"/>
    <col min="1816" max="1817" width="27.42578125" style="2" customWidth="1"/>
    <col min="1818" max="1818" width="28.28515625" style="2" customWidth="1"/>
    <col min="1819" max="2037" width="9.140625" style="2"/>
    <col min="2038" max="2038" width="0" style="2" hidden="1" customWidth="1"/>
    <col min="2039" max="2039" width="64.140625" style="2" customWidth="1"/>
    <col min="2040" max="2058" width="0" style="2" hidden="1" customWidth="1"/>
    <col min="2059" max="2059" width="27.85546875" style="2" customWidth="1"/>
    <col min="2060" max="2060" width="27" style="2" customWidth="1"/>
    <col min="2061" max="2061" width="28.7109375" style="2" customWidth="1"/>
    <col min="2062" max="2062" width="28.42578125" style="2" customWidth="1"/>
    <col min="2063" max="2063" width="28.28515625" style="2" customWidth="1"/>
    <col min="2064" max="2064" width="27.28515625" style="2" customWidth="1"/>
    <col min="2065" max="2065" width="26.140625" style="2" customWidth="1"/>
    <col min="2066" max="2066" width="25.28515625" style="2" customWidth="1"/>
    <col min="2067" max="2067" width="25.42578125" style="2" customWidth="1"/>
    <col min="2068" max="2068" width="26.7109375" style="2" customWidth="1"/>
    <col min="2069" max="2069" width="27.5703125" style="2" customWidth="1"/>
    <col min="2070" max="2071" width="27" style="2" customWidth="1"/>
    <col min="2072" max="2073" width="27.42578125" style="2" customWidth="1"/>
    <col min="2074" max="2074" width="28.28515625" style="2" customWidth="1"/>
    <col min="2075" max="2293" width="9.140625" style="2"/>
    <col min="2294" max="2294" width="0" style="2" hidden="1" customWidth="1"/>
    <col min="2295" max="2295" width="64.140625" style="2" customWidth="1"/>
    <col min="2296" max="2314" width="0" style="2" hidden="1" customWidth="1"/>
    <col min="2315" max="2315" width="27.85546875" style="2" customWidth="1"/>
    <col min="2316" max="2316" width="27" style="2" customWidth="1"/>
    <col min="2317" max="2317" width="28.7109375" style="2" customWidth="1"/>
    <col min="2318" max="2318" width="28.42578125" style="2" customWidth="1"/>
    <col min="2319" max="2319" width="28.28515625" style="2" customWidth="1"/>
    <col min="2320" max="2320" width="27.28515625" style="2" customWidth="1"/>
    <col min="2321" max="2321" width="26.140625" style="2" customWidth="1"/>
    <col min="2322" max="2322" width="25.28515625" style="2" customWidth="1"/>
    <col min="2323" max="2323" width="25.42578125" style="2" customWidth="1"/>
    <col min="2324" max="2324" width="26.7109375" style="2" customWidth="1"/>
    <col min="2325" max="2325" width="27.5703125" style="2" customWidth="1"/>
    <col min="2326" max="2327" width="27" style="2" customWidth="1"/>
    <col min="2328" max="2329" width="27.42578125" style="2" customWidth="1"/>
    <col min="2330" max="2330" width="28.28515625" style="2" customWidth="1"/>
    <col min="2331" max="2549" width="9.140625" style="2"/>
    <col min="2550" max="2550" width="0" style="2" hidden="1" customWidth="1"/>
    <col min="2551" max="2551" width="64.140625" style="2" customWidth="1"/>
    <col min="2552" max="2570" width="0" style="2" hidden="1" customWidth="1"/>
    <col min="2571" max="2571" width="27.85546875" style="2" customWidth="1"/>
    <col min="2572" max="2572" width="27" style="2" customWidth="1"/>
    <col min="2573" max="2573" width="28.7109375" style="2" customWidth="1"/>
    <col min="2574" max="2574" width="28.42578125" style="2" customWidth="1"/>
    <col min="2575" max="2575" width="28.28515625" style="2" customWidth="1"/>
    <col min="2576" max="2576" width="27.28515625" style="2" customWidth="1"/>
    <col min="2577" max="2577" width="26.140625" style="2" customWidth="1"/>
    <col min="2578" max="2578" width="25.28515625" style="2" customWidth="1"/>
    <col min="2579" max="2579" width="25.42578125" style="2" customWidth="1"/>
    <col min="2580" max="2580" width="26.7109375" style="2" customWidth="1"/>
    <col min="2581" max="2581" width="27.5703125" style="2" customWidth="1"/>
    <col min="2582" max="2583" width="27" style="2" customWidth="1"/>
    <col min="2584" max="2585" width="27.42578125" style="2" customWidth="1"/>
    <col min="2586" max="2586" width="28.28515625" style="2" customWidth="1"/>
    <col min="2587" max="2805" width="9.140625" style="2"/>
    <col min="2806" max="2806" width="0" style="2" hidden="1" customWidth="1"/>
    <col min="2807" max="2807" width="64.140625" style="2" customWidth="1"/>
    <col min="2808" max="2826" width="0" style="2" hidden="1" customWidth="1"/>
    <col min="2827" max="2827" width="27.85546875" style="2" customWidth="1"/>
    <col min="2828" max="2828" width="27" style="2" customWidth="1"/>
    <col min="2829" max="2829" width="28.7109375" style="2" customWidth="1"/>
    <col min="2830" max="2830" width="28.42578125" style="2" customWidth="1"/>
    <col min="2831" max="2831" width="28.28515625" style="2" customWidth="1"/>
    <col min="2832" max="2832" width="27.28515625" style="2" customWidth="1"/>
    <col min="2833" max="2833" width="26.140625" style="2" customWidth="1"/>
    <col min="2834" max="2834" width="25.28515625" style="2" customWidth="1"/>
    <col min="2835" max="2835" width="25.42578125" style="2" customWidth="1"/>
    <col min="2836" max="2836" width="26.7109375" style="2" customWidth="1"/>
    <col min="2837" max="2837" width="27.5703125" style="2" customWidth="1"/>
    <col min="2838" max="2839" width="27" style="2" customWidth="1"/>
    <col min="2840" max="2841" width="27.42578125" style="2" customWidth="1"/>
    <col min="2842" max="2842" width="28.28515625" style="2" customWidth="1"/>
    <col min="2843" max="3061" width="9.140625" style="2"/>
    <col min="3062" max="3062" width="0" style="2" hidden="1" customWidth="1"/>
    <col min="3063" max="3063" width="64.140625" style="2" customWidth="1"/>
    <col min="3064" max="3082" width="0" style="2" hidden="1" customWidth="1"/>
    <col min="3083" max="3083" width="27.85546875" style="2" customWidth="1"/>
    <col min="3084" max="3084" width="27" style="2" customWidth="1"/>
    <col min="3085" max="3085" width="28.7109375" style="2" customWidth="1"/>
    <col min="3086" max="3086" width="28.42578125" style="2" customWidth="1"/>
    <col min="3087" max="3087" width="28.28515625" style="2" customWidth="1"/>
    <col min="3088" max="3088" width="27.28515625" style="2" customWidth="1"/>
    <col min="3089" max="3089" width="26.140625" style="2" customWidth="1"/>
    <col min="3090" max="3090" width="25.28515625" style="2" customWidth="1"/>
    <col min="3091" max="3091" width="25.42578125" style="2" customWidth="1"/>
    <col min="3092" max="3092" width="26.7109375" style="2" customWidth="1"/>
    <col min="3093" max="3093" width="27.5703125" style="2" customWidth="1"/>
    <col min="3094" max="3095" width="27" style="2" customWidth="1"/>
    <col min="3096" max="3097" width="27.42578125" style="2" customWidth="1"/>
    <col min="3098" max="3098" width="28.28515625" style="2" customWidth="1"/>
    <col min="3099" max="3317" width="9.140625" style="2"/>
    <col min="3318" max="3318" width="0" style="2" hidden="1" customWidth="1"/>
    <col min="3319" max="3319" width="64.140625" style="2" customWidth="1"/>
    <col min="3320" max="3338" width="0" style="2" hidden="1" customWidth="1"/>
    <col min="3339" max="3339" width="27.85546875" style="2" customWidth="1"/>
    <col min="3340" max="3340" width="27" style="2" customWidth="1"/>
    <col min="3341" max="3341" width="28.7109375" style="2" customWidth="1"/>
    <col min="3342" max="3342" width="28.42578125" style="2" customWidth="1"/>
    <col min="3343" max="3343" width="28.28515625" style="2" customWidth="1"/>
    <col min="3344" max="3344" width="27.28515625" style="2" customWidth="1"/>
    <col min="3345" max="3345" width="26.140625" style="2" customWidth="1"/>
    <col min="3346" max="3346" width="25.28515625" style="2" customWidth="1"/>
    <col min="3347" max="3347" width="25.42578125" style="2" customWidth="1"/>
    <col min="3348" max="3348" width="26.7109375" style="2" customWidth="1"/>
    <col min="3349" max="3349" width="27.5703125" style="2" customWidth="1"/>
    <col min="3350" max="3351" width="27" style="2" customWidth="1"/>
    <col min="3352" max="3353" width="27.42578125" style="2" customWidth="1"/>
    <col min="3354" max="3354" width="28.28515625" style="2" customWidth="1"/>
    <col min="3355" max="3573" width="9.140625" style="2"/>
    <col min="3574" max="3574" width="0" style="2" hidden="1" customWidth="1"/>
    <col min="3575" max="3575" width="64.140625" style="2" customWidth="1"/>
    <col min="3576" max="3594" width="0" style="2" hidden="1" customWidth="1"/>
    <col min="3595" max="3595" width="27.85546875" style="2" customWidth="1"/>
    <col min="3596" max="3596" width="27" style="2" customWidth="1"/>
    <col min="3597" max="3597" width="28.7109375" style="2" customWidth="1"/>
    <col min="3598" max="3598" width="28.42578125" style="2" customWidth="1"/>
    <col min="3599" max="3599" width="28.28515625" style="2" customWidth="1"/>
    <col min="3600" max="3600" width="27.28515625" style="2" customWidth="1"/>
    <col min="3601" max="3601" width="26.140625" style="2" customWidth="1"/>
    <col min="3602" max="3602" width="25.28515625" style="2" customWidth="1"/>
    <col min="3603" max="3603" width="25.42578125" style="2" customWidth="1"/>
    <col min="3604" max="3604" width="26.7109375" style="2" customWidth="1"/>
    <col min="3605" max="3605" width="27.5703125" style="2" customWidth="1"/>
    <col min="3606" max="3607" width="27" style="2" customWidth="1"/>
    <col min="3608" max="3609" width="27.42578125" style="2" customWidth="1"/>
    <col min="3610" max="3610" width="28.28515625" style="2" customWidth="1"/>
    <col min="3611" max="3829" width="9.140625" style="2"/>
    <col min="3830" max="3830" width="0" style="2" hidden="1" customWidth="1"/>
    <col min="3831" max="3831" width="64.140625" style="2" customWidth="1"/>
    <col min="3832" max="3850" width="0" style="2" hidden="1" customWidth="1"/>
    <col min="3851" max="3851" width="27.85546875" style="2" customWidth="1"/>
    <col min="3852" max="3852" width="27" style="2" customWidth="1"/>
    <col min="3853" max="3853" width="28.7109375" style="2" customWidth="1"/>
    <col min="3854" max="3854" width="28.42578125" style="2" customWidth="1"/>
    <col min="3855" max="3855" width="28.28515625" style="2" customWidth="1"/>
    <col min="3856" max="3856" width="27.28515625" style="2" customWidth="1"/>
    <col min="3857" max="3857" width="26.140625" style="2" customWidth="1"/>
    <col min="3858" max="3858" width="25.28515625" style="2" customWidth="1"/>
    <col min="3859" max="3859" width="25.42578125" style="2" customWidth="1"/>
    <col min="3860" max="3860" width="26.7109375" style="2" customWidth="1"/>
    <col min="3861" max="3861" width="27.5703125" style="2" customWidth="1"/>
    <col min="3862" max="3863" width="27" style="2" customWidth="1"/>
    <col min="3864" max="3865" width="27.42578125" style="2" customWidth="1"/>
    <col min="3866" max="3866" width="28.28515625" style="2" customWidth="1"/>
    <col min="3867" max="4085" width="9.140625" style="2"/>
    <col min="4086" max="4086" width="0" style="2" hidden="1" customWidth="1"/>
    <col min="4087" max="4087" width="64.140625" style="2" customWidth="1"/>
    <col min="4088" max="4106" width="0" style="2" hidden="1" customWidth="1"/>
    <col min="4107" max="4107" width="27.85546875" style="2" customWidth="1"/>
    <col min="4108" max="4108" width="27" style="2" customWidth="1"/>
    <col min="4109" max="4109" width="28.7109375" style="2" customWidth="1"/>
    <col min="4110" max="4110" width="28.42578125" style="2" customWidth="1"/>
    <col min="4111" max="4111" width="28.28515625" style="2" customWidth="1"/>
    <col min="4112" max="4112" width="27.28515625" style="2" customWidth="1"/>
    <col min="4113" max="4113" width="26.140625" style="2" customWidth="1"/>
    <col min="4114" max="4114" width="25.28515625" style="2" customWidth="1"/>
    <col min="4115" max="4115" width="25.42578125" style="2" customWidth="1"/>
    <col min="4116" max="4116" width="26.7109375" style="2" customWidth="1"/>
    <col min="4117" max="4117" width="27.5703125" style="2" customWidth="1"/>
    <col min="4118" max="4119" width="27" style="2" customWidth="1"/>
    <col min="4120" max="4121" width="27.42578125" style="2" customWidth="1"/>
    <col min="4122" max="4122" width="28.28515625" style="2" customWidth="1"/>
    <col min="4123" max="4341" width="9.140625" style="2"/>
    <col min="4342" max="4342" width="0" style="2" hidden="1" customWidth="1"/>
    <col min="4343" max="4343" width="64.140625" style="2" customWidth="1"/>
    <col min="4344" max="4362" width="0" style="2" hidden="1" customWidth="1"/>
    <col min="4363" max="4363" width="27.85546875" style="2" customWidth="1"/>
    <col min="4364" max="4364" width="27" style="2" customWidth="1"/>
    <col min="4365" max="4365" width="28.7109375" style="2" customWidth="1"/>
    <col min="4366" max="4366" width="28.42578125" style="2" customWidth="1"/>
    <col min="4367" max="4367" width="28.28515625" style="2" customWidth="1"/>
    <col min="4368" max="4368" width="27.28515625" style="2" customWidth="1"/>
    <col min="4369" max="4369" width="26.140625" style="2" customWidth="1"/>
    <col min="4370" max="4370" width="25.28515625" style="2" customWidth="1"/>
    <col min="4371" max="4371" width="25.42578125" style="2" customWidth="1"/>
    <col min="4372" max="4372" width="26.7109375" style="2" customWidth="1"/>
    <col min="4373" max="4373" width="27.5703125" style="2" customWidth="1"/>
    <col min="4374" max="4375" width="27" style="2" customWidth="1"/>
    <col min="4376" max="4377" width="27.42578125" style="2" customWidth="1"/>
    <col min="4378" max="4378" width="28.28515625" style="2" customWidth="1"/>
    <col min="4379" max="4597" width="9.140625" style="2"/>
    <col min="4598" max="4598" width="0" style="2" hidden="1" customWidth="1"/>
    <col min="4599" max="4599" width="64.140625" style="2" customWidth="1"/>
    <col min="4600" max="4618" width="0" style="2" hidden="1" customWidth="1"/>
    <col min="4619" max="4619" width="27.85546875" style="2" customWidth="1"/>
    <col min="4620" max="4620" width="27" style="2" customWidth="1"/>
    <col min="4621" max="4621" width="28.7109375" style="2" customWidth="1"/>
    <col min="4622" max="4622" width="28.42578125" style="2" customWidth="1"/>
    <col min="4623" max="4623" width="28.28515625" style="2" customWidth="1"/>
    <col min="4624" max="4624" width="27.28515625" style="2" customWidth="1"/>
    <col min="4625" max="4625" width="26.140625" style="2" customWidth="1"/>
    <col min="4626" max="4626" width="25.28515625" style="2" customWidth="1"/>
    <col min="4627" max="4627" width="25.42578125" style="2" customWidth="1"/>
    <col min="4628" max="4628" width="26.7109375" style="2" customWidth="1"/>
    <col min="4629" max="4629" width="27.5703125" style="2" customWidth="1"/>
    <col min="4630" max="4631" width="27" style="2" customWidth="1"/>
    <col min="4632" max="4633" width="27.42578125" style="2" customWidth="1"/>
    <col min="4634" max="4634" width="28.28515625" style="2" customWidth="1"/>
    <col min="4635" max="4853" width="9.140625" style="2"/>
    <col min="4854" max="4854" width="0" style="2" hidden="1" customWidth="1"/>
    <col min="4855" max="4855" width="64.140625" style="2" customWidth="1"/>
    <col min="4856" max="4874" width="0" style="2" hidden="1" customWidth="1"/>
    <col min="4875" max="4875" width="27.85546875" style="2" customWidth="1"/>
    <col min="4876" max="4876" width="27" style="2" customWidth="1"/>
    <col min="4877" max="4877" width="28.7109375" style="2" customWidth="1"/>
    <col min="4878" max="4878" width="28.42578125" style="2" customWidth="1"/>
    <col min="4879" max="4879" width="28.28515625" style="2" customWidth="1"/>
    <col min="4880" max="4880" width="27.28515625" style="2" customWidth="1"/>
    <col min="4881" max="4881" width="26.140625" style="2" customWidth="1"/>
    <col min="4882" max="4882" width="25.28515625" style="2" customWidth="1"/>
    <col min="4883" max="4883" width="25.42578125" style="2" customWidth="1"/>
    <col min="4884" max="4884" width="26.7109375" style="2" customWidth="1"/>
    <col min="4885" max="4885" width="27.5703125" style="2" customWidth="1"/>
    <col min="4886" max="4887" width="27" style="2" customWidth="1"/>
    <col min="4888" max="4889" width="27.42578125" style="2" customWidth="1"/>
    <col min="4890" max="4890" width="28.28515625" style="2" customWidth="1"/>
    <col min="4891" max="5109" width="9.140625" style="2"/>
    <col min="5110" max="5110" width="0" style="2" hidden="1" customWidth="1"/>
    <col min="5111" max="5111" width="64.140625" style="2" customWidth="1"/>
    <col min="5112" max="5130" width="0" style="2" hidden="1" customWidth="1"/>
    <col min="5131" max="5131" width="27.85546875" style="2" customWidth="1"/>
    <col min="5132" max="5132" width="27" style="2" customWidth="1"/>
    <col min="5133" max="5133" width="28.7109375" style="2" customWidth="1"/>
    <col min="5134" max="5134" width="28.42578125" style="2" customWidth="1"/>
    <col min="5135" max="5135" width="28.28515625" style="2" customWidth="1"/>
    <col min="5136" max="5136" width="27.28515625" style="2" customWidth="1"/>
    <col min="5137" max="5137" width="26.140625" style="2" customWidth="1"/>
    <col min="5138" max="5138" width="25.28515625" style="2" customWidth="1"/>
    <col min="5139" max="5139" width="25.42578125" style="2" customWidth="1"/>
    <col min="5140" max="5140" width="26.7109375" style="2" customWidth="1"/>
    <col min="5141" max="5141" width="27.5703125" style="2" customWidth="1"/>
    <col min="5142" max="5143" width="27" style="2" customWidth="1"/>
    <col min="5144" max="5145" width="27.42578125" style="2" customWidth="1"/>
    <col min="5146" max="5146" width="28.28515625" style="2" customWidth="1"/>
    <col min="5147" max="5365" width="9.140625" style="2"/>
    <col min="5366" max="5366" width="0" style="2" hidden="1" customWidth="1"/>
    <col min="5367" max="5367" width="64.140625" style="2" customWidth="1"/>
    <col min="5368" max="5386" width="0" style="2" hidden="1" customWidth="1"/>
    <col min="5387" max="5387" width="27.85546875" style="2" customWidth="1"/>
    <col min="5388" max="5388" width="27" style="2" customWidth="1"/>
    <col min="5389" max="5389" width="28.7109375" style="2" customWidth="1"/>
    <col min="5390" max="5390" width="28.42578125" style="2" customWidth="1"/>
    <col min="5391" max="5391" width="28.28515625" style="2" customWidth="1"/>
    <col min="5392" max="5392" width="27.28515625" style="2" customWidth="1"/>
    <col min="5393" max="5393" width="26.140625" style="2" customWidth="1"/>
    <col min="5394" max="5394" width="25.28515625" style="2" customWidth="1"/>
    <col min="5395" max="5395" width="25.42578125" style="2" customWidth="1"/>
    <col min="5396" max="5396" width="26.7109375" style="2" customWidth="1"/>
    <col min="5397" max="5397" width="27.5703125" style="2" customWidth="1"/>
    <col min="5398" max="5399" width="27" style="2" customWidth="1"/>
    <col min="5400" max="5401" width="27.42578125" style="2" customWidth="1"/>
    <col min="5402" max="5402" width="28.28515625" style="2" customWidth="1"/>
    <col min="5403" max="5621" width="9.140625" style="2"/>
    <col min="5622" max="5622" width="0" style="2" hidden="1" customWidth="1"/>
    <col min="5623" max="5623" width="64.140625" style="2" customWidth="1"/>
    <col min="5624" max="5642" width="0" style="2" hidden="1" customWidth="1"/>
    <col min="5643" max="5643" width="27.85546875" style="2" customWidth="1"/>
    <col min="5644" max="5644" width="27" style="2" customWidth="1"/>
    <col min="5645" max="5645" width="28.7109375" style="2" customWidth="1"/>
    <col min="5646" max="5646" width="28.42578125" style="2" customWidth="1"/>
    <col min="5647" max="5647" width="28.28515625" style="2" customWidth="1"/>
    <col min="5648" max="5648" width="27.28515625" style="2" customWidth="1"/>
    <col min="5649" max="5649" width="26.140625" style="2" customWidth="1"/>
    <col min="5650" max="5650" width="25.28515625" style="2" customWidth="1"/>
    <col min="5651" max="5651" width="25.42578125" style="2" customWidth="1"/>
    <col min="5652" max="5652" width="26.7109375" style="2" customWidth="1"/>
    <col min="5653" max="5653" width="27.5703125" style="2" customWidth="1"/>
    <col min="5654" max="5655" width="27" style="2" customWidth="1"/>
    <col min="5656" max="5657" width="27.42578125" style="2" customWidth="1"/>
    <col min="5658" max="5658" width="28.28515625" style="2" customWidth="1"/>
    <col min="5659" max="5877" width="9.140625" style="2"/>
    <col min="5878" max="5878" width="0" style="2" hidden="1" customWidth="1"/>
    <col min="5879" max="5879" width="64.140625" style="2" customWidth="1"/>
    <col min="5880" max="5898" width="0" style="2" hidden="1" customWidth="1"/>
    <col min="5899" max="5899" width="27.85546875" style="2" customWidth="1"/>
    <col min="5900" max="5900" width="27" style="2" customWidth="1"/>
    <col min="5901" max="5901" width="28.7109375" style="2" customWidth="1"/>
    <col min="5902" max="5902" width="28.42578125" style="2" customWidth="1"/>
    <col min="5903" max="5903" width="28.28515625" style="2" customWidth="1"/>
    <col min="5904" max="5904" width="27.28515625" style="2" customWidth="1"/>
    <col min="5905" max="5905" width="26.140625" style="2" customWidth="1"/>
    <col min="5906" max="5906" width="25.28515625" style="2" customWidth="1"/>
    <col min="5907" max="5907" width="25.42578125" style="2" customWidth="1"/>
    <col min="5908" max="5908" width="26.7109375" style="2" customWidth="1"/>
    <col min="5909" max="5909" width="27.5703125" style="2" customWidth="1"/>
    <col min="5910" max="5911" width="27" style="2" customWidth="1"/>
    <col min="5912" max="5913" width="27.42578125" style="2" customWidth="1"/>
    <col min="5914" max="5914" width="28.28515625" style="2" customWidth="1"/>
    <col min="5915" max="6133" width="9.140625" style="2"/>
    <col min="6134" max="6134" width="0" style="2" hidden="1" customWidth="1"/>
    <col min="6135" max="6135" width="64.140625" style="2" customWidth="1"/>
    <col min="6136" max="6154" width="0" style="2" hidden="1" customWidth="1"/>
    <col min="6155" max="6155" width="27.85546875" style="2" customWidth="1"/>
    <col min="6156" max="6156" width="27" style="2" customWidth="1"/>
    <col min="6157" max="6157" width="28.7109375" style="2" customWidth="1"/>
    <col min="6158" max="6158" width="28.42578125" style="2" customWidth="1"/>
    <col min="6159" max="6159" width="28.28515625" style="2" customWidth="1"/>
    <col min="6160" max="6160" width="27.28515625" style="2" customWidth="1"/>
    <col min="6161" max="6161" width="26.140625" style="2" customWidth="1"/>
    <col min="6162" max="6162" width="25.28515625" style="2" customWidth="1"/>
    <col min="6163" max="6163" width="25.42578125" style="2" customWidth="1"/>
    <col min="6164" max="6164" width="26.7109375" style="2" customWidth="1"/>
    <col min="6165" max="6165" width="27.5703125" style="2" customWidth="1"/>
    <col min="6166" max="6167" width="27" style="2" customWidth="1"/>
    <col min="6168" max="6169" width="27.42578125" style="2" customWidth="1"/>
    <col min="6170" max="6170" width="28.28515625" style="2" customWidth="1"/>
    <col min="6171" max="6389" width="9.140625" style="2"/>
    <col min="6390" max="6390" width="0" style="2" hidden="1" customWidth="1"/>
    <col min="6391" max="6391" width="64.140625" style="2" customWidth="1"/>
    <col min="6392" max="6410" width="0" style="2" hidden="1" customWidth="1"/>
    <col min="6411" max="6411" width="27.85546875" style="2" customWidth="1"/>
    <col min="6412" max="6412" width="27" style="2" customWidth="1"/>
    <col min="6413" max="6413" width="28.7109375" style="2" customWidth="1"/>
    <col min="6414" max="6414" width="28.42578125" style="2" customWidth="1"/>
    <col min="6415" max="6415" width="28.28515625" style="2" customWidth="1"/>
    <col min="6416" max="6416" width="27.28515625" style="2" customWidth="1"/>
    <col min="6417" max="6417" width="26.140625" style="2" customWidth="1"/>
    <col min="6418" max="6418" width="25.28515625" style="2" customWidth="1"/>
    <col min="6419" max="6419" width="25.42578125" style="2" customWidth="1"/>
    <col min="6420" max="6420" width="26.7109375" style="2" customWidth="1"/>
    <col min="6421" max="6421" width="27.5703125" style="2" customWidth="1"/>
    <col min="6422" max="6423" width="27" style="2" customWidth="1"/>
    <col min="6424" max="6425" width="27.42578125" style="2" customWidth="1"/>
    <col min="6426" max="6426" width="28.28515625" style="2" customWidth="1"/>
    <col min="6427" max="6645" width="9.140625" style="2"/>
    <col min="6646" max="6646" width="0" style="2" hidden="1" customWidth="1"/>
    <col min="6647" max="6647" width="64.140625" style="2" customWidth="1"/>
    <col min="6648" max="6666" width="0" style="2" hidden="1" customWidth="1"/>
    <col min="6667" max="6667" width="27.85546875" style="2" customWidth="1"/>
    <col min="6668" max="6668" width="27" style="2" customWidth="1"/>
    <col min="6669" max="6669" width="28.7109375" style="2" customWidth="1"/>
    <col min="6670" max="6670" width="28.42578125" style="2" customWidth="1"/>
    <col min="6671" max="6671" width="28.28515625" style="2" customWidth="1"/>
    <col min="6672" max="6672" width="27.28515625" style="2" customWidth="1"/>
    <col min="6673" max="6673" width="26.140625" style="2" customWidth="1"/>
    <col min="6674" max="6674" width="25.28515625" style="2" customWidth="1"/>
    <col min="6675" max="6675" width="25.42578125" style="2" customWidth="1"/>
    <col min="6676" max="6676" width="26.7109375" style="2" customWidth="1"/>
    <col min="6677" max="6677" width="27.5703125" style="2" customWidth="1"/>
    <col min="6678" max="6679" width="27" style="2" customWidth="1"/>
    <col min="6680" max="6681" width="27.42578125" style="2" customWidth="1"/>
    <col min="6682" max="6682" width="28.28515625" style="2" customWidth="1"/>
    <col min="6683" max="6901" width="9.140625" style="2"/>
    <col min="6902" max="6902" width="0" style="2" hidden="1" customWidth="1"/>
    <col min="6903" max="6903" width="64.140625" style="2" customWidth="1"/>
    <col min="6904" max="6922" width="0" style="2" hidden="1" customWidth="1"/>
    <col min="6923" max="6923" width="27.85546875" style="2" customWidth="1"/>
    <col min="6924" max="6924" width="27" style="2" customWidth="1"/>
    <col min="6925" max="6925" width="28.7109375" style="2" customWidth="1"/>
    <col min="6926" max="6926" width="28.42578125" style="2" customWidth="1"/>
    <col min="6927" max="6927" width="28.28515625" style="2" customWidth="1"/>
    <col min="6928" max="6928" width="27.28515625" style="2" customWidth="1"/>
    <col min="6929" max="6929" width="26.140625" style="2" customWidth="1"/>
    <col min="6930" max="6930" width="25.28515625" style="2" customWidth="1"/>
    <col min="6931" max="6931" width="25.42578125" style="2" customWidth="1"/>
    <col min="6932" max="6932" width="26.7109375" style="2" customWidth="1"/>
    <col min="6933" max="6933" width="27.5703125" style="2" customWidth="1"/>
    <col min="6934" max="6935" width="27" style="2" customWidth="1"/>
    <col min="6936" max="6937" width="27.42578125" style="2" customWidth="1"/>
    <col min="6938" max="6938" width="28.28515625" style="2" customWidth="1"/>
    <col min="6939" max="7157" width="9.140625" style="2"/>
    <col min="7158" max="7158" width="0" style="2" hidden="1" customWidth="1"/>
    <col min="7159" max="7159" width="64.140625" style="2" customWidth="1"/>
    <col min="7160" max="7178" width="0" style="2" hidden="1" customWidth="1"/>
    <col min="7179" max="7179" width="27.85546875" style="2" customWidth="1"/>
    <col min="7180" max="7180" width="27" style="2" customWidth="1"/>
    <col min="7181" max="7181" width="28.7109375" style="2" customWidth="1"/>
    <col min="7182" max="7182" width="28.42578125" style="2" customWidth="1"/>
    <col min="7183" max="7183" width="28.28515625" style="2" customWidth="1"/>
    <col min="7184" max="7184" width="27.28515625" style="2" customWidth="1"/>
    <col min="7185" max="7185" width="26.140625" style="2" customWidth="1"/>
    <col min="7186" max="7186" width="25.28515625" style="2" customWidth="1"/>
    <col min="7187" max="7187" width="25.42578125" style="2" customWidth="1"/>
    <col min="7188" max="7188" width="26.7109375" style="2" customWidth="1"/>
    <col min="7189" max="7189" width="27.5703125" style="2" customWidth="1"/>
    <col min="7190" max="7191" width="27" style="2" customWidth="1"/>
    <col min="7192" max="7193" width="27.42578125" style="2" customWidth="1"/>
    <col min="7194" max="7194" width="28.28515625" style="2" customWidth="1"/>
    <col min="7195" max="7413" width="9.140625" style="2"/>
    <col min="7414" max="7414" width="0" style="2" hidden="1" customWidth="1"/>
    <col min="7415" max="7415" width="64.140625" style="2" customWidth="1"/>
    <col min="7416" max="7434" width="0" style="2" hidden="1" customWidth="1"/>
    <col min="7435" max="7435" width="27.85546875" style="2" customWidth="1"/>
    <col min="7436" max="7436" width="27" style="2" customWidth="1"/>
    <col min="7437" max="7437" width="28.7109375" style="2" customWidth="1"/>
    <col min="7438" max="7438" width="28.42578125" style="2" customWidth="1"/>
    <col min="7439" max="7439" width="28.28515625" style="2" customWidth="1"/>
    <col min="7440" max="7440" width="27.28515625" style="2" customWidth="1"/>
    <col min="7441" max="7441" width="26.140625" style="2" customWidth="1"/>
    <col min="7442" max="7442" width="25.28515625" style="2" customWidth="1"/>
    <col min="7443" max="7443" width="25.42578125" style="2" customWidth="1"/>
    <col min="7444" max="7444" width="26.7109375" style="2" customWidth="1"/>
    <col min="7445" max="7445" width="27.5703125" style="2" customWidth="1"/>
    <col min="7446" max="7447" width="27" style="2" customWidth="1"/>
    <col min="7448" max="7449" width="27.42578125" style="2" customWidth="1"/>
    <col min="7450" max="7450" width="28.28515625" style="2" customWidth="1"/>
    <col min="7451" max="7669" width="9.140625" style="2"/>
    <col min="7670" max="7670" width="0" style="2" hidden="1" customWidth="1"/>
    <col min="7671" max="7671" width="64.140625" style="2" customWidth="1"/>
    <col min="7672" max="7690" width="0" style="2" hidden="1" customWidth="1"/>
    <col min="7691" max="7691" width="27.85546875" style="2" customWidth="1"/>
    <col min="7692" max="7692" width="27" style="2" customWidth="1"/>
    <col min="7693" max="7693" width="28.7109375" style="2" customWidth="1"/>
    <col min="7694" max="7694" width="28.42578125" style="2" customWidth="1"/>
    <col min="7695" max="7695" width="28.28515625" style="2" customWidth="1"/>
    <col min="7696" max="7696" width="27.28515625" style="2" customWidth="1"/>
    <col min="7697" max="7697" width="26.140625" style="2" customWidth="1"/>
    <col min="7698" max="7698" width="25.28515625" style="2" customWidth="1"/>
    <col min="7699" max="7699" width="25.42578125" style="2" customWidth="1"/>
    <col min="7700" max="7700" width="26.7109375" style="2" customWidth="1"/>
    <col min="7701" max="7701" width="27.5703125" style="2" customWidth="1"/>
    <col min="7702" max="7703" width="27" style="2" customWidth="1"/>
    <col min="7704" max="7705" width="27.42578125" style="2" customWidth="1"/>
    <col min="7706" max="7706" width="28.28515625" style="2" customWidth="1"/>
    <col min="7707" max="7925" width="9.140625" style="2"/>
    <col min="7926" max="7926" width="0" style="2" hidden="1" customWidth="1"/>
    <col min="7927" max="7927" width="64.140625" style="2" customWidth="1"/>
    <col min="7928" max="7946" width="0" style="2" hidden="1" customWidth="1"/>
    <col min="7947" max="7947" width="27.85546875" style="2" customWidth="1"/>
    <col min="7948" max="7948" width="27" style="2" customWidth="1"/>
    <col min="7949" max="7949" width="28.7109375" style="2" customWidth="1"/>
    <col min="7950" max="7950" width="28.42578125" style="2" customWidth="1"/>
    <col min="7951" max="7951" width="28.28515625" style="2" customWidth="1"/>
    <col min="7952" max="7952" width="27.28515625" style="2" customWidth="1"/>
    <col min="7953" max="7953" width="26.140625" style="2" customWidth="1"/>
    <col min="7954" max="7954" width="25.28515625" style="2" customWidth="1"/>
    <col min="7955" max="7955" width="25.42578125" style="2" customWidth="1"/>
    <col min="7956" max="7956" width="26.7109375" style="2" customWidth="1"/>
    <col min="7957" max="7957" width="27.5703125" style="2" customWidth="1"/>
    <col min="7958" max="7959" width="27" style="2" customWidth="1"/>
    <col min="7960" max="7961" width="27.42578125" style="2" customWidth="1"/>
    <col min="7962" max="7962" width="28.28515625" style="2" customWidth="1"/>
    <col min="7963" max="8181" width="9.140625" style="2"/>
    <col min="8182" max="8182" width="0" style="2" hidden="1" customWidth="1"/>
    <col min="8183" max="8183" width="64.140625" style="2" customWidth="1"/>
    <col min="8184" max="8202" width="0" style="2" hidden="1" customWidth="1"/>
    <col min="8203" max="8203" width="27.85546875" style="2" customWidth="1"/>
    <col min="8204" max="8204" width="27" style="2" customWidth="1"/>
    <col min="8205" max="8205" width="28.7109375" style="2" customWidth="1"/>
    <col min="8206" max="8206" width="28.42578125" style="2" customWidth="1"/>
    <col min="8207" max="8207" width="28.28515625" style="2" customWidth="1"/>
    <col min="8208" max="8208" width="27.28515625" style="2" customWidth="1"/>
    <col min="8209" max="8209" width="26.140625" style="2" customWidth="1"/>
    <col min="8210" max="8210" width="25.28515625" style="2" customWidth="1"/>
    <col min="8211" max="8211" width="25.42578125" style="2" customWidth="1"/>
    <col min="8212" max="8212" width="26.7109375" style="2" customWidth="1"/>
    <col min="8213" max="8213" width="27.5703125" style="2" customWidth="1"/>
    <col min="8214" max="8215" width="27" style="2" customWidth="1"/>
    <col min="8216" max="8217" width="27.42578125" style="2" customWidth="1"/>
    <col min="8218" max="8218" width="28.28515625" style="2" customWidth="1"/>
    <col min="8219" max="8437" width="9.140625" style="2"/>
    <col min="8438" max="8438" width="0" style="2" hidden="1" customWidth="1"/>
    <col min="8439" max="8439" width="64.140625" style="2" customWidth="1"/>
    <col min="8440" max="8458" width="0" style="2" hidden="1" customWidth="1"/>
    <col min="8459" max="8459" width="27.85546875" style="2" customWidth="1"/>
    <col min="8460" max="8460" width="27" style="2" customWidth="1"/>
    <col min="8461" max="8461" width="28.7109375" style="2" customWidth="1"/>
    <col min="8462" max="8462" width="28.42578125" style="2" customWidth="1"/>
    <col min="8463" max="8463" width="28.28515625" style="2" customWidth="1"/>
    <col min="8464" max="8464" width="27.28515625" style="2" customWidth="1"/>
    <col min="8465" max="8465" width="26.140625" style="2" customWidth="1"/>
    <col min="8466" max="8466" width="25.28515625" style="2" customWidth="1"/>
    <col min="8467" max="8467" width="25.42578125" style="2" customWidth="1"/>
    <col min="8468" max="8468" width="26.7109375" style="2" customWidth="1"/>
    <col min="8469" max="8469" width="27.5703125" style="2" customWidth="1"/>
    <col min="8470" max="8471" width="27" style="2" customWidth="1"/>
    <col min="8472" max="8473" width="27.42578125" style="2" customWidth="1"/>
    <col min="8474" max="8474" width="28.28515625" style="2" customWidth="1"/>
    <col min="8475" max="8693" width="9.140625" style="2"/>
    <col min="8694" max="8694" width="0" style="2" hidden="1" customWidth="1"/>
    <col min="8695" max="8695" width="64.140625" style="2" customWidth="1"/>
    <col min="8696" max="8714" width="0" style="2" hidden="1" customWidth="1"/>
    <col min="8715" max="8715" width="27.85546875" style="2" customWidth="1"/>
    <col min="8716" max="8716" width="27" style="2" customWidth="1"/>
    <col min="8717" max="8717" width="28.7109375" style="2" customWidth="1"/>
    <col min="8718" max="8718" width="28.42578125" style="2" customWidth="1"/>
    <col min="8719" max="8719" width="28.28515625" style="2" customWidth="1"/>
    <col min="8720" max="8720" width="27.28515625" style="2" customWidth="1"/>
    <col min="8721" max="8721" width="26.140625" style="2" customWidth="1"/>
    <col min="8722" max="8722" width="25.28515625" style="2" customWidth="1"/>
    <col min="8723" max="8723" width="25.42578125" style="2" customWidth="1"/>
    <col min="8724" max="8724" width="26.7109375" style="2" customWidth="1"/>
    <col min="8725" max="8725" width="27.5703125" style="2" customWidth="1"/>
    <col min="8726" max="8727" width="27" style="2" customWidth="1"/>
    <col min="8728" max="8729" width="27.42578125" style="2" customWidth="1"/>
    <col min="8730" max="8730" width="28.28515625" style="2" customWidth="1"/>
    <col min="8731" max="8949" width="9.140625" style="2"/>
    <col min="8950" max="8950" width="0" style="2" hidden="1" customWidth="1"/>
    <col min="8951" max="8951" width="64.140625" style="2" customWidth="1"/>
    <col min="8952" max="8970" width="0" style="2" hidden="1" customWidth="1"/>
    <col min="8971" max="8971" width="27.85546875" style="2" customWidth="1"/>
    <col min="8972" max="8972" width="27" style="2" customWidth="1"/>
    <col min="8973" max="8973" width="28.7109375" style="2" customWidth="1"/>
    <col min="8974" max="8974" width="28.42578125" style="2" customWidth="1"/>
    <col min="8975" max="8975" width="28.28515625" style="2" customWidth="1"/>
    <col min="8976" max="8976" width="27.28515625" style="2" customWidth="1"/>
    <col min="8977" max="8977" width="26.140625" style="2" customWidth="1"/>
    <col min="8978" max="8978" width="25.28515625" style="2" customWidth="1"/>
    <col min="8979" max="8979" width="25.42578125" style="2" customWidth="1"/>
    <col min="8980" max="8980" width="26.7109375" style="2" customWidth="1"/>
    <col min="8981" max="8981" width="27.5703125" style="2" customWidth="1"/>
    <col min="8982" max="8983" width="27" style="2" customWidth="1"/>
    <col min="8984" max="8985" width="27.42578125" style="2" customWidth="1"/>
    <col min="8986" max="8986" width="28.28515625" style="2" customWidth="1"/>
    <col min="8987" max="9205" width="9.140625" style="2"/>
    <col min="9206" max="9206" width="0" style="2" hidden="1" customWidth="1"/>
    <col min="9207" max="9207" width="64.140625" style="2" customWidth="1"/>
    <col min="9208" max="9226" width="0" style="2" hidden="1" customWidth="1"/>
    <col min="9227" max="9227" width="27.85546875" style="2" customWidth="1"/>
    <col min="9228" max="9228" width="27" style="2" customWidth="1"/>
    <col min="9229" max="9229" width="28.7109375" style="2" customWidth="1"/>
    <col min="9230" max="9230" width="28.42578125" style="2" customWidth="1"/>
    <col min="9231" max="9231" width="28.28515625" style="2" customWidth="1"/>
    <col min="9232" max="9232" width="27.28515625" style="2" customWidth="1"/>
    <col min="9233" max="9233" width="26.140625" style="2" customWidth="1"/>
    <col min="9234" max="9234" width="25.28515625" style="2" customWidth="1"/>
    <col min="9235" max="9235" width="25.42578125" style="2" customWidth="1"/>
    <col min="9236" max="9236" width="26.7109375" style="2" customWidth="1"/>
    <col min="9237" max="9237" width="27.5703125" style="2" customWidth="1"/>
    <col min="9238" max="9239" width="27" style="2" customWidth="1"/>
    <col min="9240" max="9241" width="27.42578125" style="2" customWidth="1"/>
    <col min="9242" max="9242" width="28.28515625" style="2" customWidth="1"/>
    <col min="9243" max="9461" width="9.140625" style="2"/>
    <col min="9462" max="9462" width="0" style="2" hidden="1" customWidth="1"/>
    <col min="9463" max="9463" width="64.140625" style="2" customWidth="1"/>
    <col min="9464" max="9482" width="0" style="2" hidden="1" customWidth="1"/>
    <col min="9483" max="9483" width="27.85546875" style="2" customWidth="1"/>
    <col min="9484" max="9484" width="27" style="2" customWidth="1"/>
    <col min="9485" max="9485" width="28.7109375" style="2" customWidth="1"/>
    <col min="9486" max="9486" width="28.42578125" style="2" customWidth="1"/>
    <col min="9487" max="9487" width="28.28515625" style="2" customWidth="1"/>
    <col min="9488" max="9488" width="27.28515625" style="2" customWidth="1"/>
    <col min="9489" max="9489" width="26.140625" style="2" customWidth="1"/>
    <col min="9490" max="9490" width="25.28515625" style="2" customWidth="1"/>
    <col min="9491" max="9491" width="25.42578125" style="2" customWidth="1"/>
    <col min="9492" max="9492" width="26.7109375" style="2" customWidth="1"/>
    <col min="9493" max="9493" width="27.5703125" style="2" customWidth="1"/>
    <col min="9494" max="9495" width="27" style="2" customWidth="1"/>
    <col min="9496" max="9497" width="27.42578125" style="2" customWidth="1"/>
    <col min="9498" max="9498" width="28.28515625" style="2" customWidth="1"/>
    <col min="9499" max="9717" width="9.140625" style="2"/>
    <col min="9718" max="9718" width="0" style="2" hidden="1" customWidth="1"/>
    <col min="9719" max="9719" width="64.140625" style="2" customWidth="1"/>
    <col min="9720" max="9738" width="0" style="2" hidden="1" customWidth="1"/>
    <col min="9739" max="9739" width="27.85546875" style="2" customWidth="1"/>
    <col min="9740" max="9740" width="27" style="2" customWidth="1"/>
    <col min="9741" max="9741" width="28.7109375" style="2" customWidth="1"/>
    <col min="9742" max="9742" width="28.42578125" style="2" customWidth="1"/>
    <col min="9743" max="9743" width="28.28515625" style="2" customWidth="1"/>
    <col min="9744" max="9744" width="27.28515625" style="2" customWidth="1"/>
    <col min="9745" max="9745" width="26.140625" style="2" customWidth="1"/>
    <col min="9746" max="9746" width="25.28515625" style="2" customWidth="1"/>
    <col min="9747" max="9747" width="25.42578125" style="2" customWidth="1"/>
    <col min="9748" max="9748" width="26.7109375" style="2" customWidth="1"/>
    <col min="9749" max="9749" width="27.5703125" style="2" customWidth="1"/>
    <col min="9750" max="9751" width="27" style="2" customWidth="1"/>
    <col min="9752" max="9753" width="27.42578125" style="2" customWidth="1"/>
    <col min="9754" max="9754" width="28.28515625" style="2" customWidth="1"/>
    <col min="9755" max="9973" width="9.140625" style="2"/>
    <col min="9974" max="9974" width="0" style="2" hidden="1" customWidth="1"/>
    <col min="9975" max="9975" width="64.140625" style="2" customWidth="1"/>
    <col min="9976" max="9994" width="0" style="2" hidden="1" customWidth="1"/>
    <col min="9995" max="9995" width="27.85546875" style="2" customWidth="1"/>
    <col min="9996" max="9996" width="27" style="2" customWidth="1"/>
    <col min="9997" max="9997" width="28.7109375" style="2" customWidth="1"/>
    <col min="9998" max="9998" width="28.42578125" style="2" customWidth="1"/>
    <col min="9999" max="9999" width="28.28515625" style="2" customWidth="1"/>
    <col min="10000" max="10000" width="27.28515625" style="2" customWidth="1"/>
    <col min="10001" max="10001" width="26.140625" style="2" customWidth="1"/>
    <col min="10002" max="10002" width="25.28515625" style="2" customWidth="1"/>
    <col min="10003" max="10003" width="25.42578125" style="2" customWidth="1"/>
    <col min="10004" max="10004" width="26.7109375" style="2" customWidth="1"/>
    <col min="10005" max="10005" width="27.5703125" style="2" customWidth="1"/>
    <col min="10006" max="10007" width="27" style="2" customWidth="1"/>
    <col min="10008" max="10009" width="27.42578125" style="2" customWidth="1"/>
    <col min="10010" max="10010" width="28.28515625" style="2" customWidth="1"/>
    <col min="10011" max="10229" width="9.140625" style="2"/>
    <col min="10230" max="10230" width="0" style="2" hidden="1" customWidth="1"/>
    <col min="10231" max="10231" width="64.140625" style="2" customWidth="1"/>
    <col min="10232" max="10250" width="0" style="2" hidden="1" customWidth="1"/>
    <col min="10251" max="10251" width="27.85546875" style="2" customWidth="1"/>
    <col min="10252" max="10252" width="27" style="2" customWidth="1"/>
    <col min="10253" max="10253" width="28.7109375" style="2" customWidth="1"/>
    <col min="10254" max="10254" width="28.42578125" style="2" customWidth="1"/>
    <col min="10255" max="10255" width="28.28515625" style="2" customWidth="1"/>
    <col min="10256" max="10256" width="27.28515625" style="2" customWidth="1"/>
    <col min="10257" max="10257" width="26.140625" style="2" customWidth="1"/>
    <col min="10258" max="10258" width="25.28515625" style="2" customWidth="1"/>
    <col min="10259" max="10259" width="25.42578125" style="2" customWidth="1"/>
    <col min="10260" max="10260" width="26.7109375" style="2" customWidth="1"/>
    <col min="10261" max="10261" width="27.5703125" style="2" customWidth="1"/>
    <col min="10262" max="10263" width="27" style="2" customWidth="1"/>
    <col min="10264" max="10265" width="27.42578125" style="2" customWidth="1"/>
    <col min="10266" max="10266" width="28.28515625" style="2" customWidth="1"/>
    <col min="10267" max="10485" width="9.140625" style="2"/>
    <col min="10486" max="10486" width="0" style="2" hidden="1" customWidth="1"/>
    <col min="10487" max="10487" width="64.140625" style="2" customWidth="1"/>
    <col min="10488" max="10506" width="0" style="2" hidden="1" customWidth="1"/>
    <col min="10507" max="10507" width="27.85546875" style="2" customWidth="1"/>
    <col min="10508" max="10508" width="27" style="2" customWidth="1"/>
    <col min="10509" max="10509" width="28.7109375" style="2" customWidth="1"/>
    <col min="10510" max="10510" width="28.42578125" style="2" customWidth="1"/>
    <col min="10511" max="10511" width="28.28515625" style="2" customWidth="1"/>
    <col min="10512" max="10512" width="27.28515625" style="2" customWidth="1"/>
    <col min="10513" max="10513" width="26.140625" style="2" customWidth="1"/>
    <col min="10514" max="10514" width="25.28515625" style="2" customWidth="1"/>
    <col min="10515" max="10515" width="25.42578125" style="2" customWidth="1"/>
    <col min="10516" max="10516" width="26.7109375" style="2" customWidth="1"/>
    <col min="10517" max="10517" width="27.5703125" style="2" customWidth="1"/>
    <col min="10518" max="10519" width="27" style="2" customWidth="1"/>
    <col min="10520" max="10521" width="27.42578125" style="2" customWidth="1"/>
    <col min="10522" max="10522" width="28.28515625" style="2" customWidth="1"/>
    <col min="10523" max="10741" width="9.140625" style="2"/>
    <col min="10742" max="10742" width="0" style="2" hidden="1" customWidth="1"/>
    <col min="10743" max="10743" width="64.140625" style="2" customWidth="1"/>
    <col min="10744" max="10762" width="0" style="2" hidden="1" customWidth="1"/>
    <col min="10763" max="10763" width="27.85546875" style="2" customWidth="1"/>
    <col min="10764" max="10764" width="27" style="2" customWidth="1"/>
    <col min="10765" max="10765" width="28.7109375" style="2" customWidth="1"/>
    <col min="10766" max="10766" width="28.42578125" style="2" customWidth="1"/>
    <col min="10767" max="10767" width="28.28515625" style="2" customWidth="1"/>
    <col min="10768" max="10768" width="27.28515625" style="2" customWidth="1"/>
    <col min="10769" max="10769" width="26.140625" style="2" customWidth="1"/>
    <col min="10770" max="10770" width="25.28515625" style="2" customWidth="1"/>
    <col min="10771" max="10771" width="25.42578125" style="2" customWidth="1"/>
    <col min="10772" max="10772" width="26.7109375" style="2" customWidth="1"/>
    <col min="10773" max="10773" width="27.5703125" style="2" customWidth="1"/>
    <col min="10774" max="10775" width="27" style="2" customWidth="1"/>
    <col min="10776" max="10777" width="27.42578125" style="2" customWidth="1"/>
    <col min="10778" max="10778" width="28.28515625" style="2" customWidth="1"/>
    <col min="10779" max="10997" width="9.140625" style="2"/>
    <col min="10998" max="10998" width="0" style="2" hidden="1" customWidth="1"/>
    <col min="10999" max="10999" width="64.140625" style="2" customWidth="1"/>
    <col min="11000" max="11018" width="0" style="2" hidden="1" customWidth="1"/>
    <col min="11019" max="11019" width="27.85546875" style="2" customWidth="1"/>
    <col min="11020" max="11020" width="27" style="2" customWidth="1"/>
    <col min="11021" max="11021" width="28.7109375" style="2" customWidth="1"/>
    <col min="11022" max="11022" width="28.42578125" style="2" customWidth="1"/>
    <col min="11023" max="11023" width="28.28515625" style="2" customWidth="1"/>
    <col min="11024" max="11024" width="27.28515625" style="2" customWidth="1"/>
    <col min="11025" max="11025" width="26.140625" style="2" customWidth="1"/>
    <col min="11026" max="11026" width="25.28515625" style="2" customWidth="1"/>
    <col min="11027" max="11027" width="25.42578125" style="2" customWidth="1"/>
    <col min="11028" max="11028" width="26.7109375" style="2" customWidth="1"/>
    <col min="11029" max="11029" width="27.5703125" style="2" customWidth="1"/>
    <col min="11030" max="11031" width="27" style="2" customWidth="1"/>
    <col min="11032" max="11033" width="27.42578125" style="2" customWidth="1"/>
    <col min="11034" max="11034" width="28.28515625" style="2" customWidth="1"/>
    <col min="11035" max="11253" width="9.140625" style="2"/>
    <col min="11254" max="11254" width="0" style="2" hidden="1" customWidth="1"/>
    <col min="11255" max="11255" width="64.140625" style="2" customWidth="1"/>
    <col min="11256" max="11274" width="0" style="2" hidden="1" customWidth="1"/>
    <col min="11275" max="11275" width="27.85546875" style="2" customWidth="1"/>
    <col min="11276" max="11276" width="27" style="2" customWidth="1"/>
    <col min="11277" max="11277" width="28.7109375" style="2" customWidth="1"/>
    <col min="11278" max="11278" width="28.42578125" style="2" customWidth="1"/>
    <col min="11279" max="11279" width="28.28515625" style="2" customWidth="1"/>
    <col min="11280" max="11280" width="27.28515625" style="2" customWidth="1"/>
    <col min="11281" max="11281" width="26.140625" style="2" customWidth="1"/>
    <col min="11282" max="11282" width="25.28515625" style="2" customWidth="1"/>
    <col min="11283" max="11283" width="25.42578125" style="2" customWidth="1"/>
    <col min="11284" max="11284" width="26.7109375" style="2" customWidth="1"/>
    <col min="11285" max="11285" width="27.5703125" style="2" customWidth="1"/>
    <col min="11286" max="11287" width="27" style="2" customWidth="1"/>
    <col min="11288" max="11289" width="27.42578125" style="2" customWidth="1"/>
    <col min="11290" max="11290" width="28.28515625" style="2" customWidth="1"/>
    <col min="11291" max="11509" width="9.140625" style="2"/>
    <col min="11510" max="11510" width="0" style="2" hidden="1" customWidth="1"/>
    <col min="11511" max="11511" width="64.140625" style="2" customWidth="1"/>
    <col min="11512" max="11530" width="0" style="2" hidden="1" customWidth="1"/>
    <col min="11531" max="11531" width="27.85546875" style="2" customWidth="1"/>
    <col min="11532" max="11532" width="27" style="2" customWidth="1"/>
    <col min="11533" max="11533" width="28.7109375" style="2" customWidth="1"/>
    <col min="11534" max="11534" width="28.42578125" style="2" customWidth="1"/>
    <col min="11535" max="11535" width="28.28515625" style="2" customWidth="1"/>
    <col min="11536" max="11536" width="27.28515625" style="2" customWidth="1"/>
    <col min="11537" max="11537" width="26.140625" style="2" customWidth="1"/>
    <col min="11538" max="11538" width="25.28515625" style="2" customWidth="1"/>
    <col min="11539" max="11539" width="25.42578125" style="2" customWidth="1"/>
    <col min="11540" max="11540" width="26.7109375" style="2" customWidth="1"/>
    <col min="11541" max="11541" width="27.5703125" style="2" customWidth="1"/>
    <col min="11542" max="11543" width="27" style="2" customWidth="1"/>
    <col min="11544" max="11545" width="27.42578125" style="2" customWidth="1"/>
    <col min="11546" max="11546" width="28.28515625" style="2" customWidth="1"/>
    <col min="11547" max="11765" width="9.140625" style="2"/>
    <col min="11766" max="11766" width="0" style="2" hidden="1" customWidth="1"/>
    <col min="11767" max="11767" width="64.140625" style="2" customWidth="1"/>
    <col min="11768" max="11786" width="0" style="2" hidden="1" customWidth="1"/>
    <col min="11787" max="11787" width="27.85546875" style="2" customWidth="1"/>
    <col min="11788" max="11788" width="27" style="2" customWidth="1"/>
    <col min="11789" max="11789" width="28.7109375" style="2" customWidth="1"/>
    <col min="11790" max="11790" width="28.42578125" style="2" customWidth="1"/>
    <col min="11791" max="11791" width="28.28515625" style="2" customWidth="1"/>
    <col min="11792" max="11792" width="27.28515625" style="2" customWidth="1"/>
    <col min="11793" max="11793" width="26.140625" style="2" customWidth="1"/>
    <col min="11794" max="11794" width="25.28515625" style="2" customWidth="1"/>
    <col min="11795" max="11795" width="25.42578125" style="2" customWidth="1"/>
    <col min="11796" max="11796" width="26.7109375" style="2" customWidth="1"/>
    <col min="11797" max="11797" width="27.5703125" style="2" customWidth="1"/>
    <col min="11798" max="11799" width="27" style="2" customWidth="1"/>
    <col min="11800" max="11801" width="27.42578125" style="2" customWidth="1"/>
    <col min="11802" max="11802" width="28.28515625" style="2" customWidth="1"/>
    <col min="11803" max="12021" width="9.140625" style="2"/>
    <col min="12022" max="12022" width="0" style="2" hidden="1" customWidth="1"/>
    <col min="12023" max="12023" width="64.140625" style="2" customWidth="1"/>
    <col min="12024" max="12042" width="0" style="2" hidden="1" customWidth="1"/>
    <col min="12043" max="12043" width="27.85546875" style="2" customWidth="1"/>
    <col min="12044" max="12044" width="27" style="2" customWidth="1"/>
    <col min="12045" max="12045" width="28.7109375" style="2" customWidth="1"/>
    <col min="12046" max="12046" width="28.42578125" style="2" customWidth="1"/>
    <col min="12047" max="12047" width="28.28515625" style="2" customWidth="1"/>
    <col min="12048" max="12048" width="27.28515625" style="2" customWidth="1"/>
    <col min="12049" max="12049" width="26.140625" style="2" customWidth="1"/>
    <col min="12050" max="12050" width="25.28515625" style="2" customWidth="1"/>
    <col min="12051" max="12051" width="25.42578125" style="2" customWidth="1"/>
    <col min="12052" max="12052" width="26.7109375" style="2" customWidth="1"/>
    <col min="12053" max="12053" width="27.5703125" style="2" customWidth="1"/>
    <col min="12054" max="12055" width="27" style="2" customWidth="1"/>
    <col min="12056" max="12057" width="27.42578125" style="2" customWidth="1"/>
    <col min="12058" max="12058" width="28.28515625" style="2" customWidth="1"/>
    <col min="12059" max="12277" width="9.140625" style="2"/>
    <col min="12278" max="12278" width="0" style="2" hidden="1" customWidth="1"/>
    <col min="12279" max="12279" width="64.140625" style="2" customWidth="1"/>
    <col min="12280" max="12298" width="0" style="2" hidden="1" customWidth="1"/>
    <col min="12299" max="12299" width="27.85546875" style="2" customWidth="1"/>
    <col min="12300" max="12300" width="27" style="2" customWidth="1"/>
    <col min="12301" max="12301" width="28.7109375" style="2" customWidth="1"/>
    <col min="12302" max="12302" width="28.42578125" style="2" customWidth="1"/>
    <col min="12303" max="12303" width="28.28515625" style="2" customWidth="1"/>
    <col min="12304" max="12304" width="27.28515625" style="2" customWidth="1"/>
    <col min="12305" max="12305" width="26.140625" style="2" customWidth="1"/>
    <col min="12306" max="12306" width="25.28515625" style="2" customWidth="1"/>
    <col min="12307" max="12307" width="25.42578125" style="2" customWidth="1"/>
    <col min="12308" max="12308" width="26.7109375" style="2" customWidth="1"/>
    <col min="12309" max="12309" width="27.5703125" style="2" customWidth="1"/>
    <col min="12310" max="12311" width="27" style="2" customWidth="1"/>
    <col min="12312" max="12313" width="27.42578125" style="2" customWidth="1"/>
    <col min="12314" max="12314" width="28.28515625" style="2" customWidth="1"/>
    <col min="12315" max="12533" width="9.140625" style="2"/>
    <col min="12534" max="12534" width="0" style="2" hidden="1" customWidth="1"/>
    <col min="12535" max="12535" width="64.140625" style="2" customWidth="1"/>
    <col min="12536" max="12554" width="0" style="2" hidden="1" customWidth="1"/>
    <col min="12555" max="12555" width="27.85546875" style="2" customWidth="1"/>
    <col min="12556" max="12556" width="27" style="2" customWidth="1"/>
    <col min="12557" max="12557" width="28.7109375" style="2" customWidth="1"/>
    <col min="12558" max="12558" width="28.42578125" style="2" customWidth="1"/>
    <col min="12559" max="12559" width="28.28515625" style="2" customWidth="1"/>
    <col min="12560" max="12560" width="27.28515625" style="2" customWidth="1"/>
    <col min="12561" max="12561" width="26.140625" style="2" customWidth="1"/>
    <col min="12562" max="12562" width="25.28515625" style="2" customWidth="1"/>
    <col min="12563" max="12563" width="25.42578125" style="2" customWidth="1"/>
    <col min="12564" max="12564" width="26.7109375" style="2" customWidth="1"/>
    <col min="12565" max="12565" width="27.5703125" style="2" customWidth="1"/>
    <col min="12566" max="12567" width="27" style="2" customWidth="1"/>
    <col min="12568" max="12569" width="27.42578125" style="2" customWidth="1"/>
    <col min="12570" max="12570" width="28.28515625" style="2" customWidth="1"/>
    <col min="12571" max="12789" width="9.140625" style="2"/>
    <col min="12790" max="12790" width="0" style="2" hidden="1" customWidth="1"/>
    <col min="12791" max="12791" width="64.140625" style="2" customWidth="1"/>
    <col min="12792" max="12810" width="0" style="2" hidden="1" customWidth="1"/>
    <col min="12811" max="12811" width="27.85546875" style="2" customWidth="1"/>
    <col min="12812" max="12812" width="27" style="2" customWidth="1"/>
    <col min="12813" max="12813" width="28.7109375" style="2" customWidth="1"/>
    <col min="12814" max="12814" width="28.42578125" style="2" customWidth="1"/>
    <col min="12815" max="12815" width="28.28515625" style="2" customWidth="1"/>
    <col min="12816" max="12816" width="27.28515625" style="2" customWidth="1"/>
    <col min="12817" max="12817" width="26.140625" style="2" customWidth="1"/>
    <col min="12818" max="12818" width="25.28515625" style="2" customWidth="1"/>
    <col min="12819" max="12819" width="25.42578125" style="2" customWidth="1"/>
    <col min="12820" max="12820" width="26.7109375" style="2" customWidth="1"/>
    <col min="12821" max="12821" width="27.5703125" style="2" customWidth="1"/>
    <col min="12822" max="12823" width="27" style="2" customWidth="1"/>
    <col min="12824" max="12825" width="27.42578125" style="2" customWidth="1"/>
    <col min="12826" max="12826" width="28.28515625" style="2" customWidth="1"/>
    <col min="12827" max="13045" width="9.140625" style="2"/>
    <col min="13046" max="13046" width="0" style="2" hidden="1" customWidth="1"/>
    <col min="13047" max="13047" width="64.140625" style="2" customWidth="1"/>
    <col min="13048" max="13066" width="0" style="2" hidden="1" customWidth="1"/>
    <col min="13067" max="13067" width="27.85546875" style="2" customWidth="1"/>
    <col min="13068" max="13068" width="27" style="2" customWidth="1"/>
    <col min="13069" max="13069" width="28.7109375" style="2" customWidth="1"/>
    <col min="13070" max="13070" width="28.42578125" style="2" customWidth="1"/>
    <col min="13071" max="13071" width="28.28515625" style="2" customWidth="1"/>
    <col min="13072" max="13072" width="27.28515625" style="2" customWidth="1"/>
    <col min="13073" max="13073" width="26.140625" style="2" customWidth="1"/>
    <col min="13074" max="13074" width="25.28515625" style="2" customWidth="1"/>
    <col min="13075" max="13075" width="25.42578125" style="2" customWidth="1"/>
    <col min="13076" max="13076" width="26.7109375" style="2" customWidth="1"/>
    <col min="13077" max="13077" width="27.5703125" style="2" customWidth="1"/>
    <col min="13078" max="13079" width="27" style="2" customWidth="1"/>
    <col min="13080" max="13081" width="27.42578125" style="2" customWidth="1"/>
    <col min="13082" max="13082" width="28.28515625" style="2" customWidth="1"/>
    <col min="13083" max="13301" width="9.140625" style="2"/>
    <col min="13302" max="13302" width="0" style="2" hidden="1" customWidth="1"/>
    <col min="13303" max="13303" width="64.140625" style="2" customWidth="1"/>
    <col min="13304" max="13322" width="0" style="2" hidden="1" customWidth="1"/>
    <col min="13323" max="13323" width="27.85546875" style="2" customWidth="1"/>
    <col min="13324" max="13324" width="27" style="2" customWidth="1"/>
    <col min="13325" max="13325" width="28.7109375" style="2" customWidth="1"/>
    <col min="13326" max="13326" width="28.42578125" style="2" customWidth="1"/>
    <col min="13327" max="13327" width="28.28515625" style="2" customWidth="1"/>
    <col min="13328" max="13328" width="27.28515625" style="2" customWidth="1"/>
    <col min="13329" max="13329" width="26.140625" style="2" customWidth="1"/>
    <col min="13330" max="13330" width="25.28515625" style="2" customWidth="1"/>
    <col min="13331" max="13331" width="25.42578125" style="2" customWidth="1"/>
    <col min="13332" max="13332" width="26.7109375" style="2" customWidth="1"/>
    <col min="13333" max="13333" width="27.5703125" style="2" customWidth="1"/>
    <col min="13334" max="13335" width="27" style="2" customWidth="1"/>
    <col min="13336" max="13337" width="27.42578125" style="2" customWidth="1"/>
    <col min="13338" max="13338" width="28.28515625" style="2" customWidth="1"/>
    <col min="13339" max="13557" width="9.140625" style="2"/>
    <col min="13558" max="13558" width="0" style="2" hidden="1" customWidth="1"/>
    <col min="13559" max="13559" width="64.140625" style="2" customWidth="1"/>
    <col min="13560" max="13578" width="0" style="2" hidden="1" customWidth="1"/>
    <col min="13579" max="13579" width="27.85546875" style="2" customWidth="1"/>
    <col min="13580" max="13580" width="27" style="2" customWidth="1"/>
    <col min="13581" max="13581" width="28.7109375" style="2" customWidth="1"/>
    <col min="13582" max="13582" width="28.42578125" style="2" customWidth="1"/>
    <col min="13583" max="13583" width="28.28515625" style="2" customWidth="1"/>
    <col min="13584" max="13584" width="27.28515625" style="2" customWidth="1"/>
    <col min="13585" max="13585" width="26.140625" style="2" customWidth="1"/>
    <col min="13586" max="13586" width="25.28515625" style="2" customWidth="1"/>
    <col min="13587" max="13587" width="25.42578125" style="2" customWidth="1"/>
    <col min="13588" max="13588" width="26.7109375" style="2" customWidth="1"/>
    <col min="13589" max="13589" width="27.5703125" style="2" customWidth="1"/>
    <col min="13590" max="13591" width="27" style="2" customWidth="1"/>
    <col min="13592" max="13593" width="27.42578125" style="2" customWidth="1"/>
    <col min="13594" max="13594" width="28.28515625" style="2" customWidth="1"/>
    <col min="13595" max="13813" width="9.140625" style="2"/>
    <col min="13814" max="13814" width="0" style="2" hidden="1" customWidth="1"/>
    <col min="13815" max="13815" width="64.140625" style="2" customWidth="1"/>
    <col min="13816" max="13834" width="0" style="2" hidden="1" customWidth="1"/>
    <col min="13835" max="13835" width="27.85546875" style="2" customWidth="1"/>
    <col min="13836" max="13836" width="27" style="2" customWidth="1"/>
    <col min="13837" max="13837" width="28.7109375" style="2" customWidth="1"/>
    <col min="13838" max="13838" width="28.42578125" style="2" customWidth="1"/>
    <col min="13839" max="13839" width="28.28515625" style="2" customWidth="1"/>
    <col min="13840" max="13840" width="27.28515625" style="2" customWidth="1"/>
    <col min="13841" max="13841" width="26.140625" style="2" customWidth="1"/>
    <col min="13842" max="13842" width="25.28515625" style="2" customWidth="1"/>
    <col min="13843" max="13843" width="25.42578125" style="2" customWidth="1"/>
    <col min="13844" max="13844" width="26.7109375" style="2" customWidth="1"/>
    <col min="13845" max="13845" width="27.5703125" style="2" customWidth="1"/>
    <col min="13846" max="13847" width="27" style="2" customWidth="1"/>
    <col min="13848" max="13849" width="27.42578125" style="2" customWidth="1"/>
    <col min="13850" max="13850" width="28.28515625" style="2" customWidth="1"/>
    <col min="13851" max="14069" width="9.140625" style="2"/>
    <col min="14070" max="14070" width="0" style="2" hidden="1" customWidth="1"/>
    <col min="14071" max="14071" width="64.140625" style="2" customWidth="1"/>
    <col min="14072" max="14090" width="0" style="2" hidden="1" customWidth="1"/>
    <col min="14091" max="14091" width="27.85546875" style="2" customWidth="1"/>
    <col min="14092" max="14092" width="27" style="2" customWidth="1"/>
    <col min="14093" max="14093" width="28.7109375" style="2" customWidth="1"/>
    <col min="14094" max="14094" width="28.42578125" style="2" customWidth="1"/>
    <col min="14095" max="14095" width="28.28515625" style="2" customWidth="1"/>
    <col min="14096" max="14096" width="27.28515625" style="2" customWidth="1"/>
    <col min="14097" max="14097" width="26.140625" style="2" customWidth="1"/>
    <col min="14098" max="14098" width="25.28515625" style="2" customWidth="1"/>
    <col min="14099" max="14099" width="25.42578125" style="2" customWidth="1"/>
    <col min="14100" max="14100" width="26.7109375" style="2" customWidth="1"/>
    <col min="14101" max="14101" width="27.5703125" style="2" customWidth="1"/>
    <col min="14102" max="14103" width="27" style="2" customWidth="1"/>
    <col min="14104" max="14105" width="27.42578125" style="2" customWidth="1"/>
    <col min="14106" max="14106" width="28.28515625" style="2" customWidth="1"/>
    <col min="14107" max="14325" width="9.140625" style="2"/>
    <col min="14326" max="14326" width="0" style="2" hidden="1" customWidth="1"/>
    <col min="14327" max="14327" width="64.140625" style="2" customWidth="1"/>
    <col min="14328" max="14346" width="0" style="2" hidden="1" customWidth="1"/>
    <col min="14347" max="14347" width="27.85546875" style="2" customWidth="1"/>
    <col min="14348" max="14348" width="27" style="2" customWidth="1"/>
    <col min="14349" max="14349" width="28.7109375" style="2" customWidth="1"/>
    <col min="14350" max="14350" width="28.42578125" style="2" customWidth="1"/>
    <col min="14351" max="14351" width="28.28515625" style="2" customWidth="1"/>
    <col min="14352" max="14352" width="27.28515625" style="2" customWidth="1"/>
    <col min="14353" max="14353" width="26.140625" style="2" customWidth="1"/>
    <col min="14354" max="14354" width="25.28515625" style="2" customWidth="1"/>
    <col min="14355" max="14355" width="25.42578125" style="2" customWidth="1"/>
    <col min="14356" max="14356" width="26.7109375" style="2" customWidth="1"/>
    <col min="14357" max="14357" width="27.5703125" style="2" customWidth="1"/>
    <col min="14358" max="14359" width="27" style="2" customWidth="1"/>
    <col min="14360" max="14361" width="27.42578125" style="2" customWidth="1"/>
    <col min="14362" max="14362" width="28.28515625" style="2" customWidth="1"/>
    <col min="14363" max="14581" width="9.140625" style="2"/>
    <col min="14582" max="14582" width="0" style="2" hidden="1" customWidth="1"/>
    <col min="14583" max="14583" width="64.140625" style="2" customWidth="1"/>
    <col min="14584" max="14602" width="0" style="2" hidden="1" customWidth="1"/>
    <col min="14603" max="14603" width="27.85546875" style="2" customWidth="1"/>
    <col min="14604" max="14604" width="27" style="2" customWidth="1"/>
    <col min="14605" max="14605" width="28.7109375" style="2" customWidth="1"/>
    <col min="14606" max="14606" width="28.42578125" style="2" customWidth="1"/>
    <col min="14607" max="14607" width="28.28515625" style="2" customWidth="1"/>
    <col min="14608" max="14608" width="27.28515625" style="2" customWidth="1"/>
    <col min="14609" max="14609" width="26.140625" style="2" customWidth="1"/>
    <col min="14610" max="14610" width="25.28515625" style="2" customWidth="1"/>
    <col min="14611" max="14611" width="25.42578125" style="2" customWidth="1"/>
    <col min="14612" max="14612" width="26.7109375" style="2" customWidth="1"/>
    <col min="14613" max="14613" width="27.5703125" style="2" customWidth="1"/>
    <col min="14614" max="14615" width="27" style="2" customWidth="1"/>
    <col min="14616" max="14617" width="27.42578125" style="2" customWidth="1"/>
    <col min="14618" max="14618" width="28.28515625" style="2" customWidth="1"/>
    <col min="14619" max="14837" width="9.140625" style="2"/>
    <col min="14838" max="14838" width="0" style="2" hidden="1" customWidth="1"/>
    <col min="14839" max="14839" width="64.140625" style="2" customWidth="1"/>
    <col min="14840" max="14858" width="0" style="2" hidden="1" customWidth="1"/>
    <col min="14859" max="14859" width="27.85546875" style="2" customWidth="1"/>
    <col min="14860" max="14860" width="27" style="2" customWidth="1"/>
    <col min="14861" max="14861" width="28.7109375" style="2" customWidth="1"/>
    <col min="14862" max="14862" width="28.42578125" style="2" customWidth="1"/>
    <col min="14863" max="14863" width="28.28515625" style="2" customWidth="1"/>
    <col min="14864" max="14864" width="27.28515625" style="2" customWidth="1"/>
    <col min="14865" max="14865" width="26.140625" style="2" customWidth="1"/>
    <col min="14866" max="14866" width="25.28515625" style="2" customWidth="1"/>
    <col min="14867" max="14867" width="25.42578125" style="2" customWidth="1"/>
    <col min="14868" max="14868" width="26.7109375" style="2" customWidth="1"/>
    <col min="14869" max="14869" width="27.5703125" style="2" customWidth="1"/>
    <col min="14870" max="14871" width="27" style="2" customWidth="1"/>
    <col min="14872" max="14873" width="27.42578125" style="2" customWidth="1"/>
    <col min="14874" max="14874" width="28.28515625" style="2" customWidth="1"/>
    <col min="14875" max="15093" width="9.140625" style="2"/>
    <col min="15094" max="15094" width="0" style="2" hidden="1" customWidth="1"/>
    <col min="15095" max="15095" width="64.140625" style="2" customWidth="1"/>
    <col min="15096" max="15114" width="0" style="2" hidden="1" customWidth="1"/>
    <col min="15115" max="15115" width="27.85546875" style="2" customWidth="1"/>
    <col min="15116" max="15116" width="27" style="2" customWidth="1"/>
    <col min="15117" max="15117" width="28.7109375" style="2" customWidth="1"/>
    <col min="15118" max="15118" width="28.42578125" style="2" customWidth="1"/>
    <col min="15119" max="15119" width="28.28515625" style="2" customWidth="1"/>
    <col min="15120" max="15120" width="27.28515625" style="2" customWidth="1"/>
    <col min="15121" max="15121" width="26.140625" style="2" customWidth="1"/>
    <col min="15122" max="15122" width="25.28515625" style="2" customWidth="1"/>
    <col min="15123" max="15123" width="25.42578125" style="2" customWidth="1"/>
    <col min="15124" max="15124" width="26.7109375" style="2" customWidth="1"/>
    <col min="15125" max="15125" width="27.5703125" style="2" customWidth="1"/>
    <col min="15126" max="15127" width="27" style="2" customWidth="1"/>
    <col min="15128" max="15129" width="27.42578125" style="2" customWidth="1"/>
    <col min="15130" max="15130" width="28.28515625" style="2" customWidth="1"/>
    <col min="15131" max="15349" width="9.140625" style="2"/>
    <col min="15350" max="15350" width="0" style="2" hidden="1" customWidth="1"/>
    <col min="15351" max="15351" width="64.140625" style="2" customWidth="1"/>
    <col min="15352" max="15370" width="0" style="2" hidden="1" customWidth="1"/>
    <col min="15371" max="15371" width="27.85546875" style="2" customWidth="1"/>
    <col min="15372" max="15372" width="27" style="2" customWidth="1"/>
    <col min="15373" max="15373" width="28.7109375" style="2" customWidth="1"/>
    <col min="15374" max="15374" width="28.42578125" style="2" customWidth="1"/>
    <col min="15375" max="15375" width="28.28515625" style="2" customWidth="1"/>
    <col min="15376" max="15376" width="27.28515625" style="2" customWidth="1"/>
    <col min="15377" max="15377" width="26.140625" style="2" customWidth="1"/>
    <col min="15378" max="15378" width="25.28515625" style="2" customWidth="1"/>
    <col min="15379" max="15379" width="25.42578125" style="2" customWidth="1"/>
    <col min="15380" max="15380" width="26.7109375" style="2" customWidth="1"/>
    <col min="15381" max="15381" width="27.5703125" style="2" customWidth="1"/>
    <col min="15382" max="15383" width="27" style="2" customWidth="1"/>
    <col min="15384" max="15385" width="27.42578125" style="2" customWidth="1"/>
    <col min="15386" max="15386" width="28.28515625" style="2" customWidth="1"/>
    <col min="15387" max="15605" width="9.140625" style="2"/>
    <col min="15606" max="15606" width="0" style="2" hidden="1" customWidth="1"/>
    <col min="15607" max="15607" width="64.140625" style="2" customWidth="1"/>
    <col min="15608" max="15626" width="0" style="2" hidden="1" customWidth="1"/>
    <col min="15627" max="15627" width="27.85546875" style="2" customWidth="1"/>
    <col min="15628" max="15628" width="27" style="2" customWidth="1"/>
    <col min="15629" max="15629" width="28.7109375" style="2" customWidth="1"/>
    <col min="15630" max="15630" width="28.42578125" style="2" customWidth="1"/>
    <col min="15631" max="15631" width="28.28515625" style="2" customWidth="1"/>
    <col min="15632" max="15632" width="27.28515625" style="2" customWidth="1"/>
    <col min="15633" max="15633" width="26.140625" style="2" customWidth="1"/>
    <col min="15634" max="15634" width="25.28515625" style="2" customWidth="1"/>
    <col min="15635" max="15635" width="25.42578125" style="2" customWidth="1"/>
    <col min="15636" max="15636" width="26.7109375" style="2" customWidth="1"/>
    <col min="15637" max="15637" width="27.5703125" style="2" customWidth="1"/>
    <col min="15638" max="15639" width="27" style="2" customWidth="1"/>
    <col min="15640" max="15641" width="27.42578125" style="2" customWidth="1"/>
    <col min="15642" max="15642" width="28.28515625" style="2" customWidth="1"/>
    <col min="15643" max="15861" width="9.140625" style="2"/>
    <col min="15862" max="15862" width="0" style="2" hidden="1" customWidth="1"/>
    <col min="15863" max="15863" width="64.140625" style="2" customWidth="1"/>
    <col min="15864" max="15882" width="0" style="2" hidden="1" customWidth="1"/>
    <col min="15883" max="15883" width="27.85546875" style="2" customWidth="1"/>
    <col min="15884" max="15884" width="27" style="2" customWidth="1"/>
    <col min="15885" max="15885" width="28.7109375" style="2" customWidth="1"/>
    <col min="15886" max="15886" width="28.42578125" style="2" customWidth="1"/>
    <col min="15887" max="15887" width="28.28515625" style="2" customWidth="1"/>
    <col min="15888" max="15888" width="27.28515625" style="2" customWidth="1"/>
    <col min="15889" max="15889" width="26.140625" style="2" customWidth="1"/>
    <col min="15890" max="15890" width="25.28515625" style="2" customWidth="1"/>
    <col min="15891" max="15891" width="25.42578125" style="2" customWidth="1"/>
    <col min="15892" max="15892" width="26.7109375" style="2" customWidth="1"/>
    <col min="15893" max="15893" width="27.5703125" style="2" customWidth="1"/>
    <col min="15894" max="15895" width="27" style="2" customWidth="1"/>
    <col min="15896" max="15897" width="27.42578125" style="2" customWidth="1"/>
    <col min="15898" max="15898" width="28.28515625" style="2" customWidth="1"/>
    <col min="15899" max="16117" width="9.140625" style="2"/>
    <col min="16118" max="16118" width="0" style="2" hidden="1" customWidth="1"/>
    <col min="16119" max="16119" width="64.140625" style="2" customWidth="1"/>
    <col min="16120" max="16138" width="0" style="2" hidden="1" customWidth="1"/>
    <col min="16139" max="16139" width="27.85546875" style="2" customWidth="1"/>
    <col min="16140" max="16140" width="27" style="2" customWidth="1"/>
    <col min="16141" max="16141" width="28.7109375" style="2" customWidth="1"/>
    <col min="16142" max="16142" width="28.42578125" style="2" customWidth="1"/>
    <col min="16143" max="16143" width="28.28515625" style="2" customWidth="1"/>
    <col min="16144" max="16144" width="27.28515625" style="2" customWidth="1"/>
    <col min="16145" max="16145" width="26.140625" style="2" customWidth="1"/>
    <col min="16146" max="16146" width="25.28515625" style="2" customWidth="1"/>
    <col min="16147" max="16147" width="25.42578125" style="2" customWidth="1"/>
    <col min="16148" max="16148" width="26.7109375" style="2" customWidth="1"/>
    <col min="16149" max="16149" width="27.5703125" style="2" customWidth="1"/>
    <col min="16150" max="16151" width="27" style="2" customWidth="1"/>
    <col min="16152" max="16153" width="27.42578125" style="2" customWidth="1"/>
    <col min="16154" max="16154" width="28.28515625" style="2" customWidth="1"/>
    <col min="16155" max="16384" width="9.140625" style="2"/>
  </cols>
  <sheetData>
    <row r="1" spans="1:40" ht="69.75" customHeight="1">
      <c r="AJ1" s="77"/>
      <c r="AK1" s="77"/>
      <c r="AL1" s="167" t="s">
        <v>278</v>
      </c>
      <c r="AM1" s="159"/>
    </row>
    <row r="2" spans="1:40" ht="23.25" customHeight="1"/>
    <row r="3" spans="1:40" ht="72.75" customHeight="1">
      <c r="A3" s="1" t="s">
        <v>0</v>
      </c>
      <c r="B3" s="158" t="s">
        <v>328</v>
      </c>
      <c r="C3" s="159"/>
      <c r="D3" s="159"/>
      <c r="E3" s="159"/>
      <c r="F3" s="159"/>
      <c r="G3" s="159"/>
      <c r="H3" s="159"/>
      <c r="I3" s="159"/>
      <c r="J3" s="159"/>
      <c r="K3" s="159"/>
      <c r="L3" s="159"/>
      <c r="M3" s="159"/>
      <c r="N3" s="159"/>
      <c r="O3" s="159"/>
      <c r="P3" s="159"/>
      <c r="Q3" s="159"/>
      <c r="R3" s="159"/>
      <c r="S3" s="159"/>
      <c r="T3" s="159"/>
      <c r="U3" s="159"/>
      <c r="V3" s="159"/>
      <c r="W3" s="159"/>
      <c r="X3" s="159"/>
      <c r="Y3" s="159"/>
      <c r="Z3" s="159"/>
      <c r="AA3" s="159"/>
      <c r="AB3" s="159"/>
      <c r="AC3" s="159"/>
      <c r="AD3" s="159"/>
      <c r="AE3" s="159"/>
      <c r="AF3" s="159"/>
      <c r="AG3" s="159"/>
      <c r="AH3" s="159"/>
      <c r="AI3" s="159"/>
      <c r="AJ3" s="159"/>
      <c r="AK3" s="159"/>
      <c r="AL3" s="159"/>
      <c r="AM3" s="159"/>
    </row>
    <row r="4" spans="1:40" ht="30.75" customHeight="1">
      <c r="A4" s="1"/>
      <c r="B4" s="61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62"/>
      <c r="Z4" s="62"/>
      <c r="AA4" s="62"/>
      <c r="AB4" s="62"/>
      <c r="AC4" s="62"/>
      <c r="AD4" s="62"/>
      <c r="AE4" s="62"/>
      <c r="AF4" s="62"/>
      <c r="AG4" s="62"/>
      <c r="AH4" s="62"/>
      <c r="AI4" s="62"/>
      <c r="AJ4" s="62"/>
      <c r="AK4" s="62"/>
      <c r="AL4" s="62"/>
      <c r="AM4" s="62"/>
    </row>
    <row r="5" spans="1:40" ht="21" thickBot="1">
      <c r="A5" s="5"/>
      <c r="B5" s="6"/>
      <c r="C5" s="6"/>
      <c r="D5" s="7"/>
      <c r="E5" s="6"/>
      <c r="G5" s="9"/>
      <c r="H5" s="9"/>
      <c r="I5" s="9"/>
      <c r="J5" s="9"/>
      <c r="K5" s="9"/>
      <c r="L5" s="9"/>
      <c r="M5" s="10"/>
      <c r="N5" s="11"/>
      <c r="U5" s="11"/>
      <c r="X5" s="3">
        <f>W110-AE110</f>
        <v>3314359.0099999993</v>
      </c>
      <c r="AC5" s="13"/>
      <c r="AF5" s="3">
        <f>AC9+AF9</f>
        <v>8994473474.4099998</v>
      </c>
      <c r="AM5" s="78" t="s">
        <v>279</v>
      </c>
    </row>
    <row r="6" spans="1:40" ht="34.9" customHeight="1" thickBot="1">
      <c r="A6" s="5"/>
      <c r="B6" s="160" t="s">
        <v>1</v>
      </c>
      <c r="C6" s="161" t="s">
        <v>2</v>
      </c>
      <c r="D6" s="161" t="s">
        <v>3</v>
      </c>
      <c r="E6" s="162" t="s">
        <v>4</v>
      </c>
      <c r="F6" s="162"/>
      <c r="G6" s="162"/>
      <c r="H6" s="162"/>
      <c r="I6" s="162"/>
      <c r="J6" s="162"/>
      <c r="K6" s="162"/>
      <c r="L6" s="162" t="s">
        <v>5</v>
      </c>
      <c r="M6" s="157" t="s">
        <v>6</v>
      </c>
      <c r="N6" s="157" t="s">
        <v>7</v>
      </c>
      <c r="O6" s="33"/>
      <c r="P6" s="33"/>
      <c r="Q6" s="33"/>
      <c r="R6" s="33"/>
      <c r="S6" s="33"/>
      <c r="T6" s="33"/>
      <c r="U6" s="157" t="s">
        <v>8</v>
      </c>
      <c r="V6" s="164" t="s">
        <v>9</v>
      </c>
      <c r="W6" s="161" t="s">
        <v>10</v>
      </c>
      <c r="X6" s="162" t="s">
        <v>4</v>
      </c>
      <c r="Y6" s="162"/>
      <c r="Z6" s="162"/>
      <c r="AA6" s="162"/>
      <c r="AB6" s="162"/>
      <c r="AC6" s="162"/>
      <c r="AD6" s="162"/>
      <c r="AE6" s="162" t="s">
        <v>5</v>
      </c>
      <c r="AF6" s="157" t="s">
        <v>11</v>
      </c>
      <c r="AG6" s="166" t="s">
        <v>12</v>
      </c>
      <c r="AH6" s="157" t="s">
        <v>8</v>
      </c>
      <c r="AI6" s="164" t="s">
        <v>272</v>
      </c>
      <c r="AJ6" s="164" t="s">
        <v>273</v>
      </c>
      <c r="AK6" s="164" t="s">
        <v>242</v>
      </c>
      <c r="AL6" s="168" t="s">
        <v>274</v>
      </c>
      <c r="AM6" s="168"/>
    </row>
    <row r="7" spans="1:40" ht="125.25" customHeight="1" thickBot="1">
      <c r="A7" s="14" t="s">
        <v>13</v>
      </c>
      <c r="B7" s="160"/>
      <c r="C7" s="161"/>
      <c r="D7" s="161"/>
      <c r="E7" s="154" t="s">
        <v>14</v>
      </c>
      <c r="F7" s="154" t="s">
        <v>15</v>
      </c>
      <c r="G7" s="154" t="s">
        <v>16</v>
      </c>
      <c r="H7" s="106" t="s">
        <v>17</v>
      </c>
      <c r="I7" s="154" t="s">
        <v>18</v>
      </c>
      <c r="J7" s="154" t="s">
        <v>19</v>
      </c>
      <c r="K7" s="154" t="s">
        <v>20</v>
      </c>
      <c r="L7" s="163"/>
      <c r="M7" s="157"/>
      <c r="N7" s="157"/>
      <c r="O7" s="33"/>
      <c r="P7" s="33"/>
      <c r="Q7" s="33"/>
      <c r="R7" s="33"/>
      <c r="S7" s="33"/>
      <c r="T7" s="33"/>
      <c r="U7" s="157"/>
      <c r="V7" s="165"/>
      <c r="W7" s="161"/>
      <c r="X7" s="154" t="s">
        <v>21</v>
      </c>
      <c r="Y7" s="154" t="s">
        <v>15</v>
      </c>
      <c r="Z7" s="154" t="s">
        <v>16</v>
      </c>
      <c r="AA7" s="106" t="s">
        <v>17</v>
      </c>
      <c r="AB7" s="154" t="s">
        <v>18</v>
      </c>
      <c r="AC7" s="154" t="s">
        <v>22</v>
      </c>
      <c r="AD7" s="154" t="s">
        <v>20</v>
      </c>
      <c r="AE7" s="163"/>
      <c r="AF7" s="157"/>
      <c r="AG7" s="166"/>
      <c r="AH7" s="157"/>
      <c r="AI7" s="165"/>
      <c r="AJ7" s="165"/>
      <c r="AK7" s="165"/>
      <c r="AL7" s="154" t="s">
        <v>280</v>
      </c>
      <c r="AM7" s="154" t="s">
        <v>327</v>
      </c>
      <c r="AN7" s="3" t="e">
        <f>#REF!+#REF!</f>
        <v>#REF!</v>
      </c>
    </row>
    <row r="8" spans="1:40" ht="15.75" thickBot="1">
      <c r="A8" s="15">
        <v>1</v>
      </c>
      <c r="B8" s="107">
        <v>1</v>
      </c>
      <c r="C8" s="108">
        <v>2</v>
      </c>
      <c r="D8" s="108">
        <v>3</v>
      </c>
      <c r="E8" s="108">
        <v>4</v>
      </c>
      <c r="F8" s="109">
        <v>5</v>
      </c>
      <c r="G8" s="110">
        <v>6</v>
      </c>
      <c r="H8" s="110">
        <v>7</v>
      </c>
      <c r="I8" s="110">
        <v>6</v>
      </c>
      <c r="J8" s="110">
        <v>7</v>
      </c>
      <c r="K8" s="110" t="s">
        <v>23</v>
      </c>
      <c r="L8" s="110"/>
      <c r="M8" s="111">
        <v>8</v>
      </c>
      <c r="N8" s="111">
        <v>9</v>
      </c>
      <c r="O8" s="33"/>
      <c r="P8" s="33"/>
      <c r="Q8" s="33"/>
      <c r="R8" s="33"/>
      <c r="S8" s="33"/>
      <c r="T8" s="33"/>
      <c r="U8" s="111">
        <v>10</v>
      </c>
      <c r="V8" s="111">
        <v>2</v>
      </c>
      <c r="W8" s="112">
        <v>3</v>
      </c>
      <c r="X8" s="112">
        <v>4</v>
      </c>
      <c r="Y8" s="112">
        <v>5</v>
      </c>
      <c r="Z8" s="112">
        <v>6</v>
      </c>
      <c r="AA8" s="112">
        <v>7</v>
      </c>
      <c r="AB8" s="112">
        <v>8</v>
      </c>
      <c r="AC8" s="112">
        <v>9</v>
      </c>
      <c r="AD8" s="112">
        <v>10</v>
      </c>
      <c r="AE8" s="112">
        <v>11</v>
      </c>
      <c r="AF8" s="112">
        <v>12</v>
      </c>
      <c r="AG8" s="113">
        <v>13</v>
      </c>
      <c r="AH8" s="112">
        <v>14</v>
      </c>
      <c r="AI8" s="112">
        <v>2</v>
      </c>
      <c r="AJ8" s="112">
        <v>3</v>
      </c>
      <c r="AK8" s="112"/>
      <c r="AL8" s="114">
        <v>4</v>
      </c>
      <c r="AM8" s="114">
        <v>5</v>
      </c>
    </row>
    <row r="9" spans="1:40" ht="87.6" customHeight="1">
      <c r="A9" s="16"/>
      <c r="B9" s="73" t="s">
        <v>24</v>
      </c>
      <c r="C9" s="115">
        <f>C26+C29+C45+C76+C110+C112+C154+C163+C173+C207+C237+C86+C220+C234</f>
        <v>796979177.50999999</v>
      </c>
      <c r="D9" s="115">
        <f>D26+D29+D45+D76+D110+D112+D154+D163+D173+D207+D237+D86+D220+D234</f>
        <v>359849273.34000003</v>
      </c>
      <c r="E9" s="115">
        <f>E26+E29+E45+E76+E110+E112+E154+E163+E173+E207+E237+E86+E220+E234</f>
        <v>416445327.88000005</v>
      </c>
      <c r="F9" s="115">
        <f t="shared" ref="F9:L9" si="0">F26+F29+F45+F76+F110+F112+F154+F163+F169+F173+F207+F237+F86+F220+F228+F234</f>
        <v>433557234.33000004</v>
      </c>
      <c r="G9" s="115">
        <f t="shared" si="0"/>
        <v>48145049.399999999</v>
      </c>
      <c r="H9" s="115">
        <f t="shared" si="0"/>
        <v>0</v>
      </c>
      <c r="I9" s="115">
        <f t="shared" si="0"/>
        <v>445259946.35000002</v>
      </c>
      <c r="J9" s="115">
        <f t="shared" si="0"/>
        <v>272597993.50999999</v>
      </c>
      <c r="K9" s="115">
        <f t="shared" si="0"/>
        <v>19231253.32</v>
      </c>
      <c r="L9" s="115">
        <f t="shared" si="0"/>
        <v>31088442.34</v>
      </c>
      <c r="M9" s="115">
        <f t="shared" ref="M9:AE9" si="1">M26+M29+M45+M76+M110+M112+M154+M163+M169+M173+M207+M237+M86+M220+M228+M230+M234</f>
        <v>9435030168.7600002</v>
      </c>
      <c r="N9" s="115">
        <f t="shared" si="1"/>
        <v>20368872.259999998</v>
      </c>
      <c r="O9" s="115">
        <f t="shared" si="1"/>
        <v>0</v>
      </c>
      <c r="P9" s="115">
        <f t="shared" si="1"/>
        <v>0</v>
      </c>
      <c r="Q9" s="115">
        <f t="shared" si="1"/>
        <v>0</v>
      </c>
      <c r="R9" s="115">
        <f t="shared" si="1"/>
        <v>0</v>
      </c>
      <c r="S9" s="115">
        <f t="shared" si="1"/>
        <v>0</v>
      </c>
      <c r="T9" s="115">
        <f t="shared" si="1"/>
        <v>0</v>
      </c>
      <c r="U9" s="115">
        <f t="shared" si="1"/>
        <v>7296840413.9399996</v>
      </c>
      <c r="V9" s="115">
        <f t="shared" si="1"/>
        <v>2845201552.3099999</v>
      </c>
      <c r="W9" s="115">
        <f t="shared" si="1"/>
        <v>105270141.47000003</v>
      </c>
      <c r="X9" s="115">
        <f t="shared" si="1"/>
        <v>2950471693.7800007</v>
      </c>
      <c r="Y9" s="115">
        <f t="shared" si="1"/>
        <v>2953602273.3100009</v>
      </c>
      <c r="Z9" s="115">
        <f t="shared" si="1"/>
        <v>2540904432.27</v>
      </c>
      <c r="AA9" s="115">
        <f t="shared" si="1"/>
        <v>2252285721.1099997</v>
      </c>
      <c r="AB9" s="115">
        <f t="shared" si="1"/>
        <v>-2937714.9500000705</v>
      </c>
      <c r="AC9" s="115">
        <f t="shared" si="1"/>
        <v>2249464302.4799995</v>
      </c>
      <c r="AD9" s="115">
        <f t="shared" si="1"/>
        <v>2821418.63</v>
      </c>
      <c r="AE9" s="115">
        <f t="shared" si="1"/>
        <v>95716988.279999986</v>
      </c>
      <c r="AF9" s="115">
        <f>AF26+AF29+AF45+AF76+AF110+AF112+AF154+AF163+AF169+AF173+AF207+AF237+AF86+AF220+AF228+AF230+AF234+AF208</f>
        <v>6745009171.9300003</v>
      </c>
      <c r="AG9" s="115">
        <f>AG26+AG29+AG45+AG76+AG110+AG112+AG154+AG163+AG169+AG173+AG207+AG237+AG86+AG220+AG228+AG230+AG234+AG208</f>
        <v>15724355.829999998</v>
      </c>
      <c r="AH9" s="115">
        <f>AH26+AH29+AH45+AH76+AH110+AH112+AH154+AH163+AH169+AH173+AH207+AH237+AH86+AH220+AH228+AH230+AH234+AH208</f>
        <v>8745166792.3100014</v>
      </c>
      <c r="AI9" s="115">
        <f>AI26+AI29+AI45+AI76+AI110+AI112+AI154+AI163+AI169+AI173+AI207+AI237+AI86+AI220+AI228+AI230+AI234+AI208+AI232</f>
        <v>286708960.94</v>
      </c>
      <c r="AJ9" s="115">
        <f>AJ26+AJ29+AJ45+AJ76+AJ110+AJ112+AJ154+AJ163+AJ169+AJ173+AJ207+AJ237+AJ86+AJ220+AJ228+AJ230+AJ234+AJ208</f>
        <v>13964878.149999999</v>
      </c>
      <c r="AK9" s="115">
        <f>AK26+AK29+AK45+AK76+AK110+AK112+AK154+AK163+AK169+AK173+AK207+AK237+AK86+AK220+AK228+AK230+AK234+AK208</f>
        <v>0</v>
      </c>
      <c r="AL9" s="115">
        <f>AL26+AL29+AL45+AL76+AL110+AL112+AL154+AL163+AL169+AL173+AL207+AL237+AL86+AL220+AL228+AL230+AL234+AL208+AL232</f>
        <v>300673839.02999997</v>
      </c>
      <c r="AM9" s="115">
        <f>AM26+AM29+AM45+AM76+AM110+AM112+AM154+AM163+AM169+AM173+AM207+AM237+AM86+AM220+AM228+AM230+AM234+AM208+AM232</f>
        <v>300650188.97000003</v>
      </c>
      <c r="AN9" s="59" t="e">
        <f>#REF!+#REF!</f>
        <v>#REF!</v>
      </c>
    </row>
    <row r="10" spans="1:40" ht="27" customHeight="1">
      <c r="A10" s="16"/>
      <c r="B10" s="116" t="s">
        <v>25</v>
      </c>
      <c r="C10" s="73"/>
      <c r="D10" s="73"/>
      <c r="E10" s="73"/>
      <c r="F10" s="73"/>
      <c r="G10" s="73"/>
      <c r="H10" s="73"/>
      <c r="I10" s="73"/>
      <c r="J10" s="73"/>
      <c r="K10" s="73"/>
      <c r="L10" s="73"/>
      <c r="M10" s="65"/>
      <c r="N10" s="65"/>
      <c r="O10" s="65"/>
      <c r="P10" s="65"/>
      <c r="Q10" s="65"/>
      <c r="R10" s="65"/>
      <c r="S10" s="65"/>
      <c r="T10" s="65"/>
      <c r="U10" s="30"/>
      <c r="V10" s="30"/>
      <c r="W10" s="65"/>
      <c r="X10" s="65"/>
      <c r="Y10" s="65"/>
      <c r="Z10" s="65"/>
      <c r="AA10" s="65"/>
      <c r="AB10" s="30">
        <f t="shared" ref="AB10:AB24" si="2">X10-Y10</f>
        <v>0</v>
      </c>
      <c r="AC10" s="65"/>
      <c r="AD10" s="65"/>
      <c r="AE10" s="65"/>
      <c r="AF10" s="65"/>
      <c r="AG10" s="65"/>
      <c r="AH10" s="65"/>
      <c r="AI10" s="30"/>
      <c r="AJ10" s="30"/>
      <c r="AK10" s="30"/>
      <c r="AL10" s="60"/>
      <c r="AM10" s="60"/>
    </row>
    <row r="11" spans="1:40" ht="33" hidden="1" customHeight="1">
      <c r="A11" s="17" t="s">
        <v>26</v>
      </c>
      <c r="B11" s="117"/>
      <c r="C11" s="30">
        <v>0</v>
      </c>
      <c r="D11" s="30"/>
      <c r="E11" s="30"/>
      <c r="F11" s="30"/>
      <c r="G11" s="30"/>
      <c r="H11" s="30"/>
      <c r="I11" s="30"/>
      <c r="J11" s="30"/>
      <c r="K11" s="30"/>
      <c r="L11" s="30"/>
      <c r="M11" s="65"/>
      <c r="N11" s="65"/>
      <c r="O11" s="65"/>
      <c r="P11" s="65"/>
      <c r="Q11" s="65"/>
      <c r="R11" s="65"/>
      <c r="S11" s="65"/>
      <c r="T11" s="65"/>
      <c r="U11" s="30"/>
      <c r="V11" s="65"/>
      <c r="W11" s="65"/>
      <c r="X11" s="65"/>
      <c r="Y11" s="65"/>
      <c r="Z11" s="65"/>
      <c r="AA11" s="65"/>
      <c r="AB11" s="30">
        <f t="shared" si="2"/>
        <v>0</v>
      </c>
      <c r="AC11" s="65"/>
      <c r="AD11" s="65"/>
      <c r="AE11" s="65"/>
      <c r="AF11" s="65"/>
      <c r="AG11" s="65"/>
      <c r="AH11" s="65"/>
      <c r="AI11" s="30">
        <f>AB11+AC11+AF11+AG11-AH11-AE11</f>
        <v>0</v>
      </c>
      <c r="AJ11" s="30">
        <f>AC11+AD11+AG11+AH11-AI11-AF11</f>
        <v>0</v>
      </c>
      <c r="AK11" s="30"/>
      <c r="AL11" s="60"/>
      <c r="AM11" s="60"/>
    </row>
    <row r="12" spans="1:40" ht="38.25" hidden="1" customHeight="1">
      <c r="A12" s="17"/>
      <c r="B12" s="117"/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65"/>
      <c r="N12" s="65"/>
      <c r="O12" s="65"/>
      <c r="P12" s="65"/>
      <c r="Q12" s="65"/>
      <c r="R12" s="65"/>
      <c r="S12" s="65"/>
      <c r="T12" s="65"/>
      <c r="U12" s="30"/>
      <c r="V12" s="65"/>
      <c r="W12" s="65"/>
      <c r="X12" s="65"/>
      <c r="Y12" s="65"/>
      <c r="Z12" s="65"/>
      <c r="AA12" s="65"/>
      <c r="AB12" s="30">
        <f t="shared" si="2"/>
        <v>0</v>
      </c>
      <c r="AC12" s="65"/>
      <c r="AD12" s="65"/>
      <c r="AE12" s="65"/>
      <c r="AF12" s="65"/>
      <c r="AG12" s="65"/>
      <c r="AH12" s="65"/>
      <c r="AI12" s="30">
        <f>AB12+AC12+AF12+AG12-AH12-AE12</f>
        <v>0</v>
      </c>
      <c r="AJ12" s="30">
        <f>AC12+AD12+AG12+AH12-AI12-AF12</f>
        <v>0</v>
      </c>
      <c r="AK12" s="30"/>
      <c r="AL12" s="60"/>
      <c r="AM12" s="60"/>
    </row>
    <row r="13" spans="1:40" ht="98.25" hidden="1" customHeight="1">
      <c r="A13" s="17"/>
      <c r="B13" s="118" t="s">
        <v>245</v>
      </c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65"/>
      <c r="N13" s="65"/>
      <c r="O13" s="65"/>
      <c r="P13" s="65"/>
      <c r="Q13" s="65"/>
      <c r="R13" s="65"/>
      <c r="S13" s="65"/>
      <c r="T13" s="65"/>
      <c r="U13" s="30"/>
      <c r="V13" s="65"/>
      <c r="W13" s="65"/>
      <c r="X13" s="65"/>
      <c r="Y13" s="65"/>
      <c r="Z13" s="65"/>
      <c r="AA13" s="65"/>
      <c r="AB13" s="30"/>
      <c r="AC13" s="65"/>
      <c r="AD13" s="65"/>
      <c r="AE13" s="65"/>
      <c r="AF13" s="65"/>
      <c r="AG13" s="65"/>
      <c r="AH13" s="65"/>
      <c r="AI13" s="30"/>
      <c r="AJ13" s="30"/>
      <c r="AK13" s="30"/>
      <c r="AL13" s="54">
        <f t="shared" ref="AL13" si="3">AI13+AJ13</f>
        <v>0</v>
      </c>
      <c r="AM13" s="60"/>
    </row>
    <row r="14" spans="1:40" ht="71.25" hidden="1" customHeight="1">
      <c r="A14" s="17"/>
      <c r="B14" s="63" t="s">
        <v>28</v>
      </c>
      <c r="C14" s="30">
        <v>87521100</v>
      </c>
      <c r="D14" s="30"/>
      <c r="E14" s="30"/>
      <c r="F14" s="30"/>
      <c r="G14" s="30"/>
      <c r="H14" s="30"/>
      <c r="I14" s="30">
        <f>C14</f>
        <v>87521100</v>
      </c>
      <c r="J14" s="30"/>
      <c r="K14" s="30"/>
      <c r="L14" s="30"/>
      <c r="M14" s="30">
        <f>48000000+16000000+16000000+14435300</f>
        <v>94435300</v>
      </c>
      <c r="N14" s="65"/>
      <c r="O14" s="65"/>
      <c r="P14" s="65"/>
      <c r="Q14" s="65"/>
      <c r="R14" s="65"/>
      <c r="S14" s="65"/>
      <c r="T14" s="65"/>
      <c r="U14" s="30">
        <v>179679180.74000001</v>
      </c>
      <c r="V14" s="30">
        <f t="shared" ref="V14:V24" si="4">I14+J14+M14+N14-U14</f>
        <v>2277219.2599999905</v>
      </c>
      <c r="W14" s="65"/>
      <c r="X14" s="30">
        <f t="shared" ref="X14:X24" si="5">V14+W14</f>
        <v>2277219.2599999905</v>
      </c>
      <c r="Y14" s="30">
        <f>2277219.26</f>
        <v>2277219.2599999998</v>
      </c>
      <c r="Z14" s="30">
        <v>2277219.2599999998</v>
      </c>
      <c r="AA14" s="30">
        <v>2277219.2599999998</v>
      </c>
      <c r="AB14" s="30">
        <f t="shared" si="2"/>
        <v>-9.3132257461547852E-9</v>
      </c>
      <c r="AC14" s="30">
        <v>2277219.2599999998</v>
      </c>
      <c r="AD14" s="30">
        <f>Z14-AA14</f>
        <v>0</v>
      </c>
      <c r="AE14" s="65"/>
      <c r="AF14" s="65"/>
      <c r="AG14" s="65"/>
      <c r="AH14" s="30">
        <v>2277219.2599999998</v>
      </c>
      <c r="AI14" s="30">
        <f>V14+W14-Y14+AC14-AE14+AF14+AG14-AH14</f>
        <v>-9.3132257461547852E-9</v>
      </c>
      <c r="AJ14" s="30">
        <v>0</v>
      </c>
      <c r="AK14" s="30"/>
      <c r="AL14" s="54">
        <f>AI14+AJ14</f>
        <v>-9.3132257461547852E-9</v>
      </c>
      <c r="AM14" s="54"/>
    </row>
    <row r="15" spans="1:40" ht="63" hidden="1" customHeight="1">
      <c r="A15" s="17"/>
      <c r="B15" s="63" t="s">
        <v>29</v>
      </c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>
        <v>417000000</v>
      </c>
      <c r="N15" s="65"/>
      <c r="O15" s="65"/>
      <c r="P15" s="65"/>
      <c r="Q15" s="65"/>
      <c r="R15" s="65"/>
      <c r="S15" s="65"/>
      <c r="T15" s="65"/>
      <c r="U15" s="30">
        <v>417000000</v>
      </c>
      <c r="V15" s="30">
        <f t="shared" si="4"/>
        <v>0</v>
      </c>
      <c r="W15" s="30"/>
      <c r="X15" s="30">
        <f t="shared" si="5"/>
        <v>0</v>
      </c>
      <c r="Y15" s="30"/>
      <c r="Z15" s="65"/>
      <c r="AA15" s="65"/>
      <c r="AB15" s="30">
        <f t="shared" si="2"/>
        <v>0</v>
      </c>
      <c r="AC15" s="65"/>
      <c r="AD15" s="30">
        <f>Z15-AA15</f>
        <v>0</v>
      </c>
      <c r="AE15" s="65"/>
      <c r="AF15" s="65"/>
      <c r="AG15" s="65"/>
      <c r="AH15" s="30"/>
      <c r="AI15" s="30">
        <f t="shared" ref="AI15:AI24" si="6">V15+W15-Y15+AC15-AE15+AF15+AG15-AH15</f>
        <v>0</v>
      </c>
      <c r="AJ15" s="30">
        <v>0</v>
      </c>
      <c r="AK15" s="30"/>
      <c r="AL15" s="54">
        <f t="shared" ref="AL15:AL24" si="7">AI15+AJ15</f>
        <v>0</v>
      </c>
      <c r="AM15" s="54"/>
    </row>
    <row r="16" spans="1:40" ht="81.75" hidden="1" customHeight="1">
      <c r="A16" s="17"/>
      <c r="B16" s="63" t="s">
        <v>30</v>
      </c>
      <c r="C16" s="30"/>
      <c r="D16" s="30">
        <v>73922445</v>
      </c>
      <c r="E16" s="30"/>
      <c r="F16" s="30"/>
      <c r="G16" s="30"/>
      <c r="H16" s="30"/>
      <c r="I16" s="30"/>
      <c r="J16" s="30"/>
      <c r="K16" s="30"/>
      <c r="L16" s="30"/>
      <c r="M16" s="30"/>
      <c r="N16" s="65"/>
      <c r="O16" s="65"/>
      <c r="P16" s="65"/>
      <c r="Q16" s="65"/>
      <c r="R16" s="65"/>
      <c r="S16" s="65"/>
      <c r="T16" s="65"/>
      <c r="U16" s="30"/>
      <c r="V16" s="30">
        <f t="shared" si="4"/>
        <v>0</v>
      </c>
      <c r="W16" s="30"/>
      <c r="X16" s="30">
        <f t="shared" si="5"/>
        <v>0</v>
      </c>
      <c r="Y16" s="30"/>
      <c r="Z16" s="65"/>
      <c r="AA16" s="65"/>
      <c r="AB16" s="30">
        <f t="shared" si="2"/>
        <v>0</v>
      </c>
      <c r="AC16" s="65"/>
      <c r="AD16" s="30">
        <f>Z16-AA16</f>
        <v>0</v>
      </c>
      <c r="AE16" s="65"/>
      <c r="AF16" s="65"/>
      <c r="AG16" s="65"/>
      <c r="AH16" s="30"/>
      <c r="AI16" s="30">
        <f t="shared" si="6"/>
        <v>0</v>
      </c>
      <c r="AJ16" s="30">
        <v>0</v>
      </c>
      <c r="AK16" s="30"/>
      <c r="AL16" s="54">
        <f t="shared" si="7"/>
        <v>0</v>
      </c>
      <c r="AM16" s="54"/>
    </row>
    <row r="17" spans="1:39" ht="72" customHeight="1" thickBot="1">
      <c r="A17" s="17"/>
      <c r="B17" s="79" t="s">
        <v>277</v>
      </c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>
        <v>441589600</v>
      </c>
      <c r="N17" s="65"/>
      <c r="O17" s="65"/>
      <c r="P17" s="65"/>
      <c r="Q17" s="65"/>
      <c r="R17" s="65"/>
      <c r="S17" s="65"/>
      <c r="T17" s="65"/>
      <c r="U17" s="30"/>
      <c r="V17" s="30">
        <f t="shared" si="4"/>
        <v>441589600</v>
      </c>
      <c r="W17" s="30"/>
      <c r="X17" s="30">
        <f t="shared" si="5"/>
        <v>441589600</v>
      </c>
      <c r="Y17" s="30">
        <v>441589600</v>
      </c>
      <c r="Z17" s="30">
        <v>441589600</v>
      </c>
      <c r="AA17" s="30">
        <v>441589600</v>
      </c>
      <c r="AB17" s="30">
        <f t="shared" si="2"/>
        <v>0</v>
      </c>
      <c r="AC17" s="30">
        <v>441589600</v>
      </c>
      <c r="AD17" s="30">
        <f>AA17-AC17</f>
        <v>0</v>
      </c>
      <c r="AE17" s="65"/>
      <c r="AF17" s="65"/>
      <c r="AG17" s="65"/>
      <c r="AH17" s="30">
        <v>441589600</v>
      </c>
      <c r="AI17" s="84">
        <v>24437638.969999999</v>
      </c>
      <c r="AJ17" s="84">
        <v>3766522.92</v>
      </c>
      <c r="AK17" s="84"/>
      <c r="AL17" s="80">
        <f t="shared" si="7"/>
        <v>28204161.890000001</v>
      </c>
      <c r="AM17" s="80">
        <v>28204161.890000001</v>
      </c>
    </row>
    <row r="18" spans="1:39" ht="75" hidden="1" customHeight="1">
      <c r="A18" s="17"/>
      <c r="B18" s="63" t="s">
        <v>31</v>
      </c>
      <c r="C18" s="30"/>
      <c r="D18" s="30">
        <v>26102371.460000001</v>
      </c>
      <c r="E18" s="30"/>
      <c r="F18" s="30"/>
      <c r="G18" s="30"/>
      <c r="H18" s="30"/>
      <c r="I18" s="30"/>
      <c r="J18" s="30"/>
      <c r="K18" s="30"/>
      <c r="L18" s="30"/>
      <c r="M18" s="30">
        <v>108565300</v>
      </c>
      <c r="N18" s="65"/>
      <c r="O18" s="65"/>
      <c r="P18" s="65"/>
      <c r="Q18" s="65"/>
      <c r="R18" s="65"/>
      <c r="S18" s="65"/>
      <c r="T18" s="65"/>
      <c r="U18" s="30"/>
      <c r="V18" s="30">
        <f t="shared" si="4"/>
        <v>108565300</v>
      </c>
      <c r="W18" s="30">
        <v>114326.33</v>
      </c>
      <c r="X18" s="30">
        <f t="shared" si="5"/>
        <v>108679626.33</v>
      </c>
      <c r="Y18" s="30">
        <v>108679626.33</v>
      </c>
      <c r="Z18" s="30">
        <v>108565300</v>
      </c>
      <c r="AA18" s="30">
        <v>102857300</v>
      </c>
      <c r="AB18" s="30">
        <f t="shared" si="2"/>
        <v>0</v>
      </c>
      <c r="AC18" s="30">
        <v>102857300</v>
      </c>
      <c r="AD18" s="30">
        <f>AA18-AC18</f>
        <v>0</v>
      </c>
      <c r="AE18" s="65"/>
      <c r="AF18" s="65"/>
      <c r="AG18" s="65"/>
      <c r="AH18" s="30">
        <v>102857300</v>
      </c>
      <c r="AI18" s="30">
        <f t="shared" si="6"/>
        <v>0</v>
      </c>
      <c r="AJ18" s="30"/>
      <c r="AK18" s="30"/>
      <c r="AL18" s="54">
        <f t="shared" si="7"/>
        <v>0</v>
      </c>
      <c r="AM18" s="54"/>
    </row>
    <row r="19" spans="1:39" ht="87" hidden="1" customHeight="1">
      <c r="A19" s="17"/>
      <c r="B19" s="63" t="s">
        <v>32</v>
      </c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>
        <v>503233100</v>
      </c>
      <c r="N19" s="65"/>
      <c r="O19" s="65"/>
      <c r="P19" s="65"/>
      <c r="Q19" s="65"/>
      <c r="R19" s="65"/>
      <c r="S19" s="65"/>
      <c r="T19" s="65"/>
      <c r="U19" s="30"/>
      <c r="V19" s="30">
        <f t="shared" si="4"/>
        <v>503233100</v>
      </c>
      <c r="W19" s="30"/>
      <c r="X19" s="30">
        <f t="shared" si="5"/>
        <v>503233100</v>
      </c>
      <c r="Y19" s="30">
        <v>503233100</v>
      </c>
      <c r="Z19" s="30">
        <v>503233100</v>
      </c>
      <c r="AA19" s="30">
        <v>503233100</v>
      </c>
      <c r="AB19" s="30">
        <f t="shared" si="2"/>
        <v>0</v>
      </c>
      <c r="AC19" s="30">
        <v>503233100</v>
      </c>
      <c r="AD19" s="30">
        <f>AA19-AC19</f>
        <v>0</v>
      </c>
      <c r="AE19" s="65"/>
      <c r="AF19" s="65"/>
      <c r="AG19" s="65"/>
      <c r="AH19" s="30">
        <v>503233100</v>
      </c>
      <c r="AI19" s="30">
        <f t="shared" si="6"/>
        <v>0</v>
      </c>
      <c r="AJ19" s="30"/>
      <c r="AK19" s="30"/>
      <c r="AL19" s="54">
        <f t="shared" si="7"/>
        <v>0</v>
      </c>
      <c r="AM19" s="54"/>
    </row>
    <row r="20" spans="1:39" ht="75.75" hidden="1" customHeight="1">
      <c r="A20" s="17"/>
      <c r="B20" s="63" t="s">
        <v>33</v>
      </c>
      <c r="C20" s="30"/>
      <c r="D20" s="30">
        <v>27273237.010000002</v>
      </c>
      <c r="E20" s="30"/>
      <c r="F20" s="30"/>
      <c r="G20" s="30"/>
      <c r="H20" s="30"/>
      <c r="I20" s="30"/>
      <c r="J20" s="30"/>
      <c r="K20" s="30"/>
      <c r="L20" s="30"/>
      <c r="M20" s="30">
        <v>210658000</v>
      </c>
      <c r="N20" s="65"/>
      <c r="O20" s="65"/>
      <c r="P20" s="65"/>
      <c r="Q20" s="65"/>
      <c r="R20" s="65"/>
      <c r="S20" s="65"/>
      <c r="T20" s="65"/>
      <c r="U20" s="30"/>
      <c r="V20" s="30">
        <f t="shared" si="4"/>
        <v>210658000</v>
      </c>
      <c r="W20" s="30"/>
      <c r="X20" s="30">
        <f t="shared" si="5"/>
        <v>210658000</v>
      </c>
      <c r="Y20" s="30">
        <v>210658000</v>
      </c>
      <c r="Z20" s="30">
        <v>210658000</v>
      </c>
      <c r="AA20" s="30">
        <v>210658000</v>
      </c>
      <c r="AB20" s="30">
        <f t="shared" si="2"/>
        <v>0</v>
      </c>
      <c r="AC20" s="30">
        <v>210658000</v>
      </c>
      <c r="AD20" s="30">
        <f>AA20-AC20</f>
        <v>0</v>
      </c>
      <c r="AE20" s="65"/>
      <c r="AF20" s="65"/>
      <c r="AG20" s="65"/>
      <c r="AH20" s="30">
        <v>210658000</v>
      </c>
      <c r="AI20" s="30">
        <f t="shared" si="6"/>
        <v>0</v>
      </c>
      <c r="AJ20" s="30"/>
      <c r="AK20" s="30"/>
      <c r="AL20" s="54">
        <f t="shared" si="7"/>
        <v>0</v>
      </c>
      <c r="AM20" s="54"/>
    </row>
    <row r="21" spans="1:39" ht="78.75" hidden="1" customHeight="1" thickBot="1">
      <c r="A21" s="17"/>
      <c r="B21" s="63" t="s">
        <v>34</v>
      </c>
      <c r="C21" s="30"/>
      <c r="D21" s="30">
        <v>139356639.09</v>
      </c>
      <c r="E21" s="30"/>
      <c r="F21" s="30">
        <v>15169939.310000001</v>
      </c>
      <c r="G21" s="30"/>
      <c r="H21" s="30"/>
      <c r="I21" s="30">
        <f>C21</f>
        <v>0</v>
      </c>
      <c r="J21" s="30"/>
      <c r="K21" s="30"/>
      <c r="L21" s="30"/>
      <c r="M21" s="30">
        <v>679465200</v>
      </c>
      <c r="N21" s="65"/>
      <c r="O21" s="65"/>
      <c r="P21" s="65"/>
      <c r="Q21" s="65"/>
      <c r="R21" s="65"/>
      <c r="S21" s="65"/>
      <c r="T21" s="65"/>
      <c r="U21" s="30"/>
      <c r="V21" s="30">
        <f t="shared" si="4"/>
        <v>679465200</v>
      </c>
      <c r="W21" s="30">
        <v>36982005.840000004</v>
      </c>
      <c r="X21" s="30">
        <f t="shared" si="5"/>
        <v>716447205.84000003</v>
      </c>
      <c r="Y21" s="30">
        <v>716447205.84000003</v>
      </c>
      <c r="Z21" s="30">
        <v>714728737.75999999</v>
      </c>
      <c r="AA21" s="30">
        <f>659659700.2+35263537.76</f>
        <v>694923237.96000004</v>
      </c>
      <c r="AB21" s="30">
        <f t="shared" si="2"/>
        <v>0</v>
      </c>
      <c r="AC21" s="30">
        <f>659659700.2+35263537.76</f>
        <v>694923237.96000004</v>
      </c>
      <c r="AD21" s="30">
        <f>AA21-AC21</f>
        <v>0</v>
      </c>
      <c r="AE21" s="30">
        <v>35263537.759999998</v>
      </c>
      <c r="AF21" s="65"/>
      <c r="AG21" s="65"/>
      <c r="AH21" s="30">
        <v>659659700.20000005</v>
      </c>
      <c r="AI21" s="30"/>
      <c r="AJ21" s="30"/>
      <c r="AK21" s="30"/>
      <c r="AL21" s="54">
        <f t="shared" si="7"/>
        <v>0</v>
      </c>
      <c r="AM21" s="54"/>
    </row>
    <row r="22" spans="1:39" ht="82.5" hidden="1" customHeight="1">
      <c r="A22" s="17"/>
      <c r="B22" s="63" t="s">
        <v>35</v>
      </c>
      <c r="C22" s="30">
        <v>13970524.800000001</v>
      </c>
      <c r="D22" s="30"/>
      <c r="E22" s="30"/>
      <c r="F22" s="30"/>
      <c r="G22" s="30"/>
      <c r="H22" s="30"/>
      <c r="I22" s="30">
        <f>C22</f>
        <v>13970524.800000001</v>
      </c>
      <c r="J22" s="30"/>
      <c r="K22" s="30"/>
      <c r="L22" s="30"/>
      <c r="M22" s="30">
        <v>75000000</v>
      </c>
      <c r="N22" s="65"/>
      <c r="O22" s="65"/>
      <c r="P22" s="65"/>
      <c r="Q22" s="65"/>
      <c r="R22" s="65"/>
      <c r="S22" s="65"/>
      <c r="T22" s="65"/>
      <c r="U22" s="30">
        <v>88970524.799999997</v>
      </c>
      <c r="V22" s="30">
        <f t="shared" si="4"/>
        <v>0</v>
      </c>
      <c r="W22" s="30">
        <v>15000000</v>
      </c>
      <c r="X22" s="30">
        <f t="shared" si="5"/>
        <v>15000000</v>
      </c>
      <c r="Y22" s="30">
        <v>15000000</v>
      </c>
      <c r="Z22" s="30">
        <v>15000000</v>
      </c>
      <c r="AA22" s="30">
        <v>15000000</v>
      </c>
      <c r="AB22" s="30">
        <f t="shared" si="2"/>
        <v>0</v>
      </c>
      <c r="AC22" s="30">
        <v>15000000</v>
      </c>
      <c r="AD22" s="30">
        <f>Z22-AA22</f>
        <v>0</v>
      </c>
      <c r="AE22" s="30">
        <v>15000000</v>
      </c>
      <c r="AF22" s="30">
        <f>160000000+30000000</f>
        <v>190000000</v>
      </c>
      <c r="AG22" s="30"/>
      <c r="AH22" s="30">
        <v>190000000</v>
      </c>
      <c r="AI22" s="30">
        <f t="shared" si="6"/>
        <v>0</v>
      </c>
      <c r="AJ22" s="30"/>
      <c r="AK22" s="30"/>
      <c r="AL22" s="54">
        <f t="shared" si="7"/>
        <v>0</v>
      </c>
      <c r="AM22" s="54"/>
    </row>
    <row r="23" spans="1:39" ht="67.5" hidden="1" customHeight="1">
      <c r="A23" s="17"/>
      <c r="B23" s="63" t="s">
        <v>258</v>
      </c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65"/>
      <c r="O23" s="65"/>
      <c r="P23" s="65"/>
      <c r="Q23" s="65"/>
      <c r="R23" s="65"/>
      <c r="S23" s="65"/>
      <c r="T23" s="65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54">
        <f t="shared" si="7"/>
        <v>0</v>
      </c>
      <c r="AM23" s="54"/>
    </row>
    <row r="24" spans="1:39" ht="51" hidden="1" customHeight="1" thickBot="1">
      <c r="A24" s="18" t="s">
        <v>36</v>
      </c>
      <c r="B24" s="117" t="s">
        <v>269</v>
      </c>
      <c r="C24" s="30">
        <v>103378600</v>
      </c>
      <c r="D24" s="30"/>
      <c r="E24" s="30"/>
      <c r="F24" s="30"/>
      <c r="G24" s="30"/>
      <c r="H24" s="30"/>
      <c r="I24" s="30">
        <f>C24</f>
        <v>103378600</v>
      </c>
      <c r="J24" s="30"/>
      <c r="K24" s="30"/>
      <c r="L24" s="30"/>
      <c r="M24" s="30"/>
      <c r="N24" s="65"/>
      <c r="O24" s="65"/>
      <c r="P24" s="65"/>
      <c r="Q24" s="65"/>
      <c r="R24" s="65"/>
      <c r="S24" s="65"/>
      <c r="T24" s="65"/>
      <c r="U24" s="30">
        <v>20514901.350000001</v>
      </c>
      <c r="V24" s="30">
        <f t="shared" si="4"/>
        <v>82863698.650000006</v>
      </c>
      <c r="W24" s="30"/>
      <c r="X24" s="30">
        <f t="shared" si="5"/>
        <v>82863698.650000006</v>
      </c>
      <c r="Y24" s="30">
        <v>82863698.650000006</v>
      </c>
      <c r="Z24" s="65"/>
      <c r="AA24" s="65"/>
      <c r="AB24" s="30">
        <f t="shared" si="2"/>
        <v>0</v>
      </c>
      <c r="AC24" s="65"/>
      <c r="AD24" s="30">
        <f>Z24-AA24</f>
        <v>0</v>
      </c>
      <c r="AE24" s="65"/>
      <c r="AF24" s="65"/>
      <c r="AG24" s="65"/>
      <c r="AH24" s="65"/>
      <c r="AI24" s="30">
        <f t="shared" si="6"/>
        <v>0</v>
      </c>
      <c r="AJ24" s="30"/>
      <c r="AK24" s="30"/>
      <c r="AL24" s="54">
        <f t="shared" si="7"/>
        <v>0</v>
      </c>
      <c r="AM24" s="54"/>
    </row>
    <row r="25" spans="1:39" ht="73.5" hidden="1" customHeight="1" thickBot="1">
      <c r="A25" s="18"/>
      <c r="B25" s="117"/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65"/>
      <c r="N25" s="65"/>
      <c r="O25" s="65"/>
      <c r="P25" s="65"/>
      <c r="Q25" s="65"/>
      <c r="R25" s="65"/>
      <c r="S25" s="65"/>
      <c r="T25" s="65"/>
      <c r="U25" s="65"/>
      <c r="V25" s="65"/>
      <c r="W25" s="65"/>
      <c r="X25" s="65"/>
      <c r="Y25" s="65"/>
      <c r="Z25" s="65"/>
      <c r="AA25" s="65"/>
      <c r="AB25" s="65"/>
      <c r="AC25" s="65"/>
      <c r="AD25" s="65"/>
      <c r="AE25" s="65"/>
      <c r="AF25" s="65"/>
      <c r="AG25" s="65"/>
      <c r="AH25" s="65"/>
      <c r="AI25" s="65"/>
      <c r="AJ25" s="65"/>
      <c r="AK25" s="65"/>
      <c r="AL25" s="60"/>
      <c r="AM25" s="60"/>
    </row>
    <row r="26" spans="1:39" s="20" customFormat="1" ht="31.5" customHeight="1" thickBot="1">
      <c r="A26" s="19" t="s">
        <v>37</v>
      </c>
      <c r="B26" s="119" t="s">
        <v>265</v>
      </c>
      <c r="C26" s="93">
        <f t="shared" ref="C26:AM26" si="8">SUM(C11:C25)</f>
        <v>204870224.80000001</v>
      </c>
      <c r="D26" s="93">
        <f t="shared" si="8"/>
        <v>266654692.56</v>
      </c>
      <c r="E26" s="93">
        <f t="shared" si="8"/>
        <v>0</v>
      </c>
      <c r="F26" s="93">
        <f t="shared" si="8"/>
        <v>15169939.310000001</v>
      </c>
      <c r="G26" s="93">
        <f t="shared" si="8"/>
        <v>0</v>
      </c>
      <c r="H26" s="93">
        <f t="shared" si="8"/>
        <v>0</v>
      </c>
      <c r="I26" s="93">
        <f t="shared" si="8"/>
        <v>204870224.80000001</v>
      </c>
      <c r="J26" s="93">
        <f t="shared" si="8"/>
        <v>0</v>
      </c>
      <c r="K26" s="93">
        <f t="shared" si="8"/>
        <v>0</v>
      </c>
      <c r="L26" s="93">
        <f t="shared" si="8"/>
        <v>0</v>
      </c>
      <c r="M26" s="93">
        <f t="shared" si="8"/>
        <v>2529946500</v>
      </c>
      <c r="N26" s="93">
        <f t="shared" si="8"/>
        <v>0</v>
      </c>
      <c r="O26" s="93">
        <f t="shared" si="8"/>
        <v>0</v>
      </c>
      <c r="P26" s="93">
        <f t="shared" si="8"/>
        <v>0</v>
      </c>
      <c r="Q26" s="93">
        <f t="shared" si="8"/>
        <v>0</v>
      </c>
      <c r="R26" s="93">
        <f t="shared" si="8"/>
        <v>0</v>
      </c>
      <c r="S26" s="93">
        <f t="shared" si="8"/>
        <v>0</v>
      </c>
      <c r="T26" s="93">
        <f t="shared" si="8"/>
        <v>0</v>
      </c>
      <c r="U26" s="93">
        <f t="shared" si="8"/>
        <v>706164606.88999999</v>
      </c>
      <c r="V26" s="93">
        <f t="shared" si="8"/>
        <v>2028652117.9100001</v>
      </c>
      <c r="W26" s="93">
        <f t="shared" si="8"/>
        <v>52096332.170000002</v>
      </c>
      <c r="X26" s="93">
        <f t="shared" si="8"/>
        <v>2080748450.0800004</v>
      </c>
      <c r="Y26" s="93">
        <f t="shared" si="8"/>
        <v>2080748450.0800004</v>
      </c>
      <c r="Z26" s="93">
        <f t="shared" si="8"/>
        <v>1996051957.02</v>
      </c>
      <c r="AA26" s="93">
        <f t="shared" si="8"/>
        <v>1970538457.22</v>
      </c>
      <c r="AB26" s="93">
        <f t="shared" si="8"/>
        <v>-9.3132257461547852E-9</v>
      </c>
      <c r="AC26" s="93">
        <f t="shared" si="8"/>
        <v>1970538457.22</v>
      </c>
      <c r="AD26" s="93">
        <f t="shared" si="8"/>
        <v>0</v>
      </c>
      <c r="AE26" s="93">
        <f t="shared" si="8"/>
        <v>50263537.759999998</v>
      </c>
      <c r="AF26" s="93">
        <f t="shared" si="8"/>
        <v>190000000</v>
      </c>
      <c r="AG26" s="87">
        <f t="shared" si="8"/>
        <v>0</v>
      </c>
      <c r="AH26" s="93">
        <f t="shared" si="8"/>
        <v>2110274919.46</v>
      </c>
      <c r="AI26" s="93">
        <f t="shared" si="8"/>
        <v>24437638.969999991</v>
      </c>
      <c r="AJ26" s="93">
        <f t="shared" si="8"/>
        <v>3766522.92</v>
      </c>
      <c r="AK26" s="93">
        <f t="shared" si="8"/>
        <v>0</v>
      </c>
      <c r="AL26" s="93">
        <f t="shared" si="8"/>
        <v>28204161.889999993</v>
      </c>
      <c r="AM26" s="93">
        <f t="shared" si="8"/>
        <v>28204161.890000001</v>
      </c>
    </row>
    <row r="27" spans="1:39" s="20" customFormat="1" ht="60.75" hidden="1" customHeight="1">
      <c r="A27" s="21"/>
      <c r="B27" s="120" t="s">
        <v>38</v>
      </c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3">
        <v>213365500</v>
      </c>
      <c r="N27" s="23"/>
      <c r="O27" s="22"/>
      <c r="P27" s="22"/>
      <c r="Q27" s="22"/>
      <c r="R27" s="22"/>
      <c r="S27" s="22"/>
      <c r="T27" s="22"/>
      <c r="U27" s="23">
        <f>11528702.88+5790037.41+1655681+97185</f>
        <v>19071606.289999999</v>
      </c>
      <c r="V27" s="30">
        <f>I27+J27+M27+N27-U27</f>
        <v>194293893.71000001</v>
      </c>
      <c r="W27" s="30"/>
      <c r="X27" s="30">
        <f>V27+W27</f>
        <v>194293893.71000001</v>
      </c>
      <c r="Y27" s="30">
        <f>194293893.71+1573580.05</f>
        <v>195867473.76000002</v>
      </c>
      <c r="Z27" s="30">
        <v>194293893.71000001</v>
      </c>
      <c r="AA27" s="30">
        <v>181086569.25999999</v>
      </c>
      <c r="AB27" s="30">
        <f>X27-Y27</f>
        <v>-1573580.0500000119</v>
      </c>
      <c r="AC27" s="30">
        <v>181086569.25999999</v>
      </c>
      <c r="AD27" s="30">
        <f>AA27-AC27</f>
        <v>0</v>
      </c>
      <c r="AE27" s="30"/>
      <c r="AF27" s="30"/>
      <c r="AG27" s="30">
        <v>1573580.05</v>
      </c>
      <c r="AH27" s="30">
        <v>151638768.61000001</v>
      </c>
      <c r="AI27" s="30"/>
      <c r="AJ27" s="30"/>
      <c r="AK27" s="30"/>
      <c r="AL27" s="54">
        <f>AI27</f>
        <v>0</v>
      </c>
      <c r="AM27" s="54"/>
    </row>
    <row r="28" spans="1:39" s="20" customFormat="1" ht="60" hidden="1">
      <c r="A28" s="21"/>
      <c r="B28" s="117" t="s">
        <v>27</v>
      </c>
      <c r="C28" s="30">
        <v>1.05</v>
      </c>
      <c r="D28" s="30">
        <v>4073353.1</v>
      </c>
      <c r="E28" s="30"/>
      <c r="F28" s="30"/>
      <c r="G28" s="30"/>
      <c r="H28" s="30"/>
      <c r="I28" s="30">
        <f>C28</f>
        <v>1.05</v>
      </c>
      <c r="J28" s="30"/>
      <c r="K28" s="30"/>
      <c r="L28" s="30"/>
      <c r="M28" s="65"/>
      <c r="N28" s="65"/>
      <c r="O28" s="65"/>
      <c r="P28" s="65"/>
      <c r="Q28" s="65"/>
      <c r="R28" s="65"/>
      <c r="S28" s="65"/>
      <c r="T28" s="65"/>
      <c r="U28" s="65"/>
      <c r="V28" s="30">
        <f>I28+J28+M28+N28-U28</f>
        <v>1.05</v>
      </c>
      <c r="W28" s="30">
        <v>1101978.76</v>
      </c>
      <c r="X28" s="30">
        <f>V28+W28</f>
        <v>1101979.81</v>
      </c>
      <c r="Y28" s="30">
        <v>1101979.81</v>
      </c>
      <c r="Z28" s="30"/>
      <c r="AA28" s="30"/>
      <c r="AB28" s="30">
        <f>X28-Y28</f>
        <v>0</v>
      </c>
      <c r="AC28" s="65"/>
      <c r="AD28" s="30">
        <f>AA28-AC28</f>
        <v>0</v>
      </c>
      <c r="AE28" s="65"/>
      <c r="AF28" s="65"/>
      <c r="AG28" s="65"/>
      <c r="AH28" s="30"/>
      <c r="AI28" s="30">
        <f>V28+W28-Y28+AC28-AE28+AF28+AG28-AH28</f>
        <v>0</v>
      </c>
      <c r="AJ28" s="30"/>
      <c r="AK28" s="30"/>
      <c r="AL28" s="54">
        <f>AI28+AJ28</f>
        <v>0</v>
      </c>
      <c r="AM28" s="54"/>
    </row>
    <row r="29" spans="1:39" s="20" customFormat="1" ht="16.5" hidden="1" customHeight="1" thickBot="1">
      <c r="A29" s="21"/>
      <c r="B29" s="121" t="s">
        <v>39</v>
      </c>
      <c r="C29" s="22">
        <f>SUM(C28:C28)</f>
        <v>1.05</v>
      </c>
      <c r="D29" s="22">
        <f t="shared" ref="D29:L29" si="9">SUM(D28:D28)</f>
        <v>4073353.1</v>
      </c>
      <c r="E29" s="22">
        <f t="shared" si="9"/>
        <v>0</v>
      </c>
      <c r="F29" s="22">
        <f t="shared" si="9"/>
        <v>0</v>
      </c>
      <c r="G29" s="22">
        <f t="shared" si="9"/>
        <v>0</v>
      </c>
      <c r="H29" s="22">
        <f t="shared" si="9"/>
        <v>0</v>
      </c>
      <c r="I29" s="22">
        <f t="shared" si="9"/>
        <v>1.05</v>
      </c>
      <c r="J29" s="22">
        <f t="shared" si="9"/>
        <v>0</v>
      </c>
      <c r="K29" s="22">
        <f t="shared" si="9"/>
        <v>0</v>
      </c>
      <c r="L29" s="22">
        <f t="shared" si="9"/>
        <v>0</v>
      </c>
      <c r="M29" s="22">
        <f t="shared" ref="M29:U29" si="10">SUM(M27:M28)</f>
        <v>213365500</v>
      </c>
      <c r="N29" s="22">
        <f t="shared" si="10"/>
        <v>0</v>
      </c>
      <c r="O29" s="22">
        <f t="shared" si="10"/>
        <v>0</v>
      </c>
      <c r="P29" s="22">
        <f t="shared" si="10"/>
        <v>0</v>
      </c>
      <c r="Q29" s="22">
        <f t="shared" si="10"/>
        <v>0</v>
      </c>
      <c r="R29" s="22">
        <f t="shared" si="10"/>
        <v>0</v>
      </c>
      <c r="S29" s="22">
        <f t="shared" si="10"/>
        <v>0</v>
      </c>
      <c r="T29" s="22">
        <f t="shared" si="10"/>
        <v>0</v>
      </c>
      <c r="U29" s="22">
        <f t="shared" si="10"/>
        <v>19071606.289999999</v>
      </c>
      <c r="V29" s="22">
        <f>SUM(V27:V28)</f>
        <v>194293894.76000002</v>
      </c>
      <c r="W29" s="22">
        <f t="shared" ref="W29:AM29" si="11">SUM(W27:W28)</f>
        <v>1101978.76</v>
      </c>
      <c r="X29" s="22">
        <f t="shared" si="11"/>
        <v>195395873.52000001</v>
      </c>
      <c r="Y29" s="22">
        <f t="shared" si="11"/>
        <v>196969453.57000002</v>
      </c>
      <c r="Z29" s="22">
        <f t="shared" si="11"/>
        <v>194293893.71000001</v>
      </c>
      <c r="AA29" s="22">
        <f t="shared" si="11"/>
        <v>181086569.25999999</v>
      </c>
      <c r="AB29" s="22">
        <f t="shared" si="11"/>
        <v>-1573580.0500000119</v>
      </c>
      <c r="AC29" s="22">
        <f t="shared" si="11"/>
        <v>181086569.25999999</v>
      </c>
      <c r="AD29" s="22">
        <f t="shared" si="11"/>
        <v>0</v>
      </c>
      <c r="AE29" s="22">
        <f t="shared" si="11"/>
        <v>0</v>
      </c>
      <c r="AF29" s="22">
        <f t="shared" si="11"/>
        <v>0</v>
      </c>
      <c r="AG29" s="22">
        <f t="shared" si="11"/>
        <v>1573580.05</v>
      </c>
      <c r="AH29" s="22">
        <f t="shared" si="11"/>
        <v>151638768.61000001</v>
      </c>
      <c r="AI29" s="22">
        <f t="shared" si="11"/>
        <v>0</v>
      </c>
      <c r="AJ29" s="22">
        <f t="shared" si="11"/>
        <v>0</v>
      </c>
      <c r="AK29" s="22">
        <f t="shared" si="11"/>
        <v>0</v>
      </c>
      <c r="AL29" s="22">
        <f t="shared" si="11"/>
        <v>0</v>
      </c>
      <c r="AM29" s="22">
        <f t="shared" si="11"/>
        <v>0</v>
      </c>
    </row>
    <row r="30" spans="1:39" ht="77.45" hidden="1" customHeight="1">
      <c r="A30" s="24" t="s">
        <v>40</v>
      </c>
      <c r="B30" s="117" t="s">
        <v>41</v>
      </c>
      <c r="C30" s="30">
        <v>91722.94</v>
      </c>
      <c r="D30" s="30"/>
      <c r="E30" s="30">
        <v>91722.94</v>
      </c>
      <c r="F30" s="30">
        <f>E30</f>
        <v>91722.94</v>
      </c>
      <c r="G30" s="30"/>
      <c r="H30" s="30"/>
      <c r="I30" s="30">
        <f>C30-F30</f>
        <v>0</v>
      </c>
      <c r="J30" s="30">
        <v>91722.94</v>
      </c>
      <c r="K30" s="30"/>
      <c r="L30" s="30"/>
      <c r="M30" s="25">
        <f>13491800+458600</f>
        <v>13950400</v>
      </c>
      <c r="N30" s="65"/>
      <c r="O30" s="65"/>
      <c r="P30" s="65"/>
      <c r="Q30" s="65"/>
      <c r="R30" s="65"/>
      <c r="S30" s="65"/>
      <c r="T30" s="65"/>
      <c r="U30" s="25">
        <v>13928767.359999999</v>
      </c>
      <c r="V30" s="30">
        <f t="shared" ref="V30:V42" si="12">I30+J30+M30+N30-U30</f>
        <v>113355.58000000007</v>
      </c>
      <c r="W30" s="65"/>
      <c r="X30" s="30">
        <f t="shared" ref="X30:X42" si="13">V30</f>
        <v>113355.58000000007</v>
      </c>
      <c r="Y30" s="30">
        <f>113355.58+38842.71</f>
        <v>152198.29</v>
      </c>
      <c r="Z30" s="65"/>
      <c r="AA30" s="65"/>
      <c r="AB30" s="30">
        <f t="shared" ref="AB30:AB42" si="14">X30-Y30</f>
        <v>-38842.709999999934</v>
      </c>
      <c r="AC30" s="65"/>
      <c r="AD30" s="30">
        <f t="shared" ref="AD30:AD44" si="15">AA30-AC30</f>
        <v>0</v>
      </c>
      <c r="AE30" s="65"/>
      <c r="AF30" s="30"/>
      <c r="AG30" s="30">
        <v>38842.71</v>
      </c>
      <c r="AH30" s="65"/>
      <c r="AI30" s="30">
        <f t="shared" ref="AI30:AI37" si="16">V30+W30-Y30+AC30-AE30+AF30+AG30-AH30</f>
        <v>6.5483618527650833E-11</v>
      </c>
      <c r="AJ30" s="30"/>
      <c r="AK30" s="30"/>
      <c r="AL30" s="54">
        <f t="shared" ref="AL30:AL44" si="17">AI30+AJ30</f>
        <v>6.5483618527650833E-11</v>
      </c>
      <c r="AM30" s="54"/>
    </row>
    <row r="31" spans="1:39" ht="77.45" hidden="1" customHeight="1">
      <c r="A31" s="26"/>
      <c r="B31" s="117" t="s">
        <v>42</v>
      </c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25"/>
      <c r="N31" s="65"/>
      <c r="O31" s="65"/>
      <c r="P31" s="65"/>
      <c r="Q31" s="65"/>
      <c r="R31" s="65"/>
      <c r="S31" s="65"/>
      <c r="T31" s="65"/>
      <c r="U31" s="25"/>
      <c r="V31" s="30"/>
      <c r="W31" s="65"/>
      <c r="X31" s="30"/>
      <c r="Y31" s="30">
        <f>38842.71-38842.71</f>
        <v>0</v>
      </c>
      <c r="Z31" s="65"/>
      <c r="AA31" s="65"/>
      <c r="AB31" s="30"/>
      <c r="AC31" s="30"/>
      <c r="AD31" s="30">
        <f t="shared" si="15"/>
        <v>0</v>
      </c>
      <c r="AE31" s="30"/>
      <c r="AF31" s="30"/>
      <c r="AG31" s="30">
        <f>38842.71-38842.71</f>
        <v>0</v>
      </c>
      <c r="AH31" s="65"/>
      <c r="AI31" s="30">
        <f t="shared" si="16"/>
        <v>0</v>
      </c>
      <c r="AJ31" s="30"/>
      <c r="AK31" s="30"/>
      <c r="AL31" s="54">
        <f t="shared" si="17"/>
        <v>0</v>
      </c>
      <c r="AM31" s="54"/>
    </row>
    <row r="32" spans="1:39" ht="63" hidden="1" customHeight="1">
      <c r="A32" s="26"/>
      <c r="B32" s="117" t="s">
        <v>27</v>
      </c>
      <c r="C32" s="30">
        <v>31.4</v>
      </c>
      <c r="D32" s="30"/>
      <c r="E32" s="30">
        <v>31.4</v>
      </c>
      <c r="F32" s="30">
        <f>E32</f>
        <v>31.4</v>
      </c>
      <c r="G32" s="30"/>
      <c r="H32" s="30"/>
      <c r="I32" s="30">
        <f>C32-F32</f>
        <v>0</v>
      </c>
      <c r="J32" s="30"/>
      <c r="K32" s="30"/>
      <c r="L32" s="30"/>
      <c r="M32" s="25"/>
      <c r="N32" s="65"/>
      <c r="O32" s="65"/>
      <c r="P32" s="65"/>
      <c r="Q32" s="65"/>
      <c r="R32" s="65"/>
      <c r="S32" s="65"/>
      <c r="T32" s="65"/>
      <c r="U32" s="25"/>
      <c r="V32" s="30">
        <f t="shared" si="12"/>
        <v>0</v>
      </c>
      <c r="W32" s="65"/>
      <c r="X32" s="30">
        <f t="shared" si="13"/>
        <v>0</v>
      </c>
      <c r="Y32" s="65"/>
      <c r="Z32" s="65"/>
      <c r="AA32" s="65"/>
      <c r="AB32" s="30">
        <f t="shared" si="14"/>
        <v>0</v>
      </c>
      <c r="AC32" s="65"/>
      <c r="AD32" s="30">
        <f t="shared" si="15"/>
        <v>0</v>
      </c>
      <c r="AE32" s="65"/>
      <c r="AF32" s="30"/>
      <c r="AG32" s="65"/>
      <c r="AH32" s="65"/>
      <c r="AI32" s="30">
        <f t="shared" si="16"/>
        <v>0</v>
      </c>
      <c r="AJ32" s="30"/>
      <c r="AK32" s="30"/>
      <c r="AL32" s="54">
        <f t="shared" si="17"/>
        <v>0</v>
      </c>
      <c r="AM32" s="60"/>
    </row>
    <row r="33" spans="1:39" ht="53.25" hidden="1" customHeight="1">
      <c r="A33" s="27" t="s">
        <v>43</v>
      </c>
      <c r="B33" s="117" t="s">
        <v>44</v>
      </c>
      <c r="C33" s="30">
        <v>300</v>
      </c>
      <c r="D33" s="30"/>
      <c r="E33" s="30">
        <v>300</v>
      </c>
      <c r="F33" s="30">
        <f>E33</f>
        <v>300</v>
      </c>
      <c r="G33" s="30"/>
      <c r="H33" s="30"/>
      <c r="I33" s="30">
        <f>C33-F33</f>
        <v>0</v>
      </c>
      <c r="J33" s="30"/>
      <c r="K33" s="30"/>
      <c r="L33" s="30"/>
      <c r="M33" s="25"/>
      <c r="N33" s="65"/>
      <c r="O33" s="65"/>
      <c r="P33" s="65"/>
      <c r="Q33" s="65"/>
      <c r="R33" s="65"/>
      <c r="S33" s="65"/>
      <c r="T33" s="65"/>
      <c r="U33" s="25"/>
      <c r="V33" s="30">
        <f t="shared" si="12"/>
        <v>0</v>
      </c>
      <c r="W33" s="65"/>
      <c r="X33" s="30">
        <f t="shared" si="13"/>
        <v>0</v>
      </c>
      <c r="Y33" s="65"/>
      <c r="Z33" s="65"/>
      <c r="AA33" s="65"/>
      <c r="AB33" s="30">
        <f t="shared" si="14"/>
        <v>0</v>
      </c>
      <c r="AC33" s="65"/>
      <c r="AD33" s="30">
        <f t="shared" si="15"/>
        <v>0</v>
      </c>
      <c r="AE33" s="65"/>
      <c r="AF33" s="30"/>
      <c r="AG33" s="65"/>
      <c r="AH33" s="65"/>
      <c r="AI33" s="30">
        <f t="shared" si="16"/>
        <v>0</v>
      </c>
      <c r="AJ33" s="30"/>
      <c r="AK33" s="30"/>
      <c r="AL33" s="54">
        <f t="shared" si="17"/>
        <v>0</v>
      </c>
      <c r="AM33" s="60"/>
    </row>
    <row r="34" spans="1:39" ht="54.75" hidden="1" customHeight="1">
      <c r="A34" s="27"/>
      <c r="B34" s="64" t="s">
        <v>45</v>
      </c>
      <c r="C34" s="30"/>
      <c r="D34" s="30"/>
      <c r="E34" s="30"/>
      <c r="F34" s="30">
        <v>0</v>
      </c>
      <c r="G34" s="30"/>
      <c r="H34" s="30"/>
      <c r="I34" s="30">
        <v>0</v>
      </c>
      <c r="J34" s="30"/>
      <c r="K34" s="30"/>
      <c r="L34" s="30"/>
      <c r="M34" s="25">
        <f>114300+10700</f>
        <v>125000</v>
      </c>
      <c r="N34" s="65"/>
      <c r="O34" s="65"/>
      <c r="P34" s="65"/>
      <c r="Q34" s="65"/>
      <c r="R34" s="65"/>
      <c r="S34" s="65"/>
      <c r="T34" s="65"/>
      <c r="U34" s="25">
        <v>125000</v>
      </c>
      <c r="V34" s="30">
        <f t="shared" si="12"/>
        <v>0</v>
      </c>
      <c r="W34" s="65"/>
      <c r="X34" s="30">
        <f t="shared" si="13"/>
        <v>0</v>
      </c>
      <c r="Y34" s="65"/>
      <c r="Z34" s="65"/>
      <c r="AA34" s="65"/>
      <c r="AB34" s="30">
        <f t="shared" si="14"/>
        <v>0</v>
      </c>
      <c r="AC34" s="65"/>
      <c r="AD34" s="30">
        <f t="shared" si="15"/>
        <v>0</v>
      </c>
      <c r="AE34" s="65"/>
      <c r="AF34" s="30"/>
      <c r="AG34" s="65"/>
      <c r="AH34" s="65"/>
      <c r="AI34" s="30">
        <f t="shared" si="16"/>
        <v>0</v>
      </c>
      <c r="AJ34" s="30"/>
      <c r="AK34" s="30"/>
      <c r="AL34" s="54">
        <f t="shared" si="17"/>
        <v>0</v>
      </c>
      <c r="AM34" s="60"/>
    </row>
    <row r="35" spans="1:39" ht="96.75" hidden="1" customHeight="1">
      <c r="A35" s="27"/>
      <c r="B35" s="118" t="s">
        <v>46</v>
      </c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25"/>
      <c r="N35" s="65"/>
      <c r="O35" s="65"/>
      <c r="P35" s="65"/>
      <c r="Q35" s="65"/>
      <c r="R35" s="65"/>
      <c r="S35" s="65"/>
      <c r="T35" s="65"/>
      <c r="U35" s="25"/>
      <c r="V35" s="30"/>
      <c r="W35" s="65"/>
      <c r="X35" s="30"/>
      <c r="Y35" s="65"/>
      <c r="Z35" s="65"/>
      <c r="AA35" s="65"/>
      <c r="AB35" s="30"/>
      <c r="AC35" s="65"/>
      <c r="AD35" s="30"/>
      <c r="AE35" s="65"/>
      <c r="AF35" s="30"/>
      <c r="AG35" s="65"/>
      <c r="AH35" s="65"/>
      <c r="AI35" s="30">
        <f t="shared" si="16"/>
        <v>0</v>
      </c>
      <c r="AJ35" s="30"/>
      <c r="AK35" s="30"/>
      <c r="AL35" s="54">
        <f t="shared" si="17"/>
        <v>0</v>
      </c>
      <c r="AM35" s="60"/>
    </row>
    <row r="36" spans="1:39" ht="54.75" hidden="1" customHeight="1">
      <c r="A36" s="28" t="s">
        <v>47</v>
      </c>
      <c r="B36" s="117" t="s">
        <v>48</v>
      </c>
      <c r="C36" s="30">
        <v>1800</v>
      </c>
      <c r="D36" s="30"/>
      <c r="E36" s="30">
        <v>1800</v>
      </c>
      <c r="F36" s="30">
        <f>E36</f>
        <v>1800</v>
      </c>
      <c r="G36" s="30"/>
      <c r="H36" s="30"/>
      <c r="I36" s="30">
        <f>C36-F36</f>
        <v>0</v>
      </c>
      <c r="J36" s="30"/>
      <c r="K36" s="30"/>
      <c r="L36" s="30"/>
      <c r="M36" s="25">
        <f>305400+28600</f>
        <v>334000</v>
      </c>
      <c r="N36" s="65"/>
      <c r="O36" s="65"/>
      <c r="P36" s="65"/>
      <c r="Q36" s="65"/>
      <c r="R36" s="65"/>
      <c r="S36" s="65"/>
      <c r="T36" s="65"/>
      <c r="U36" s="25">
        <v>333999.88</v>
      </c>
      <c r="V36" s="30">
        <f t="shared" si="12"/>
        <v>0.11999999999534339</v>
      </c>
      <c r="W36" s="65"/>
      <c r="X36" s="30">
        <f t="shared" si="13"/>
        <v>0.11999999999534339</v>
      </c>
      <c r="Y36" s="30">
        <v>0.12</v>
      </c>
      <c r="Z36" s="30"/>
      <c r="AA36" s="30"/>
      <c r="AB36" s="30">
        <f t="shared" si="14"/>
        <v>-4.6566084321852941E-12</v>
      </c>
      <c r="AC36" s="65"/>
      <c r="AD36" s="30">
        <f t="shared" si="15"/>
        <v>0</v>
      </c>
      <c r="AE36" s="65"/>
      <c r="AF36" s="30"/>
      <c r="AG36" s="65"/>
      <c r="AH36" s="65"/>
      <c r="AI36" s="30">
        <f t="shared" si="16"/>
        <v>-4.6566084321852941E-12</v>
      </c>
      <c r="AJ36" s="30"/>
      <c r="AK36" s="30"/>
      <c r="AL36" s="54">
        <f t="shared" si="17"/>
        <v>-4.6566084321852941E-12</v>
      </c>
      <c r="AM36" s="54"/>
    </row>
    <row r="37" spans="1:39" ht="51" hidden="1" customHeight="1">
      <c r="A37" s="29"/>
      <c r="B37" s="117" t="s">
        <v>49</v>
      </c>
      <c r="C37" s="30">
        <v>0</v>
      </c>
      <c r="D37" s="30">
        <v>0</v>
      </c>
      <c r="E37" s="30">
        <v>0</v>
      </c>
      <c r="F37" s="30">
        <v>0</v>
      </c>
      <c r="G37" s="30"/>
      <c r="H37" s="30"/>
      <c r="I37" s="30">
        <f>C37-F37</f>
        <v>0</v>
      </c>
      <c r="J37" s="30">
        <v>0</v>
      </c>
      <c r="K37" s="30"/>
      <c r="L37" s="30"/>
      <c r="M37" s="25">
        <f>10000000+15000000</f>
        <v>25000000</v>
      </c>
      <c r="N37" s="65"/>
      <c r="O37" s="65"/>
      <c r="P37" s="65"/>
      <c r="Q37" s="65"/>
      <c r="R37" s="65"/>
      <c r="S37" s="65"/>
      <c r="T37" s="65"/>
      <c r="U37" s="25">
        <v>19410438</v>
      </c>
      <c r="V37" s="30">
        <f t="shared" si="12"/>
        <v>5589562</v>
      </c>
      <c r="W37" s="65"/>
      <c r="X37" s="30">
        <f t="shared" si="13"/>
        <v>5589562</v>
      </c>
      <c r="Y37" s="30">
        <v>5589562</v>
      </c>
      <c r="Z37" s="30"/>
      <c r="AA37" s="30"/>
      <c r="AB37" s="30">
        <f t="shared" si="14"/>
        <v>0</v>
      </c>
      <c r="AC37" s="65"/>
      <c r="AD37" s="30">
        <f t="shared" si="15"/>
        <v>0</v>
      </c>
      <c r="AE37" s="65"/>
      <c r="AF37" s="30"/>
      <c r="AG37" s="65"/>
      <c r="AH37" s="65"/>
      <c r="AI37" s="30">
        <f t="shared" si="16"/>
        <v>0</v>
      </c>
      <c r="AJ37" s="30"/>
      <c r="AK37" s="30"/>
      <c r="AL37" s="54">
        <f t="shared" si="17"/>
        <v>0</v>
      </c>
      <c r="AM37" s="54"/>
    </row>
    <row r="38" spans="1:39" ht="51" hidden="1" customHeight="1">
      <c r="A38" s="29"/>
      <c r="B38" s="117" t="s">
        <v>50</v>
      </c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25"/>
      <c r="N38" s="65"/>
      <c r="O38" s="65"/>
      <c r="P38" s="65"/>
      <c r="Q38" s="65"/>
      <c r="R38" s="65"/>
      <c r="S38" s="65"/>
      <c r="T38" s="65"/>
      <c r="U38" s="25"/>
      <c r="V38" s="30">
        <v>2121418.63</v>
      </c>
      <c r="W38" s="65"/>
      <c r="X38" s="30">
        <f>V38</f>
        <v>2121418.63</v>
      </c>
      <c r="Y38" s="30">
        <v>2121418.63</v>
      </c>
      <c r="Z38" s="30">
        <v>2121418.63</v>
      </c>
      <c r="AA38" s="30">
        <v>2121418.63</v>
      </c>
      <c r="AB38" s="30">
        <f>X38-Y38</f>
        <v>0</v>
      </c>
      <c r="AC38" s="30"/>
      <c r="AD38" s="30">
        <f t="shared" si="15"/>
        <v>2121418.63</v>
      </c>
      <c r="AE38" s="65"/>
      <c r="AF38" s="30">
        <f>5614800+14037000+5614800+2807400</f>
        <v>28074000</v>
      </c>
      <c r="AG38" s="65"/>
      <c r="AH38" s="30">
        <v>21552360.350000001</v>
      </c>
      <c r="AI38" s="30">
        <v>0</v>
      </c>
      <c r="AJ38" s="30"/>
      <c r="AK38" s="30"/>
      <c r="AL38" s="54">
        <f t="shared" si="17"/>
        <v>0</v>
      </c>
      <c r="AM38" s="54"/>
    </row>
    <row r="39" spans="1:39" ht="51" hidden="1" customHeight="1">
      <c r="A39" s="29"/>
      <c r="B39" s="117" t="s">
        <v>51</v>
      </c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25"/>
      <c r="N39" s="65"/>
      <c r="O39" s="65"/>
      <c r="P39" s="65"/>
      <c r="Q39" s="65"/>
      <c r="R39" s="65"/>
      <c r="S39" s="65"/>
      <c r="T39" s="65"/>
      <c r="U39" s="25"/>
      <c r="V39" s="30">
        <v>0</v>
      </c>
      <c r="W39" s="65"/>
      <c r="X39" s="30">
        <v>0</v>
      </c>
      <c r="Y39" s="30">
        <f>124268.68+273.65+6653.59+61668.66</f>
        <v>192864.58</v>
      </c>
      <c r="Z39" s="30"/>
      <c r="AA39" s="30"/>
      <c r="AB39" s="30">
        <v>0</v>
      </c>
      <c r="AC39" s="65"/>
      <c r="AD39" s="30">
        <f t="shared" si="15"/>
        <v>0</v>
      </c>
      <c r="AE39" s="65"/>
      <c r="AF39" s="30">
        <f>98053000+6576000+117672100+89191000+82689500</f>
        <v>394181600</v>
      </c>
      <c r="AG39" s="30">
        <f>12634.66+25148+8957.38+321+600+76607.64+250+23.65+6653.59+61668.66</f>
        <v>192864.58</v>
      </c>
      <c r="AH39" s="30">
        <v>390867048.62</v>
      </c>
      <c r="AI39" s="30">
        <v>0</v>
      </c>
      <c r="AJ39" s="30"/>
      <c r="AK39" s="30"/>
      <c r="AL39" s="54">
        <f t="shared" si="17"/>
        <v>0</v>
      </c>
      <c r="AM39" s="54"/>
    </row>
    <row r="40" spans="1:39" ht="51" hidden="1" customHeight="1">
      <c r="A40" s="29"/>
      <c r="B40" s="117" t="s">
        <v>52</v>
      </c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25"/>
      <c r="N40" s="65"/>
      <c r="O40" s="65"/>
      <c r="P40" s="65"/>
      <c r="Q40" s="65"/>
      <c r="R40" s="65"/>
      <c r="S40" s="65"/>
      <c r="T40" s="65"/>
      <c r="U40" s="25"/>
      <c r="V40" s="30"/>
      <c r="W40" s="65"/>
      <c r="X40" s="30"/>
      <c r="Y40" s="30"/>
      <c r="Z40" s="30"/>
      <c r="AA40" s="30"/>
      <c r="AB40" s="30"/>
      <c r="AC40" s="65"/>
      <c r="AD40" s="30">
        <f t="shared" si="15"/>
        <v>0</v>
      </c>
      <c r="AE40" s="65"/>
      <c r="AF40" s="30">
        <f>19409600+408900</f>
        <v>19818500</v>
      </c>
      <c r="AG40" s="30"/>
      <c r="AH40" s="30">
        <v>18754903.809999999</v>
      </c>
      <c r="AI40" s="30">
        <v>0</v>
      </c>
      <c r="AJ40" s="30"/>
      <c r="AK40" s="30"/>
      <c r="AL40" s="54">
        <f t="shared" si="17"/>
        <v>0</v>
      </c>
      <c r="AM40" s="54"/>
    </row>
    <row r="41" spans="1:39" ht="51" hidden="1" customHeight="1">
      <c r="A41" s="29"/>
      <c r="B41" s="117" t="s">
        <v>53</v>
      </c>
      <c r="C41" s="30"/>
      <c r="D41" s="30"/>
      <c r="E41" s="30"/>
      <c r="F41" s="30"/>
      <c r="G41" s="30"/>
      <c r="H41" s="30"/>
      <c r="I41" s="30"/>
      <c r="J41" s="30"/>
      <c r="K41" s="30"/>
      <c r="L41" s="30"/>
      <c r="M41" s="25"/>
      <c r="N41" s="65"/>
      <c r="O41" s="65"/>
      <c r="P41" s="65"/>
      <c r="Q41" s="65"/>
      <c r="R41" s="65"/>
      <c r="S41" s="65"/>
      <c r="T41" s="65"/>
      <c r="U41" s="25"/>
      <c r="V41" s="30">
        <v>0</v>
      </c>
      <c r="W41" s="65"/>
      <c r="X41" s="30">
        <v>0</v>
      </c>
      <c r="Y41" s="30"/>
      <c r="Z41" s="30"/>
      <c r="AA41" s="30"/>
      <c r="AB41" s="30">
        <v>0</v>
      </c>
      <c r="AC41" s="65"/>
      <c r="AD41" s="30">
        <f t="shared" si="15"/>
        <v>0</v>
      </c>
      <c r="AE41" s="65"/>
      <c r="AF41" s="30">
        <f>6576000+18571000+18574600+30000000+6576100+8029700</f>
        <v>88327400</v>
      </c>
      <c r="AG41" s="65"/>
      <c r="AH41" s="30">
        <v>81789172.239999995</v>
      </c>
      <c r="AI41" s="30">
        <v>0</v>
      </c>
      <c r="AJ41" s="30"/>
      <c r="AK41" s="30"/>
      <c r="AL41" s="54">
        <f t="shared" si="17"/>
        <v>0</v>
      </c>
      <c r="AM41" s="54"/>
    </row>
    <row r="42" spans="1:39" s="82" customFormat="1" ht="51" customHeight="1">
      <c r="A42" s="81" t="s">
        <v>54</v>
      </c>
      <c r="B42" s="122" t="s">
        <v>282</v>
      </c>
      <c r="C42" s="84">
        <v>1292039.31</v>
      </c>
      <c r="D42" s="84"/>
      <c r="E42" s="84">
        <v>1292039.31</v>
      </c>
      <c r="F42" s="84">
        <f>E42+40208.8+115</f>
        <v>1332363.1100000001</v>
      </c>
      <c r="G42" s="84"/>
      <c r="H42" s="84"/>
      <c r="I42" s="84">
        <f>C42-F42</f>
        <v>-40323.800000000047</v>
      </c>
      <c r="J42" s="84">
        <v>1292039.31</v>
      </c>
      <c r="K42" s="84"/>
      <c r="L42" s="84"/>
      <c r="M42" s="85">
        <f>159208000+113811300+141049100+5000000+109632500+27756400</f>
        <v>556457300</v>
      </c>
      <c r="N42" s="85">
        <f>40208.53+115+0.27</f>
        <v>40323.799999999996</v>
      </c>
      <c r="O42" s="97"/>
      <c r="P42" s="97"/>
      <c r="Q42" s="97"/>
      <c r="R42" s="97"/>
      <c r="S42" s="97"/>
      <c r="T42" s="97"/>
      <c r="U42" s="85">
        <f>577159777.31-19410438</f>
        <v>557749339.30999994</v>
      </c>
      <c r="V42" s="84">
        <f t="shared" si="12"/>
        <v>0</v>
      </c>
      <c r="W42" s="97"/>
      <c r="X42" s="84">
        <f t="shared" si="13"/>
        <v>0</v>
      </c>
      <c r="Y42" s="97"/>
      <c r="Z42" s="97"/>
      <c r="AA42" s="97"/>
      <c r="AB42" s="84">
        <f t="shared" si="14"/>
        <v>0</v>
      </c>
      <c r="AC42" s="97"/>
      <c r="AD42" s="84">
        <f t="shared" si="15"/>
        <v>0</v>
      </c>
      <c r="AE42" s="97"/>
      <c r="AF42" s="84">
        <f>168223200-6576000-98053000+44866900+16726300-8029700</f>
        <v>117157700</v>
      </c>
      <c r="AG42" s="97"/>
      <c r="AH42" s="84">
        <v>115791390.95999999</v>
      </c>
      <c r="AI42" s="84">
        <v>1993402.51</v>
      </c>
      <c r="AJ42" s="84"/>
      <c r="AK42" s="84"/>
      <c r="AL42" s="80">
        <f t="shared" si="17"/>
        <v>1993402.51</v>
      </c>
      <c r="AM42" s="80">
        <v>1993402.51</v>
      </c>
    </row>
    <row r="43" spans="1:39" s="82" customFormat="1" ht="98.25" customHeight="1" thickBot="1">
      <c r="A43" s="83"/>
      <c r="B43" s="123" t="s">
        <v>281</v>
      </c>
      <c r="C43" s="84"/>
      <c r="D43" s="84"/>
      <c r="E43" s="84"/>
      <c r="F43" s="84"/>
      <c r="G43" s="84"/>
      <c r="H43" s="84"/>
      <c r="I43" s="84"/>
      <c r="J43" s="84"/>
      <c r="K43" s="84"/>
      <c r="L43" s="84"/>
      <c r="M43" s="85"/>
      <c r="N43" s="85"/>
      <c r="O43" s="97"/>
      <c r="P43" s="97"/>
      <c r="Q43" s="97"/>
      <c r="R43" s="97"/>
      <c r="S43" s="97"/>
      <c r="T43" s="97"/>
      <c r="U43" s="85"/>
      <c r="V43" s="84"/>
      <c r="W43" s="97"/>
      <c r="X43" s="84"/>
      <c r="Y43" s="97"/>
      <c r="Z43" s="97"/>
      <c r="AA43" s="97"/>
      <c r="AB43" s="84"/>
      <c r="AC43" s="97"/>
      <c r="AD43" s="84">
        <f t="shared" si="15"/>
        <v>0</v>
      </c>
      <c r="AE43" s="97"/>
      <c r="AF43" s="84">
        <f>3000000+7000000+8536100</f>
        <v>18536100</v>
      </c>
      <c r="AG43" s="97"/>
      <c r="AH43" s="84">
        <v>18536100</v>
      </c>
      <c r="AI43" s="84">
        <v>0</v>
      </c>
      <c r="AJ43" s="84">
        <v>832362.47</v>
      </c>
      <c r="AK43" s="84"/>
      <c r="AL43" s="80">
        <f t="shared" si="17"/>
        <v>832362.47</v>
      </c>
      <c r="AM43" s="80">
        <v>832362.47</v>
      </c>
    </row>
    <row r="44" spans="1:39" ht="51" hidden="1" customHeight="1" thickBot="1">
      <c r="A44" s="21"/>
      <c r="B44" s="117" t="s">
        <v>55</v>
      </c>
      <c r="C44" s="30"/>
      <c r="D44" s="30"/>
      <c r="E44" s="30"/>
      <c r="F44" s="30"/>
      <c r="G44" s="30"/>
      <c r="H44" s="30"/>
      <c r="I44" s="30"/>
      <c r="J44" s="30"/>
      <c r="K44" s="30"/>
      <c r="L44" s="30"/>
      <c r="M44" s="25"/>
      <c r="N44" s="25"/>
      <c r="O44" s="65"/>
      <c r="P44" s="65"/>
      <c r="Q44" s="65"/>
      <c r="R44" s="65"/>
      <c r="S44" s="65"/>
      <c r="T44" s="65"/>
      <c r="U44" s="25"/>
      <c r="V44" s="30"/>
      <c r="W44" s="65"/>
      <c r="X44" s="30"/>
      <c r="Y44" s="65"/>
      <c r="Z44" s="65"/>
      <c r="AA44" s="65"/>
      <c r="AB44" s="30"/>
      <c r="AC44" s="65"/>
      <c r="AD44" s="30">
        <f t="shared" si="15"/>
        <v>0</v>
      </c>
      <c r="AE44" s="65"/>
      <c r="AF44" s="30">
        <f>5711956.5+2447981.36</f>
        <v>8159937.8599999994</v>
      </c>
      <c r="AG44" s="65"/>
      <c r="AH44" s="30">
        <v>8140475</v>
      </c>
      <c r="AI44" s="30">
        <v>0</v>
      </c>
      <c r="AJ44" s="30"/>
      <c r="AK44" s="30"/>
      <c r="AL44" s="54">
        <f t="shared" si="17"/>
        <v>0</v>
      </c>
      <c r="AM44" s="54"/>
    </row>
    <row r="45" spans="1:39" ht="40.5" customHeight="1" thickBot="1">
      <c r="A45" s="31" t="s">
        <v>56</v>
      </c>
      <c r="B45" s="119" t="s">
        <v>57</v>
      </c>
      <c r="C45" s="22">
        <f t="shared" ref="C45:AG45" si="18">SUM(C30:C42)</f>
        <v>1385893.6500000001</v>
      </c>
      <c r="D45" s="22">
        <f t="shared" si="18"/>
        <v>0</v>
      </c>
      <c r="E45" s="22">
        <f t="shared" si="18"/>
        <v>1385893.6500000001</v>
      </c>
      <c r="F45" s="22">
        <f t="shared" si="18"/>
        <v>1426217.4500000002</v>
      </c>
      <c r="G45" s="22">
        <f t="shared" si="18"/>
        <v>0</v>
      </c>
      <c r="H45" s="22">
        <f t="shared" si="18"/>
        <v>0</v>
      </c>
      <c r="I45" s="22">
        <f t="shared" si="18"/>
        <v>-40323.800000000047</v>
      </c>
      <c r="J45" s="22">
        <f t="shared" si="18"/>
        <v>1383762.25</v>
      </c>
      <c r="K45" s="22">
        <f t="shared" si="18"/>
        <v>0</v>
      </c>
      <c r="L45" s="22">
        <f t="shared" si="18"/>
        <v>0</v>
      </c>
      <c r="M45" s="22">
        <f t="shared" si="18"/>
        <v>595866700</v>
      </c>
      <c r="N45" s="22">
        <f t="shared" si="18"/>
        <v>40323.799999999996</v>
      </c>
      <c r="O45" s="22">
        <f t="shared" si="18"/>
        <v>0</v>
      </c>
      <c r="P45" s="22">
        <f t="shared" si="18"/>
        <v>0</v>
      </c>
      <c r="Q45" s="22">
        <f t="shared" si="18"/>
        <v>0</v>
      </c>
      <c r="R45" s="22">
        <f t="shared" si="18"/>
        <v>0</v>
      </c>
      <c r="S45" s="22">
        <f t="shared" si="18"/>
        <v>0</v>
      </c>
      <c r="T45" s="22">
        <f t="shared" si="18"/>
        <v>0</v>
      </c>
      <c r="U45" s="22">
        <f t="shared" si="18"/>
        <v>591547544.54999995</v>
      </c>
      <c r="V45" s="22">
        <f t="shared" si="18"/>
        <v>7824336.3300000001</v>
      </c>
      <c r="W45" s="22">
        <f t="shared" si="18"/>
        <v>0</v>
      </c>
      <c r="X45" s="22">
        <f t="shared" si="18"/>
        <v>7824336.3300000001</v>
      </c>
      <c r="Y45" s="22">
        <f t="shared" si="18"/>
        <v>8056043.6200000001</v>
      </c>
      <c r="Z45" s="22">
        <f t="shared" si="18"/>
        <v>2121418.63</v>
      </c>
      <c r="AA45" s="22">
        <f t="shared" si="18"/>
        <v>2121418.63</v>
      </c>
      <c r="AB45" s="22">
        <f t="shared" si="18"/>
        <v>-38842.709999999941</v>
      </c>
      <c r="AC45" s="22">
        <f t="shared" si="18"/>
        <v>0</v>
      </c>
      <c r="AD45" s="22">
        <f t="shared" si="18"/>
        <v>2121418.63</v>
      </c>
      <c r="AE45" s="22">
        <f t="shared" si="18"/>
        <v>0</v>
      </c>
      <c r="AF45" s="22">
        <f>SUM(AF30:AF44)</f>
        <v>674255237.86000001</v>
      </c>
      <c r="AG45" s="67">
        <f t="shared" si="18"/>
        <v>231707.28999999998</v>
      </c>
      <c r="AH45" s="22">
        <f t="shared" ref="AH45:AM45" si="19">SUM(AH30:AH44)</f>
        <v>655431450.98000002</v>
      </c>
      <c r="AI45" s="93">
        <f t="shared" si="19"/>
        <v>1993402.51</v>
      </c>
      <c r="AJ45" s="93">
        <f t="shared" si="19"/>
        <v>832362.47</v>
      </c>
      <c r="AK45" s="93">
        <f t="shared" si="19"/>
        <v>0</v>
      </c>
      <c r="AL45" s="93">
        <f t="shared" si="19"/>
        <v>2825764.98</v>
      </c>
      <c r="AM45" s="93">
        <f t="shared" si="19"/>
        <v>2825764.98</v>
      </c>
    </row>
    <row r="46" spans="1:39" ht="36" hidden="1" customHeight="1">
      <c r="A46" s="32" t="s">
        <v>58</v>
      </c>
      <c r="B46" s="124" t="s">
        <v>59</v>
      </c>
      <c r="C46" s="30">
        <v>200</v>
      </c>
      <c r="D46" s="30"/>
      <c r="E46" s="30">
        <f>C46</f>
        <v>200</v>
      </c>
      <c r="F46" s="30">
        <v>200</v>
      </c>
      <c r="G46" s="30"/>
      <c r="H46" s="30"/>
      <c r="I46" s="30">
        <f>C46-F46</f>
        <v>0</v>
      </c>
      <c r="J46" s="30"/>
      <c r="K46" s="30"/>
      <c r="L46" s="30"/>
      <c r="M46" s="25">
        <f>1818000+1818000</f>
        <v>3636000</v>
      </c>
      <c r="N46" s="25"/>
      <c r="O46" s="65"/>
      <c r="P46" s="65"/>
      <c r="Q46" s="65"/>
      <c r="R46" s="65"/>
      <c r="S46" s="65"/>
      <c r="T46" s="65"/>
      <c r="U46" s="25">
        <v>3621643.14</v>
      </c>
      <c r="V46" s="30">
        <f t="shared" ref="V46:V77" si="20">I46+J46+M46+N46-U46</f>
        <v>14356.85999999987</v>
      </c>
      <c r="W46" s="65"/>
      <c r="X46" s="30">
        <f t="shared" ref="X46:X75" si="21">V46</f>
        <v>14356.85999999987</v>
      </c>
      <c r="Y46" s="30">
        <v>14356.86</v>
      </c>
      <c r="Z46" s="30">
        <v>14356.86</v>
      </c>
      <c r="AA46" s="30"/>
      <c r="AB46" s="30">
        <f t="shared" ref="AB46:AB75" si="22">X46-Y46</f>
        <v>-1.3096723705530167E-10</v>
      </c>
      <c r="AC46" s="65"/>
      <c r="AD46" s="30">
        <f t="shared" ref="AD46:AD109" si="23">AA46-AC46</f>
        <v>0</v>
      </c>
      <c r="AE46" s="65"/>
      <c r="AF46" s="30"/>
      <c r="AG46" s="65"/>
      <c r="AH46" s="65"/>
      <c r="AI46" s="30">
        <f t="shared" ref="AI46:AJ75" si="24">V46+W46-Y46+AC46-AE46+AF46+AG46-AH46</f>
        <v>-1.3096723705530167E-10</v>
      </c>
      <c r="AJ46" s="30">
        <v>0</v>
      </c>
      <c r="AK46" s="30"/>
      <c r="AL46" s="54">
        <f t="shared" ref="AL46:AL75" si="25">AI46+AJ46</f>
        <v>-1.3096723705530167E-10</v>
      </c>
      <c r="AM46" s="54"/>
    </row>
    <row r="47" spans="1:39" ht="48" hidden="1" customHeight="1">
      <c r="A47" s="17" t="s">
        <v>60</v>
      </c>
      <c r="B47" s="117" t="s">
        <v>61</v>
      </c>
      <c r="C47" s="30">
        <v>21436</v>
      </c>
      <c r="D47" s="30"/>
      <c r="E47" s="30">
        <f>C47</f>
        <v>21436</v>
      </c>
      <c r="F47" s="30">
        <v>21436</v>
      </c>
      <c r="G47" s="30"/>
      <c r="H47" s="30"/>
      <c r="I47" s="30">
        <f>C47-F47</f>
        <v>0</v>
      </c>
      <c r="J47" s="30">
        <v>21436</v>
      </c>
      <c r="K47" s="30"/>
      <c r="L47" s="30"/>
      <c r="M47" s="25">
        <v>4886500</v>
      </c>
      <c r="N47" s="25"/>
      <c r="O47" s="65"/>
      <c r="P47" s="65"/>
      <c r="Q47" s="65"/>
      <c r="R47" s="65"/>
      <c r="S47" s="65"/>
      <c r="T47" s="65"/>
      <c r="U47" s="25">
        <v>4907936</v>
      </c>
      <c r="V47" s="30">
        <f t="shared" si="20"/>
        <v>0</v>
      </c>
      <c r="W47" s="65"/>
      <c r="X47" s="30">
        <f t="shared" si="21"/>
        <v>0</v>
      </c>
      <c r="Y47" s="65"/>
      <c r="Z47" s="65"/>
      <c r="AA47" s="65"/>
      <c r="AB47" s="30">
        <f t="shared" si="22"/>
        <v>0</v>
      </c>
      <c r="AC47" s="65"/>
      <c r="AD47" s="30">
        <f t="shared" si="23"/>
        <v>0</v>
      </c>
      <c r="AE47" s="65"/>
      <c r="AF47" s="30">
        <v>4886500</v>
      </c>
      <c r="AG47" s="65"/>
      <c r="AH47" s="30">
        <v>4886500</v>
      </c>
      <c r="AI47" s="30">
        <f t="shared" si="24"/>
        <v>0</v>
      </c>
      <c r="AJ47" s="30">
        <v>0</v>
      </c>
      <c r="AK47" s="30"/>
      <c r="AL47" s="54">
        <f t="shared" si="25"/>
        <v>0</v>
      </c>
      <c r="AM47" s="60"/>
    </row>
    <row r="48" spans="1:39" ht="37.5" hidden="1" customHeight="1">
      <c r="A48" s="17" t="s">
        <v>62</v>
      </c>
      <c r="B48" s="117" t="s">
        <v>63</v>
      </c>
      <c r="C48" s="30">
        <v>138887.5</v>
      </c>
      <c r="D48" s="30"/>
      <c r="E48" s="30">
        <f>C48</f>
        <v>138887.5</v>
      </c>
      <c r="F48" s="30">
        <v>138887.5</v>
      </c>
      <c r="G48" s="30"/>
      <c r="H48" s="30"/>
      <c r="I48" s="30">
        <f>C48-F48</f>
        <v>0</v>
      </c>
      <c r="J48" s="30">
        <v>138887.5</v>
      </c>
      <c r="K48" s="30"/>
      <c r="L48" s="30"/>
      <c r="M48" s="25">
        <v>5370000</v>
      </c>
      <c r="N48" s="25"/>
      <c r="O48" s="65"/>
      <c r="P48" s="65"/>
      <c r="Q48" s="65"/>
      <c r="R48" s="65"/>
      <c r="S48" s="65"/>
      <c r="T48" s="65"/>
      <c r="U48" s="25">
        <v>5508887.5</v>
      </c>
      <c r="V48" s="30">
        <f t="shared" si="20"/>
        <v>0</v>
      </c>
      <c r="W48" s="65"/>
      <c r="X48" s="30">
        <f t="shared" si="21"/>
        <v>0</v>
      </c>
      <c r="Y48" s="65"/>
      <c r="Z48" s="65"/>
      <c r="AA48" s="65"/>
      <c r="AB48" s="30">
        <f t="shared" si="22"/>
        <v>0</v>
      </c>
      <c r="AC48" s="65"/>
      <c r="AD48" s="30">
        <f t="shared" si="23"/>
        <v>0</v>
      </c>
      <c r="AE48" s="65"/>
      <c r="AF48" s="30">
        <v>6268400</v>
      </c>
      <c r="AG48" s="65"/>
      <c r="AH48" s="30">
        <v>6268400</v>
      </c>
      <c r="AI48" s="30">
        <f t="shared" si="24"/>
        <v>0</v>
      </c>
      <c r="AJ48" s="30">
        <f t="shared" si="24"/>
        <v>0</v>
      </c>
      <c r="AK48" s="30"/>
      <c r="AL48" s="54">
        <f t="shared" si="25"/>
        <v>0</v>
      </c>
      <c r="AM48" s="60"/>
    </row>
    <row r="49" spans="1:39" ht="94.5" hidden="1" customHeight="1">
      <c r="A49" s="17" t="s">
        <v>64</v>
      </c>
      <c r="B49" s="118" t="s">
        <v>65</v>
      </c>
      <c r="C49" s="30">
        <v>2203392</v>
      </c>
      <c r="D49" s="30"/>
      <c r="E49" s="30">
        <f>C49</f>
        <v>2203392</v>
      </c>
      <c r="F49" s="30">
        <v>2203392</v>
      </c>
      <c r="G49" s="30"/>
      <c r="H49" s="30"/>
      <c r="I49" s="30">
        <f>C49-F49</f>
        <v>0</v>
      </c>
      <c r="J49" s="30">
        <v>2203392</v>
      </c>
      <c r="K49" s="30"/>
      <c r="L49" s="30"/>
      <c r="M49" s="25">
        <f>312288200+36697200</f>
        <v>348985400</v>
      </c>
      <c r="N49" s="65"/>
      <c r="O49" s="65"/>
      <c r="P49" s="65"/>
      <c r="Q49" s="65"/>
      <c r="R49" s="65"/>
      <c r="S49" s="65"/>
      <c r="T49" s="65"/>
      <c r="U49" s="25">
        <v>351188792</v>
      </c>
      <c r="V49" s="30">
        <f>I49+J49+M49+N49-U49</f>
        <v>0</v>
      </c>
      <c r="W49" s="65"/>
      <c r="X49" s="30">
        <f t="shared" si="21"/>
        <v>0</v>
      </c>
      <c r="Y49" s="30">
        <v>8555.7000000000007</v>
      </c>
      <c r="Z49" s="65"/>
      <c r="AA49" s="65"/>
      <c r="AB49" s="30">
        <f t="shared" si="22"/>
        <v>-8555.7000000000007</v>
      </c>
      <c r="AC49" s="65"/>
      <c r="AD49" s="30">
        <f t="shared" si="23"/>
        <v>0</v>
      </c>
      <c r="AE49" s="65"/>
      <c r="AF49" s="30">
        <v>362507700</v>
      </c>
      <c r="AG49" s="30">
        <v>8555.7000000000007</v>
      </c>
      <c r="AH49" s="30">
        <v>362507700</v>
      </c>
      <c r="AI49" s="30">
        <f t="shared" si="24"/>
        <v>0</v>
      </c>
      <c r="AJ49" s="30">
        <v>0</v>
      </c>
      <c r="AK49" s="30"/>
      <c r="AL49" s="54">
        <f t="shared" si="25"/>
        <v>0</v>
      </c>
      <c r="AM49" s="54"/>
    </row>
    <row r="50" spans="1:39" ht="95.25" hidden="1" customHeight="1">
      <c r="A50" s="17"/>
      <c r="B50" s="70" t="s">
        <v>66</v>
      </c>
      <c r="C50" s="30"/>
      <c r="D50" s="30"/>
      <c r="E50" s="30"/>
      <c r="F50" s="30"/>
      <c r="G50" s="30"/>
      <c r="H50" s="30"/>
      <c r="I50" s="30"/>
      <c r="J50" s="30"/>
      <c r="K50" s="30"/>
      <c r="L50" s="30"/>
      <c r="M50" s="25"/>
      <c r="N50" s="65"/>
      <c r="O50" s="65"/>
      <c r="P50" s="65"/>
      <c r="Q50" s="65"/>
      <c r="R50" s="65"/>
      <c r="S50" s="65"/>
      <c r="T50" s="65"/>
      <c r="U50" s="25"/>
      <c r="V50" s="30">
        <f>I50+J50+M50+N50-U50</f>
        <v>0</v>
      </c>
      <c r="W50" s="65"/>
      <c r="X50" s="30">
        <v>0</v>
      </c>
      <c r="Y50" s="65"/>
      <c r="Z50" s="65"/>
      <c r="AA50" s="65"/>
      <c r="AB50" s="30">
        <v>0</v>
      </c>
      <c r="AC50" s="65"/>
      <c r="AD50" s="30">
        <f t="shared" si="23"/>
        <v>0</v>
      </c>
      <c r="AE50" s="65"/>
      <c r="AF50" s="30">
        <v>164251500</v>
      </c>
      <c r="AG50" s="65"/>
      <c r="AH50" s="30">
        <v>164251500</v>
      </c>
      <c r="AI50" s="30">
        <f t="shared" si="24"/>
        <v>0</v>
      </c>
      <c r="AJ50" s="30">
        <f t="shared" si="24"/>
        <v>0</v>
      </c>
      <c r="AK50" s="30"/>
      <c r="AL50" s="54">
        <f t="shared" si="25"/>
        <v>0</v>
      </c>
      <c r="AM50" s="54"/>
    </row>
    <row r="51" spans="1:39" ht="60" hidden="1" customHeight="1">
      <c r="A51" s="18" t="s">
        <v>67</v>
      </c>
      <c r="B51" s="70" t="s">
        <v>68</v>
      </c>
      <c r="C51" s="30">
        <v>17393267.940000001</v>
      </c>
      <c r="D51" s="30"/>
      <c r="E51" s="30">
        <f>C51</f>
        <v>17393267.940000001</v>
      </c>
      <c r="F51" s="30">
        <f>E51+263593.25</f>
        <v>17656861.190000001</v>
      </c>
      <c r="G51" s="30"/>
      <c r="H51" s="30"/>
      <c r="I51" s="30">
        <f>C51-F51</f>
        <v>-263593.25</v>
      </c>
      <c r="J51" s="30"/>
      <c r="K51" s="30"/>
      <c r="L51" s="30"/>
      <c r="M51" s="25"/>
      <c r="N51" s="25">
        <v>263593.25</v>
      </c>
      <c r="O51" s="65"/>
      <c r="P51" s="65"/>
      <c r="Q51" s="65"/>
      <c r="R51" s="65"/>
      <c r="S51" s="65"/>
      <c r="T51" s="65"/>
      <c r="U51" s="25"/>
      <c r="V51" s="30">
        <f t="shared" si="20"/>
        <v>0</v>
      </c>
      <c r="W51" s="65"/>
      <c r="X51" s="30">
        <f t="shared" si="21"/>
        <v>0</v>
      </c>
      <c r="Y51" s="65"/>
      <c r="Z51" s="65"/>
      <c r="AA51" s="65"/>
      <c r="AB51" s="30">
        <f t="shared" si="22"/>
        <v>0</v>
      </c>
      <c r="AC51" s="30">
        <f>6613.51-6613.51</f>
        <v>0</v>
      </c>
      <c r="AD51" s="30">
        <f t="shared" si="23"/>
        <v>0</v>
      </c>
      <c r="AE51" s="65"/>
      <c r="AF51" s="65"/>
      <c r="AG51" s="65"/>
      <c r="AH51" s="30"/>
      <c r="AI51" s="30">
        <v>0</v>
      </c>
      <c r="AJ51" s="30">
        <v>0</v>
      </c>
      <c r="AK51" s="30"/>
      <c r="AL51" s="54">
        <v>0</v>
      </c>
      <c r="AM51" s="54"/>
    </row>
    <row r="52" spans="1:39" ht="126.75" hidden="1" customHeight="1">
      <c r="A52" s="27" t="s">
        <v>69</v>
      </c>
      <c r="B52" s="117" t="s">
        <v>70</v>
      </c>
      <c r="C52" s="30">
        <f>2557036.56+7436.15</f>
        <v>2564472.71</v>
      </c>
      <c r="D52" s="30">
        <v>25169127.989999998</v>
      </c>
      <c r="E52" s="30">
        <f>C52+D52</f>
        <v>27733600.699999999</v>
      </c>
      <c r="F52" s="30">
        <f>27726164.55+7436.15+4009.46+23862.71+80.57+16165.47+28525.65</f>
        <v>27806244.559999999</v>
      </c>
      <c r="G52" s="30"/>
      <c r="H52" s="30"/>
      <c r="I52" s="30">
        <f>C52+D52-F52</f>
        <v>-72643.859999999404</v>
      </c>
      <c r="J52" s="30"/>
      <c r="K52" s="30"/>
      <c r="L52" s="30"/>
      <c r="M52" s="25"/>
      <c r="N52" s="25">
        <f>4009.46+23862.71+80.57+16165.47+28525.65</f>
        <v>72643.86</v>
      </c>
      <c r="O52" s="65"/>
      <c r="P52" s="65"/>
      <c r="Q52" s="65"/>
      <c r="R52" s="65"/>
      <c r="S52" s="65"/>
      <c r="T52" s="65"/>
      <c r="U52" s="25"/>
      <c r="V52" s="30">
        <f t="shared" si="20"/>
        <v>5.9662852436304092E-10</v>
      </c>
      <c r="W52" s="65"/>
      <c r="X52" s="30">
        <f t="shared" si="21"/>
        <v>5.9662852436304092E-10</v>
      </c>
      <c r="Y52" s="30">
        <f>1054+10652.04+27992.38</f>
        <v>39698.42</v>
      </c>
      <c r="Z52" s="65"/>
      <c r="AA52" s="65"/>
      <c r="AB52" s="30">
        <f t="shared" si="22"/>
        <v>-39698.419999999402</v>
      </c>
      <c r="AC52" s="65"/>
      <c r="AD52" s="30">
        <f t="shared" si="23"/>
        <v>0</v>
      </c>
      <c r="AE52" s="65"/>
      <c r="AF52" s="65"/>
      <c r="AG52" s="30">
        <f>1054+10652.04+27992.38</f>
        <v>39698.42</v>
      </c>
      <c r="AH52" s="30"/>
      <c r="AI52" s="30">
        <f t="shared" si="24"/>
        <v>5.9662852436304092E-10</v>
      </c>
      <c r="AJ52" s="30">
        <v>0</v>
      </c>
      <c r="AK52" s="30"/>
      <c r="AL52" s="54">
        <f t="shared" si="25"/>
        <v>5.9662852436304092E-10</v>
      </c>
      <c r="AM52" s="54"/>
    </row>
    <row r="53" spans="1:39" ht="46.15" hidden="1" customHeight="1">
      <c r="A53" s="17" t="s">
        <v>71</v>
      </c>
      <c r="B53" s="117" t="s">
        <v>72</v>
      </c>
      <c r="C53" s="30">
        <v>25962734.5</v>
      </c>
      <c r="D53" s="30"/>
      <c r="E53" s="30">
        <f>C53</f>
        <v>25962734.5</v>
      </c>
      <c r="F53" s="30">
        <f>E53</f>
        <v>25962734.5</v>
      </c>
      <c r="G53" s="30"/>
      <c r="H53" s="30"/>
      <c r="I53" s="30">
        <f>C53-F53</f>
        <v>0</v>
      </c>
      <c r="J53" s="30">
        <v>25962734.5</v>
      </c>
      <c r="K53" s="30"/>
      <c r="L53" s="30"/>
      <c r="M53" s="25"/>
      <c r="N53" s="25"/>
      <c r="O53" s="65"/>
      <c r="P53" s="65"/>
      <c r="Q53" s="65"/>
      <c r="R53" s="65"/>
      <c r="S53" s="65"/>
      <c r="T53" s="65"/>
      <c r="U53" s="25">
        <v>25962734.5</v>
      </c>
      <c r="V53" s="30">
        <f t="shared" si="20"/>
        <v>0</v>
      </c>
      <c r="W53" s="65"/>
      <c r="X53" s="30">
        <f t="shared" si="21"/>
        <v>0</v>
      </c>
      <c r="Y53" s="65"/>
      <c r="Z53" s="65"/>
      <c r="AA53" s="65"/>
      <c r="AB53" s="30">
        <f t="shared" si="22"/>
        <v>0</v>
      </c>
      <c r="AC53" s="65"/>
      <c r="AD53" s="30">
        <f t="shared" si="23"/>
        <v>0</v>
      </c>
      <c r="AE53" s="65"/>
      <c r="AF53" s="65"/>
      <c r="AG53" s="65"/>
      <c r="AH53" s="65"/>
      <c r="AI53" s="30">
        <f t="shared" si="24"/>
        <v>0</v>
      </c>
      <c r="AJ53" s="30">
        <f t="shared" si="24"/>
        <v>0</v>
      </c>
      <c r="AK53" s="30"/>
      <c r="AL53" s="54">
        <f t="shared" si="25"/>
        <v>0</v>
      </c>
      <c r="AM53" s="60"/>
    </row>
    <row r="54" spans="1:39" ht="169.5" hidden="1" customHeight="1">
      <c r="A54" s="17"/>
      <c r="B54" s="118" t="s">
        <v>73</v>
      </c>
      <c r="C54" s="30"/>
      <c r="D54" s="30"/>
      <c r="E54" s="30"/>
      <c r="F54" s="30"/>
      <c r="G54" s="30"/>
      <c r="H54" s="30"/>
      <c r="I54" s="30"/>
      <c r="J54" s="30"/>
      <c r="K54" s="30"/>
      <c r="L54" s="30"/>
      <c r="M54" s="25"/>
      <c r="N54" s="25"/>
      <c r="O54" s="65"/>
      <c r="P54" s="65"/>
      <c r="Q54" s="65"/>
      <c r="R54" s="65"/>
      <c r="S54" s="65"/>
      <c r="T54" s="65"/>
      <c r="U54" s="25"/>
      <c r="V54" s="30">
        <f t="shared" si="20"/>
        <v>0</v>
      </c>
      <c r="W54" s="65"/>
      <c r="X54" s="30"/>
      <c r="Y54" s="65"/>
      <c r="Z54" s="65"/>
      <c r="AA54" s="65"/>
      <c r="AB54" s="30"/>
      <c r="AC54" s="65"/>
      <c r="AD54" s="30"/>
      <c r="AE54" s="65"/>
      <c r="AF54" s="30">
        <v>10750000</v>
      </c>
      <c r="AG54" s="30">
        <v>0</v>
      </c>
      <c r="AH54" s="30">
        <v>0</v>
      </c>
      <c r="AI54" s="30">
        <v>0</v>
      </c>
      <c r="AJ54" s="30">
        <v>0</v>
      </c>
      <c r="AK54" s="30"/>
      <c r="AL54" s="54">
        <v>0</v>
      </c>
      <c r="AM54" s="54"/>
    </row>
    <row r="55" spans="1:39" ht="81.75" hidden="1" customHeight="1">
      <c r="A55" s="17" t="s">
        <v>74</v>
      </c>
      <c r="B55" s="117" t="s">
        <v>75</v>
      </c>
      <c r="C55" s="30">
        <v>11233680</v>
      </c>
      <c r="D55" s="30"/>
      <c r="E55" s="30">
        <f>C55</f>
        <v>11233680</v>
      </c>
      <c r="F55" s="30">
        <f>E55</f>
        <v>11233680</v>
      </c>
      <c r="G55" s="30"/>
      <c r="H55" s="30"/>
      <c r="I55" s="30">
        <f t="shared" ref="I55:I60" si="26">C55-F55</f>
        <v>0</v>
      </c>
      <c r="J55" s="30">
        <v>11233680</v>
      </c>
      <c r="K55" s="30"/>
      <c r="L55" s="30"/>
      <c r="M55" s="25">
        <v>10750000</v>
      </c>
      <c r="N55" s="25"/>
      <c r="O55" s="65"/>
      <c r="P55" s="65"/>
      <c r="Q55" s="65"/>
      <c r="R55" s="65"/>
      <c r="S55" s="65"/>
      <c r="T55" s="65"/>
      <c r="U55" s="25">
        <v>9712952.5</v>
      </c>
      <c r="V55" s="30">
        <f t="shared" si="20"/>
        <v>12270727.5</v>
      </c>
      <c r="W55" s="65"/>
      <c r="X55" s="30">
        <f t="shared" si="21"/>
        <v>12270727.5</v>
      </c>
      <c r="Y55" s="30">
        <v>12270727.5</v>
      </c>
      <c r="Z55" s="30">
        <v>12270727.5</v>
      </c>
      <c r="AA55" s="30">
        <v>12270727.5</v>
      </c>
      <c r="AB55" s="30">
        <f t="shared" si="22"/>
        <v>0</v>
      </c>
      <c r="AC55" s="30">
        <v>12270727.5</v>
      </c>
      <c r="AD55" s="30">
        <f t="shared" si="23"/>
        <v>0</v>
      </c>
      <c r="AE55" s="65"/>
      <c r="AF55" s="65"/>
      <c r="AG55" s="65"/>
      <c r="AH55" s="30">
        <v>10750000</v>
      </c>
      <c r="AI55" s="30">
        <v>0</v>
      </c>
      <c r="AJ55" s="30">
        <v>0</v>
      </c>
      <c r="AK55" s="30"/>
      <c r="AL55" s="54">
        <f t="shared" si="25"/>
        <v>0</v>
      </c>
      <c r="AM55" s="54"/>
    </row>
    <row r="56" spans="1:39" ht="67.900000000000006" hidden="1" customHeight="1">
      <c r="A56" s="17"/>
      <c r="B56" s="63" t="s">
        <v>76</v>
      </c>
      <c r="C56" s="30">
        <v>1656417.5</v>
      </c>
      <c r="D56" s="30"/>
      <c r="E56" s="30">
        <f>C56</f>
        <v>1656417.5</v>
      </c>
      <c r="F56" s="30">
        <f>E56</f>
        <v>1656417.5</v>
      </c>
      <c r="G56" s="30"/>
      <c r="H56" s="30"/>
      <c r="I56" s="30">
        <f t="shared" si="26"/>
        <v>0</v>
      </c>
      <c r="J56" s="30">
        <v>1656417.5</v>
      </c>
      <c r="K56" s="30"/>
      <c r="L56" s="30"/>
      <c r="M56" s="25"/>
      <c r="N56" s="25"/>
      <c r="O56" s="65"/>
      <c r="P56" s="65"/>
      <c r="Q56" s="65"/>
      <c r="R56" s="65"/>
      <c r="S56" s="65"/>
      <c r="T56" s="65"/>
      <c r="U56" s="25">
        <v>1656417.5</v>
      </c>
      <c r="V56" s="30">
        <f t="shared" si="20"/>
        <v>0</v>
      </c>
      <c r="W56" s="125"/>
      <c r="X56" s="30">
        <f t="shared" si="21"/>
        <v>0</v>
      </c>
      <c r="Y56" s="30"/>
      <c r="Z56" s="30"/>
      <c r="AA56" s="30"/>
      <c r="AB56" s="30">
        <f t="shared" si="22"/>
        <v>0</v>
      </c>
      <c r="AC56" s="65"/>
      <c r="AD56" s="30">
        <f t="shared" si="23"/>
        <v>0</v>
      </c>
      <c r="AE56" s="65"/>
      <c r="AF56" s="65"/>
      <c r="AG56" s="65"/>
      <c r="AH56" s="65"/>
      <c r="AI56" s="30">
        <f t="shared" si="24"/>
        <v>0</v>
      </c>
      <c r="AJ56" s="30">
        <f t="shared" si="24"/>
        <v>0</v>
      </c>
      <c r="AK56" s="30"/>
      <c r="AL56" s="54">
        <f t="shared" si="25"/>
        <v>0</v>
      </c>
      <c r="AM56" s="54"/>
    </row>
    <row r="57" spans="1:39" ht="66" hidden="1" customHeight="1">
      <c r="A57" s="17"/>
      <c r="B57" s="63" t="s">
        <v>77</v>
      </c>
      <c r="C57" s="30">
        <v>4861300</v>
      </c>
      <c r="D57" s="30"/>
      <c r="E57" s="30"/>
      <c r="F57" s="30"/>
      <c r="G57" s="30"/>
      <c r="H57" s="30"/>
      <c r="I57" s="30">
        <f t="shared" si="26"/>
        <v>4861300</v>
      </c>
      <c r="J57" s="30"/>
      <c r="K57" s="30"/>
      <c r="L57" s="30"/>
      <c r="M57" s="25"/>
      <c r="N57" s="65"/>
      <c r="O57" s="65"/>
      <c r="P57" s="65"/>
      <c r="Q57" s="65"/>
      <c r="R57" s="65"/>
      <c r="S57" s="65"/>
      <c r="T57" s="65"/>
      <c r="U57" s="25">
        <v>4861300</v>
      </c>
      <c r="V57" s="30">
        <f t="shared" si="20"/>
        <v>0</v>
      </c>
      <c r="W57" s="65"/>
      <c r="X57" s="30">
        <f t="shared" si="21"/>
        <v>0</v>
      </c>
      <c r="Y57" s="30"/>
      <c r="Z57" s="30"/>
      <c r="AA57" s="30"/>
      <c r="AB57" s="30">
        <f t="shared" si="22"/>
        <v>0</v>
      </c>
      <c r="AC57" s="65"/>
      <c r="AD57" s="30">
        <f t="shared" si="23"/>
        <v>0</v>
      </c>
      <c r="AE57" s="65"/>
      <c r="AF57" s="65"/>
      <c r="AG57" s="65"/>
      <c r="AH57" s="65"/>
      <c r="AI57" s="30">
        <f t="shared" si="24"/>
        <v>0</v>
      </c>
      <c r="AJ57" s="30">
        <f t="shared" si="24"/>
        <v>0</v>
      </c>
      <c r="AK57" s="30"/>
      <c r="AL57" s="54">
        <f t="shared" si="25"/>
        <v>0</v>
      </c>
      <c r="AM57" s="54"/>
    </row>
    <row r="58" spans="1:39" ht="81.75" hidden="1" customHeight="1">
      <c r="A58" s="17"/>
      <c r="B58" s="63" t="s">
        <v>78</v>
      </c>
      <c r="C58" s="30">
        <v>39087.339999999997</v>
      </c>
      <c r="D58" s="30"/>
      <c r="E58" s="30">
        <f>C58</f>
        <v>39087.339999999997</v>
      </c>
      <c r="F58" s="30">
        <v>39087.339999999997</v>
      </c>
      <c r="G58" s="30"/>
      <c r="H58" s="30"/>
      <c r="I58" s="30">
        <f t="shared" si="26"/>
        <v>0</v>
      </c>
      <c r="J58" s="30">
        <v>39087.339999999997</v>
      </c>
      <c r="K58" s="30"/>
      <c r="L58" s="30"/>
      <c r="M58" s="25"/>
      <c r="N58" s="65"/>
      <c r="O58" s="65"/>
      <c r="P58" s="65"/>
      <c r="Q58" s="65"/>
      <c r="R58" s="65"/>
      <c r="S58" s="65"/>
      <c r="T58" s="65"/>
      <c r="U58" s="25">
        <v>39087.339999999997</v>
      </c>
      <c r="V58" s="30">
        <f t="shared" si="20"/>
        <v>0</v>
      </c>
      <c r="W58" s="65"/>
      <c r="X58" s="30">
        <f t="shared" si="21"/>
        <v>0</v>
      </c>
      <c r="Y58" s="65"/>
      <c r="Z58" s="65"/>
      <c r="AA58" s="65"/>
      <c r="AB58" s="30">
        <f t="shared" si="22"/>
        <v>0</v>
      </c>
      <c r="AC58" s="65"/>
      <c r="AD58" s="30">
        <f t="shared" si="23"/>
        <v>0</v>
      </c>
      <c r="AE58" s="65"/>
      <c r="AF58" s="65"/>
      <c r="AG58" s="65"/>
      <c r="AH58" s="65"/>
      <c r="AI58" s="30">
        <f t="shared" si="24"/>
        <v>0</v>
      </c>
      <c r="AJ58" s="30">
        <f t="shared" si="24"/>
        <v>0</v>
      </c>
      <c r="AK58" s="30"/>
      <c r="AL58" s="54">
        <f t="shared" si="25"/>
        <v>0</v>
      </c>
      <c r="AM58" s="60"/>
    </row>
    <row r="59" spans="1:39" ht="81.75" hidden="1" customHeight="1">
      <c r="A59" s="17"/>
      <c r="B59" s="63" t="s">
        <v>79</v>
      </c>
      <c r="C59" s="30">
        <v>1577900</v>
      </c>
      <c r="D59" s="30"/>
      <c r="E59" s="30"/>
      <c r="F59" s="30"/>
      <c r="G59" s="30"/>
      <c r="H59" s="30"/>
      <c r="I59" s="30">
        <f t="shared" si="26"/>
        <v>1577900</v>
      </c>
      <c r="J59" s="30"/>
      <c r="K59" s="30"/>
      <c r="L59" s="30"/>
      <c r="M59" s="25"/>
      <c r="N59" s="65"/>
      <c r="O59" s="65"/>
      <c r="P59" s="65"/>
      <c r="Q59" s="65"/>
      <c r="R59" s="65"/>
      <c r="S59" s="65"/>
      <c r="T59" s="65"/>
      <c r="U59" s="25">
        <v>1577900</v>
      </c>
      <c r="V59" s="30">
        <f t="shared" si="20"/>
        <v>0</v>
      </c>
      <c r="W59" s="65"/>
      <c r="X59" s="30">
        <f t="shared" si="21"/>
        <v>0</v>
      </c>
      <c r="Y59" s="65"/>
      <c r="Z59" s="65"/>
      <c r="AA59" s="65"/>
      <c r="AB59" s="30">
        <f t="shared" si="22"/>
        <v>0</v>
      </c>
      <c r="AC59" s="65"/>
      <c r="AD59" s="30">
        <f t="shared" si="23"/>
        <v>0</v>
      </c>
      <c r="AE59" s="65"/>
      <c r="AF59" s="65"/>
      <c r="AG59" s="65"/>
      <c r="AH59" s="65"/>
      <c r="AI59" s="30">
        <f t="shared" si="24"/>
        <v>0</v>
      </c>
      <c r="AJ59" s="30">
        <f t="shared" si="24"/>
        <v>0</v>
      </c>
      <c r="AK59" s="30"/>
      <c r="AL59" s="54">
        <f t="shared" si="25"/>
        <v>0</v>
      </c>
      <c r="AM59" s="60"/>
    </row>
    <row r="60" spans="1:39" ht="76.5" hidden="1" customHeight="1">
      <c r="A60" s="17"/>
      <c r="B60" s="63" t="s">
        <v>80</v>
      </c>
      <c r="C60" s="30">
        <v>609000</v>
      </c>
      <c r="D60" s="30"/>
      <c r="E60" s="30">
        <f>C60</f>
        <v>609000</v>
      </c>
      <c r="F60" s="30">
        <f>E60</f>
        <v>609000</v>
      </c>
      <c r="G60" s="30"/>
      <c r="H60" s="30"/>
      <c r="I60" s="30">
        <f t="shared" si="26"/>
        <v>0</v>
      </c>
      <c r="J60" s="30">
        <v>609000</v>
      </c>
      <c r="K60" s="30"/>
      <c r="L60" s="30"/>
      <c r="M60" s="25"/>
      <c r="N60" s="65"/>
      <c r="O60" s="65"/>
      <c r="P60" s="65"/>
      <c r="Q60" s="65"/>
      <c r="R60" s="65"/>
      <c r="S60" s="65"/>
      <c r="T60" s="65"/>
      <c r="U60" s="25">
        <v>609000</v>
      </c>
      <c r="V60" s="30">
        <f t="shared" si="20"/>
        <v>0</v>
      </c>
      <c r="W60" s="65"/>
      <c r="X60" s="30">
        <f t="shared" si="21"/>
        <v>0</v>
      </c>
      <c r="Y60" s="65"/>
      <c r="Z60" s="65"/>
      <c r="AA60" s="65"/>
      <c r="AB60" s="30">
        <f t="shared" si="22"/>
        <v>0</v>
      </c>
      <c r="AC60" s="65"/>
      <c r="AD60" s="30">
        <f t="shared" si="23"/>
        <v>0</v>
      </c>
      <c r="AE60" s="65"/>
      <c r="AF60" s="65"/>
      <c r="AG60" s="65"/>
      <c r="AH60" s="65"/>
      <c r="AI60" s="30">
        <f t="shared" si="24"/>
        <v>0</v>
      </c>
      <c r="AJ60" s="30">
        <f t="shared" si="24"/>
        <v>0</v>
      </c>
      <c r="AK60" s="30"/>
      <c r="AL60" s="54">
        <f t="shared" si="25"/>
        <v>0</v>
      </c>
      <c r="AM60" s="60"/>
    </row>
    <row r="61" spans="1:39" ht="132.75" hidden="1" customHeight="1">
      <c r="A61" s="17"/>
      <c r="B61" s="71" t="s">
        <v>81</v>
      </c>
      <c r="C61" s="30"/>
      <c r="D61" s="30"/>
      <c r="E61" s="30"/>
      <c r="F61" s="30"/>
      <c r="G61" s="30"/>
      <c r="H61" s="30"/>
      <c r="I61" s="30"/>
      <c r="J61" s="30"/>
      <c r="K61" s="30"/>
      <c r="L61" s="30"/>
      <c r="M61" s="25"/>
      <c r="N61" s="65"/>
      <c r="O61" s="65"/>
      <c r="P61" s="65"/>
      <c r="Q61" s="65"/>
      <c r="R61" s="65"/>
      <c r="S61" s="65"/>
      <c r="T61" s="65"/>
      <c r="U61" s="25"/>
      <c r="V61" s="30"/>
      <c r="W61" s="65"/>
      <c r="X61" s="30"/>
      <c r="Y61" s="65"/>
      <c r="Z61" s="65"/>
      <c r="AA61" s="65"/>
      <c r="AB61" s="30"/>
      <c r="AC61" s="65"/>
      <c r="AD61" s="30"/>
      <c r="AE61" s="65"/>
      <c r="AF61" s="30">
        <v>4438000</v>
      </c>
      <c r="AG61" s="65"/>
      <c r="AH61" s="30">
        <v>4438000</v>
      </c>
      <c r="AI61" s="30">
        <f t="shared" si="24"/>
        <v>0</v>
      </c>
      <c r="AJ61" s="30">
        <f t="shared" si="24"/>
        <v>0</v>
      </c>
      <c r="AK61" s="30"/>
      <c r="AL61" s="54">
        <f t="shared" si="25"/>
        <v>0</v>
      </c>
      <c r="AM61" s="60"/>
    </row>
    <row r="62" spans="1:39" ht="79.5" hidden="1" customHeight="1">
      <c r="A62" s="17"/>
      <c r="B62" s="71" t="s">
        <v>82</v>
      </c>
      <c r="C62" s="30">
        <v>0</v>
      </c>
      <c r="D62" s="30"/>
      <c r="E62" s="30">
        <v>0</v>
      </c>
      <c r="F62" s="30"/>
      <c r="G62" s="30"/>
      <c r="H62" s="30"/>
      <c r="I62" s="30">
        <v>0</v>
      </c>
      <c r="J62" s="30"/>
      <c r="K62" s="30"/>
      <c r="L62" s="30"/>
      <c r="M62" s="25">
        <v>12854800</v>
      </c>
      <c r="N62" s="65"/>
      <c r="O62" s="65"/>
      <c r="P62" s="65"/>
      <c r="Q62" s="65"/>
      <c r="R62" s="65"/>
      <c r="S62" s="65"/>
      <c r="T62" s="65"/>
      <c r="U62" s="25"/>
      <c r="V62" s="30">
        <f t="shared" si="20"/>
        <v>12854800</v>
      </c>
      <c r="W62" s="65"/>
      <c r="X62" s="30">
        <f t="shared" si="21"/>
        <v>12854800</v>
      </c>
      <c r="Y62" s="30">
        <v>12854800</v>
      </c>
      <c r="Z62" s="30">
        <v>12854800</v>
      </c>
      <c r="AA62" s="30">
        <v>12854800</v>
      </c>
      <c r="AB62" s="30">
        <f t="shared" si="22"/>
        <v>0</v>
      </c>
      <c r="AC62" s="30">
        <v>12854800</v>
      </c>
      <c r="AD62" s="30">
        <f t="shared" si="23"/>
        <v>0</v>
      </c>
      <c r="AE62" s="65"/>
      <c r="AF62" s="65"/>
      <c r="AG62" s="65"/>
      <c r="AH62" s="30">
        <v>12008003.83</v>
      </c>
      <c r="AI62" s="30">
        <v>0</v>
      </c>
      <c r="AJ62" s="30">
        <v>0</v>
      </c>
      <c r="AK62" s="30"/>
      <c r="AL62" s="54">
        <f t="shared" si="25"/>
        <v>0</v>
      </c>
      <c r="AM62" s="54"/>
    </row>
    <row r="63" spans="1:39" ht="36.75" hidden="1" customHeight="1">
      <c r="A63" s="17"/>
      <c r="B63" s="71" t="s">
        <v>83</v>
      </c>
      <c r="C63" s="30"/>
      <c r="D63" s="30"/>
      <c r="E63" s="30"/>
      <c r="F63" s="30"/>
      <c r="G63" s="30"/>
      <c r="H63" s="30"/>
      <c r="I63" s="30"/>
      <c r="J63" s="30"/>
      <c r="K63" s="30"/>
      <c r="L63" s="30"/>
      <c r="M63" s="25"/>
      <c r="N63" s="65"/>
      <c r="O63" s="65"/>
      <c r="P63" s="65"/>
      <c r="Q63" s="65"/>
      <c r="R63" s="65"/>
      <c r="S63" s="65"/>
      <c r="T63" s="65"/>
      <c r="U63" s="25"/>
      <c r="V63" s="30">
        <v>0</v>
      </c>
      <c r="W63" s="65">
        <v>0</v>
      </c>
      <c r="X63" s="30">
        <v>0</v>
      </c>
      <c r="Y63" s="30">
        <v>0</v>
      </c>
      <c r="Z63" s="30">
        <v>0</v>
      </c>
      <c r="AA63" s="30"/>
      <c r="AB63" s="30">
        <f t="shared" si="22"/>
        <v>0</v>
      </c>
      <c r="AC63" s="65"/>
      <c r="AD63" s="30">
        <f t="shared" si="23"/>
        <v>0</v>
      </c>
      <c r="AE63" s="65"/>
      <c r="AF63" s="30">
        <v>1280400</v>
      </c>
      <c r="AG63" s="65"/>
      <c r="AH63" s="30">
        <v>1280400</v>
      </c>
      <c r="AI63" s="30">
        <f t="shared" si="24"/>
        <v>0</v>
      </c>
      <c r="AJ63" s="30">
        <f t="shared" si="24"/>
        <v>0</v>
      </c>
      <c r="AK63" s="30"/>
      <c r="AL63" s="54">
        <f t="shared" si="25"/>
        <v>0</v>
      </c>
      <c r="AM63" s="54"/>
    </row>
    <row r="64" spans="1:39" ht="69.75" hidden="1" customHeight="1">
      <c r="A64" s="17"/>
      <c r="B64" s="71" t="s">
        <v>84</v>
      </c>
      <c r="C64" s="30"/>
      <c r="D64" s="30"/>
      <c r="E64" s="30"/>
      <c r="F64" s="30"/>
      <c r="G64" s="30"/>
      <c r="H64" s="30"/>
      <c r="I64" s="30"/>
      <c r="J64" s="30"/>
      <c r="K64" s="30"/>
      <c r="L64" s="30"/>
      <c r="M64" s="25">
        <v>5965200</v>
      </c>
      <c r="N64" s="65"/>
      <c r="O64" s="65"/>
      <c r="P64" s="65"/>
      <c r="Q64" s="65"/>
      <c r="R64" s="65"/>
      <c r="S64" s="65"/>
      <c r="T64" s="65"/>
      <c r="U64" s="25">
        <v>5965200</v>
      </c>
      <c r="V64" s="30">
        <f t="shared" si="20"/>
        <v>0</v>
      </c>
      <c r="W64" s="65"/>
      <c r="X64" s="30">
        <f t="shared" si="21"/>
        <v>0</v>
      </c>
      <c r="Y64" s="30"/>
      <c r="Z64" s="30"/>
      <c r="AA64" s="30"/>
      <c r="AB64" s="30">
        <f t="shared" si="22"/>
        <v>0</v>
      </c>
      <c r="AC64" s="65"/>
      <c r="AD64" s="30">
        <f t="shared" si="23"/>
        <v>0</v>
      </c>
      <c r="AE64" s="65"/>
      <c r="AF64" s="65"/>
      <c r="AG64" s="65"/>
      <c r="AH64" s="30"/>
      <c r="AI64" s="30">
        <f t="shared" si="24"/>
        <v>0</v>
      </c>
      <c r="AJ64" s="30">
        <f t="shared" si="24"/>
        <v>0</v>
      </c>
      <c r="AK64" s="30"/>
      <c r="AL64" s="54">
        <f t="shared" si="25"/>
        <v>0</v>
      </c>
      <c r="AM64" s="54"/>
    </row>
    <row r="65" spans="1:39" ht="81.599999999999994" hidden="1" customHeight="1">
      <c r="A65" s="17"/>
      <c r="B65" s="71" t="s">
        <v>85</v>
      </c>
      <c r="C65" s="30"/>
      <c r="D65" s="30"/>
      <c r="E65" s="30"/>
      <c r="F65" s="30"/>
      <c r="G65" s="30"/>
      <c r="H65" s="30"/>
      <c r="I65" s="30"/>
      <c r="J65" s="30"/>
      <c r="K65" s="30"/>
      <c r="L65" s="30"/>
      <c r="M65" s="25">
        <f>27997400</f>
        <v>27997400</v>
      </c>
      <c r="N65" s="65"/>
      <c r="O65" s="65"/>
      <c r="P65" s="65"/>
      <c r="Q65" s="65"/>
      <c r="R65" s="65"/>
      <c r="S65" s="65"/>
      <c r="T65" s="65"/>
      <c r="U65" s="25">
        <v>27983863.329999998</v>
      </c>
      <c r="V65" s="30">
        <f t="shared" si="20"/>
        <v>13536.670000001788</v>
      </c>
      <c r="W65" s="65"/>
      <c r="X65" s="30">
        <f t="shared" si="21"/>
        <v>13536.670000001788</v>
      </c>
      <c r="Y65" s="30">
        <v>13536.67</v>
      </c>
      <c r="Z65" s="30">
        <v>13536.67</v>
      </c>
      <c r="AA65" s="30"/>
      <c r="AB65" s="30">
        <f t="shared" si="22"/>
        <v>1.7880665836855769E-9</v>
      </c>
      <c r="AC65" s="65"/>
      <c r="AD65" s="30">
        <f t="shared" si="23"/>
        <v>0</v>
      </c>
      <c r="AE65" s="65"/>
      <c r="AF65" s="30">
        <v>30026700</v>
      </c>
      <c r="AG65" s="65"/>
      <c r="AH65" s="30">
        <v>30026700</v>
      </c>
      <c r="AI65" s="30">
        <f t="shared" si="24"/>
        <v>0</v>
      </c>
      <c r="AJ65" s="30">
        <f t="shared" si="24"/>
        <v>0</v>
      </c>
      <c r="AK65" s="30"/>
      <c r="AL65" s="54">
        <f t="shared" si="25"/>
        <v>0</v>
      </c>
      <c r="AM65" s="54"/>
    </row>
    <row r="66" spans="1:39" ht="56.25" hidden="1" customHeight="1">
      <c r="A66" s="17"/>
      <c r="B66" s="71" t="s">
        <v>86</v>
      </c>
      <c r="C66" s="30"/>
      <c r="D66" s="30"/>
      <c r="E66" s="30"/>
      <c r="F66" s="30"/>
      <c r="G66" s="30"/>
      <c r="H66" s="30"/>
      <c r="I66" s="30"/>
      <c r="J66" s="30"/>
      <c r="K66" s="30"/>
      <c r="L66" s="30"/>
      <c r="M66" s="25">
        <v>8174400</v>
      </c>
      <c r="N66" s="65"/>
      <c r="O66" s="65"/>
      <c r="P66" s="65"/>
      <c r="Q66" s="65"/>
      <c r="R66" s="65"/>
      <c r="S66" s="65"/>
      <c r="T66" s="65"/>
      <c r="U66" s="25">
        <v>6562012.9800000004</v>
      </c>
      <c r="V66" s="30">
        <f t="shared" si="20"/>
        <v>1612387.0199999996</v>
      </c>
      <c r="W66" s="65"/>
      <c r="X66" s="30">
        <f t="shared" si="21"/>
        <v>1612387.0199999996</v>
      </c>
      <c r="Y66" s="30">
        <v>1612387.02</v>
      </c>
      <c r="Z66" s="30">
        <v>1612387.02</v>
      </c>
      <c r="AA66" s="30">
        <v>1612387.02</v>
      </c>
      <c r="AB66" s="30">
        <f t="shared" si="22"/>
        <v>0</v>
      </c>
      <c r="AC66" s="30"/>
      <c r="AD66" s="30">
        <f t="shared" si="23"/>
        <v>1612387.02</v>
      </c>
      <c r="AE66" s="30"/>
      <c r="AF66" s="30"/>
      <c r="AG66" s="30"/>
      <c r="AH66" s="30"/>
      <c r="AI66" s="30">
        <f t="shared" si="24"/>
        <v>-4.6566128730773926E-10</v>
      </c>
      <c r="AJ66" s="30">
        <v>0</v>
      </c>
      <c r="AK66" s="30"/>
      <c r="AL66" s="54">
        <f t="shared" si="25"/>
        <v>-4.6566128730773926E-10</v>
      </c>
      <c r="AM66" s="54"/>
    </row>
    <row r="67" spans="1:39" ht="56.25" hidden="1" customHeight="1">
      <c r="A67" s="17"/>
      <c r="B67" s="71" t="s">
        <v>87</v>
      </c>
      <c r="C67" s="30"/>
      <c r="D67" s="30"/>
      <c r="E67" s="30"/>
      <c r="F67" s="30"/>
      <c r="G67" s="30"/>
      <c r="H67" s="30"/>
      <c r="I67" s="30"/>
      <c r="J67" s="30"/>
      <c r="K67" s="30"/>
      <c r="L67" s="30"/>
      <c r="M67" s="25"/>
      <c r="N67" s="65"/>
      <c r="O67" s="65"/>
      <c r="P67" s="65"/>
      <c r="Q67" s="65"/>
      <c r="R67" s="65"/>
      <c r="S67" s="65"/>
      <c r="T67" s="65"/>
      <c r="U67" s="25"/>
      <c r="V67" s="30"/>
      <c r="W67" s="65"/>
      <c r="X67" s="30"/>
      <c r="Y67" s="30"/>
      <c r="Z67" s="30"/>
      <c r="AA67" s="30"/>
      <c r="AB67" s="30"/>
      <c r="AC67" s="30"/>
      <c r="AD67" s="30">
        <f t="shared" si="23"/>
        <v>0</v>
      </c>
      <c r="AE67" s="30"/>
      <c r="AF67" s="30"/>
      <c r="AG67" s="30"/>
      <c r="AH67" s="30"/>
      <c r="AI67" s="30">
        <f t="shared" si="24"/>
        <v>0</v>
      </c>
      <c r="AJ67" s="30">
        <f t="shared" si="24"/>
        <v>0</v>
      </c>
      <c r="AK67" s="30"/>
      <c r="AL67" s="54">
        <f t="shared" si="25"/>
        <v>0</v>
      </c>
      <c r="AM67" s="54"/>
    </row>
    <row r="68" spans="1:39" ht="38.25" hidden="1" customHeight="1">
      <c r="A68" s="17"/>
      <c r="B68" s="71" t="s">
        <v>88</v>
      </c>
      <c r="C68" s="30">
        <v>0</v>
      </c>
      <c r="D68" s="30">
        <v>0</v>
      </c>
      <c r="E68" s="30">
        <v>0</v>
      </c>
      <c r="F68" s="30">
        <v>0</v>
      </c>
      <c r="G68" s="30"/>
      <c r="H68" s="30"/>
      <c r="I68" s="30">
        <v>0</v>
      </c>
      <c r="J68" s="30">
        <v>0</v>
      </c>
      <c r="K68" s="30"/>
      <c r="L68" s="30"/>
      <c r="M68" s="25">
        <f>40061800+40061800</f>
        <v>80123600</v>
      </c>
      <c r="N68" s="65"/>
      <c r="O68" s="65"/>
      <c r="P68" s="65"/>
      <c r="Q68" s="65"/>
      <c r="R68" s="65"/>
      <c r="S68" s="65"/>
      <c r="T68" s="65"/>
      <c r="U68" s="25">
        <v>80123600</v>
      </c>
      <c r="V68" s="30">
        <f t="shared" si="20"/>
        <v>0</v>
      </c>
      <c r="W68" s="65"/>
      <c r="X68" s="30">
        <f t="shared" si="21"/>
        <v>0</v>
      </c>
      <c r="Y68" s="30"/>
      <c r="Z68" s="30"/>
      <c r="AA68" s="30"/>
      <c r="AB68" s="30">
        <f t="shared" si="22"/>
        <v>0</v>
      </c>
      <c r="AC68" s="65"/>
      <c r="AD68" s="30">
        <f t="shared" si="23"/>
        <v>0</v>
      </c>
      <c r="AE68" s="65"/>
      <c r="AF68" s="30">
        <f>19429000+19428500</f>
        <v>38857500</v>
      </c>
      <c r="AG68" s="65"/>
      <c r="AH68" s="30">
        <v>38857500</v>
      </c>
      <c r="AI68" s="30">
        <f t="shared" si="24"/>
        <v>0</v>
      </c>
      <c r="AJ68" s="30">
        <f t="shared" si="24"/>
        <v>0</v>
      </c>
      <c r="AK68" s="30"/>
      <c r="AL68" s="54">
        <f t="shared" si="25"/>
        <v>0</v>
      </c>
      <c r="AM68" s="54"/>
    </row>
    <row r="69" spans="1:39" ht="36" hidden="1" customHeight="1">
      <c r="A69" s="17"/>
      <c r="B69" s="63" t="s">
        <v>89</v>
      </c>
      <c r="C69" s="30">
        <v>0</v>
      </c>
      <c r="D69" s="30"/>
      <c r="E69" s="30">
        <v>0</v>
      </c>
      <c r="F69" s="30"/>
      <c r="G69" s="30"/>
      <c r="H69" s="30"/>
      <c r="I69" s="30">
        <v>0</v>
      </c>
      <c r="J69" s="30"/>
      <c r="K69" s="30"/>
      <c r="L69" s="30"/>
      <c r="M69" s="25">
        <f>167603100</f>
        <v>167603100</v>
      </c>
      <c r="N69" s="65"/>
      <c r="O69" s="65"/>
      <c r="P69" s="65"/>
      <c r="Q69" s="65"/>
      <c r="R69" s="65"/>
      <c r="S69" s="65"/>
      <c r="T69" s="65"/>
      <c r="U69" s="25">
        <v>167603100</v>
      </c>
      <c r="V69" s="30">
        <f t="shared" si="20"/>
        <v>0</v>
      </c>
      <c r="W69" s="65"/>
      <c r="X69" s="30">
        <f t="shared" si="21"/>
        <v>0</v>
      </c>
      <c r="Y69" s="65"/>
      <c r="Z69" s="65"/>
      <c r="AA69" s="65"/>
      <c r="AB69" s="30">
        <f t="shared" si="22"/>
        <v>0</v>
      </c>
      <c r="AC69" s="65"/>
      <c r="AD69" s="30">
        <f t="shared" si="23"/>
        <v>0</v>
      </c>
      <c r="AE69" s="65"/>
      <c r="AF69" s="65"/>
      <c r="AG69" s="65"/>
      <c r="AH69" s="30"/>
      <c r="AI69" s="30">
        <f t="shared" si="24"/>
        <v>0</v>
      </c>
      <c r="AJ69" s="30">
        <f t="shared" si="24"/>
        <v>0</v>
      </c>
      <c r="AK69" s="30"/>
      <c r="AL69" s="54">
        <f t="shared" si="25"/>
        <v>0</v>
      </c>
      <c r="AM69" s="60"/>
    </row>
    <row r="70" spans="1:39" ht="142.5" hidden="1" customHeight="1">
      <c r="A70" s="17"/>
      <c r="B70" s="71" t="s">
        <v>90</v>
      </c>
      <c r="C70" s="30"/>
      <c r="D70" s="30"/>
      <c r="E70" s="30"/>
      <c r="F70" s="30"/>
      <c r="G70" s="30"/>
      <c r="H70" s="30"/>
      <c r="I70" s="30"/>
      <c r="J70" s="30"/>
      <c r="K70" s="30"/>
      <c r="L70" s="30"/>
      <c r="M70" s="25"/>
      <c r="N70" s="65"/>
      <c r="O70" s="65"/>
      <c r="P70" s="65"/>
      <c r="Q70" s="65"/>
      <c r="R70" s="65"/>
      <c r="S70" s="65"/>
      <c r="T70" s="65"/>
      <c r="U70" s="25"/>
      <c r="V70" s="30">
        <f>I70+J70+M70+N70-U70</f>
        <v>0</v>
      </c>
      <c r="W70" s="65"/>
      <c r="X70" s="30">
        <f>V70</f>
        <v>0</v>
      </c>
      <c r="Y70" s="65"/>
      <c r="Z70" s="65"/>
      <c r="AA70" s="65"/>
      <c r="AB70" s="30">
        <f>X70-Y70</f>
        <v>0</v>
      </c>
      <c r="AC70" s="30">
        <v>1612387.02</v>
      </c>
      <c r="AD70" s="30">
        <f t="shared" si="23"/>
        <v>-1612387.02</v>
      </c>
      <c r="AE70" s="65"/>
      <c r="AF70" s="30">
        <v>8536400</v>
      </c>
      <c r="AG70" s="30"/>
      <c r="AH70" s="30">
        <v>10148787.02</v>
      </c>
      <c r="AI70" s="30">
        <f t="shared" si="24"/>
        <v>0</v>
      </c>
      <c r="AJ70" s="30">
        <f t="shared" si="24"/>
        <v>0</v>
      </c>
      <c r="AK70" s="30"/>
      <c r="AL70" s="54">
        <f t="shared" si="25"/>
        <v>0</v>
      </c>
      <c r="AM70" s="60"/>
    </row>
    <row r="71" spans="1:39" ht="185.25" customHeight="1" thickBot="1">
      <c r="A71" s="17"/>
      <c r="B71" s="99" t="s">
        <v>324</v>
      </c>
      <c r="C71" s="84"/>
      <c r="D71" s="84"/>
      <c r="E71" s="84"/>
      <c r="F71" s="84"/>
      <c r="G71" s="84"/>
      <c r="H71" s="84"/>
      <c r="I71" s="84"/>
      <c r="J71" s="84"/>
      <c r="K71" s="84"/>
      <c r="L71" s="84"/>
      <c r="M71" s="85"/>
      <c r="N71" s="97"/>
      <c r="O71" s="97"/>
      <c r="P71" s="97"/>
      <c r="Q71" s="97"/>
      <c r="R71" s="97"/>
      <c r="S71" s="97"/>
      <c r="T71" s="97"/>
      <c r="U71" s="85"/>
      <c r="V71" s="84"/>
      <c r="W71" s="97"/>
      <c r="X71" s="84"/>
      <c r="Y71" s="97"/>
      <c r="Z71" s="97"/>
      <c r="AA71" s="97"/>
      <c r="AB71" s="84"/>
      <c r="AC71" s="84"/>
      <c r="AD71" s="84"/>
      <c r="AE71" s="97"/>
      <c r="AF71" s="84">
        <v>2402000</v>
      </c>
      <c r="AG71" s="84"/>
      <c r="AH71" s="84">
        <v>2401705.2999999998</v>
      </c>
      <c r="AI71" s="84">
        <f>14+1136200</f>
        <v>1136214</v>
      </c>
      <c r="AJ71" s="84">
        <v>0</v>
      </c>
      <c r="AK71" s="84"/>
      <c r="AL71" s="80">
        <f t="shared" si="25"/>
        <v>1136214</v>
      </c>
      <c r="AM71" s="80">
        <v>1136214</v>
      </c>
    </row>
    <row r="72" spans="1:39" ht="55.5" hidden="1" customHeight="1">
      <c r="A72" s="17"/>
      <c r="B72" s="99" t="s">
        <v>251</v>
      </c>
      <c r="C72" s="84"/>
      <c r="D72" s="84"/>
      <c r="E72" s="84"/>
      <c r="F72" s="84"/>
      <c r="G72" s="84"/>
      <c r="H72" s="84"/>
      <c r="I72" s="84"/>
      <c r="J72" s="84"/>
      <c r="K72" s="84"/>
      <c r="L72" s="84"/>
      <c r="M72" s="85"/>
      <c r="N72" s="97"/>
      <c r="O72" s="97"/>
      <c r="P72" s="97"/>
      <c r="Q72" s="97"/>
      <c r="R72" s="97"/>
      <c r="S72" s="97"/>
      <c r="T72" s="97"/>
      <c r="U72" s="85"/>
      <c r="V72" s="84"/>
      <c r="W72" s="97"/>
      <c r="X72" s="84"/>
      <c r="Y72" s="97"/>
      <c r="Z72" s="97"/>
      <c r="AA72" s="97"/>
      <c r="AB72" s="84"/>
      <c r="AC72" s="84"/>
      <c r="AD72" s="84"/>
      <c r="AE72" s="97"/>
      <c r="AF72" s="84"/>
      <c r="AG72" s="84"/>
      <c r="AH72" s="84"/>
      <c r="AI72" s="84">
        <v>0</v>
      </c>
      <c r="AJ72" s="84">
        <v>0</v>
      </c>
      <c r="AK72" s="84"/>
      <c r="AL72" s="80">
        <f t="shared" si="25"/>
        <v>0</v>
      </c>
      <c r="AM72" s="80"/>
    </row>
    <row r="73" spans="1:39" ht="108" hidden="1" customHeight="1">
      <c r="A73" s="17"/>
      <c r="B73" s="99" t="s">
        <v>247</v>
      </c>
      <c r="C73" s="84"/>
      <c r="D73" s="84"/>
      <c r="E73" s="84"/>
      <c r="F73" s="84"/>
      <c r="G73" s="84"/>
      <c r="H73" s="84"/>
      <c r="I73" s="84"/>
      <c r="J73" s="84"/>
      <c r="K73" s="84"/>
      <c r="L73" s="84"/>
      <c r="M73" s="85"/>
      <c r="N73" s="97"/>
      <c r="O73" s="97"/>
      <c r="P73" s="97"/>
      <c r="Q73" s="97"/>
      <c r="R73" s="97"/>
      <c r="S73" s="97"/>
      <c r="T73" s="97"/>
      <c r="U73" s="85"/>
      <c r="V73" s="84"/>
      <c r="W73" s="97"/>
      <c r="X73" s="84"/>
      <c r="Y73" s="97"/>
      <c r="Z73" s="97"/>
      <c r="AA73" s="97"/>
      <c r="AB73" s="84"/>
      <c r="AC73" s="84"/>
      <c r="AD73" s="84"/>
      <c r="AE73" s="97"/>
      <c r="AF73" s="84"/>
      <c r="AG73" s="84"/>
      <c r="AH73" s="84"/>
      <c r="AI73" s="84">
        <v>0</v>
      </c>
      <c r="AJ73" s="84">
        <v>0</v>
      </c>
      <c r="AK73" s="84"/>
      <c r="AL73" s="80">
        <v>0</v>
      </c>
      <c r="AM73" s="80"/>
    </row>
    <row r="74" spans="1:39" ht="36" hidden="1" customHeight="1">
      <c r="A74" s="17"/>
      <c r="B74" s="79" t="s">
        <v>91</v>
      </c>
      <c r="C74" s="84"/>
      <c r="D74" s="84"/>
      <c r="E74" s="84"/>
      <c r="F74" s="84"/>
      <c r="G74" s="84"/>
      <c r="H74" s="84"/>
      <c r="I74" s="84"/>
      <c r="J74" s="84"/>
      <c r="K74" s="84"/>
      <c r="L74" s="84"/>
      <c r="M74" s="85">
        <v>44355900</v>
      </c>
      <c r="N74" s="97"/>
      <c r="O74" s="97"/>
      <c r="P74" s="97"/>
      <c r="Q74" s="97"/>
      <c r="R74" s="97"/>
      <c r="S74" s="97"/>
      <c r="T74" s="97"/>
      <c r="U74" s="85">
        <v>44355900</v>
      </c>
      <c r="V74" s="84">
        <f t="shared" si="20"/>
        <v>0</v>
      </c>
      <c r="W74" s="97"/>
      <c r="X74" s="84">
        <f t="shared" si="21"/>
        <v>0</v>
      </c>
      <c r="Y74" s="97"/>
      <c r="Z74" s="126"/>
      <c r="AA74" s="97"/>
      <c r="AB74" s="84">
        <f t="shared" si="22"/>
        <v>0</v>
      </c>
      <c r="AC74" s="97"/>
      <c r="AD74" s="84">
        <f t="shared" si="23"/>
        <v>0</v>
      </c>
      <c r="AE74" s="97"/>
      <c r="AF74" s="97"/>
      <c r="AG74" s="97"/>
      <c r="AH74" s="97"/>
      <c r="AI74" s="84">
        <f t="shared" si="24"/>
        <v>0</v>
      </c>
      <c r="AJ74" s="84">
        <f t="shared" si="24"/>
        <v>0</v>
      </c>
      <c r="AK74" s="84"/>
      <c r="AL74" s="80">
        <f t="shared" si="25"/>
        <v>0</v>
      </c>
      <c r="AM74" s="90"/>
    </row>
    <row r="75" spans="1:39" ht="33.75" hidden="1" customHeight="1" thickBot="1">
      <c r="A75" s="17" t="s">
        <v>92</v>
      </c>
      <c r="B75" s="122" t="s">
        <v>93</v>
      </c>
      <c r="C75" s="84">
        <v>159800000</v>
      </c>
      <c r="D75" s="84"/>
      <c r="E75" s="84">
        <f>C75</f>
        <v>159800000</v>
      </c>
      <c r="F75" s="84">
        <f>E75</f>
        <v>159800000</v>
      </c>
      <c r="G75" s="84"/>
      <c r="H75" s="84"/>
      <c r="I75" s="84">
        <f>C75-F75</f>
        <v>0</v>
      </c>
      <c r="J75" s="84">
        <v>159800000</v>
      </c>
      <c r="K75" s="84"/>
      <c r="L75" s="84"/>
      <c r="M75" s="85"/>
      <c r="N75" s="97"/>
      <c r="O75" s="97"/>
      <c r="P75" s="97"/>
      <c r="Q75" s="97"/>
      <c r="R75" s="97"/>
      <c r="S75" s="97"/>
      <c r="T75" s="97"/>
      <c r="U75" s="85">
        <v>159800000</v>
      </c>
      <c r="V75" s="84">
        <f t="shared" si="20"/>
        <v>0</v>
      </c>
      <c r="W75" s="97"/>
      <c r="X75" s="84">
        <f t="shared" si="21"/>
        <v>0</v>
      </c>
      <c r="Y75" s="97"/>
      <c r="Z75" s="97"/>
      <c r="AA75" s="97"/>
      <c r="AB75" s="84">
        <f t="shared" si="22"/>
        <v>0</v>
      </c>
      <c r="AC75" s="97"/>
      <c r="AD75" s="84">
        <f t="shared" si="23"/>
        <v>0</v>
      </c>
      <c r="AE75" s="97"/>
      <c r="AF75" s="97"/>
      <c r="AG75" s="97"/>
      <c r="AH75" s="97"/>
      <c r="AI75" s="84">
        <f t="shared" si="24"/>
        <v>0</v>
      </c>
      <c r="AJ75" s="84">
        <f t="shared" si="24"/>
        <v>0</v>
      </c>
      <c r="AK75" s="84"/>
      <c r="AL75" s="80">
        <f t="shared" si="25"/>
        <v>0</v>
      </c>
      <c r="AM75" s="90"/>
    </row>
    <row r="76" spans="1:39" ht="34.5" customHeight="1" thickBot="1">
      <c r="A76" s="31" t="s">
        <v>94</v>
      </c>
      <c r="B76" s="119" t="s">
        <v>95</v>
      </c>
      <c r="C76" s="87">
        <f>SUM(C46:C75)</f>
        <v>228061775.49000001</v>
      </c>
      <c r="D76" s="87">
        <f>SUM(D46:D75)</f>
        <v>25169127.989999998</v>
      </c>
      <c r="E76" s="87">
        <f>E46+E47+E48+E49+E51+E52+E53+E55+E56+E57+E58+E59+E60+E75</f>
        <v>246791703.48000002</v>
      </c>
      <c r="F76" s="87">
        <f t="shared" ref="F76:AM76" si="27">SUM(F46:F75)</f>
        <v>247127940.59</v>
      </c>
      <c r="G76" s="87">
        <f t="shared" si="27"/>
        <v>0</v>
      </c>
      <c r="H76" s="87">
        <f t="shared" si="27"/>
        <v>0</v>
      </c>
      <c r="I76" s="87">
        <f t="shared" si="27"/>
        <v>6102962.8900000006</v>
      </c>
      <c r="J76" s="87">
        <f t="shared" si="27"/>
        <v>201664634.84</v>
      </c>
      <c r="K76" s="87">
        <f t="shared" si="27"/>
        <v>0</v>
      </c>
      <c r="L76" s="87">
        <f t="shared" si="27"/>
        <v>0</v>
      </c>
      <c r="M76" s="87">
        <f t="shared" si="27"/>
        <v>720702300</v>
      </c>
      <c r="N76" s="87">
        <f t="shared" si="27"/>
        <v>336237.11</v>
      </c>
      <c r="O76" s="87">
        <f t="shared" si="27"/>
        <v>0</v>
      </c>
      <c r="P76" s="87">
        <f t="shared" si="27"/>
        <v>0</v>
      </c>
      <c r="Q76" s="87">
        <f t="shared" si="27"/>
        <v>0</v>
      </c>
      <c r="R76" s="87">
        <f t="shared" si="27"/>
        <v>0</v>
      </c>
      <c r="S76" s="87">
        <f t="shared" si="27"/>
        <v>0</v>
      </c>
      <c r="T76" s="87">
        <f t="shared" si="27"/>
        <v>0</v>
      </c>
      <c r="U76" s="87">
        <f t="shared" si="27"/>
        <v>902040326.78999996</v>
      </c>
      <c r="V76" s="87">
        <f t="shared" si="27"/>
        <v>26765808.050000001</v>
      </c>
      <c r="W76" s="87">
        <f t="shared" si="27"/>
        <v>0</v>
      </c>
      <c r="X76" s="87">
        <f t="shared" si="27"/>
        <v>26765808.050000001</v>
      </c>
      <c r="Y76" s="87">
        <f t="shared" si="27"/>
        <v>26814062.170000002</v>
      </c>
      <c r="Z76" s="87">
        <f t="shared" si="27"/>
        <v>26765808.050000001</v>
      </c>
      <c r="AA76" s="87">
        <f t="shared" si="27"/>
        <v>26737914.52</v>
      </c>
      <c r="AB76" s="87">
        <f t="shared" si="27"/>
        <v>-48254.11999999774</v>
      </c>
      <c r="AC76" s="87">
        <f t="shared" si="27"/>
        <v>26737914.52</v>
      </c>
      <c r="AD76" s="87">
        <f t="shared" si="27"/>
        <v>0</v>
      </c>
      <c r="AE76" s="87">
        <f t="shared" si="27"/>
        <v>0</v>
      </c>
      <c r="AF76" s="87">
        <f t="shared" si="27"/>
        <v>634205100</v>
      </c>
      <c r="AG76" s="87">
        <f t="shared" si="27"/>
        <v>48254.119999999995</v>
      </c>
      <c r="AH76" s="87">
        <f t="shared" si="27"/>
        <v>647825196.14999998</v>
      </c>
      <c r="AI76" s="87">
        <f t="shared" si="27"/>
        <v>1136214</v>
      </c>
      <c r="AJ76" s="87">
        <f t="shared" si="27"/>
        <v>0</v>
      </c>
      <c r="AK76" s="87">
        <f t="shared" si="27"/>
        <v>0</v>
      </c>
      <c r="AL76" s="87">
        <f t="shared" si="27"/>
        <v>1136214</v>
      </c>
      <c r="AM76" s="87">
        <f t="shared" si="27"/>
        <v>1136214</v>
      </c>
    </row>
    <row r="77" spans="1:39" ht="48.6" hidden="1" customHeight="1">
      <c r="A77" s="34"/>
      <c r="B77" s="66" t="s">
        <v>96</v>
      </c>
      <c r="C77" s="67"/>
      <c r="D77" s="67"/>
      <c r="E77" s="67"/>
      <c r="F77" s="67"/>
      <c r="G77" s="67"/>
      <c r="H77" s="67"/>
      <c r="I77" s="67"/>
      <c r="J77" s="67"/>
      <c r="K77" s="67"/>
      <c r="L77" s="67"/>
      <c r="M77" s="68">
        <v>11365100</v>
      </c>
      <c r="N77" s="67"/>
      <c r="O77" s="67"/>
      <c r="P77" s="67"/>
      <c r="Q77" s="67"/>
      <c r="R77" s="67"/>
      <c r="S77" s="67"/>
      <c r="T77" s="67"/>
      <c r="U77" s="68">
        <v>10792931.310000001</v>
      </c>
      <c r="V77" s="30">
        <f t="shared" si="20"/>
        <v>572168.68999999948</v>
      </c>
      <c r="W77" s="65"/>
      <c r="X77" s="30">
        <f>V77</f>
        <v>572168.68999999948</v>
      </c>
      <c r="Y77" s="30">
        <v>572168.68999999994</v>
      </c>
      <c r="Z77" s="30"/>
      <c r="AA77" s="30"/>
      <c r="AB77" s="30">
        <f t="shared" ref="AB77:AB85" si="28">X77-Y77</f>
        <v>0</v>
      </c>
      <c r="AC77" s="65"/>
      <c r="AD77" s="30">
        <f t="shared" si="23"/>
        <v>0</v>
      </c>
      <c r="AE77" s="65"/>
      <c r="AF77" s="65"/>
      <c r="AG77" s="65"/>
      <c r="AH77" s="30">
        <v>0</v>
      </c>
      <c r="AI77" s="30">
        <f t="shared" ref="AI77:AJ85" si="29">V77+W77-Y77+AC77-AE77+AF77+AG77-AH77</f>
        <v>-4.6566128730773926E-10</v>
      </c>
      <c r="AJ77" s="30">
        <v>0</v>
      </c>
      <c r="AK77" s="30"/>
      <c r="AL77" s="54">
        <f t="shared" ref="AL77:AL85" si="30">AI77+AJ77</f>
        <v>-4.6566128730773926E-10</v>
      </c>
      <c r="AM77" s="54"/>
    </row>
    <row r="78" spans="1:39" ht="30" hidden="1" customHeight="1">
      <c r="A78" s="34"/>
      <c r="B78" s="66" t="s">
        <v>97</v>
      </c>
      <c r="C78" s="67"/>
      <c r="D78" s="67"/>
      <c r="E78" s="67"/>
      <c r="F78" s="68">
        <f>176.71+139.1</f>
        <v>315.81</v>
      </c>
      <c r="G78" s="67"/>
      <c r="H78" s="67"/>
      <c r="I78" s="67"/>
      <c r="J78" s="67"/>
      <c r="K78" s="67"/>
      <c r="L78" s="67"/>
      <c r="M78" s="68">
        <v>3001000</v>
      </c>
      <c r="N78" s="68">
        <f>176.71+139.1</f>
        <v>315.81</v>
      </c>
      <c r="O78" s="67"/>
      <c r="P78" s="67"/>
      <c r="Q78" s="67"/>
      <c r="R78" s="67"/>
      <c r="S78" s="67"/>
      <c r="T78" s="67"/>
      <c r="U78" s="68">
        <v>3001000</v>
      </c>
      <c r="V78" s="30">
        <f>I78+J78+M78+N78-U78-F78</f>
        <v>5.5877080740174279E-11</v>
      </c>
      <c r="W78" s="30">
        <f>1.92+36022.76</f>
        <v>36024.68</v>
      </c>
      <c r="X78" s="30">
        <f>V78+W78</f>
        <v>36024.680000000058</v>
      </c>
      <c r="Y78" s="30">
        <v>36024.68</v>
      </c>
      <c r="Z78" s="30"/>
      <c r="AA78" s="30"/>
      <c r="AB78" s="30">
        <f t="shared" si="28"/>
        <v>5.8207660913467407E-11</v>
      </c>
      <c r="AC78" s="65"/>
      <c r="AD78" s="30">
        <f t="shared" si="23"/>
        <v>0</v>
      </c>
      <c r="AE78" s="65"/>
      <c r="AF78" s="65"/>
      <c r="AG78" s="65"/>
      <c r="AH78" s="30"/>
      <c r="AI78" s="30">
        <f t="shared" si="29"/>
        <v>5.8207660913467407E-11</v>
      </c>
      <c r="AJ78" s="30">
        <v>0</v>
      </c>
      <c r="AK78" s="30"/>
      <c r="AL78" s="54">
        <f t="shared" si="30"/>
        <v>5.8207660913467407E-11</v>
      </c>
      <c r="AM78" s="54"/>
    </row>
    <row r="79" spans="1:39" ht="45.75" hidden="1" customHeight="1">
      <c r="A79" s="34"/>
      <c r="B79" s="66" t="s">
        <v>98</v>
      </c>
      <c r="C79" s="67"/>
      <c r="D79" s="67"/>
      <c r="E79" s="67"/>
      <c r="F79" s="68"/>
      <c r="G79" s="67"/>
      <c r="H79" s="67"/>
      <c r="I79" s="67"/>
      <c r="J79" s="67"/>
      <c r="K79" s="67"/>
      <c r="L79" s="67"/>
      <c r="M79" s="68">
        <v>1924700</v>
      </c>
      <c r="N79" s="68"/>
      <c r="O79" s="67"/>
      <c r="P79" s="67"/>
      <c r="Q79" s="67"/>
      <c r="R79" s="67"/>
      <c r="S79" s="67"/>
      <c r="T79" s="67"/>
      <c r="U79" s="68">
        <v>1924700</v>
      </c>
      <c r="V79" s="30">
        <f>I79+J79+M79+N79-U79-F79</f>
        <v>0</v>
      </c>
      <c r="W79" s="30"/>
      <c r="X79" s="30">
        <f>V79+W79</f>
        <v>0</v>
      </c>
      <c r="Y79" s="30"/>
      <c r="Z79" s="30"/>
      <c r="AA79" s="30"/>
      <c r="AB79" s="30">
        <f t="shared" si="28"/>
        <v>0</v>
      </c>
      <c r="AC79" s="65"/>
      <c r="AD79" s="30">
        <f t="shared" si="23"/>
        <v>0</v>
      </c>
      <c r="AE79" s="65"/>
      <c r="AF79" s="30">
        <v>2148452.06</v>
      </c>
      <c r="AG79" s="65"/>
      <c r="AH79" s="30">
        <v>2148452.06</v>
      </c>
      <c r="AI79" s="30">
        <f t="shared" si="29"/>
        <v>0</v>
      </c>
      <c r="AJ79" s="30">
        <f t="shared" si="29"/>
        <v>0</v>
      </c>
      <c r="AK79" s="30"/>
      <c r="AL79" s="54">
        <f t="shared" si="30"/>
        <v>0</v>
      </c>
      <c r="AM79" s="54"/>
    </row>
    <row r="80" spans="1:39" ht="45.75" hidden="1" customHeight="1">
      <c r="A80" s="34"/>
      <c r="B80" s="66" t="s">
        <v>99</v>
      </c>
      <c r="C80" s="67"/>
      <c r="D80" s="67"/>
      <c r="E80" s="67"/>
      <c r="F80" s="68"/>
      <c r="G80" s="67"/>
      <c r="H80" s="67"/>
      <c r="I80" s="67"/>
      <c r="J80" s="67"/>
      <c r="K80" s="67"/>
      <c r="L80" s="67"/>
      <c r="M80" s="68">
        <v>14349000</v>
      </c>
      <c r="N80" s="68"/>
      <c r="O80" s="67"/>
      <c r="P80" s="67"/>
      <c r="Q80" s="67"/>
      <c r="R80" s="67"/>
      <c r="S80" s="67"/>
      <c r="T80" s="67"/>
      <c r="U80" s="68">
        <v>14349000</v>
      </c>
      <c r="V80" s="30">
        <f>I80+J80+M80+N80-U80-F80</f>
        <v>0</v>
      </c>
      <c r="W80" s="30">
        <v>1371600</v>
      </c>
      <c r="X80" s="30">
        <f>V80+W80</f>
        <v>1371600</v>
      </c>
      <c r="Y80" s="30">
        <v>1371600</v>
      </c>
      <c r="Z80" s="30">
        <v>1371600</v>
      </c>
      <c r="AA80" s="30">
        <v>1371600</v>
      </c>
      <c r="AB80" s="30">
        <f t="shared" si="28"/>
        <v>0</v>
      </c>
      <c r="AC80" s="30">
        <v>1371600</v>
      </c>
      <c r="AD80" s="30">
        <f t="shared" si="23"/>
        <v>0</v>
      </c>
      <c r="AE80" s="30">
        <f>836100+535500</f>
        <v>1371600</v>
      </c>
      <c r="AF80" s="30">
        <v>1084600</v>
      </c>
      <c r="AG80" s="30"/>
      <c r="AH80" s="30">
        <v>1084600</v>
      </c>
      <c r="AI80" s="30">
        <f t="shared" si="29"/>
        <v>0</v>
      </c>
      <c r="AJ80" s="30">
        <v>0</v>
      </c>
      <c r="AK80" s="30"/>
      <c r="AL80" s="54">
        <f t="shared" si="30"/>
        <v>0</v>
      </c>
      <c r="AM80" s="54"/>
    </row>
    <row r="81" spans="1:39" ht="106.5" customHeight="1">
      <c r="A81" s="34"/>
      <c r="B81" s="86" t="s">
        <v>283</v>
      </c>
      <c r="C81" s="87"/>
      <c r="D81" s="87"/>
      <c r="E81" s="87"/>
      <c r="F81" s="88"/>
      <c r="G81" s="87"/>
      <c r="H81" s="87"/>
      <c r="I81" s="87"/>
      <c r="J81" s="87"/>
      <c r="K81" s="87"/>
      <c r="L81" s="87"/>
      <c r="M81" s="88"/>
      <c r="N81" s="88"/>
      <c r="O81" s="87"/>
      <c r="P81" s="87"/>
      <c r="Q81" s="87"/>
      <c r="R81" s="87"/>
      <c r="S81" s="87"/>
      <c r="T81" s="87"/>
      <c r="U81" s="88"/>
      <c r="V81" s="84"/>
      <c r="W81" s="84"/>
      <c r="X81" s="84"/>
      <c r="Y81" s="84"/>
      <c r="Z81" s="84"/>
      <c r="AA81" s="84"/>
      <c r="AB81" s="84"/>
      <c r="AC81" s="84"/>
      <c r="AD81" s="84"/>
      <c r="AE81" s="84"/>
      <c r="AF81" s="84"/>
      <c r="AG81" s="84"/>
      <c r="AH81" s="84"/>
      <c r="AI81" s="84">
        <v>5.95</v>
      </c>
      <c r="AJ81" s="84">
        <v>0</v>
      </c>
      <c r="AK81" s="84"/>
      <c r="AL81" s="80">
        <f>AI81</f>
        <v>5.95</v>
      </c>
      <c r="AM81" s="80">
        <v>5.95</v>
      </c>
    </row>
    <row r="82" spans="1:39" ht="44.25" hidden="1" customHeight="1">
      <c r="A82" s="34"/>
      <c r="B82" s="89" t="s">
        <v>100</v>
      </c>
      <c r="C82" s="87"/>
      <c r="D82" s="87"/>
      <c r="E82" s="87"/>
      <c r="F82" s="88"/>
      <c r="G82" s="87"/>
      <c r="H82" s="87"/>
      <c r="I82" s="87"/>
      <c r="J82" s="87"/>
      <c r="K82" s="87"/>
      <c r="L82" s="87"/>
      <c r="M82" s="88">
        <v>900000</v>
      </c>
      <c r="N82" s="88"/>
      <c r="O82" s="87"/>
      <c r="P82" s="87"/>
      <c r="Q82" s="87"/>
      <c r="R82" s="87"/>
      <c r="S82" s="87"/>
      <c r="T82" s="87"/>
      <c r="U82" s="88">
        <v>900000</v>
      </c>
      <c r="V82" s="84">
        <f>I82+J82+M82+N82-U82-F82</f>
        <v>0</v>
      </c>
      <c r="W82" s="84">
        <v>100000</v>
      </c>
      <c r="X82" s="84">
        <f>V82+W82</f>
        <v>100000</v>
      </c>
      <c r="Y82" s="84">
        <v>100000</v>
      </c>
      <c r="Z82" s="84">
        <v>100000</v>
      </c>
      <c r="AA82" s="84">
        <v>100000</v>
      </c>
      <c r="AB82" s="84">
        <f t="shared" si="28"/>
        <v>0</v>
      </c>
      <c r="AC82" s="84">
        <v>100000</v>
      </c>
      <c r="AD82" s="84">
        <f t="shared" si="23"/>
        <v>0</v>
      </c>
      <c r="AE82" s="84">
        <v>100000</v>
      </c>
      <c r="AF82" s="84">
        <v>900000</v>
      </c>
      <c r="AG82" s="84"/>
      <c r="AH82" s="84">
        <v>900000</v>
      </c>
      <c r="AI82" s="84">
        <f t="shared" si="29"/>
        <v>0</v>
      </c>
      <c r="AJ82" s="84">
        <v>0</v>
      </c>
      <c r="AK82" s="84"/>
      <c r="AL82" s="80">
        <f t="shared" si="30"/>
        <v>0</v>
      </c>
      <c r="AM82" s="80"/>
    </row>
    <row r="83" spans="1:39" ht="87.75" hidden="1" customHeight="1">
      <c r="A83" s="34"/>
      <c r="B83" s="86" t="s">
        <v>101</v>
      </c>
      <c r="C83" s="87"/>
      <c r="D83" s="87"/>
      <c r="E83" s="87"/>
      <c r="F83" s="88"/>
      <c r="G83" s="87"/>
      <c r="H83" s="87"/>
      <c r="I83" s="87"/>
      <c r="J83" s="87"/>
      <c r="K83" s="87"/>
      <c r="L83" s="87"/>
      <c r="M83" s="88"/>
      <c r="N83" s="88"/>
      <c r="O83" s="87"/>
      <c r="P83" s="87"/>
      <c r="Q83" s="87"/>
      <c r="R83" s="87"/>
      <c r="S83" s="87"/>
      <c r="T83" s="87"/>
      <c r="U83" s="88"/>
      <c r="V83" s="84"/>
      <c r="W83" s="84"/>
      <c r="X83" s="84"/>
      <c r="Y83" s="84"/>
      <c r="Z83" s="84"/>
      <c r="AA83" s="84"/>
      <c r="AB83" s="84"/>
      <c r="AC83" s="84"/>
      <c r="AD83" s="84"/>
      <c r="AE83" s="84"/>
      <c r="AF83" s="84">
        <v>14800000</v>
      </c>
      <c r="AG83" s="84"/>
      <c r="AH83" s="84">
        <v>14800000</v>
      </c>
      <c r="AI83" s="84">
        <f t="shared" si="29"/>
        <v>0</v>
      </c>
      <c r="AJ83" s="84">
        <f t="shared" si="29"/>
        <v>0</v>
      </c>
      <c r="AK83" s="84"/>
      <c r="AL83" s="80">
        <f t="shared" si="30"/>
        <v>0</v>
      </c>
      <c r="AM83" s="80"/>
    </row>
    <row r="84" spans="1:39" ht="48.75" hidden="1" customHeight="1">
      <c r="A84" s="34"/>
      <c r="B84" s="89" t="s">
        <v>102</v>
      </c>
      <c r="C84" s="87"/>
      <c r="D84" s="87"/>
      <c r="E84" s="87"/>
      <c r="F84" s="88"/>
      <c r="G84" s="87"/>
      <c r="H84" s="87"/>
      <c r="I84" s="87"/>
      <c r="J84" s="87"/>
      <c r="K84" s="87"/>
      <c r="L84" s="87"/>
      <c r="M84" s="88">
        <v>400000</v>
      </c>
      <c r="N84" s="88"/>
      <c r="O84" s="87"/>
      <c r="P84" s="87"/>
      <c r="Q84" s="87"/>
      <c r="R84" s="87"/>
      <c r="S84" s="87"/>
      <c r="T84" s="87"/>
      <c r="U84" s="88">
        <v>400000</v>
      </c>
      <c r="V84" s="84">
        <f>I84+J84+M84+N84-U84-F84</f>
        <v>0</v>
      </c>
      <c r="W84" s="84"/>
      <c r="X84" s="84">
        <f>V84+W84</f>
        <v>0</v>
      </c>
      <c r="Y84" s="84"/>
      <c r="Z84" s="84"/>
      <c r="AA84" s="84"/>
      <c r="AB84" s="84">
        <f t="shared" si="28"/>
        <v>0</v>
      </c>
      <c r="AC84" s="97"/>
      <c r="AD84" s="84">
        <f t="shared" si="23"/>
        <v>0</v>
      </c>
      <c r="AE84" s="97"/>
      <c r="AF84" s="84">
        <v>450000</v>
      </c>
      <c r="AG84" s="97"/>
      <c r="AH84" s="84">
        <v>450000</v>
      </c>
      <c r="AI84" s="84">
        <f t="shared" si="29"/>
        <v>0</v>
      </c>
      <c r="AJ84" s="84">
        <f t="shared" si="29"/>
        <v>0</v>
      </c>
      <c r="AK84" s="84"/>
      <c r="AL84" s="80">
        <f t="shared" si="30"/>
        <v>0</v>
      </c>
      <c r="AM84" s="80"/>
    </row>
    <row r="85" spans="1:39" s="20" customFormat="1" ht="62.45" hidden="1" customHeight="1" thickBot="1">
      <c r="A85" s="21"/>
      <c r="B85" s="79" t="s">
        <v>103</v>
      </c>
      <c r="C85" s="87">
        <v>0</v>
      </c>
      <c r="D85" s="88">
        <v>10000</v>
      </c>
      <c r="E85" s="88">
        <v>10000</v>
      </c>
      <c r="F85" s="88">
        <v>10000</v>
      </c>
      <c r="G85" s="87"/>
      <c r="H85" s="87"/>
      <c r="I85" s="87">
        <v>0</v>
      </c>
      <c r="J85" s="87"/>
      <c r="K85" s="87"/>
      <c r="L85" s="87"/>
      <c r="M85" s="88">
        <v>380000</v>
      </c>
      <c r="N85" s="97"/>
      <c r="O85" s="97"/>
      <c r="P85" s="97"/>
      <c r="Q85" s="97"/>
      <c r="R85" s="97"/>
      <c r="S85" s="97"/>
      <c r="T85" s="97"/>
      <c r="U85" s="88">
        <v>380000</v>
      </c>
      <c r="V85" s="84">
        <f>I85+J85+M85+N85-U85</f>
        <v>0</v>
      </c>
      <c r="W85" s="84">
        <v>40</v>
      </c>
      <c r="X85" s="84">
        <v>40</v>
      </c>
      <c r="Y85" s="84">
        <v>40</v>
      </c>
      <c r="Z85" s="84"/>
      <c r="AA85" s="84"/>
      <c r="AB85" s="84">
        <f t="shared" si="28"/>
        <v>0</v>
      </c>
      <c r="AC85" s="97"/>
      <c r="AD85" s="84">
        <f t="shared" si="23"/>
        <v>0</v>
      </c>
      <c r="AE85" s="84"/>
      <c r="AF85" s="84">
        <v>439540</v>
      </c>
      <c r="AG85" s="97"/>
      <c r="AH85" s="84">
        <v>439540</v>
      </c>
      <c r="AI85" s="84">
        <f t="shared" si="29"/>
        <v>0</v>
      </c>
      <c r="AJ85" s="84">
        <v>0</v>
      </c>
      <c r="AK85" s="84"/>
      <c r="AL85" s="80">
        <f t="shared" si="30"/>
        <v>0</v>
      </c>
      <c r="AM85" s="80"/>
    </row>
    <row r="86" spans="1:39" s="20" customFormat="1" ht="19.899999999999999" customHeight="1">
      <c r="A86" s="21"/>
      <c r="B86" s="119" t="s">
        <v>104</v>
      </c>
      <c r="C86" s="87">
        <f>SUM(C77:C85)</f>
        <v>0</v>
      </c>
      <c r="D86" s="87">
        <f t="shared" ref="D86:AM86" si="31">SUM(D77:D85)</f>
        <v>10000</v>
      </c>
      <c r="E86" s="87">
        <f t="shared" si="31"/>
        <v>10000</v>
      </c>
      <c r="F86" s="87">
        <f t="shared" si="31"/>
        <v>10315.81</v>
      </c>
      <c r="G86" s="87">
        <f t="shared" si="31"/>
        <v>0</v>
      </c>
      <c r="H86" s="87">
        <f t="shared" si="31"/>
        <v>0</v>
      </c>
      <c r="I86" s="87">
        <f t="shared" si="31"/>
        <v>0</v>
      </c>
      <c r="J86" s="87">
        <f t="shared" si="31"/>
        <v>0</v>
      </c>
      <c r="K86" s="87">
        <f t="shared" si="31"/>
        <v>0</v>
      </c>
      <c r="L86" s="87">
        <f t="shared" si="31"/>
        <v>0</v>
      </c>
      <c r="M86" s="87">
        <f t="shared" si="31"/>
        <v>32319800</v>
      </c>
      <c r="N86" s="87">
        <f t="shared" si="31"/>
        <v>315.81</v>
      </c>
      <c r="O86" s="87">
        <f t="shared" si="31"/>
        <v>0</v>
      </c>
      <c r="P86" s="87">
        <f t="shared" si="31"/>
        <v>0</v>
      </c>
      <c r="Q86" s="87">
        <f t="shared" si="31"/>
        <v>0</v>
      </c>
      <c r="R86" s="87">
        <f t="shared" si="31"/>
        <v>0</v>
      </c>
      <c r="S86" s="87">
        <f t="shared" si="31"/>
        <v>0</v>
      </c>
      <c r="T86" s="87">
        <f t="shared" si="31"/>
        <v>0</v>
      </c>
      <c r="U86" s="87">
        <f t="shared" si="31"/>
        <v>31747631.310000002</v>
      </c>
      <c r="V86" s="87">
        <f t="shared" si="31"/>
        <v>572168.68999999948</v>
      </c>
      <c r="W86" s="87">
        <f t="shared" si="31"/>
        <v>1507664.68</v>
      </c>
      <c r="X86" s="87">
        <f t="shared" si="31"/>
        <v>2079833.3699999996</v>
      </c>
      <c r="Y86" s="87">
        <f t="shared" si="31"/>
        <v>2079833.37</v>
      </c>
      <c r="Z86" s="87">
        <f t="shared" si="31"/>
        <v>1471600</v>
      </c>
      <c r="AA86" s="87">
        <f t="shared" si="31"/>
        <v>1471600</v>
      </c>
      <c r="AB86" s="87">
        <f t="shared" si="31"/>
        <v>5.8207660913467407E-11</v>
      </c>
      <c r="AC86" s="87">
        <f t="shared" si="31"/>
        <v>1471600</v>
      </c>
      <c r="AD86" s="87">
        <f t="shared" si="31"/>
        <v>0</v>
      </c>
      <c r="AE86" s="87">
        <f t="shared" si="31"/>
        <v>1471600</v>
      </c>
      <c r="AF86" s="87">
        <f t="shared" si="31"/>
        <v>19822592.059999999</v>
      </c>
      <c r="AG86" s="87">
        <f t="shared" si="31"/>
        <v>0</v>
      </c>
      <c r="AH86" s="87">
        <f t="shared" si="31"/>
        <v>19822592.059999999</v>
      </c>
      <c r="AI86" s="87">
        <f t="shared" si="31"/>
        <v>5.9499999995925466</v>
      </c>
      <c r="AJ86" s="87">
        <f t="shared" si="31"/>
        <v>0</v>
      </c>
      <c r="AK86" s="87"/>
      <c r="AL86" s="87">
        <f t="shared" si="31"/>
        <v>5.9499999995925466</v>
      </c>
      <c r="AM86" s="87">
        <f t="shared" si="31"/>
        <v>5.95</v>
      </c>
    </row>
    <row r="87" spans="1:39" ht="75" hidden="1" customHeight="1">
      <c r="A87" s="35" t="s">
        <v>105</v>
      </c>
      <c r="B87" s="122" t="s">
        <v>106</v>
      </c>
      <c r="C87" s="84">
        <v>7290000</v>
      </c>
      <c r="D87" s="84"/>
      <c r="E87" s="84"/>
      <c r="F87" s="84"/>
      <c r="G87" s="84"/>
      <c r="H87" s="84"/>
      <c r="I87" s="84">
        <f>C87-F87</f>
        <v>7290000</v>
      </c>
      <c r="J87" s="84"/>
      <c r="K87" s="84"/>
      <c r="L87" s="84"/>
      <c r="M87" s="85"/>
      <c r="N87" s="85"/>
      <c r="O87" s="97"/>
      <c r="P87" s="97"/>
      <c r="Q87" s="97"/>
      <c r="R87" s="97"/>
      <c r="S87" s="97"/>
      <c r="T87" s="97"/>
      <c r="U87" s="85">
        <v>7290000</v>
      </c>
      <c r="V87" s="84">
        <f t="shared" ref="V87:V109" si="32">I87+J87+M87+N87-U87</f>
        <v>0</v>
      </c>
      <c r="W87" s="97"/>
      <c r="X87" s="84">
        <f t="shared" ref="X87:X106" si="33">V87</f>
        <v>0</v>
      </c>
      <c r="Y87" s="84"/>
      <c r="Z87" s="84"/>
      <c r="AA87" s="97"/>
      <c r="AB87" s="84">
        <f t="shared" ref="AB87:AB109" si="34">X87-Y87</f>
        <v>0</v>
      </c>
      <c r="AC87" s="97"/>
      <c r="AD87" s="84">
        <f t="shared" si="23"/>
        <v>0</v>
      </c>
      <c r="AE87" s="97"/>
      <c r="AF87" s="97"/>
      <c r="AG87" s="97"/>
      <c r="AH87" s="84"/>
      <c r="AI87" s="84">
        <f t="shared" ref="AI87:AJ102" si="35">V87+W87-Y87+AC87-AE87+AF87+AG87-AH87</f>
        <v>0</v>
      </c>
      <c r="AJ87" s="84">
        <f t="shared" si="35"/>
        <v>0</v>
      </c>
      <c r="AK87" s="84"/>
      <c r="AL87" s="80">
        <f t="shared" ref="AL87:AL109" si="36">AI87+AJ87</f>
        <v>0</v>
      </c>
      <c r="AM87" s="80"/>
    </row>
    <row r="88" spans="1:39" ht="68.25" hidden="1" customHeight="1">
      <c r="A88" s="35"/>
      <c r="B88" s="79" t="s">
        <v>107</v>
      </c>
      <c r="C88" s="84"/>
      <c r="D88" s="84">
        <v>381718.95</v>
      </c>
      <c r="E88" s="84"/>
      <c r="F88" s="84"/>
      <c r="G88" s="84"/>
      <c r="H88" s="84"/>
      <c r="I88" s="84">
        <f t="shared" ref="I88:I97" si="37">C88-F88</f>
        <v>0</v>
      </c>
      <c r="J88" s="84"/>
      <c r="K88" s="84"/>
      <c r="L88" s="84"/>
      <c r="M88" s="85"/>
      <c r="N88" s="85"/>
      <c r="O88" s="97"/>
      <c r="P88" s="97"/>
      <c r="Q88" s="97"/>
      <c r="R88" s="97"/>
      <c r="S88" s="97"/>
      <c r="T88" s="97"/>
      <c r="U88" s="85"/>
      <c r="V88" s="84">
        <f t="shared" si="32"/>
        <v>0</v>
      </c>
      <c r="W88" s="84">
        <v>484.5</v>
      </c>
      <c r="X88" s="84">
        <v>484.5</v>
      </c>
      <c r="Y88" s="84">
        <v>484.5</v>
      </c>
      <c r="Z88" s="84"/>
      <c r="AA88" s="97"/>
      <c r="AB88" s="84">
        <f t="shared" si="34"/>
        <v>0</v>
      </c>
      <c r="AC88" s="97"/>
      <c r="AD88" s="84">
        <f t="shared" si="23"/>
        <v>0</v>
      </c>
      <c r="AE88" s="97"/>
      <c r="AF88" s="97"/>
      <c r="AG88" s="97"/>
      <c r="AH88" s="84"/>
      <c r="AI88" s="84">
        <f t="shared" si="35"/>
        <v>0</v>
      </c>
      <c r="AJ88" s="84">
        <v>0</v>
      </c>
      <c r="AK88" s="84"/>
      <c r="AL88" s="80">
        <f t="shared" si="36"/>
        <v>0</v>
      </c>
      <c r="AM88" s="80"/>
    </row>
    <row r="89" spans="1:39" ht="71.25" hidden="1" customHeight="1">
      <c r="A89" s="35"/>
      <c r="B89" s="127" t="s">
        <v>108</v>
      </c>
      <c r="C89" s="84">
        <v>176406.04</v>
      </c>
      <c r="D89" s="84"/>
      <c r="E89" s="84">
        <v>176406.04</v>
      </c>
      <c r="F89" s="84">
        <f>176406.04+3800</f>
        <v>180206.04</v>
      </c>
      <c r="G89" s="84">
        <v>176406.04</v>
      </c>
      <c r="H89" s="84"/>
      <c r="I89" s="84">
        <f t="shared" si="37"/>
        <v>-3800</v>
      </c>
      <c r="J89" s="84"/>
      <c r="K89" s="84">
        <f>G89-J89</f>
        <v>176406.04</v>
      </c>
      <c r="L89" s="84"/>
      <c r="M89" s="85">
        <f>2034200+2034200+2034200+2034200</f>
        <v>8136800</v>
      </c>
      <c r="N89" s="85">
        <v>3800</v>
      </c>
      <c r="O89" s="97"/>
      <c r="P89" s="97"/>
      <c r="Q89" s="97"/>
      <c r="R89" s="97"/>
      <c r="S89" s="97"/>
      <c r="T89" s="97"/>
      <c r="U89" s="85">
        <v>8136800</v>
      </c>
      <c r="V89" s="84">
        <f t="shared" si="32"/>
        <v>0</v>
      </c>
      <c r="W89" s="84"/>
      <c r="X89" s="84">
        <f t="shared" si="33"/>
        <v>0</v>
      </c>
      <c r="Y89" s="84"/>
      <c r="Z89" s="84"/>
      <c r="AA89" s="97"/>
      <c r="AB89" s="84">
        <f t="shared" si="34"/>
        <v>0</v>
      </c>
      <c r="AC89" s="97"/>
      <c r="AD89" s="84">
        <f t="shared" si="23"/>
        <v>0</v>
      </c>
      <c r="AE89" s="97"/>
      <c r="AF89" s="97"/>
      <c r="AG89" s="97"/>
      <c r="AH89" s="84"/>
      <c r="AI89" s="84">
        <f t="shared" si="35"/>
        <v>0</v>
      </c>
      <c r="AJ89" s="84">
        <f t="shared" si="35"/>
        <v>0</v>
      </c>
      <c r="AK89" s="84"/>
      <c r="AL89" s="80">
        <f t="shared" si="36"/>
        <v>0</v>
      </c>
      <c r="AM89" s="80"/>
    </row>
    <row r="90" spans="1:39" ht="67.5" hidden="1" customHeight="1">
      <c r="A90" s="35"/>
      <c r="B90" s="122" t="s">
        <v>109</v>
      </c>
      <c r="C90" s="84">
        <v>27200</v>
      </c>
      <c r="D90" s="84"/>
      <c r="E90" s="84">
        <v>27200</v>
      </c>
      <c r="F90" s="84">
        <v>27200</v>
      </c>
      <c r="G90" s="84"/>
      <c r="H90" s="84"/>
      <c r="I90" s="84">
        <f t="shared" si="37"/>
        <v>0</v>
      </c>
      <c r="J90" s="84"/>
      <c r="K90" s="84"/>
      <c r="L90" s="84"/>
      <c r="M90" s="85"/>
      <c r="N90" s="85"/>
      <c r="O90" s="97"/>
      <c r="P90" s="97"/>
      <c r="Q90" s="97"/>
      <c r="R90" s="97"/>
      <c r="S90" s="97"/>
      <c r="T90" s="97"/>
      <c r="U90" s="85"/>
      <c r="V90" s="84">
        <f t="shared" si="32"/>
        <v>0</v>
      </c>
      <c r="W90" s="84"/>
      <c r="X90" s="84">
        <f t="shared" si="33"/>
        <v>0</v>
      </c>
      <c r="Y90" s="84"/>
      <c r="Z90" s="84"/>
      <c r="AA90" s="84"/>
      <c r="AB90" s="84">
        <f t="shared" si="34"/>
        <v>0</v>
      </c>
      <c r="AC90" s="97"/>
      <c r="AD90" s="84">
        <f t="shared" si="23"/>
        <v>0</v>
      </c>
      <c r="AE90" s="97"/>
      <c r="AF90" s="84">
        <f>470400+323200</f>
        <v>793600</v>
      </c>
      <c r="AG90" s="97"/>
      <c r="AH90" s="84">
        <v>793600</v>
      </c>
      <c r="AI90" s="84">
        <f t="shared" si="35"/>
        <v>0</v>
      </c>
      <c r="AJ90" s="84">
        <f t="shared" si="35"/>
        <v>0</v>
      </c>
      <c r="AK90" s="84"/>
      <c r="AL90" s="80">
        <f t="shared" si="36"/>
        <v>0</v>
      </c>
      <c r="AM90" s="80"/>
    </row>
    <row r="91" spans="1:39" ht="96.75" customHeight="1">
      <c r="A91" s="35"/>
      <c r="B91" s="123" t="s">
        <v>284</v>
      </c>
      <c r="C91" s="84"/>
      <c r="D91" s="84"/>
      <c r="E91" s="84"/>
      <c r="F91" s="84"/>
      <c r="G91" s="84"/>
      <c r="H91" s="84"/>
      <c r="I91" s="84"/>
      <c r="J91" s="84"/>
      <c r="K91" s="84"/>
      <c r="L91" s="84"/>
      <c r="M91" s="85"/>
      <c r="N91" s="85"/>
      <c r="O91" s="97"/>
      <c r="P91" s="97"/>
      <c r="Q91" s="97"/>
      <c r="R91" s="97"/>
      <c r="S91" s="97"/>
      <c r="T91" s="97"/>
      <c r="U91" s="85"/>
      <c r="V91" s="84"/>
      <c r="W91" s="84"/>
      <c r="X91" s="84"/>
      <c r="Y91" s="84"/>
      <c r="Z91" s="84"/>
      <c r="AA91" s="84"/>
      <c r="AB91" s="84"/>
      <c r="AC91" s="97"/>
      <c r="AD91" s="84"/>
      <c r="AE91" s="97"/>
      <c r="AF91" s="84"/>
      <c r="AG91" s="97"/>
      <c r="AH91" s="84"/>
      <c r="AI91" s="84">
        <v>153199.34</v>
      </c>
      <c r="AJ91" s="84">
        <v>747315.8</v>
      </c>
      <c r="AK91" s="84"/>
      <c r="AL91" s="80">
        <f>AI91+AJ91</f>
        <v>900515.14</v>
      </c>
      <c r="AM91" s="80">
        <v>900515.14</v>
      </c>
    </row>
    <row r="92" spans="1:39" ht="81" hidden="1" customHeight="1">
      <c r="A92" s="18" t="s">
        <v>110</v>
      </c>
      <c r="B92" s="122" t="s">
        <v>111</v>
      </c>
      <c r="C92" s="84">
        <v>700000</v>
      </c>
      <c r="D92" s="84">
        <f>9372465.29-700000</f>
        <v>8672465.2899999991</v>
      </c>
      <c r="E92" s="84">
        <f>D92+C92</f>
        <v>9372465.2899999991</v>
      </c>
      <c r="F92" s="84">
        <v>9372465.2899999991</v>
      </c>
      <c r="G92" s="84">
        <v>9372465.2899999991</v>
      </c>
      <c r="H92" s="84"/>
      <c r="I92" s="84">
        <f>C92+D92-F92</f>
        <v>0</v>
      </c>
      <c r="J92" s="84">
        <v>9372465.2899999991</v>
      </c>
      <c r="K92" s="84">
        <f>G92-J92</f>
        <v>0</v>
      </c>
      <c r="L92" s="84">
        <f>1000000+550000+700000+131000+750735+1990000-700000</f>
        <v>4421735</v>
      </c>
      <c r="M92" s="85">
        <v>0</v>
      </c>
      <c r="N92" s="85"/>
      <c r="O92" s="97"/>
      <c r="P92" s="97"/>
      <c r="Q92" s="97"/>
      <c r="R92" s="97"/>
      <c r="S92" s="97"/>
      <c r="T92" s="97"/>
      <c r="U92" s="85">
        <v>4908450.29</v>
      </c>
      <c r="V92" s="84">
        <f>I92+J92+M92+N92-U92-L92</f>
        <v>42279.999999999069</v>
      </c>
      <c r="W92" s="84">
        <v>700000.29</v>
      </c>
      <c r="X92" s="84">
        <f>V92+W92</f>
        <v>742280.28999999911</v>
      </c>
      <c r="Y92" s="84">
        <v>742280.29</v>
      </c>
      <c r="Z92" s="84">
        <v>700000</v>
      </c>
      <c r="AA92" s="84">
        <v>700000</v>
      </c>
      <c r="AB92" s="84">
        <f t="shared" si="34"/>
        <v>-9.3132257461547852E-10</v>
      </c>
      <c r="AC92" s="97"/>
      <c r="AD92" s="84">
        <f t="shared" si="23"/>
        <v>700000</v>
      </c>
      <c r="AE92" s="97"/>
      <c r="AF92" s="97"/>
      <c r="AG92" s="97"/>
      <c r="AH92" s="84"/>
      <c r="AI92" s="84">
        <f t="shared" si="35"/>
        <v>-9.3132257461547852E-10</v>
      </c>
      <c r="AJ92" s="84"/>
      <c r="AK92" s="84"/>
      <c r="AL92" s="80">
        <f t="shared" si="36"/>
        <v>-9.3132257461547852E-10</v>
      </c>
      <c r="AM92" s="80"/>
    </row>
    <row r="93" spans="1:39" ht="81" customHeight="1">
      <c r="A93" s="36"/>
      <c r="B93" s="122" t="s">
        <v>285</v>
      </c>
      <c r="C93" s="84"/>
      <c r="D93" s="84"/>
      <c r="E93" s="84"/>
      <c r="F93" s="84"/>
      <c r="G93" s="84"/>
      <c r="H93" s="84"/>
      <c r="I93" s="84"/>
      <c r="J93" s="84"/>
      <c r="K93" s="84"/>
      <c r="L93" s="84"/>
      <c r="M93" s="85">
        <f>62648700+3609300</f>
        <v>66258000</v>
      </c>
      <c r="N93" s="85"/>
      <c r="O93" s="97"/>
      <c r="P93" s="97"/>
      <c r="Q93" s="97"/>
      <c r="R93" s="97"/>
      <c r="S93" s="97"/>
      <c r="T93" s="97"/>
      <c r="U93" s="85">
        <f>71166450.29-4908450.29</f>
        <v>66258000.000000007</v>
      </c>
      <c r="V93" s="84">
        <f>I93+J93+M93+N93-U93-L93</f>
        <v>-7.4505805969238281E-9</v>
      </c>
      <c r="W93" s="84">
        <v>3798037.32</v>
      </c>
      <c r="X93" s="84">
        <f>V93+W93</f>
        <v>3798037.3199999924</v>
      </c>
      <c r="Y93" s="84">
        <v>3798037.32</v>
      </c>
      <c r="Z93" s="84">
        <v>3798037.32</v>
      </c>
      <c r="AA93" s="84">
        <v>3798037.32</v>
      </c>
      <c r="AB93" s="84">
        <f t="shared" si="34"/>
        <v>-7.4505805969238281E-9</v>
      </c>
      <c r="AC93" s="84">
        <v>3798037.32</v>
      </c>
      <c r="AD93" s="84">
        <f t="shared" si="23"/>
        <v>0</v>
      </c>
      <c r="AE93" s="84">
        <v>1562100</v>
      </c>
      <c r="AF93" s="84">
        <v>71418600</v>
      </c>
      <c r="AG93" s="84"/>
      <c r="AH93" s="84">
        <v>57377651.25</v>
      </c>
      <c r="AI93" s="84">
        <v>0</v>
      </c>
      <c r="AJ93" s="84">
        <v>2684.2</v>
      </c>
      <c r="AK93" s="84"/>
      <c r="AL93" s="80">
        <f t="shared" si="36"/>
        <v>2684.2</v>
      </c>
      <c r="AM93" s="80">
        <v>2684.2</v>
      </c>
    </row>
    <row r="94" spans="1:39" ht="33.75" customHeight="1">
      <c r="A94" s="36"/>
      <c r="B94" s="79" t="s">
        <v>286</v>
      </c>
      <c r="C94" s="84"/>
      <c r="D94" s="84"/>
      <c r="E94" s="84"/>
      <c r="F94" s="84"/>
      <c r="G94" s="84"/>
      <c r="H94" s="84"/>
      <c r="I94" s="84"/>
      <c r="J94" s="84"/>
      <c r="K94" s="84"/>
      <c r="L94" s="84"/>
      <c r="M94" s="85">
        <v>579896200</v>
      </c>
      <c r="N94" s="85"/>
      <c r="O94" s="97"/>
      <c r="P94" s="97"/>
      <c r="Q94" s="97"/>
      <c r="R94" s="97"/>
      <c r="S94" s="97"/>
      <c r="T94" s="97"/>
      <c r="U94" s="85">
        <f>563629187.15+16267000</f>
        <v>579896187.14999998</v>
      </c>
      <c r="V94" s="84">
        <f>I94+J94+M94+N94-U94-L94</f>
        <v>12.850000023841858</v>
      </c>
      <c r="W94" s="84">
        <v>2605.7800000000002</v>
      </c>
      <c r="X94" s="84">
        <f>V94+W94</f>
        <v>2618.6300000238421</v>
      </c>
      <c r="Y94" s="84">
        <f>2618.03+0.6</f>
        <v>2618.63</v>
      </c>
      <c r="Z94" s="84"/>
      <c r="AA94" s="84"/>
      <c r="AB94" s="84">
        <f t="shared" si="34"/>
        <v>2.3841948859626427E-8</v>
      </c>
      <c r="AC94" s="97"/>
      <c r="AD94" s="84">
        <f t="shared" si="23"/>
        <v>0</v>
      </c>
      <c r="AE94" s="97"/>
      <c r="AF94" s="84">
        <f>254014100+527867400</f>
        <v>781881500</v>
      </c>
      <c r="AG94" s="97"/>
      <c r="AH94" s="84">
        <v>781881500</v>
      </c>
      <c r="AI94" s="84">
        <v>69752.87</v>
      </c>
      <c r="AJ94" s="84">
        <v>0</v>
      </c>
      <c r="AK94" s="84"/>
      <c r="AL94" s="80">
        <f t="shared" si="36"/>
        <v>69752.87</v>
      </c>
      <c r="AM94" s="80">
        <v>69752.87</v>
      </c>
    </row>
    <row r="95" spans="1:39" ht="46.9" hidden="1" customHeight="1">
      <c r="A95" s="36"/>
      <c r="B95" s="79" t="s">
        <v>264</v>
      </c>
      <c r="C95" s="84"/>
      <c r="D95" s="84">
        <v>171846.95</v>
      </c>
      <c r="E95" s="84">
        <v>172995.95</v>
      </c>
      <c r="F95" s="84">
        <f>171846.95+1149</f>
        <v>172995.95</v>
      </c>
      <c r="G95" s="84"/>
      <c r="H95" s="84"/>
      <c r="I95" s="84">
        <f>C95+D95-F95</f>
        <v>-1149</v>
      </c>
      <c r="J95" s="84"/>
      <c r="K95" s="84"/>
      <c r="L95" s="84"/>
      <c r="M95" s="85">
        <f>211978500+211978500</f>
        <v>423957000</v>
      </c>
      <c r="N95" s="85">
        <v>1149</v>
      </c>
      <c r="O95" s="97"/>
      <c r="P95" s="97"/>
      <c r="Q95" s="97"/>
      <c r="R95" s="97"/>
      <c r="S95" s="97"/>
      <c r="T95" s="97"/>
      <c r="U95" s="85">
        <v>423951804.52999997</v>
      </c>
      <c r="V95" s="84">
        <f>I95+J95+M95+N95-U95-L95</f>
        <v>5195.4700000286102</v>
      </c>
      <c r="W95" s="84">
        <f>170431.87+5866.4</f>
        <v>176298.27</v>
      </c>
      <c r="X95" s="84">
        <f>V95+W95</f>
        <v>181493.7400000286</v>
      </c>
      <c r="Y95" s="84">
        <v>181493.74</v>
      </c>
      <c r="Z95" s="84">
        <v>120572.09</v>
      </c>
      <c r="AA95" s="84">
        <v>120572.09</v>
      </c>
      <c r="AB95" s="84">
        <f t="shared" si="34"/>
        <v>2.8609065338969231E-8</v>
      </c>
      <c r="AC95" s="84">
        <v>120572.09</v>
      </c>
      <c r="AD95" s="84">
        <f t="shared" si="23"/>
        <v>0</v>
      </c>
      <c r="AE95" s="84">
        <v>31094.06</v>
      </c>
      <c r="AF95" s="97"/>
      <c r="AG95" s="84">
        <f>2.5+87222.42+13488.12</f>
        <v>100713.04</v>
      </c>
      <c r="AH95" s="97"/>
      <c r="AI95" s="84"/>
      <c r="AJ95" s="84">
        <v>0</v>
      </c>
      <c r="AK95" s="84"/>
      <c r="AL95" s="80">
        <f t="shared" si="36"/>
        <v>0</v>
      </c>
      <c r="AM95" s="80"/>
    </row>
    <row r="96" spans="1:39" ht="35.25" hidden="1" customHeight="1">
      <c r="A96" s="37" t="s">
        <v>112</v>
      </c>
      <c r="B96" s="122" t="s">
        <v>113</v>
      </c>
      <c r="C96" s="84">
        <v>3338446</v>
      </c>
      <c r="D96" s="84"/>
      <c r="E96" s="84">
        <v>3338446</v>
      </c>
      <c r="F96" s="84">
        <v>3338446</v>
      </c>
      <c r="G96" s="84"/>
      <c r="H96" s="84"/>
      <c r="I96" s="84">
        <f t="shared" si="37"/>
        <v>0</v>
      </c>
      <c r="J96" s="84">
        <v>2304300</v>
      </c>
      <c r="K96" s="84"/>
      <c r="L96" s="84"/>
      <c r="M96" s="85"/>
      <c r="N96" s="85"/>
      <c r="O96" s="97"/>
      <c r="P96" s="97"/>
      <c r="Q96" s="97"/>
      <c r="R96" s="97"/>
      <c r="S96" s="97"/>
      <c r="T96" s="97"/>
      <c r="U96" s="85">
        <v>2304300</v>
      </c>
      <c r="V96" s="84">
        <f t="shared" si="32"/>
        <v>0</v>
      </c>
      <c r="W96" s="84"/>
      <c r="X96" s="84">
        <f t="shared" si="33"/>
        <v>0</v>
      </c>
      <c r="Y96" s="84"/>
      <c r="Z96" s="97"/>
      <c r="AA96" s="84"/>
      <c r="AB96" s="84">
        <f t="shared" si="34"/>
        <v>0</v>
      </c>
      <c r="AC96" s="97"/>
      <c r="AD96" s="84">
        <f t="shared" si="23"/>
        <v>0</v>
      </c>
      <c r="AE96" s="97"/>
      <c r="AF96" s="97"/>
      <c r="AG96" s="97"/>
      <c r="AH96" s="97"/>
      <c r="AI96" s="84"/>
      <c r="AJ96" s="84"/>
      <c r="AK96" s="84"/>
      <c r="AL96" s="80">
        <f t="shared" si="36"/>
        <v>0</v>
      </c>
      <c r="AM96" s="80"/>
    </row>
    <row r="97" spans="1:39" ht="49.5" hidden="1" customHeight="1">
      <c r="A97" s="17" t="s">
        <v>114</v>
      </c>
      <c r="B97" s="128" t="s">
        <v>115</v>
      </c>
      <c r="C97" s="84">
        <v>1704200.53</v>
      </c>
      <c r="D97" s="84"/>
      <c r="E97" s="84">
        <v>1704200.53</v>
      </c>
      <c r="F97" s="84">
        <v>1704200.53</v>
      </c>
      <c r="G97" s="84"/>
      <c r="H97" s="84"/>
      <c r="I97" s="84">
        <f t="shared" si="37"/>
        <v>0</v>
      </c>
      <c r="J97" s="84"/>
      <c r="K97" s="84"/>
      <c r="L97" s="84"/>
      <c r="M97" s="85">
        <f>12909700+1047100+7460800</f>
        <v>21417600</v>
      </c>
      <c r="N97" s="85"/>
      <c r="O97" s="97"/>
      <c r="P97" s="97"/>
      <c r="Q97" s="97"/>
      <c r="R97" s="97"/>
      <c r="S97" s="97"/>
      <c r="T97" s="97"/>
      <c r="U97" s="85">
        <v>7925963.2000000002</v>
      </c>
      <c r="V97" s="84">
        <f t="shared" si="32"/>
        <v>13491636.800000001</v>
      </c>
      <c r="W97" s="84"/>
      <c r="X97" s="84">
        <f t="shared" si="33"/>
        <v>13491636.800000001</v>
      </c>
      <c r="Y97" s="84">
        <v>13491636.800000001</v>
      </c>
      <c r="Z97" s="97"/>
      <c r="AA97" s="84"/>
      <c r="AB97" s="84">
        <f t="shared" si="34"/>
        <v>0</v>
      </c>
      <c r="AC97" s="97"/>
      <c r="AD97" s="84">
        <f t="shared" si="23"/>
        <v>0</v>
      </c>
      <c r="AE97" s="97"/>
      <c r="AF97" s="84">
        <v>12848331.630000001</v>
      </c>
      <c r="AG97" s="84">
        <v>15705.13</v>
      </c>
      <c r="AH97" s="84">
        <v>12864036.76</v>
      </c>
      <c r="AI97" s="84"/>
      <c r="AJ97" s="84"/>
      <c r="AK97" s="84"/>
      <c r="AL97" s="80">
        <f t="shared" si="36"/>
        <v>0</v>
      </c>
      <c r="AM97" s="80"/>
    </row>
    <row r="98" spans="1:39" ht="94.5" hidden="1" customHeight="1">
      <c r="A98" s="17"/>
      <c r="B98" s="128" t="s">
        <v>116</v>
      </c>
      <c r="C98" s="84"/>
      <c r="D98" s="84"/>
      <c r="E98" s="84"/>
      <c r="F98" s="84"/>
      <c r="G98" s="84"/>
      <c r="H98" s="84"/>
      <c r="I98" s="84"/>
      <c r="J98" s="84"/>
      <c r="K98" s="84"/>
      <c r="L98" s="84"/>
      <c r="M98" s="85">
        <f>86400+33600</f>
        <v>120000</v>
      </c>
      <c r="N98" s="85"/>
      <c r="O98" s="97"/>
      <c r="P98" s="97"/>
      <c r="Q98" s="97"/>
      <c r="R98" s="97"/>
      <c r="S98" s="97"/>
      <c r="T98" s="97"/>
      <c r="U98" s="85">
        <v>120000</v>
      </c>
      <c r="V98" s="84">
        <f t="shared" si="32"/>
        <v>0</v>
      </c>
      <c r="W98" s="97"/>
      <c r="X98" s="84">
        <f t="shared" si="33"/>
        <v>0</v>
      </c>
      <c r="Y98" s="84"/>
      <c r="Z98" s="84"/>
      <c r="AA98" s="84"/>
      <c r="AB98" s="84">
        <f t="shared" si="34"/>
        <v>0</v>
      </c>
      <c r="AC98" s="97"/>
      <c r="AD98" s="84">
        <f t="shared" si="23"/>
        <v>0</v>
      </c>
      <c r="AE98" s="97"/>
      <c r="AF98" s="97"/>
      <c r="AG98" s="84"/>
      <c r="AH98" s="97"/>
      <c r="AI98" s="84">
        <f t="shared" si="35"/>
        <v>0</v>
      </c>
      <c r="AJ98" s="84">
        <f t="shared" si="35"/>
        <v>0</v>
      </c>
      <c r="AK98" s="84"/>
      <c r="AL98" s="80">
        <f t="shared" si="36"/>
        <v>0</v>
      </c>
      <c r="AM98" s="80"/>
    </row>
    <row r="99" spans="1:39" ht="93" hidden="1" customHeight="1">
      <c r="A99" s="17"/>
      <c r="B99" s="128" t="s">
        <v>117</v>
      </c>
      <c r="C99" s="84"/>
      <c r="D99" s="84"/>
      <c r="E99" s="84"/>
      <c r="F99" s="84"/>
      <c r="G99" s="84"/>
      <c r="H99" s="84"/>
      <c r="I99" s="84"/>
      <c r="J99" s="84"/>
      <c r="K99" s="84"/>
      <c r="L99" s="84"/>
      <c r="M99" s="85">
        <f>96000+201600</f>
        <v>297600</v>
      </c>
      <c r="N99" s="85"/>
      <c r="O99" s="97"/>
      <c r="P99" s="97"/>
      <c r="Q99" s="97"/>
      <c r="R99" s="97"/>
      <c r="S99" s="97"/>
      <c r="T99" s="97"/>
      <c r="U99" s="85">
        <v>297600</v>
      </c>
      <c r="V99" s="84">
        <f t="shared" si="32"/>
        <v>0</v>
      </c>
      <c r="W99" s="97"/>
      <c r="X99" s="84">
        <f t="shared" si="33"/>
        <v>0</v>
      </c>
      <c r="Y99" s="84"/>
      <c r="Z99" s="84"/>
      <c r="AA99" s="84"/>
      <c r="AB99" s="84">
        <f t="shared" si="34"/>
        <v>0</v>
      </c>
      <c r="AC99" s="97"/>
      <c r="AD99" s="84">
        <f t="shared" si="23"/>
        <v>0</v>
      </c>
      <c r="AE99" s="97"/>
      <c r="AF99" s="97"/>
      <c r="AG99" s="84"/>
      <c r="AH99" s="97"/>
      <c r="AI99" s="84">
        <f t="shared" si="35"/>
        <v>0</v>
      </c>
      <c r="AJ99" s="84">
        <f t="shared" si="35"/>
        <v>0</v>
      </c>
      <c r="AK99" s="84"/>
      <c r="AL99" s="80">
        <f t="shared" si="36"/>
        <v>0</v>
      </c>
      <c r="AM99" s="80"/>
    </row>
    <row r="100" spans="1:39" ht="72" hidden="1" customHeight="1">
      <c r="A100" s="17"/>
      <c r="B100" s="128" t="s">
        <v>118</v>
      </c>
      <c r="C100" s="84"/>
      <c r="D100" s="84"/>
      <c r="E100" s="84"/>
      <c r="F100" s="84"/>
      <c r="G100" s="84"/>
      <c r="H100" s="84"/>
      <c r="I100" s="84"/>
      <c r="J100" s="84"/>
      <c r="K100" s="84"/>
      <c r="L100" s="84"/>
      <c r="M100" s="85">
        <v>18543700</v>
      </c>
      <c r="N100" s="85"/>
      <c r="O100" s="97"/>
      <c r="P100" s="97"/>
      <c r="Q100" s="97"/>
      <c r="R100" s="97"/>
      <c r="S100" s="97"/>
      <c r="T100" s="97"/>
      <c r="U100" s="85"/>
      <c r="V100" s="84">
        <f t="shared" si="32"/>
        <v>18543700</v>
      </c>
      <c r="W100" s="97"/>
      <c r="X100" s="84">
        <f t="shared" si="33"/>
        <v>18543700</v>
      </c>
      <c r="Y100" s="84">
        <v>18543700</v>
      </c>
      <c r="Z100" s="84">
        <v>18543700</v>
      </c>
      <c r="AA100" s="84">
        <v>18543700</v>
      </c>
      <c r="AB100" s="84">
        <f t="shared" si="34"/>
        <v>0</v>
      </c>
      <c r="AC100" s="84">
        <v>18543700</v>
      </c>
      <c r="AD100" s="84">
        <f t="shared" si="23"/>
        <v>0</v>
      </c>
      <c r="AE100" s="84"/>
      <c r="AF100" s="84"/>
      <c r="AG100" s="84"/>
      <c r="AH100" s="84">
        <v>12409610</v>
      </c>
      <c r="AI100" s="84"/>
      <c r="AJ100" s="84"/>
      <c r="AK100" s="84"/>
      <c r="AL100" s="80">
        <f t="shared" si="36"/>
        <v>0</v>
      </c>
      <c r="AM100" s="80"/>
    </row>
    <row r="101" spans="1:39" ht="129" hidden="1" customHeight="1">
      <c r="A101" s="17"/>
      <c r="B101" s="128" t="s">
        <v>119</v>
      </c>
      <c r="C101" s="84"/>
      <c r="D101" s="84"/>
      <c r="E101" s="84"/>
      <c r="F101" s="84"/>
      <c r="G101" s="84"/>
      <c r="H101" s="84"/>
      <c r="I101" s="84"/>
      <c r="J101" s="84"/>
      <c r="K101" s="84"/>
      <c r="L101" s="84"/>
      <c r="M101" s="85"/>
      <c r="N101" s="85"/>
      <c r="O101" s="97"/>
      <c r="P101" s="97"/>
      <c r="Q101" s="97"/>
      <c r="R101" s="97"/>
      <c r="S101" s="97"/>
      <c r="T101" s="97"/>
      <c r="U101" s="85"/>
      <c r="V101" s="84"/>
      <c r="W101" s="97"/>
      <c r="X101" s="84"/>
      <c r="Y101" s="84"/>
      <c r="Z101" s="84"/>
      <c r="AA101" s="84"/>
      <c r="AB101" s="84"/>
      <c r="AC101" s="84"/>
      <c r="AD101" s="84"/>
      <c r="AE101" s="84"/>
      <c r="AF101" s="84"/>
      <c r="AG101" s="84">
        <v>2703857.32</v>
      </c>
      <c r="AH101" s="84"/>
      <c r="AI101" s="84"/>
      <c r="AJ101" s="84">
        <v>0</v>
      </c>
      <c r="AK101" s="84"/>
      <c r="AL101" s="80">
        <f t="shared" si="36"/>
        <v>0</v>
      </c>
      <c r="AM101" s="80"/>
    </row>
    <row r="102" spans="1:39" ht="39.75" hidden="1" customHeight="1">
      <c r="A102" s="17"/>
      <c r="B102" s="128" t="s">
        <v>120</v>
      </c>
      <c r="C102" s="84"/>
      <c r="D102" s="84"/>
      <c r="E102" s="84"/>
      <c r="F102" s="84"/>
      <c r="G102" s="84"/>
      <c r="H102" s="84"/>
      <c r="I102" s="84"/>
      <c r="J102" s="84"/>
      <c r="K102" s="84"/>
      <c r="L102" s="84"/>
      <c r="M102" s="85">
        <v>1800000</v>
      </c>
      <c r="N102" s="85"/>
      <c r="O102" s="97"/>
      <c r="P102" s="97"/>
      <c r="Q102" s="97"/>
      <c r="R102" s="97"/>
      <c r="S102" s="97"/>
      <c r="T102" s="97"/>
      <c r="U102" s="85">
        <v>1800000</v>
      </c>
      <c r="V102" s="84">
        <f t="shared" si="32"/>
        <v>0</v>
      </c>
      <c r="W102" s="84"/>
      <c r="X102" s="84">
        <f t="shared" si="33"/>
        <v>0</v>
      </c>
      <c r="Y102" s="84"/>
      <c r="Z102" s="84"/>
      <c r="AA102" s="84"/>
      <c r="AB102" s="84">
        <f t="shared" si="34"/>
        <v>0</v>
      </c>
      <c r="AC102" s="97"/>
      <c r="AD102" s="84">
        <f t="shared" si="23"/>
        <v>0</v>
      </c>
      <c r="AE102" s="97"/>
      <c r="AF102" s="84">
        <v>1800000</v>
      </c>
      <c r="AG102" s="97"/>
      <c r="AH102" s="84">
        <v>1800000</v>
      </c>
      <c r="AI102" s="84"/>
      <c r="AJ102" s="84">
        <f t="shared" si="35"/>
        <v>0</v>
      </c>
      <c r="AK102" s="84"/>
      <c r="AL102" s="80">
        <f t="shared" si="36"/>
        <v>0</v>
      </c>
      <c r="AM102" s="80"/>
    </row>
    <row r="103" spans="1:39" ht="132.75" customHeight="1">
      <c r="A103" s="17"/>
      <c r="B103" s="128" t="s">
        <v>287</v>
      </c>
      <c r="C103" s="84"/>
      <c r="D103" s="84"/>
      <c r="E103" s="84"/>
      <c r="F103" s="84"/>
      <c r="G103" s="84"/>
      <c r="H103" s="84"/>
      <c r="I103" s="84"/>
      <c r="J103" s="84"/>
      <c r="K103" s="84"/>
      <c r="L103" s="84"/>
      <c r="M103" s="85"/>
      <c r="N103" s="85"/>
      <c r="O103" s="97"/>
      <c r="P103" s="97"/>
      <c r="Q103" s="97"/>
      <c r="R103" s="97"/>
      <c r="S103" s="97"/>
      <c r="T103" s="97"/>
      <c r="U103" s="85"/>
      <c r="V103" s="84"/>
      <c r="W103" s="84"/>
      <c r="X103" s="84"/>
      <c r="Y103" s="84"/>
      <c r="Z103" s="84"/>
      <c r="AA103" s="84"/>
      <c r="AB103" s="84"/>
      <c r="AC103" s="97"/>
      <c r="AD103" s="84"/>
      <c r="AE103" s="97"/>
      <c r="AF103" s="84">
        <v>33741800</v>
      </c>
      <c r="AG103" s="97"/>
      <c r="AH103" s="84">
        <v>21031674</v>
      </c>
      <c r="AI103" s="84">
        <v>27348681.460000001</v>
      </c>
      <c r="AJ103" s="84">
        <v>4587762.3899999997</v>
      </c>
      <c r="AK103" s="84"/>
      <c r="AL103" s="80">
        <f t="shared" si="36"/>
        <v>31936443.850000001</v>
      </c>
      <c r="AM103" s="80">
        <v>31936443.850000001</v>
      </c>
    </row>
    <row r="104" spans="1:39" ht="99" customHeight="1" thickBot="1">
      <c r="A104" s="17"/>
      <c r="B104" s="128" t="s">
        <v>320</v>
      </c>
      <c r="C104" s="84"/>
      <c r="D104" s="84"/>
      <c r="E104" s="84"/>
      <c r="F104" s="84"/>
      <c r="G104" s="84"/>
      <c r="H104" s="84"/>
      <c r="I104" s="84"/>
      <c r="J104" s="84"/>
      <c r="K104" s="84"/>
      <c r="L104" s="84"/>
      <c r="M104" s="85"/>
      <c r="N104" s="85"/>
      <c r="O104" s="97"/>
      <c r="P104" s="97"/>
      <c r="Q104" s="97"/>
      <c r="R104" s="97"/>
      <c r="S104" s="97"/>
      <c r="T104" s="97"/>
      <c r="U104" s="85"/>
      <c r="V104" s="84"/>
      <c r="W104" s="84"/>
      <c r="X104" s="84"/>
      <c r="Y104" s="84"/>
      <c r="Z104" s="84"/>
      <c r="AA104" s="84"/>
      <c r="AB104" s="84"/>
      <c r="AC104" s="97"/>
      <c r="AD104" s="84"/>
      <c r="AE104" s="97"/>
      <c r="AF104" s="84"/>
      <c r="AG104" s="97"/>
      <c r="AH104" s="84"/>
      <c r="AI104" s="84">
        <v>0.06</v>
      </c>
      <c r="AJ104" s="84">
        <v>0.06</v>
      </c>
      <c r="AK104" s="84"/>
      <c r="AL104" s="80">
        <v>0.06</v>
      </c>
      <c r="AM104" s="80"/>
    </row>
    <row r="105" spans="1:39" ht="33.75" hidden="1" customHeight="1">
      <c r="A105" s="17"/>
      <c r="B105" s="79" t="s">
        <v>121</v>
      </c>
      <c r="C105" s="84"/>
      <c r="D105" s="84"/>
      <c r="E105" s="84"/>
      <c r="F105" s="84"/>
      <c r="G105" s="84"/>
      <c r="H105" s="84"/>
      <c r="I105" s="84"/>
      <c r="J105" s="84"/>
      <c r="K105" s="84"/>
      <c r="L105" s="84"/>
      <c r="M105" s="85"/>
      <c r="N105" s="85"/>
      <c r="O105" s="97"/>
      <c r="P105" s="97"/>
      <c r="Q105" s="97"/>
      <c r="R105" s="97"/>
      <c r="S105" s="97"/>
      <c r="T105" s="97"/>
      <c r="U105" s="85"/>
      <c r="V105" s="84">
        <f>I105+J105+M105+N105-U105</f>
        <v>0</v>
      </c>
      <c r="W105" s="84"/>
      <c r="X105" s="84">
        <f>V105</f>
        <v>0</v>
      </c>
      <c r="Y105" s="84"/>
      <c r="Z105" s="84"/>
      <c r="AA105" s="84"/>
      <c r="AB105" s="84">
        <f>X105-Y105</f>
        <v>0</v>
      </c>
      <c r="AC105" s="97"/>
      <c r="AD105" s="84">
        <f t="shared" si="23"/>
        <v>0</v>
      </c>
      <c r="AE105" s="97"/>
      <c r="AF105" s="84">
        <v>18867200</v>
      </c>
      <c r="AG105" s="97"/>
      <c r="AH105" s="84">
        <v>18867200</v>
      </c>
      <c r="AI105" s="84">
        <f>V105+W105-Y105+AC105-AE105+AF105+AG105-AH105</f>
        <v>0</v>
      </c>
      <c r="AJ105" s="84">
        <f>W105+X105-Z105+AD105-AF105+AG105+AH105-AI105</f>
        <v>0</v>
      </c>
      <c r="AK105" s="84"/>
      <c r="AL105" s="80">
        <f t="shared" si="36"/>
        <v>0</v>
      </c>
      <c r="AM105" s="80"/>
    </row>
    <row r="106" spans="1:39" ht="36.75" hidden="1" customHeight="1">
      <c r="A106" s="17"/>
      <c r="B106" s="79" t="s">
        <v>122</v>
      </c>
      <c r="C106" s="84">
        <v>13724000</v>
      </c>
      <c r="D106" s="84"/>
      <c r="E106" s="84">
        <v>13724000</v>
      </c>
      <c r="F106" s="84">
        <f>13724000+6118</f>
        <v>13730118</v>
      </c>
      <c r="G106" s="84"/>
      <c r="H106" s="84"/>
      <c r="I106" s="84">
        <v>-6118</v>
      </c>
      <c r="J106" s="84">
        <v>13724000</v>
      </c>
      <c r="K106" s="84"/>
      <c r="L106" s="84"/>
      <c r="M106" s="85"/>
      <c r="N106" s="85"/>
      <c r="O106" s="97"/>
      <c r="P106" s="97"/>
      <c r="Q106" s="97"/>
      <c r="R106" s="97"/>
      <c r="S106" s="97"/>
      <c r="T106" s="97"/>
      <c r="U106" s="85">
        <v>13724000</v>
      </c>
      <c r="V106" s="84">
        <f>I106+J106+M106+N106-U106-L106</f>
        <v>-6118</v>
      </c>
      <c r="W106" s="84"/>
      <c r="X106" s="84">
        <f t="shared" si="33"/>
        <v>-6118</v>
      </c>
      <c r="Y106" s="84"/>
      <c r="Z106" s="84"/>
      <c r="AA106" s="84"/>
      <c r="AB106" s="84">
        <f t="shared" si="34"/>
        <v>-6118</v>
      </c>
      <c r="AC106" s="97"/>
      <c r="AD106" s="84">
        <f t="shared" si="23"/>
        <v>0</v>
      </c>
      <c r="AE106" s="97"/>
      <c r="AF106" s="97"/>
      <c r="AG106" s="97"/>
      <c r="AH106" s="97"/>
      <c r="AI106" s="84">
        <v>0</v>
      </c>
      <c r="AJ106" s="84"/>
      <c r="AK106" s="84"/>
      <c r="AL106" s="80">
        <v>0</v>
      </c>
      <c r="AM106" s="80"/>
    </row>
    <row r="107" spans="1:39" ht="37.9" hidden="1" customHeight="1">
      <c r="A107" s="18" t="s">
        <v>123</v>
      </c>
      <c r="B107" s="79" t="s">
        <v>124</v>
      </c>
      <c r="C107" s="84"/>
      <c r="D107" s="84">
        <v>1541660</v>
      </c>
      <c r="E107" s="84">
        <f>D107</f>
        <v>1541660</v>
      </c>
      <c r="F107" s="84">
        <f>1541660</f>
        <v>1541660</v>
      </c>
      <c r="G107" s="84">
        <v>13724000</v>
      </c>
      <c r="H107" s="84"/>
      <c r="I107" s="84"/>
      <c r="J107" s="84">
        <f>1541660</f>
        <v>1541660</v>
      </c>
      <c r="K107" s="84">
        <f>G107-J107</f>
        <v>12182340</v>
      </c>
      <c r="L107" s="84">
        <v>1541660</v>
      </c>
      <c r="M107" s="85">
        <v>7722000</v>
      </c>
      <c r="N107" s="85">
        <v>6118</v>
      </c>
      <c r="O107" s="97"/>
      <c r="P107" s="97"/>
      <c r="Q107" s="97"/>
      <c r="R107" s="97"/>
      <c r="S107" s="97"/>
      <c r="T107" s="97"/>
      <c r="U107" s="85">
        <v>7722000</v>
      </c>
      <c r="V107" s="84">
        <f>I107+J107+M107+N107-U107-L107</f>
        <v>6118</v>
      </c>
      <c r="W107" s="84">
        <v>130797</v>
      </c>
      <c r="X107" s="84">
        <f>V107+W107</f>
        <v>136915</v>
      </c>
      <c r="Y107" s="84">
        <v>130797</v>
      </c>
      <c r="Z107" s="84">
        <v>130797</v>
      </c>
      <c r="AA107" s="84">
        <v>130797</v>
      </c>
      <c r="AB107" s="84">
        <f t="shared" si="34"/>
        <v>6118</v>
      </c>
      <c r="AC107" s="84">
        <v>130797</v>
      </c>
      <c r="AD107" s="84">
        <f t="shared" si="23"/>
        <v>0</v>
      </c>
      <c r="AE107" s="97"/>
      <c r="AF107" s="97"/>
      <c r="AG107" s="97"/>
      <c r="AH107" s="97"/>
      <c r="AI107" s="84"/>
      <c r="AJ107" s="84">
        <v>0</v>
      </c>
      <c r="AK107" s="84"/>
      <c r="AL107" s="80">
        <f t="shared" si="36"/>
        <v>0</v>
      </c>
      <c r="AM107" s="80"/>
    </row>
    <row r="108" spans="1:39" ht="54.75" hidden="1" customHeight="1">
      <c r="A108" s="18"/>
      <c r="B108" s="129" t="s">
        <v>254</v>
      </c>
      <c r="C108" s="84"/>
      <c r="D108" s="84"/>
      <c r="E108" s="84"/>
      <c r="F108" s="84"/>
      <c r="G108" s="84"/>
      <c r="H108" s="84"/>
      <c r="I108" s="84"/>
      <c r="J108" s="84"/>
      <c r="K108" s="84"/>
      <c r="L108" s="84"/>
      <c r="M108" s="85"/>
      <c r="N108" s="85"/>
      <c r="O108" s="97"/>
      <c r="P108" s="97"/>
      <c r="Q108" s="97"/>
      <c r="R108" s="97"/>
      <c r="S108" s="97"/>
      <c r="T108" s="97"/>
      <c r="U108" s="85"/>
      <c r="V108" s="84"/>
      <c r="W108" s="84"/>
      <c r="X108" s="84"/>
      <c r="Y108" s="84"/>
      <c r="Z108" s="84"/>
      <c r="AA108" s="84"/>
      <c r="AB108" s="84"/>
      <c r="AC108" s="84"/>
      <c r="AD108" s="84"/>
      <c r="AE108" s="97"/>
      <c r="AF108" s="97"/>
      <c r="AG108" s="97"/>
      <c r="AH108" s="97"/>
      <c r="AI108" s="84"/>
      <c r="AJ108" s="84"/>
      <c r="AK108" s="84"/>
      <c r="AL108" s="80"/>
      <c r="AM108" s="80"/>
    </row>
    <row r="109" spans="1:39" ht="39.75" hidden="1" customHeight="1" thickBot="1">
      <c r="A109" s="17" t="s">
        <v>125</v>
      </c>
      <c r="B109" s="128" t="s">
        <v>126</v>
      </c>
      <c r="C109" s="84">
        <f>3003461.73-0.1</f>
        <v>3003461.63</v>
      </c>
      <c r="D109" s="84">
        <f>2852591.83+0.1</f>
        <v>2852591.93</v>
      </c>
      <c r="E109" s="84">
        <f>C109+D109</f>
        <v>5856053.5600000005</v>
      </c>
      <c r="F109" s="84">
        <f>5856053.56+180682.16</f>
        <v>6036735.7199999997</v>
      </c>
      <c r="G109" s="84"/>
      <c r="H109" s="84"/>
      <c r="I109" s="84">
        <f>C109+D109-F109</f>
        <v>-180682.15999999922</v>
      </c>
      <c r="J109" s="84"/>
      <c r="K109" s="84"/>
      <c r="L109" s="84"/>
      <c r="M109" s="85">
        <f>39251000+78502000+24814100</f>
        <v>142567100</v>
      </c>
      <c r="N109" s="85">
        <f>171899.27+1361.71+5860.95+567.12+946.5+46.61</f>
        <v>180682.15999999997</v>
      </c>
      <c r="O109" s="97"/>
      <c r="P109" s="97"/>
      <c r="Q109" s="97"/>
      <c r="R109" s="97"/>
      <c r="S109" s="97"/>
      <c r="T109" s="97"/>
      <c r="U109" s="85">
        <v>142564901.21000001</v>
      </c>
      <c r="V109" s="130">
        <f t="shared" si="32"/>
        <v>2198.7899999916553</v>
      </c>
      <c r="W109" s="84">
        <v>99329.91</v>
      </c>
      <c r="X109" s="84">
        <f>V109+W109</f>
        <v>101528.69999999166</v>
      </c>
      <c r="Y109" s="84">
        <v>101528.7</v>
      </c>
      <c r="Z109" s="97"/>
      <c r="AA109" s="84"/>
      <c r="AB109" s="84">
        <f t="shared" si="34"/>
        <v>-8.3382474258542061E-9</v>
      </c>
      <c r="AC109" s="97"/>
      <c r="AD109" s="84">
        <f t="shared" si="23"/>
        <v>0</v>
      </c>
      <c r="AE109" s="97"/>
      <c r="AF109" s="97"/>
      <c r="AG109" s="130">
        <f>82.41+1029.5+1326.05+512.57+21252.01</f>
        <v>24202.539999999997</v>
      </c>
      <c r="AH109" s="97"/>
      <c r="AI109" s="84"/>
      <c r="AJ109" s="84"/>
      <c r="AK109" s="84"/>
      <c r="AL109" s="80">
        <f t="shared" si="36"/>
        <v>0</v>
      </c>
      <c r="AM109" s="80"/>
    </row>
    <row r="110" spans="1:39" ht="33.75" customHeight="1" thickBot="1">
      <c r="A110" s="38" t="s">
        <v>127</v>
      </c>
      <c r="B110" s="119" t="s">
        <v>128</v>
      </c>
      <c r="C110" s="131">
        <f t="shared" ref="C110:AM110" si="38">SUM(C87:C109)</f>
        <v>29963714.199999999</v>
      </c>
      <c r="D110" s="131">
        <f t="shared" si="38"/>
        <v>13620283.119999997</v>
      </c>
      <c r="E110" s="131">
        <f t="shared" si="38"/>
        <v>35913427.369999997</v>
      </c>
      <c r="F110" s="131">
        <f t="shared" si="38"/>
        <v>36104027.529999994</v>
      </c>
      <c r="G110" s="131">
        <f t="shared" si="38"/>
        <v>23272871.329999998</v>
      </c>
      <c r="H110" s="131">
        <f t="shared" si="38"/>
        <v>0</v>
      </c>
      <c r="I110" s="131">
        <f t="shared" si="38"/>
        <v>7098250.8400000008</v>
      </c>
      <c r="J110" s="131">
        <f t="shared" si="38"/>
        <v>26942425.289999999</v>
      </c>
      <c r="K110" s="131">
        <f t="shared" si="38"/>
        <v>12358746.039999999</v>
      </c>
      <c r="L110" s="131">
        <f t="shared" si="38"/>
        <v>5963395</v>
      </c>
      <c r="M110" s="131">
        <f t="shared" si="38"/>
        <v>1270716000</v>
      </c>
      <c r="N110" s="131">
        <f t="shared" si="38"/>
        <v>191749.15999999997</v>
      </c>
      <c r="O110" s="131">
        <f t="shared" si="38"/>
        <v>0</v>
      </c>
      <c r="P110" s="131">
        <f t="shared" si="38"/>
        <v>0</v>
      </c>
      <c r="Q110" s="131">
        <f t="shared" si="38"/>
        <v>0</v>
      </c>
      <c r="R110" s="131">
        <f t="shared" si="38"/>
        <v>0</v>
      </c>
      <c r="S110" s="131">
        <f t="shared" si="38"/>
        <v>0</v>
      </c>
      <c r="T110" s="131">
        <f t="shared" si="38"/>
        <v>0</v>
      </c>
      <c r="U110" s="131">
        <f t="shared" si="38"/>
        <v>1266900006.3799999</v>
      </c>
      <c r="V110" s="131">
        <f t="shared" si="38"/>
        <v>32085023.910000037</v>
      </c>
      <c r="W110" s="131">
        <f t="shared" si="38"/>
        <v>4907553.0699999994</v>
      </c>
      <c r="X110" s="131">
        <f t="shared" si="38"/>
        <v>36992576.980000034</v>
      </c>
      <c r="Y110" s="131">
        <f t="shared" si="38"/>
        <v>36992576.980000004</v>
      </c>
      <c r="Z110" s="131">
        <f t="shared" si="38"/>
        <v>23293106.41</v>
      </c>
      <c r="AA110" s="131">
        <f t="shared" si="38"/>
        <v>23293106.41</v>
      </c>
      <c r="AB110" s="131">
        <f t="shared" si="38"/>
        <v>3.5730408853851259E-8</v>
      </c>
      <c r="AC110" s="131">
        <f t="shared" si="38"/>
        <v>22593106.41</v>
      </c>
      <c r="AD110" s="131">
        <f t="shared" si="38"/>
        <v>700000</v>
      </c>
      <c r="AE110" s="131">
        <f t="shared" si="38"/>
        <v>1593194.06</v>
      </c>
      <c r="AF110" s="131">
        <f t="shared" si="38"/>
        <v>921351031.63</v>
      </c>
      <c r="AG110" s="131">
        <f t="shared" si="38"/>
        <v>2844478.03</v>
      </c>
      <c r="AH110" s="131">
        <f t="shared" si="38"/>
        <v>907025272.00999999</v>
      </c>
      <c r="AI110" s="131">
        <f t="shared" si="38"/>
        <v>27571633.73</v>
      </c>
      <c r="AJ110" s="131">
        <f t="shared" si="38"/>
        <v>5337762.4499999993</v>
      </c>
      <c r="AK110" s="131">
        <f t="shared" si="38"/>
        <v>0</v>
      </c>
      <c r="AL110" s="131">
        <f t="shared" si="38"/>
        <v>32909396.120000001</v>
      </c>
      <c r="AM110" s="131">
        <f t="shared" si="38"/>
        <v>32909396.060000002</v>
      </c>
    </row>
    <row r="111" spans="1:39" ht="47.25" hidden="1" customHeight="1" thickBot="1">
      <c r="A111" s="39"/>
      <c r="B111" s="128" t="s">
        <v>129</v>
      </c>
      <c r="C111" s="84">
        <v>594500</v>
      </c>
      <c r="D111" s="84">
        <v>0</v>
      </c>
      <c r="E111" s="84">
        <v>594500</v>
      </c>
      <c r="F111" s="84">
        <v>594500</v>
      </c>
      <c r="G111" s="84"/>
      <c r="H111" s="84"/>
      <c r="I111" s="84">
        <v>0</v>
      </c>
      <c r="J111" s="84"/>
      <c r="K111" s="84"/>
      <c r="L111" s="84"/>
      <c r="M111" s="85">
        <v>594500</v>
      </c>
      <c r="N111" s="97"/>
      <c r="O111" s="97"/>
      <c r="P111" s="97"/>
      <c r="Q111" s="97"/>
      <c r="R111" s="97"/>
      <c r="S111" s="97"/>
      <c r="T111" s="97"/>
      <c r="U111" s="97"/>
      <c r="V111" s="84">
        <f>I111+J111+M111+N111-U111</f>
        <v>594500</v>
      </c>
      <c r="W111" s="97"/>
      <c r="X111" s="84">
        <f>V111</f>
        <v>594500</v>
      </c>
      <c r="Y111" s="84">
        <v>594500</v>
      </c>
      <c r="Z111" s="97"/>
      <c r="AA111" s="97"/>
      <c r="AB111" s="84">
        <f>X111-Y111</f>
        <v>0</v>
      </c>
      <c r="AC111" s="97"/>
      <c r="AD111" s="97"/>
      <c r="AE111" s="97"/>
      <c r="AF111" s="97"/>
      <c r="AG111" s="97"/>
      <c r="AH111" s="97"/>
      <c r="AI111" s="84">
        <f>AB111+AC111+AF111+AG111-AH111-AE111</f>
        <v>0</v>
      </c>
      <c r="AJ111" s="84">
        <f>AC111+AD111+AG111+AH111-AI111-AF111</f>
        <v>0</v>
      </c>
      <c r="AK111" s="84"/>
      <c r="AL111" s="80">
        <f>AI111+AJ111</f>
        <v>0</v>
      </c>
      <c r="AM111" s="80"/>
    </row>
    <row r="112" spans="1:39" ht="16.5" hidden="1" customHeight="1" thickBot="1">
      <c r="A112" s="39"/>
      <c r="B112" s="119" t="s">
        <v>130</v>
      </c>
      <c r="C112" s="131">
        <f t="shared" ref="C112:AM112" si="39">SUM(C111:C111)</f>
        <v>594500</v>
      </c>
      <c r="D112" s="131">
        <f t="shared" si="39"/>
        <v>0</v>
      </c>
      <c r="E112" s="131">
        <f t="shared" si="39"/>
        <v>594500</v>
      </c>
      <c r="F112" s="131">
        <f t="shared" si="39"/>
        <v>594500</v>
      </c>
      <c r="G112" s="131">
        <f t="shared" si="39"/>
        <v>0</v>
      </c>
      <c r="H112" s="131">
        <f t="shared" si="39"/>
        <v>0</v>
      </c>
      <c r="I112" s="131">
        <f t="shared" si="39"/>
        <v>0</v>
      </c>
      <c r="J112" s="131">
        <f t="shared" si="39"/>
        <v>0</v>
      </c>
      <c r="K112" s="131">
        <f t="shared" si="39"/>
        <v>0</v>
      </c>
      <c r="L112" s="131">
        <f t="shared" si="39"/>
        <v>0</v>
      </c>
      <c r="M112" s="131">
        <f t="shared" si="39"/>
        <v>594500</v>
      </c>
      <c r="N112" s="131">
        <f t="shared" si="39"/>
        <v>0</v>
      </c>
      <c r="O112" s="131">
        <f t="shared" si="39"/>
        <v>0</v>
      </c>
      <c r="P112" s="131">
        <f t="shared" si="39"/>
        <v>0</v>
      </c>
      <c r="Q112" s="131">
        <f t="shared" si="39"/>
        <v>0</v>
      </c>
      <c r="R112" s="131">
        <f t="shared" si="39"/>
        <v>0</v>
      </c>
      <c r="S112" s="131">
        <f t="shared" si="39"/>
        <v>0</v>
      </c>
      <c r="T112" s="131">
        <f t="shared" si="39"/>
        <v>0</v>
      </c>
      <c r="U112" s="131">
        <f t="shared" si="39"/>
        <v>0</v>
      </c>
      <c r="V112" s="131">
        <f t="shared" si="39"/>
        <v>594500</v>
      </c>
      <c r="W112" s="131">
        <f t="shared" si="39"/>
        <v>0</v>
      </c>
      <c r="X112" s="131">
        <f t="shared" si="39"/>
        <v>594500</v>
      </c>
      <c r="Y112" s="131">
        <f t="shared" si="39"/>
        <v>594500</v>
      </c>
      <c r="Z112" s="131">
        <f t="shared" si="39"/>
        <v>0</v>
      </c>
      <c r="AA112" s="131">
        <f t="shared" si="39"/>
        <v>0</v>
      </c>
      <c r="AB112" s="131">
        <f t="shared" si="39"/>
        <v>0</v>
      </c>
      <c r="AC112" s="131">
        <f t="shared" si="39"/>
        <v>0</v>
      </c>
      <c r="AD112" s="131">
        <f t="shared" si="39"/>
        <v>0</v>
      </c>
      <c r="AE112" s="131">
        <f t="shared" si="39"/>
        <v>0</v>
      </c>
      <c r="AF112" s="131">
        <f t="shared" si="39"/>
        <v>0</v>
      </c>
      <c r="AG112" s="131">
        <f t="shared" si="39"/>
        <v>0</v>
      </c>
      <c r="AH112" s="131">
        <f t="shared" si="39"/>
        <v>0</v>
      </c>
      <c r="AI112" s="131">
        <f t="shared" si="39"/>
        <v>0</v>
      </c>
      <c r="AJ112" s="131">
        <f t="shared" si="39"/>
        <v>0</v>
      </c>
      <c r="AK112" s="131">
        <f t="shared" ref="AK112" si="40">SUM(AK111:AK111)</f>
        <v>0</v>
      </c>
      <c r="AL112" s="131">
        <f t="shared" si="39"/>
        <v>0</v>
      </c>
      <c r="AM112" s="131">
        <f t="shared" si="39"/>
        <v>0</v>
      </c>
    </row>
    <row r="113" spans="1:39" ht="39.75" hidden="1" customHeight="1" thickBot="1">
      <c r="A113" s="39"/>
      <c r="B113" s="79" t="s">
        <v>131</v>
      </c>
      <c r="C113" s="119"/>
      <c r="D113" s="132">
        <v>6500000</v>
      </c>
      <c r="E113" s="131"/>
      <c r="F113" s="131"/>
      <c r="G113" s="131"/>
      <c r="H113" s="131"/>
      <c r="I113" s="84">
        <f>C113-F113</f>
        <v>0</v>
      </c>
      <c r="J113" s="131"/>
      <c r="K113" s="131"/>
      <c r="L113" s="131"/>
      <c r="M113" s="85">
        <f>15000000+18470000</f>
        <v>33470000</v>
      </c>
      <c r="N113" s="85">
        <v>109574</v>
      </c>
      <c r="O113" s="97"/>
      <c r="P113" s="97"/>
      <c r="Q113" s="97"/>
      <c r="R113" s="97"/>
      <c r="S113" s="97"/>
      <c r="T113" s="97"/>
      <c r="U113" s="84">
        <v>33470000</v>
      </c>
      <c r="V113" s="84">
        <f t="shared" ref="V113:V153" si="41">I113+J113+M113+N113-U113</f>
        <v>109574</v>
      </c>
      <c r="W113" s="84">
        <v>163770</v>
      </c>
      <c r="X113" s="84">
        <f t="shared" ref="X113:X135" si="42">V113+W113</f>
        <v>273344</v>
      </c>
      <c r="Y113" s="84">
        <v>273344</v>
      </c>
      <c r="Z113" s="97"/>
      <c r="AA113" s="97"/>
      <c r="AB113" s="84">
        <f t="shared" ref="AB113:AB153" si="43">X113-Y113</f>
        <v>0</v>
      </c>
      <c r="AC113" s="97"/>
      <c r="AD113" s="84">
        <f t="shared" ref="AD113:AD206" si="44">AA113-AC113</f>
        <v>0</v>
      </c>
      <c r="AE113" s="97"/>
      <c r="AF113" s="84"/>
      <c r="AG113" s="97"/>
      <c r="AH113" s="97"/>
      <c r="AI113" s="84">
        <f t="shared" ref="AI113:AK153" si="45">V113+W113-Y113+AC113-AE113+AF113+AG113-AH113</f>
        <v>0</v>
      </c>
      <c r="AJ113" s="84"/>
      <c r="AK113" s="84"/>
      <c r="AL113" s="80">
        <f t="shared" ref="AL113:AL153" si="46">AI113+AJ113</f>
        <v>0</v>
      </c>
      <c r="AM113" s="80"/>
    </row>
    <row r="114" spans="1:39" ht="48.6" hidden="1" customHeight="1" thickBot="1">
      <c r="A114" s="39"/>
      <c r="B114" s="79" t="s">
        <v>132</v>
      </c>
      <c r="C114" s="119"/>
      <c r="D114" s="132"/>
      <c r="E114" s="131"/>
      <c r="F114" s="131"/>
      <c r="G114" s="131"/>
      <c r="H114" s="131"/>
      <c r="I114" s="84"/>
      <c r="J114" s="131"/>
      <c r="K114" s="131"/>
      <c r="L114" s="131"/>
      <c r="M114" s="85">
        <f>19500000+20300000</f>
        <v>39800000</v>
      </c>
      <c r="N114" s="85"/>
      <c r="O114" s="97"/>
      <c r="P114" s="97"/>
      <c r="Q114" s="97"/>
      <c r="R114" s="97"/>
      <c r="S114" s="97"/>
      <c r="T114" s="97"/>
      <c r="U114" s="84">
        <f>16500000+23300000</f>
        <v>39800000</v>
      </c>
      <c r="V114" s="84">
        <f t="shared" si="41"/>
        <v>0</v>
      </c>
      <c r="W114" s="84"/>
      <c r="X114" s="84">
        <f t="shared" si="42"/>
        <v>0</v>
      </c>
      <c r="Y114" s="97"/>
      <c r="Z114" s="97"/>
      <c r="AA114" s="97"/>
      <c r="AB114" s="84">
        <f t="shared" si="43"/>
        <v>0</v>
      </c>
      <c r="AC114" s="97"/>
      <c r="AD114" s="84">
        <f t="shared" si="44"/>
        <v>0</v>
      </c>
      <c r="AE114" s="97"/>
      <c r="AF114" s="84"/>
      <c r="AG114" s="97"/>
      <c r="AH114" s="97"/>
      <c r="AI114" s="84">
        <f t="shared" si="45"/>
        <v>0</v>
      </c>
      <c r="AJ114" s="84"/>
      <c r="AK114" s="84"/>
      <c r="AL114" s="80">
        <f t="shared" si="46"/>
        <v>0</v>
      </c>
      <c r="AM114" s="90"/>
    </row>
    <row r="115" spans="1:39" ht="48.6" hidden="1" customHeight="1" thickBot="1">
      <c r="A115" s="39"/>
      <c r="B115" s="79" t="s">
        <v>133</v>
      </c>
      <c r="C115" s="119"/>
      <c r="D115" s="132"/>
      <c r="E115" s="131"/>
      <c r="F115" s="131"/>
      <c r="G115" s="131"/>
      <c r="H115" s="131"/>
      <c r="I115" s="84"/>
      <c r="J115" s="131"/>
      <c r="K115" s="131"/>
      <c r="L115" s="131"/>
      <c r="M115" s="85">
        <f>800000+800000</f>
        <v>1600000</v>
      </c>
      <c r="N115" s="85"/>
      <c r="O115" s="97"/>
      <c r="P115" s="97"/>
      <c r="Q115" s="97"/>
      <c r="R115" s="97"/>
      <c r="S115" s="97"/>
      <c r="T115" s="97"/>
      <c r="U115" s="84">
        <v>1600000</v>
      </c>
      <c r="V115" s="84">
        <f t="shared" si="41"/>
        <v>0</v>
      </c>
      <c r="W115" s="84"/>
      <c r="X115" s="84">
        <f t="shared" si="42"/>
        <v>0</v>
      </c>
      <c r="Y115" s="97"/>
      <c r="Z115" s="97"/>
      <c r="AA115" s="97"/>
      <c r="AB115" s="84">
        <f t="shared" si="43"/>
        <v>0</v>
      </c>
      <c r="AC115" s="97"/>
      <c r="AD115" s="84">
        <f t="shared" si="44"/>
        <v>0</v>
      </c>
      <c r="AE115" s="97"/>
      <c r="AF115" s="84"/>
      <c r="AG115" s="97"/>
      <c r="AH115" s="84"/>
      <c r="AI115" s="84">
        <f t="shared" si="45"/>
        <v>0</v>
      </c>
      <c r="AJ115" s="84"/>
      <c r="AK115" s="84"/>
      <c r="AL115" s="80">
        <f t="shared" si="46"/>
        <v>0</v>
      </c>
      <c r="AM115" s="90"/>
    </row>
    <row r="116" spans="1:39" ht="48.6" hidden="1" customHeight="1" thickBot="1">
      <c r="A116" s="39"/>
      <c r="B116" s="79" t="s">
        <v>134</v>
      </c>
      <c r="C116" s="119"/>
      <c r="D116" s="132"/>
      <c r="E116" s="131"/>
      <c r="F116" s="131"/>
      <c r="G116" s="131"/>
      <c r="H116" s="131"/>
      <c r="I116" s="84"/>
      <c r="J116" s="131"/>
      <c r="K116" s="131"/>
      <c r="L116" s="131"/>
      <c r="M116" s="85">
        <f>12500000+12900000</f>
        <v>25400000</v>
      </c>
      <c r="N116" s="85"/>
      <c r="O116" s="97"/>
      <c r="P116" s="97"/>
      <c r="Q116" s="97"/>
      <c r="R116" s="97"/>
      <c r="S116" s="97"/>
      <c r="T116" s="97"/>
      <c r="U116" s="84">
        <v>25400000</v>
      </c>
      <c r="V116" s="84">
        <f t="shared" si="41"/>
        <v>0</v>
      </c>
      <c r="W116" s="84">
        <v>14856509.609999999</v>
      </c>
      <c r="X116" s="84">
        <f t="shared" si="42"/>
        <v>14856509.609999999</v>
      </c>
      <c r="Y116" s="84">
        <v>14856509.609999999</v>
      </c>
      <c r="Z116" s="84">
        <v>14856509.609999999</v>
      </c>
      <c r="AA116" s="84">
        <v>14856509.609999999</v>
      </c>
      <c r="AB116" s="84">
        <f t="shared" si="43"/>
        <v>0</v>
      </c>
      <c r="AC116" s="84">
        <v>14856509.609999999</v>
      </c>
      <c r="AD116" s="84">
        <f t="shared" si="44"/>
        <v>0</v>
      </c>
      <c r="AE116" s="84">
        <v>14856509.609999999</v>
      </c>
      <c r="AF116" s="84"/>
      <c r="AG116" s="97"/>
      <c r="AH116" s="84"/>
      <c r="AI116" s="84">
        <f t="shared" si="45"/>
        <v>0</v>
      </c>
      <c r="AJ116" s="84"/>
      <c r="AK116" s="84"/>
      <c r="AL116" s="80">
        <f t="shared" si="46"/>
        <v>0</v>
      </c>
      <c r="AM116" s="80"/>
    </row>
    <row r="117" spans="1:39" ht="48.6" hidden="1" customHeight="1" thickBot="1">
      <c r="A117" s="39"/>
      <c r="B117" s="79" t="s">
        <v>135</v>
      </c>
      <c r="C117" s="119"/>
      <c r="D117" s="132"/>
      <c r="E117" s="131"/>
      <c r="F117" s="131"/>
      <c r="G117" s="131"/>
      <c r="H117" s="131"/>
      <c r="I117" s="84"/>
      <c r="J117" s="131"/>
      <c r="K117" s="131"/>
      <c r="L117" s="131"/>
      <c r="M117" s="85">
        <f>20000000+5925400-274645+45</f>
        <v>25650800</v>
      </c>
      <c r="N117" s="97"/>
      <c r="O117" s="97"/>
      <c r="P117" s="97"/>
      <c r="Q117" s="97"/>
      <c r="R117" s="97"/>
      <c r="S117" s="97"/>
      <c r="T117" s="97"/>
      <c r="U117" s="84">
        <v>25650800</v>
      </c>
      <c r="V117" s="84">
        <f t="shared" si="41"/>
        <v>0</v>
      </c>
      <c r="W117" s="84"/>
      <c r="X117" s="84">
        <f t="shared" si="42"/>
        <v>0</v>
      </c>
      <c r="Y117" s="97"/>
      <c r="Z117" s="97"/>
      <c r="AA117" s="97"/>
      <c r="AB117" s="84">
        <f t="shared" si="43"/>
        <v>0</v>
      </c>
      <c r="AC117" s="97"/>
      <c r="AD117" s="84">
        <f t="shared" si="44"/>
        <v>0</v>
      </c>
      <c r="AE117" s="97"/>
      <c r="AF117" s="84">
        <v>38124200</v>
      </c>
      <c r="AG117" s="97"/>
      <c r="AH117" s="84">
        <v>38124200</v>
      </c>
      <c r="AI117" s="84">
        <f t="shared" si="45"/>
        <v>0</v>
      </c>
      <c r="AJ117" s="84"/>
      <c r="AK117" s="84"/>
      <c r="AL117" s="80">
        <f t="shared" si="46"/>
        <v>0</v>
      </c>
      <c r="AM117" s="90"/>
    </row>
    <row r="118" spans="1:39" ht="58.5" hidden="1" customHeight="1" thickBot="1">
      <c r="A118" s="39"/>
      <c r="B118" s="79" t="s">
        <v>136</v>
      </c>
      <c r="C118" s="119"/>
      <c r="D118" s="132"/>
      <c r="E118" s="131"/>
      <c r="F118" s="131"/>
      <c r="G118" s="131"/>
      <c r="H118" s="131"/>
      <c r="I118" s="84"/>
      <c r="J118" s="131"/>
      <c r="K118" s="131"/>
      <c r="L118" s="131"/>
      <c r="M118" s="85">
        <f>925000+162800+1019000</f>
        <v>2106800</v>
      </c>
      <c r="N118" s="97"/>
      <c r="O118" s="97"/>
      <c r="P118" s="97"/>
      <c r="Q118" s="97"/>
      <c r="R118" s="97"/>
      <c r="S118" s="97"/>
      <c r="T118" s="97"/>
      <c r="U118" s="84">
        <v>1348673</v>
      </c>
      <c r="V118" s="84">
        <f t="shared" si="41"/>
        <v>758127</v>
      </c>
      <c r="W118" s="84"/>
      <c r="X118" s="84">
        <f t="shared" si="42"/>
        <v>758127</v>
      </c>
      <c r="Y118" s="84">
        <v>758127</v>
      </c>
      <c r="Z118" s="97"/>
      <c r="AA118" s="97"/>
      <c r="AB118" s="84">
        <f t="shared" si="43"/>
        <v>0</v>
      </c>
      <c r="AC118" s="97"/>
      <c r="AD118" s="84">
        <f t="shared" si="44"/>
        <v>0</v>
      </c>
      <c r="AE118" s="97"/>
      <c r="AF118" s="84">
        <v>2257500</v>
      </c>
      <c r="AG118" s="97"/>
      <c r="AH118" s="84">
        <v>1716600</v>
      </c>
      <c r="AI118" s="84"/>
      <c r="AJ118" s="84"/>
      <c r="AK118" s="84"/>
      <c r="AL118" s="80">
        <f t="shared" si="46"/>
        <v>0</v>
      </c>
      <c r="AM118" s="80"/>
    </row>
    <row r="119" spans="1:39" ht="66.75" hidden="1" customHeight="1" thickBot="1">
      <c r="A119" s="39"/>
      <c r="B119" s="99" t="s">
        <v>137</v>
      </c>
      <c r="C119" s="119"/>
      <c r="D119" s="132"/>
      <c r="E119" s="131"/>
      <c r="F119" s="131"/>
      <c r="G119" s="131"/>
      <c r="H119" s="131"/>
      <c r="I119" s="84"/>
      <c r="J119" s="131"/>
      <c r="K119" s="131"/>
      <c r="L119" s="131"/>
      <c r="M119" s="85">
        <f>22577400+3426500+20016400+6414200</f>
        <v>52434500</v>
      </c>
      <c r="N119" s="97"/>
      <c r="O119" s="97"/>
      <c r="P119" s="97"/>
      <c r="Q119" s="97"/>
      <c r="R119" s="97"/>
      <c r="S119" s="97"/>
      <c r="T119" s="97"/>
      <c r="U119" s="84">
        <v>52434500</v>
      </c>
      <c r="V119" s="84">
        <f t="shared" si="41"/>
        <v>0</v>
      </c>
      <c r="W119" s="84"/>
      <c r="X119" s="84">
        <f t="shared" si="42"/>
        <v>0</v>
      </c>
      <c r="Y119" s="97"/>
      <c r="Z119" s="97"/>
      <c r="AA119" s="97"/>
      <c r="AB119" s="84">
        <f t="shared" si="43"/>
        <v>0</v>
      </c>
      <c r="AC119" s="97"/>
      <c r="AD119" s="84">
        <f t="shared" si="44"/>
        <v>0</v>
      </c>
      <c r="AE119" s="97"/>
      <c r="AF119" s="84">
        <v>70455909</v>
      </c>
      <c r="AG119" s="97"/>
      <c r="AH119" s="84">
        <v>70455909</v>
      </c>
      <c r="AI119" s="84">
        <f t="shared" si="45"/>
        <v>0</v>
      </c>
      <c r="AJ119" s="84"/>
      <c r="AK119" s="84"/>
      <c r="AL119" s="80">
        <f t="shared" si="46"/>
        <v>0</v>
      </c>
      <c r="AM119" s="90"/>
    </row>
    <row r="120" spans="1:39" ht="112.5" hidden="1" customHeight="1" thickBot="1">
      <c r="A120" s="39"/>
      <c r="B120" s="99" t="s">
        <v>255</v>
      </c>
      <c r="C120" s="119"/>
      <c r="D120" s="132"/>
      <c r="E120" s="131"/>
      <c r="F120" s="131"/>
      <c r="G120" s="131"/>
      <c r="H120" s="131"/>
      <c r="I120" s="84"/>
      <c r="J120" s="131"/>
      <c r="K120" s="131"/>
      <c r="L120" s="131"/>
      <c r="M120" s="85"/>
      <c r="N120" s="97"/>
      <c r="O120" s="97"/>
      <c r="P120" s="97"/>
      <c r="Q120" s="97"/>
      <c r="R120" s="97"/>
      <c r="S120" s="97"/>
      <c r="T120" s="97"/>
      <c r="U120" s="84"/>
      <c r="V120" s="84"/>
      <c r="W120" s="84"/>
      <c r="X120" s="84"/>
      <c r="Y120" s="97"/>
      <c r="Z120" s="97"/>
      <c r="AA120" s="97"/>
      <c r="AB120" s="84"/>
      <c r="AC120" s="97"/>
      <c r="AD120" s="84"/>
      <c r="AE120" s="97"/>
      <c r="AF120" s="84"/>
      <c r="AG120" s="97"/>
      <c r="AH120" s="84"/>
      <c r="AI120" s="84">
        <v>0</v>
      </c>
      <c r="AJ120" s="84"/>
      <c r="AK120" s="84"/>
      <c r="AL120" s="80">
        <v>0</v>
      </c>
      <c r="AM120" s="90"/>
    </row>
    <row r="121" spans="1:39" ht="70.5" hidden="1" customHeight="1" thickBot="1">
      <c r="A121" s="39"/>
      <c r="B121" s="99" t="s">
        <v>138</v>
      </c>
      <c r="C121" s="119"/>
      <c r="D121" s="132"/>
      <c r="E121" s="131"/>
      <c r="F121" s="131"/>
      <c r="G121" s="131"/>
      <c r="H121" s="131"/>
      <c r="I121" s="84"/>
      <c r="J121" s="131"/>
      <c r="K121" s="131"/>
      <c r="L121" s="131"/>
      <c r="M121" s="85"/>
      <c r="N121" s="97"/>
      <c r="O121" s="97"/>
      <c r="P121" s="97"/>
      <c r="Q121" s="97"/>
      <c r="R121" s="97"/>
      <c r="S121" s="97"/>
      <c r="T121" s="97"/>
      <c r="U121" s="84"/>
      <c r="V121" s="84"/>
      <c r="W121" s="84"/>
      <c r="X121" s="84"/>
      <c r="Y121" s="97"/>
      <c r="Z121" s="97"/>
      <c r="AA121" s="97"/>
      <c r="AB121" s="84"/>
      <c r="AC121" s="97"/>
      <c r="AD121" s="84"/>
      <c r="AE121" s="97"/>
      <c r="AF121" s="84">
        <v>16222000</v>
      </c>
      <c r="AG121" s="97"/>
      <c r="AH121" s="84">
        <v>16222000</v>
      </c>
      <c r="AI121" s="84">
        <f t="shared" si="45"/>
        <v>0</v>
      </c>
      <c r="AJ121" s="84"/>
      <c r="AK121" s="84"/>
      <c r="AL121" s="80">
        <f t="shared" si="46"/>
        <v>0</v>
      </c>
      <c r="AM121" s="80"/>
    </row>
    <row r="122" spans="1:39" ht="70.5" hidden="1" customHeight="1" thickBot="1">
      <c r="A122" s="39"/>
      <c r="B122" s="99" t="s">
        <v>246</v>
      </c>
      <c r="C122" s="119"/>
      <c r="D122" s="132"/>
      <c r="E122" s="131"/>
      <c r="F122" s="131"/>
      <c r="G122" s="131"/>
      <c r="H122" s="131"/>
      <c r="I122" s="84"/>
      <c r="J122" s="131"/>
      <c r="K122" s="131"/>
      <c r="L122" s="131"/>
      <c r="M122" s="85"/>
      <c r="N122" s="97"/>
      <c r="O122" s="97"/>
      <c r="P122" s="97"/>
      <c r="Q122" s="97"/>
      <c r="R122" s="97"/>
      <c r="S122" s="97"/>
      <c r="T122" s="97"/>
      <c r="U122" s="84"/>
      <c r="V122" s="84"/>
      <c r="W122" s="84"/>
      <c r="X122" s="84"/>
      <c r="Y122" s="97"/>
      <c r="Z122" s="97"/>
      <c r="AA122" s="97"/>
      <c r="AB122" s="84"/>
      <c r="AC122" s="97"/>
      <c r="AD122" s="84"/>
      <c r="AE122" s="97"/>
      <c r="AF122" s="84"/>
      <c r="AG122" s="97"/>
      <c r="AH122" s="84"/>
      <c r="AI122" s="84">
        <v>0</v>
      </c>
      <c r="AJ122" s="84"/>
      <c r="AK122" s="84"/>
      <c r="AL122" s="80"/>
      <c r="AM122" s="90"/>
    </row>
    <row r="123" spans="1:39" ht="48.6" hidden="1" customHeight="1" thickBot="1">
      <c r="A123" s="39"/>
      <c r="B123" s="79" t="s">
        <v>139</v>
      </c>
      <c r="C123" s="119"/>
      <c r="D123" s="132"/>
      <c r="E123" s="131"/>
      <c r="F123" s="131"/>
      <c r="G123" s="131"/>
      <c r="H123" s="131"/>
      <c r="I123" s="84"/>
      <c r="J123" s="131"/>
      <c r="K123" s="131"/>
      <c r="L123" s="131"/>
      <c r="M123" s="85">
        <f>14776300+4080700+5641500</f>
        <v>24498500</v>
      </c>
      <c r="N123" s="97"/>
      <c r="O123" s="97"/>
      <c r="P123" s="97"/>
      <c r="Q123" s="97"/>
      <c r="R123" s="97"/>
      <c r="S123" s="97"/>
      <c r="T123" s="97"/>
      <c r="U123" s="84">
        <v>24498500</v>
      </c>
      <c r="V123" s="84">
        <v>0</v>
      </c>
      <c r="W123" s="84"/>
      <c r="X123" s="84">
        <f t="shared" si="42"/>
        <v>0</v>
      </c>
      <c r="Y123" s="84">
        <v>2037</v>
      </c>
      <c r="Z123" s="97"/>
      <c r="AA123" s="97"/>
      <c r="AB123" s="84">
        <f t="shared" si="43"/>
        <v>-2037</v>
      </c>
      <c r="AC123" s="97"/>
      <c r="AD123" s="84">
        <f t="shared" si="44"/>
        <v>0</v>
      </c>
      <c r="AE123" s="97"/>
      <c r="AF123" s="84">
        <v>19263500</v>
      </c>
      <c r="AG123" s="84">
        <v>2037</v>
      </c>
      <c r="AH123" s="84">
        <v>19263500</v>
      </c>
      <c r="AI123" s="84">
        <f t="shared" si="45"/>
        <v>0</v>
      </c>
      <c r="AJ123" s="84"/>
      <c r="AK123" s="84"/>
      <c r="AL123" s="80">
        <f t="shared" si="46"/>
        <v>0</v>
      </c>
      <c r="AM123" s="80"/>
    </row>
    <row r="124" spans="1:39" ht="29.25" hidden="1" customHeight="1" thickBot="1">
      <c r="A124" s="39"/>
      <c r="B124" s="79" t="s">
        <v>140</v>
      </c>
      <c r="C124" s="119"/>
      <c r="D124" s="132"/>
      <c r="E124" s="131"/>
      <c r="F124" s="131"/>
      <c r="G124" s="131"/>
      <c r="H124" s="131"/>
      <c r="I124" s="84"/>
      <c r="J124" s="131"/>
      <c r="K124" s="131"/>
      <c r="L124" s="131"/>
      <c r="M124" s="85">
        <f>65636000+33000000+47379000</f>
        <v>146015000</v>
      </c>
      <c r="N124" s="97"/>
      <c r="O124" s="97"/>
      <c r="P124" s="97"/>
      <c r="Q124" s="97"/>
      <c r="R124" s="97"/>
      <c r="S124" s="97"/>
      <c r="T124" s="97"/>
      <c r="U124" s="84">
        <v>146015000</v>
      </c>
      <c r="V124" s="84">
        <f t="shared" si="41"/>
        <v>0</v>
      </c>
      <c r="W124" s="84"/>
      <c r="X124" s="84">
        <f t="shared" si="42"/>
        <v>0</v>
      </c>
      <c r="Y124" s="97"/>
      <c r="Z124" s="97"/>
      <c r="AA124" s="97"/>
      <c r="AB124" s="84">
        <f t="shared" si="43"/>
        <v>0</v>
      </c>
      <c r="AC124" s="97"/>
      <c r="AD124" s="84">
        <f t="shared" si="44"/>
        <v>0</v>
      </c>
      <c r="AE124" s="97"/>
      <c r="AF124" s="84">
        <v>86871500</v>
      </c>
      <c r="AG124" s="97"/>
      <c r="AH124" s="84">
        <v>86871500</v>
      </c>
      <c r="AI124" s="84">
        <f t="shared" si="45"/>
        <v>0</v>
      </c>
      <c r="AJ124" s="84"/>
      <c r="AK124" s="84"/>
      <c r="AL124" s="80">
        <f t="shared" si="46"/>
        <v>0</v>
      </c>
      <c r="AM124" s="80"/>
    </row>
    <row r="125" spans="1:39" ht="48.6" hidden="1" customHeight="1" thickBot="1">
      <c r="A125" s="39"/>
      <c r="B125" s="79" t="s">
        <v>141</v>
      </c>
      <c r="C125" s="119"/>
      <c r="D125" s="132"/>
      <c r="E125" s="131"/>
      <c r="F125" s="131"/>
      <c r="G125" s="131"/>
      <c r="H125" s="131"/>
      <c r="I125" s="84"/>
      <c r="J125" s="131"/>
      <c r="K125" s="131"/>
      <c r="L125" s="131"/>
      <c r="M125" s="85">
        <f>21029200+17643000</f>
        <v>38672200</v>
      </c>
      <c r="N125" s="97"/>
      <c r="O125" s="97"/>
      <c r="P125" s="97"/>
      <c r="Q125" s="97"/>
      <c r="R125" s="97"/>
      <c r="S125" s="97"/>
      <c r="T125" s="97"/>
      <c r="U125" s="84">
        <v>38672200</v>
      </c>
      <c r="V125" s="84">
        <f t="shared" si="41"/>
        <v>0</v>
      </c>
      <c r="W125" s="84"/>
      <c r="X125" s="84">
        <f t="shared" si="42"/>
        <v>0</v>
      </c>
      <c r="Y125" s="97"/>
      <c r="Z125" s="97"/>
      <c r="AA125" s="97"/>
      <c r="AB125" s="84">
        <f t="shared" si="43"/>
        <v>0</v>
      </c>
      <c r="AC125" s="97"/>
      <c r="AD125" s="84">
        <f t="shared" si="44"/>
        <v>0</v>
      </c>
      <c r="AE125" s="97"/>
      <c r="AF125" s="84">
        <v>280000</v>
      </c>
      <c r="AG125" s="97"/>
      <c r="AH125" s="84">
        <v>280000</v>
      </c>
      <c r="AI125" s="84">
        <f t="shared" si="45"/>
        <v>0</v>
      </c>
      <c r="AJ125" s="84"/>
      <c r="AK125" s="84"/>
      <c r="AL125" s="80">
        <f t="shared" si="46"/>
        <v>0</v>
      </c>
      <c r="AM125" s="90"/>
    </row>
    <row r="126" spans="1:39" ht="36.75" hidden="1" customHeight="1" thickBot="1">
      <c r="A126" s="39"/>
      <c r="B126" s="79" t="s">
        <v>252</v>
      </c>
      <c r="C126" s="119"/>
      <c r="D126" s="132"/>
      <c r="E126" s="131"/>
      <c r="F126" s="131"/>
      <c r="G126" s="131"/>
      <c r="H126" s="131"/>
      <c r="I126" s="84"/>
      <c r="J126" s="131"/>
      <c r="K126" s="131"/>
      <c r="L126" s="131"/>
      <c r="M126" s="85"/>
      <c r="N126" s="97"/>
      <c r="O126" s="97"/>
      <c r="P126" s="97"/>
      <c r="Q126" s="97"/>
      <c r="R126" s="97"/>
      <c r="S126" s="97"/>
      <c r="T126" s="97"/>
      <c r="U126" s="84"/>
      <c r="V126" s="84"/>
      <c r="W126" s="84"/>
      <c r="X126" s="84"/>
      <c r="Y126" s="97"/>
      <c r="Z126" s="97"/>
      <c r="AA126" s="97"/>
      <c r="AB126" s="84"/>
      <c r="AC126" s="97"/>
      <c r="AD126" s="84"/>
      <c r="AE126" s="97"/>
      <c r="AF126" s="84"/>
      <c r="AG126" s="97"/>
      <c r="AH126" s="84"/>
      <c r="AI126" s="84"/>
      <c r="AJ126" s="84"/>
      <c r="AK126" s="84"/>
      <c r="AL126" s="80"/>
      <c r="AM126" s="90"/>
    </row>
    <row r="127" spans="1:39" ht="57" hidden="1" customHeight="1" thickBot="1">
      <c r="A127" s="39"/>
      <c r="B127" s="79" t="s">
        <v>142</v>
      </c>
      <c r="C127" s="119"/>
      <c r="D127" s="132"/>
      <c r="E127" s="131"/>
      <c r="F127" s="131"/>
      <c r="G127" s="131"/>
      <c r="H127" s="131"/>
      <c r="I127" s="84"/>
      <c r="J127" s="131"/>
      <c r="K127" s="131"/>
      <c r="L127" s="131"/>
      <c r="M127" s="85">
        <f>4983700+2571800+373300</f>
        <v>7928800</v>
      </c>
      <c r="N127" s="97"/>
      <c r="O127" s="97"/>
      <c r="P127" s="97"/>
      <c r="Q127" s="97"/>
      <c r="R127" s="97"/>
      <c r="S127" s="97"/>
      <c r="T127" s="97"/>
      <c r="U127" s="84">
        <v>7928800</v>
      </c>
      <c r="V127" s="84">
        <f t="shared" si="41"/>
        <v>0</v>
      </c>
      <c r="W127" s="84"/>
      <c r="X127" s="84">
        <f t="shared" si="42"/>
        <v>0</v>
      </c>
      <c r="Y127" s="97"/>
      <c r="Z127" s="97"/>
      <c r="AA127" s="97"/>
      <c r="AB127" s="84">
        <f t="shared" si="43"/>
        <v>0</v>
      </c>
      <c r="AC127" s="97"/>
      <c r="AD127" s="84">
        <f t="shared" si="44"/>
        <v>0</v>
      </c>
      <c r="AE127" s="97"/>
      <c r="AF127" s="84">
        <v>66482946</v>
      </c>
      <c r="AG127" s="97"/>
      <c r="AH127" s="84">
        <v>66482946</v>
      </c>
      <c r="AI127" s="84">
        <f t="shared" si="45"/>
        <v>0</v>
      </c>
      <c r="AJ127" s="84"/>
      <c r="AK127" s="84"/>
      <c r="AL127" s="80">
        <f t="shared" si="46"/>
        <v>0</v>
      </c>
      <c r="AM127" s="90"/>
    </row>
    <row r="128" spans="1:39" ht="70.150000000000006" hidden="1" customHeight="1" thickBot="1">
      <c r="A128" s="39"/>
      <c r="B128" s="99" t="s">
        <v>143</v>
      </c>
      <c r="C128" s="119"/>
      <c r="D128" s="132"/>
      <c r="E128" s="131"/>
      <c r="F128" s="131"/>
      <c r="G128" s="131"/>
      <c r="H128" s="131"/>
      <c r="I128" s="84"/>
      <c r="J128" s="131"/>
      <c r="K128" s="131"/>
      <c r="L128" s="131"/>
      <c r="M128" s="85">
        <f>153734000+51244700+31131000+18289100</f>
        <v>254398800</v>
      </c>
      <c r="N128" s="97"/>
      <c r="O128" s="97"/>
      <c r="P128" s="97"/>
      <c r="Q128" s="97"/>
      <c r="R128" s="97"/>
      <c r="S128" s="97"/>
      <c r="T128" s="97"/>
      <c r="U128" s="84">
        <v>254398800</v>
      </c>
      <c r="V128" s="84">
        <f t="shared" si="41"/>
        <v>0</v>
      </c>
      <c r="W128" s="84"/>
      <c r="X128" s="84">
        <f t="shared" si="42"/>
        <v>0</v>
      </c>
      <c r="Y128" s="97"/>
      <c r="Z128" s="97"/>
      <c r="AA128" s="97"/>
      <c r="AB128" s="84">
        <f t="shared" si="43"/>
        <v>0</v>
      </c>
      <c r="AC128" s="97"/>
      <c r="AD128" s="84">
        <f t="shared" si="44"/>
        <v>0</v>
      </c>
      <c r="AE128" s="97"/>
      <c r="AF128" s="84">
        <v>249540700</v>
      </c>
      <c r="AG128" s="97"/>
      <c r="AH128" s="84">
        <v>243840700</v>
      </c>
      <c r="AI128" s="84"/>
      <c r="AJ128" s="84"/>
      <c r="AK128" s="84"/>
      <c r="AL128" s="80">
        <f t="shared" si="46"/>
        <v>0</v>
      </c>
      <c r="AM128" s="80"/>
    </row>
    <row r="129" spans="1:39" ht="33.75" hidden="1" customHeight="1" thickBot="1">
      <c r="A129" s="39"/>
      <c r="B129" s="99" t="s">
        <v>144</v>
      </c>
      <c r="C129" s="119"/>
      <c r="D129" s="132"/>
      <c r="E129" s="131"/>
      <c r="F129" s="131"/>
      <c r="G129" s="131"/>
      <c r="H129" s="131"/>
      <c r="I129" s="84"/>
      <c r="J129" s="131"/>
      <c r="K129" s="131"/>
      <c r="L129" s="131"/>
      <c r="M129" s="85">
        <v>11707000</v>
      </c>
      <c r="N129" s="97"/>
      <c r="O129" s="97"/>
      <c r="P129" s="97"/>
      <c r="Q129" s="97"/>
      <c r="R129" s="97"/>
      <c r="S129" s="97"/>
      <c r="T129" s="97"/>
      <c r="U129" s="84">
        <v>11707000</v>
      </c>
      <c r="V129" s="84">
        <f t="shared" si="41"/>
        <v>0</v>
      </c>
      <c r="W129" s="84"/>
      <c r="X129" s="84">
        <f t="shared" si="42"/>
        <v>0</v>
      </c>
      <c r="Y129" s="97"/>
      <c r="Z129" s="97"/>
      <c r="AA129" s="97"/>
      <c r="AB129" s="84">
        <f t="shared" si="43"/>
        <v>0</v>
      </c>
      <c r="AC129" s="97"/>
      <c r="AD129" s="84">
        <f t="shared" si="44"/>
        <v>0</v>
      </c>
      <c r="AE129" s="97"/>
      <c r="AF129" s="84"/>
      <c r="AG129" s="97"/>
      <c r="AH129" s="84"/>
      <c r="AI129" s="84"/>
      <c r="AJ129" s="84">
        <f t="shared" si="45"/>
        <v>0</v>
      </c>
      <c r="AK129" s="84">
        <f t="shared" si="45"/>
        <v>0</v>
      </c>
      <c r="AL129" s="80">
        <f t="shared" si="46"/>
        <v>0</v>
      </c>
      <c r="AM129" s="80"/>
    </row>
    <row r="130" spans="1:39" ht="60" hidden="1" customHeight="1" thickBot="1">
      <c r="A130" s="39"/>
      <c r="B130" s="79" t="s">
        <v>145</v>
      </c>
      <c r="C130" s="119"/>
      <c r="D130" s="132"/>
      <c r="E130" s="131"/>
      <c r="F130" s="131"/>
      <c r="G130" s="131"/>
      <c r="H130" s="131"/>
      <c r="I130" s="84"/>
      <c r="J130" s="131"/>
      <c r="K130" s="131"/>
      <c r="L130" s="131"/>
      <c r="M130" s="85">
        <f>1790000+865900+251700</f>
        <v>2907600</v>
      </c>
      <c r="N130" s="97"/>
      <c r="O130" s="97"/>
      <c r="P130" s="97"/>
      <c r="Q130" s="97"/>
      <c r="R130" s="97"/>
      <c r="S130" s="97"/>
      <c r="T130" s="97"/>
      <c r="U130" s="84">
        <v>2631978</v>
      </c>
      <c r="V130" s="84">
        <f t="shared" si="41"/>
        <v>275622</v>
      </c>
      <c r="W130" s="84">
        <v>40128</v>
      </c>
      <c r="X130" s="84">
        <f t="shared" si="42"/>
        <v>315750</v>
      </c>
      <c r="Y130" s="84">
        <f>50725+265025</f>
        <v>315750</v>
      </c>
      <c r="Z130" s="84"/>
      <c r="AA130" s="84"/>
      <c r="AB130" s="84">
        <f t="shared" si="43"/>
        <v>0</v>
      </c>
      <c r="AC130" s="97"/>
      <c r="AD130" s="84">
        <f t="shared" si="44"/>
        <v>0</v>
      </c>
      <c r="AE130" s="97"/>
      <c r="AF130" s="84">
        <v>2209965</v>
      </c>
      <c r="AG130" s="84">
        <v>68835</v>
      </c>
      <c r="AH130" s="84">
        <v>2189522.4300000002</v>
      </c>
      <c r="AI130" s="84"/>
      <c r="AJ130" s="84"/>
      <c r="AK130" s="84"/>
      <c r="AL130" s="80">
        <f t="shared" si="46"/>
        <v>0</v>
      </c>
      <c r="AM130" s="80"/>
    </row>
    <row r="131" spans="1:39" ht="45.75" hidden="1" customHeight="1" thickBot="1">
      <c r="A131" s="39"/>
      <c r="B131" s="79" t="s">
        <v>146</v>
      </c>
      <c r="C131" s="119"/>
      <c r="D131" s="132"/>
      <c r="E131" s="131"/>
      <c r="F131" s="131"/>
      <c r="G131" s="131"/>
      <c r="H131" s="131"/>
      <c r="I131" s="84"/>
      <c r="J131" s="131"/>
      <c r="K131" s="131"/>
      <c r="L131" s="131"/>
      <c r="M131" s="85"/>
      <c r="N131" s="97"/>
      <c r="O131" s="97"/>
      <c r="P131" s="97"/>
      <c r="Q131" s="97"/>
      <c r="R131" s="97"/>
      <c r="S131" s="97"/>
      <c r="T131" s="97"/>
      <c r="U131" s="84"/>
      <c r="V131" s="84"/>
      <c r="W131" s="84"/>
      <c r="X131" s="84"/>
      <c r="Y131" s="84"/>
      <c r="Z131" s="84"/>
      <c r="AA131" s="84"/>
      <c r="AB131" s="84"/>
      <c r="AC131" s="97"/>
      <c r="AD131" s="84"/>
      <c r="AE131" s="97"/>
      <c r="AF131" s="84">
        <v>559600</v>
      </c>
      <c r="AG131" s="84"/>
      <c r="AH131" s="84">
        <v>559600</v>
      </c>
      <c r="AI131" s="84">
        <f t="shared" si="45"/>
        <v>0</v>
      </c>
      <c r="AJ131" s="84"/>
      <c r="AK131" s="84"/>
      <c r="AL131" s="80">
        <f t="shared" si="46"/>
        <v>0</v>
      </c>
      <c r="AM131" s="80"/>
    </row>
    <row r="132" spans="1:39" ht="36" hidden="1" customHeight="1">
      <c r="A132" s="32" t="s">
        <v>147</v>
      </c>
      <c r="B132" s="122" t="s">
        <v>148</v>
      </c>
      <c r="C132" s="84">
        <v>3117361</v>
      </c>
      <c r="D132" s="84"/>
      <c r="E132" s="84">
        <v>3117361</v>
      </c>
      <c r="F132" s="84">
        <f>E132+272746</f>
        <v>3390107</v>
      </c>
      <c r="G132" s="84"/>
      <c r="H132" s="84"/>
      <c r="I132" s="84">
        <f>C132-F132</f>
        <v>-272746</v>
      </c>
      <c r="J132" s="84">
        <v>3117361</v>
      </c>
      <c r="K132" s="84"/>
      <c r="L132" s="84"/>
      <c r="M132" s="97"/>
      <c r="N132" s="97"/>
      <c r="O132" s="97"/>
      <c r="P132" s="97"/>
      <c r="Q132" s="97"/>
      <c r="R132" s="97"/>
      <c r="S132" s="97"/>
      <c r="T132" s="97"/>
      <c r="U132" s="84">
        <v>2844615</v>
      </c>
      <c r="V132" s="84">
        <f t="shared" si="41"/>
        <v>0</v>
      </c>
      <c r="W132" s="84"/>
      <c r="X132" s="84">
        <f t="shared" si="42"/>
        <v>0</v>
      </c>
      <c r="Y132" s="97"/>
      <c r="Z132" s="97"/>
      <c r="AA132" s="97"/>
      <c r="AB132" s="84">
        <f t="shared" si="43"/>
        <v>0</v>
      </c>
      <c r="AC132" s="97"/>
      <c r="AD132" s="84">
        <f t="shared" si="44"/>
        <v>0</v>
      </c>
      <c r="AE132" s="97"/>
      <c r="AF132" s="84"/>
      <c r="AG132" s="97"/>
      <c r="AH132" s="84"/>
      <c r="AI132" s="84">
        <f t="shared" si="45"/>
        <v>0</v>
      </c>
      <c r="AJ132" s="84"/>
      <c r="AK132" s="84"/>
      <c r="AL132" s="80">
        <f t="shared" si="46"/>
        <v>0</v>
      </c>
      <c r="AM132" s="80"/>
    </row>
    <row r="133" spans="1:39" ht="34.9" hidden="1" customHeight="1">
      <c r="A133" s="18" t="s">
        <v>149</v>
      </c>
      <c r="B133" s="122" t="s">
        <v>150</v>
      </c>
      <c r="C133" s="84">
        <v>2249692</v>
      </c>
      <c r="D133" s="84"/>
      <c r="E133" s="84">
        <v>2249692</v>
      </c>
      <c r="F133" s="84">
        <v>2249692</v>
      </c>
      <c r="G133" s="84"/>
      <c r="H133" s="84"/>
      <c r="I133" s="84">
        <f>C133-F133</f>
        <v>0</v>
      </c>
      <c r="J133" s="84">
        <v>2249692</v>
      </c>
      <c r="K133" s="84"/>
      <c r="L133" s="84"/>
      <c r="M133" s="85">
        <v>70244600</v>
      </c>
      <c r="N133" s="97"/>
      <c r="O133" s="97"/>
      <c r="P133" s="97"/>
      <c r="Q133" s="97"/>
      <c r="R133" s="97"/>
      <c r="S133" s="97"/>
      <c r="T133" s="97"/>
      <c r="U133" s="84">
        <f>70244600+2249692</f>
        <v>72494292</v>
      </c>
      <c r="V133" s="84">
        <f>I133+J133+M133+N133-U133</f>
        <v>0</v>
      </c>
      <c r="W133" s="97"/>
      <c r="X133" s="84">
        <f t="shared" si="42"/>
        <v>0</v>
      </c>
      <c r="Y133" s="97"/>
      <c r="Z133" s="97"/>
      <c r="AA133" s="97"/>
      <c r="AB133" s="84">
        <f t="shared" si="43"/>
        <v>0</v>
      </c>
      <c r="AC133" s="97"/>
      <c r="AD133" s="84">
        <f t="shared" si="44"/>
        <v>0</v>
      </c>
      <c r="AE133" s="97"/>
      <c r="AF133" s="84">
        <v>60724300</v>
      </c>
      <c r="AG133" s="84"/>
      <c r="AH133" s="84">
        <v>60724300</v>
      </c>
      <c r="AI133" s="84">
        <f t="shared" si="45"/>
        <v>0</v>
      </c>
      <c r="AJ133" s="84"/>
      <c r="AK133" s="84"/>
      <c r="AL133" s="80">
        <f t="shared" si="46"/>
        <v>0</v>
      </c>
      <c r="AM133" s="90"/>
    </row>
    <row r="134" spans="1:39" ht="81" hidden="1" customHeight="1">
      <c r="A134" s="18"/>
      <c r="B134" s="123" t="s">
        <v>151</v>
      </c>
      <c r="C134" s="84"/>
      <c r="D134" s="84"/>
      <c r="E134" s="84"/>
      <c r="F134" s="84"/>
      <c r="G134" s="84"/>
      <c r="H134" s="84"/>
      <c r="I134" s="84"/>
      <c r="J134" s="84"/>
      <c r="K134" s="84"/>
      <c r="L134" s="84"/>
      <c r="M134" s="85">
        <v>37910600</v>
      </c>
      <c r="N134" s="97"/>
      <c r="O134" s="97"/>
      <c r="P134" s="97"/>
      <c r="Q134" s="97"/>
      <c r="R134" s="97"/>
      <c r="S134" s="97"/>
      <c r="T134" s="97"/>
      <c r="U134" s="84">
        <v>37910600</v>
      </c>
      <c r="V134" s="84">
        <f>I134+J134+M134+N134-U134</f>
        <v>0</v>
      </c>
      <c r="W134" s="97"/>
      <c r="X134" s="84">
        <f t="shared" si="42"/>
        <v>0</v>
      </c>
      <c r="Y134" s="97"/>
      <c r="Z134" s="97"/>
      <c r="AA134" s="97"/>
      <c r="AB134" s="84">
        <f t="shared" si="43"/>
        <v>0</v>
      </c>
      <c r="AC134" s="97"/>
      <c r="AD134" s="84">
        <f t="shared" si="44"/>
        <v>0</v>
      </c>
      <c r="AE134" s="97"/>
      <c r="AF134" s="84"/>
      <c r="AG134" s="97"/>
      <c r="AH134" s="84"/>
      <c r="AI134" s="84">
        <f t="shared" si="45"/>
        <v>0</v>
      </c>
      <c r="AJ134" s="84"/>
      <c r="AK134" s="84"/>
      <c r="AL134" s="80">
        <f t="shared" si="46"/>
        <v>0</v>
      </c>
      <c r="AM134" s="90"/>
    </row>
    <row r="135" spans="1:39" ht="94.5" hidden="1" customHeight="1">
      <c r="A135" s="18"/>
      <c r="B135" s="123" t="s">
        <v>152</v>
      </c>
      <c r="C135" s="84"/>
      <c r="D135" s="84"/>
      <c r="E135" s="84"/>
      <c r="F135" s="84"/>
      <c r="G135" s="84"/>
      <c r="H135" s="84"/>
      <c r="I135" s="84"/>
      <c r="J135" s="84"/>
      <c r="K135" s="84"/>
      <c r="L135" s="84"/>
      <c r="M135" s="85">
        <v>582623</v>
      </c>
      <c r="N135" s="97"/>
      <c r="O135" s="97"/>
      <c r="P135" s="97"/>
      <c r="Q135" s="97"/>
      <c r="R135" s="97"/>
      <c r="S135" s="97"/>
      <c r="T135" s="97"/>
      <c r="U135" s="84">
        <v>185410</v>
      </c>
      <c r="V135" s="84">
        <f>I135+J135+M135+N135-U135</f>
        <v>397213</v>
      </c>
      <c r="W135" s="97"/>
      <c r="X135" s="84">
        <f t="shared" si="42"/>
        <v>397213</v>
      </c>
      <c r="Y135" s="84">
        <v>397213</v>
      </c>
      <c r="Z135" s="84"/>
      <c r="AA135" s="84"/>
      <c r="AB135" s="84">
        <v>0</v>
      </c>
      <c r="AC135" s="97"/>
      <c r="AD135" s="84">
        <f t="shared" si="44"/>
        <v>0</v>
      </c>
      <c r="AE135" s="97"/>
      <c r="AF135" s="84"/>
      <c r="AG135" s="97"/>
      <c r="AH135" s="84"/>
      <c r="AI135" s="84">
        <f t="shared" si="45"/>
        <v>0</v>
      </c>
      <c r="AJ135" s="84"/>
      <c r="AK135" s="84"/>
      <c r="AL135" s="80">
        <f t="shared" si="46"/>
        <v>0</v>
      </c>
      <c r="AM135" s="80"/>
    </row>
    <row r="136" spans="1:39" ht="125.25" hidden="1" customHeight="1">
      <c r="A136" s="18"/>
      <c r="B136" s="123" t="s">
        <v>153</v>
      </c>
      <c r="C136" s="84"/>
      <c r="D136" s="84"/>
      <c r="E136" s="84"/>
      <c r="F136" s="84"/>
      <c r="G136" s="84"/>
      <c r="H136" s="84"/>
      <c r="I136" s="84"/>
      <c r="J136" s="84"/>
      <c r="K136" s="84"/>
      <c r="L136" s="84"/>
      <c r="M136" s="85"/>
      <c r="N136" s="97"/>
      <c r="O136" s="97"/>
      <c r="P136" s="97"/>
      <c r="Q136" s="97"/>
      <c r="R136" s="97"/>
      <c r="S136" s="97"/>
      <c r="T136" s="97"/>
      <c r="U136" s="84"/>
      <c r="V136" s="84">
        <v>0</v>
      </c>
      <c r="W136" s="84">
        <v>0</v>
      </c>
      <c r="X136" s="84">
        <v>0</v>
      </c>
      <c r="Y136" s="84"/>
      <c r="Z136" s="84"/>
      <c r="AA136" s="84"/>
      <c r="AB136" s="84">
        <v>0</v>
      </c>
      <c r="AC136" s="97"/>
      <c r="AD136" s="84">
        <f t="shared" si="44"/>
        <v>0</v>
      </c>
      <c r="AE136" s="97"/>
      <c r="AF136" s="84">
        <v>673500</v>
      </c>
      <c r="AG136" s="97"/>
      <c r="AH136" s="84">
        <v>673500</v>
      </c>
      <c r="AI136" s="84">
        <f t="shared" si="45"/>
        <v>0</v>
      </c>
      <c r="AJ136" s="84"/>
      <c r="AK136" s="84"/>
      <c r="AL136" s="80">
        <f t="shared" si="46"/>
        <v>0</v>
      </c>
      <c r="AM136" s="80"/>
    </row>
    <row r="137" spans="1:39" ht="147.75" hidden="1" customHeight="1">
      <c r="A137" s="18"/>
      <c r="B137" s="123" t="s">
        <v>154</v>
      </c>
      <c r="C137" s="84"/>
      <c r="D137" s="84"/>
      <c r="E137" s="84"/>
      <c r="F137" s="84"/>
      <c r="G137" s="84"/>
      <c r="H137" s="84"/>
      <c r="I137" s="84"/>
      <c r="J137" s="84"/>
      <c r="K137" s="84"/>
      <c r="L137" s="84"/>
      <c r="M137" s="85"/>
      <c r="N137" s="97"/>
      <c r="O137" s="97"/>
      <c r="P137" s="97"/>
      <c r="Q137" s="97"/>
      <c r="R137" s="97"/>
      <c r="S137" s="97"/>
      <c r="T137" s="97"/>
      <c r="U137" s="84"/>
      <c r="V137" s="84"/>
      <c r="W137" s="84"/>
      <c r="X137" s="84"/>
      <c r="Y137" s="84"/>
      <c r="Z137" s="84"/>
      <c r="AA137" s="84"/>
      <c r="AB137" s="84"/>
      <c r="AC137" s="97"/>
      <c r="AD137" s="84"/>
      <c r="AE137" s="97"/>
      <c r="AF137" s="84">
        <v>700000</v>
      </c>
      <c r="AG137" s="97"/>
      <c r="AH137" s="84"/>
      <c r="AI137" s="84"/>
      <c r="AJ137" s="84"/>
      <c r="AK137" s="84"/>
      <c r="AL137" s="80">
        <f t="shared" si="46"/>
        <v>0</v>
      </c>
      <c r="AM137" s="80"/>
    </row>
    <row r="138" spans="1:39" ht="80.25" hidden="1" customHeight="1">
      <c r="A138" s="18"/>
      <c r="B138" s="122" t="s">
        <v>155</v>
      </c>
      <c r="C138" s="84">
        <v>4329843.3</v>
      </c>
      <c r="D138" s="84"/>
      <c r="E138" s="84">
        <v>4329843.3</v>
      </c>
      <c r="F138" s="84">
        <v>4329843.3</v>
      </c>
      <c r="G138" s="84"/>
      <c r="H138" s="84"/>
      <c r="I138" s="84">
        <f>C138-F138</f>
        <v>0</v>
      </c>
      <c r="J138" s="84"/>
      <c r="K138" s="84"/>
      <c r="L138" s="84"/>
      <c r="M138" s="85">
        <v>0</v>
      </c>
      <c r="N138" s="97"/>
      <c r="O138" s="97"/>
      <c r="P138" s="97"/>
      <c r="Q138" s="97"/>
      <c r="R138" s="97"/>
      <c r="S138" s="97"/>
      <c r="T138" s="97"/>
      <c r="U138" s="85">
        <v>0</v>
      </c>
      <c r="V138" s="84">
        <f>I138+J138+M138+N138-U138</f>
        <v>0</v>
      </c>
      <c r="W138" s="97"/>
      <c r="X138" s="84">
        <f>V138+W138</f>
        <v>0</v>
      </c>
      <c r="Y138" s="97"/>
      <c r="Z138" s="97"/>
      <c r="AA138" s="97"/>
      <c r="AB138" s="84">
        <f t="shared" si="43"/>
        <v>0</v>
      </c>
      <c r="AC138" s="97"/>
      <c r="AD138" s="84">
        <f t="shared" si="44"/>
        <v>0</v>
      </c>
      <c r="AE138" s="97"/>
      <c r="AF138" s="97"/>
      <c r="AG138" s="97"/>
      <c r="AH138" s="84"/>
      <c r="AI138" s="84">
        <f t="shared" si="45"/>
        <v>0</v>
      </c>
      <c r="AJ138" s="84">
        <f t="shared" si="45"/>
        <v>0</v>
      </c>
      <c r="AK138" s="84">
        <f t="shared" si="45"/>
        <v>0</v>
      </c>
      <c r="AL138" s="80">
        <f t="shared" si="46"/>
        <v>0</v>
      </c>
      <c r="AM138" s="90"/>
    </row>
    <row r="139" spans="1:39" ht="112.5" hidden="1" customHeight="1">
      <c r="A139" s="18"/>
      <c r="B139" s="123" t="s">
        <v>156</v>
      </c>
      <c r="C139" s="84"/>
      <c r="D139" s="84"/>
      <c r="E139" s="84"/>
      <c r="F139" s="84"/>
      <c r="G139" s="84"/>
      <c r="H139" s="84"/>
      <c r="I139" s="84"/>
      <c r="J139" s="84"/>
      <c r="K139" s="84"/>
      <c r="L139" s="84"/>
      <c r="M139" s="85"/>
      <c r="N139" s="97"/>
      <c r="O139" s="97"/>
      <c r="P139" s="97"/>
      <c r="Q139" s="97"/>
      <c r="R139" s="97"/>
      <c r="S139" s="97"/>
      <c r="T139" s="97"/>
      <c r="U139" s="85"/>
      <c r="V139" s="84"/>
      <c r="W139" s="97"/>
      <c r="X139" s="84"/>
      <c r="Y139" s="97"/>
      <c r="Z139" s="97"/>
      <c r="AA139" s="97"/>
      <c r="AB139" s="84"/>
      <c r="AC139" s="97"/>
      <c r="AD139" s="84"/>
      <c r="AE139" s="97"/>
      <c r="AF139" s="84">
        <v>5000000</v>
      </c>
      <c r="AG139" s="97"/>
      <c r="AH139" s="84">
        <f>1000000+4000000</f>
        <v>5000000</v>
      </c>
      <c r="AI139" s="84">
        <f t="shared" si="45"/>
        <v>0</v>
      </c>
      <c r="AJ139" s="84">
        <f t="shared" si="45"/>
        <v>0</v>
      </c>
      <c r="AK139" s="84"/>
      <c r="AL139" s="80">
        <f t="shared" si="46"/>
        <v>0</v>
      </c>
      <c r="AM139" s="90"/>
    </row>
    <row r="140" spans="1:39" ht="112.5" hidden="1" customHeight="1">
      <c r="A140" s="18"/>
      <c r="B140" s="123" t="s">
        <v>157</v>
      </c>
      <c r="C140" s="84"/>
      <c r="D140" s="84"/>
      <c r="E140" s="84"/>
      <c r="F140" s="84"/>
      <c r="G140" s="84"/>
      <c r="H140" s="84"/>
      <c r="I140" s="84"/>
      <c r="J140" s="84"/>
      <c r="K140" s="84"/>
      <c r="L140" s="84"/>
      <c r="M140" s="85"/>
      <c r="N140" s="97"/>
      <c r="O140" s="97"/>
      <c r="P140" s="97"/>
      <c r="Q140" s="97"/>
      <c r="R140" s="97"/>
      <c r="S140" s="97"/>
      <c r="T140" s="97"/>
      <c r="U140" s="85"/>
      <c r="V140" s="84"/>
      <c r="W140" s="97"/>
      <c r="X140" s="84"/>
      <c r="Y140" s="97"/>
      <c r="Z140" s="97"/>
      <c r="AA140" s="97"/>
      <c r="AB140" s="84"/>
      <c r="AC140" s="97"/>
      <c r="AD140" s="84"/>
      <c r="AE140" s="97"/>
      <c r="AF140" s="84">
        <v>5300000</v>
      </c>
      <c r="AG140" s="97"/>
      <c r="AH140" s="84">
        <v>5300000</v>
      </c>
      <c r="AI140" s="84"/>
      <c r="AJ140" s="84"/>
      <c r="AK140" s="84"/>
      <c r="AL140" s="80">
        <f t="shared" si="46"/>
        <v>0</v>
      </c>
      <c r="AM140" s="90"/>
    </row>
    <row r="141" spans="1:39" ht="112.5" hidden="1" customHeight="1">
      <c r="A141" s="18"/>
      <c r="B141" s="123" t="s">
        <v>250</v>
      </c>
      <c r="C141" s="84"/>
      <c r="D141" s="84"/>
      <c r="E141" s="84"/>
      <c r="F141" s="84"/>
      <c r="G141" s="84"/>
      <c r="H141" s="84"/>
      <c r="I141" s="84"/>
      <c r="J141" s="84"/>
      <c r="K141" s="84"/>
      <c r="L141" s="84"/>
      <c r="M141" s="85"/>
      <c r="N141" s="97"/>
      <c r="O141" s="97"/>
      <c r="P141" s="97"/>
      <c r="Q141" s="97"/>
      <c r="R141" s="97"/>
      <c r="S141" s="97"/>
      <c r="T141" s="97"/>
      <c r="U141" s="85"/>
      <c r="V141" s="84"/>
      <c r="W141" s="97"/>
      <c r="X141" s="84"/>
      <c r="Y141" s="97"/>
      <c r="Z141" s="97"/>
      <c r="AA141" s="97"/>
      <c r="AB141" s="84"/>
      <c r="AC141" s="97"/>
      <c r="AD141" s="84"/>
      <c r="AE141" s="97"/>
      <c r="AF141" s="84"/>
      <c r="AG141" s="97"/>
      <c r="AH141" s="84"/>
      <c r="AI141" s="84"/>
      <c r="AJ141" s="84"/>
      <c r="AK141" s="84"/>
      <c r="AL141" s="80"/>
      <c r="AM141" s="90"/>
    </row>
    <row r="142" spans="1:39" ht="111" hidden="1" customHeight="1">
      <c r="A142" s="18"/>
      <c r="B142" s="123" t="s">
        <v>158</v>
      </c>
      <c r="C142" s="84"/>
      <c r="D142" s="84"/>
      <c r="E142" s="84"/>
      <c r="F142" s="84"/>
      <c r="G142" s="84"/>
      <c r="H142" s="84"/>
      <c r="I142" s="84"/>
      <c r="J142" s="84"/>
      <c r="K142" s="84"/>
      <c r="L142" s="84"/>
      <c r="M142" s="85"/>
      <c r="N142" s="97"/>
      <c r="O142" s="97"/>
      <c r="P142" s="97"/>
      <c r="Q142" s="97"/>
      <c r="R142" s="97"/>
      <c r="S142" s="97"/>
      <c r="T142" s="97"/>
      <c r="U142" s="85"/>
      <c r="V142" s="84"/>
      <c r="W142" s="97"/>
      <c r="X142" s="84"/>
      <c r="Y142" s="97"/>
      <c r="Z142" s="97"/>
      <c r="AA142" s="97"/>
      <c r="AB142" s="84"/>
      <c r="AC142" s="97"/>
      <c r="AD142" s="84"/>
      <c r="AE142" s="97"/>
      <c r="AF142" s="84">
        <v>1500000</v>
      </c>
      <c r="AG142" s="97"/>
      <c r="AH142" s="84">
        <v>1500000</v>
      </c>
      <c r="AI142" s="84">
        <f t="shared" si="45"/>
        <v>0</v>
      </c>
      <c r="AJ142" s="84">
        <f t="shared" si="45"/>
        <v>0</v>
      </c>
      <c r="AK142" s="84"/>
      <c r="AL142" s="80">
        <f t="shared" si="46"/>
        <v>0</v>
      </c>
      <c r="AM142" s="90"/>
    </row>
    <row r="143" spans="1:39" ht="110.25" hidden="1" customHeight="1">
      <c r="A143" s="18"/>
      <c r="B143" s="123" t="s">
        <v>159</v>
      </c>
      <c r="C143" s="84"/>
      <c r="D143" s="84"/>
      <c r="E143" s="84"/>
      <c r="F143" s="84"/>
      <c r="G143" s="84"/>
      <c r="H143" s="84"/>
      <c r="I143" s="84"/>
      <c r="J143" s="84"/>
      <c r="K143" s="84"/>
      <c r="L143" s="84"/>
      <c r="M143" s="85"/>
      <c r="N143" s="97"/>
      <c r="O143" s="97"/>
      <c r="P143" s="97"/>
      <c r="Q143" s="97"/>
      <c r="R143" s="97"/>
      <c r="S143" s="97"/>
      <c r="T143" s="97"/>
      <c r="U143" s="85"/>
      <c r="V143" s="84"/>
      <c r="W143" s="97"/>
      <c r="X143" s="84"/>
      <c r="Y143" s="97"/>
      <c r="Z143" s="97"/>
      <c r="AA143" s="97"/>
      <c r="AB143" s="84"/>
      <c r="AC143" s="97"/>
      <c r="AD143" s="84">
        <f t="shared" si="44"/>
        <v>0</v>
      </c>
      <c r="AE143" s="97"/>
      <c r="AF143" s="84">
        <v>43500000</v>
      </c>
      <c r="AG143" s="97"/>
      <c r="AH143" s="84">
        <v>43500000</v>
      </c>
      <c r="AI143" s="84">
        <f t="shared" si="45"/>
        <v>0</v>
      </c>
      <c r="AJ143" s="84"/>
      <c r="AK143" s="84"/>
      <c r="AL143" s="80">
        <f t="shared" si="46"/>
        <v>0</v>
      </c>
      <c r="AM143" s="80"/>
    </row>
    <row r="144" spans="1:39" ht="122.25" hidden="1" customHeight="1">
      <c r="A144" s="18"/>
      <c r="B144" s="123" t="s">
        <v>160</v>
      </c>
      <c r="C144" s="84"/>
      <c r="D144" s="84"/>
      <c r="E144" s="84"/>
      <c r="F144" s="84"/>
      <c r="G144" s="84"/>
      <c r="H144" s="84"/>
      <c r="I144" s="84"/>
      <c r="J144" s="84"/>
      <c r="K144" s="84"/>
      <c r="L144" s="84"/>
      <c r="M144" s="85"/>
      <c r="N144" s="97"/>
      <c r="O144" s="97"/>
      <c r="P144" s="97"/>
      <c r="Q144" s="97"/>
      <c r="R144" s="97"/>
      <c r="S144" s="97"/>
      <c r="T144" s="97"/>
      <c r="U144" s="85"/>
      <c r="V144" s="84"/>
      <c r="W144" s="97"/>
      <c r="X144" s="84"/>
      <c r="Y144" s="97"/>
      <c r="Z144" s="97"/>
      <c r="AA144" s="97"/>
      <c r="AB144" s="84"/>
      <c r="AC144" s="97"/>
      <c r="AD144" s="84"/>
      <c r="AE144" s="97"/>
      <c r="AF144" s="84">
        <v>1000000</v>
      </c>
      <c r="AG144" s="97"/>
      <c r="AH144" s="84">
        <v>1000000</v>
      </c>
      <c r="AI144" s="84">
        <f t="shared" si="45"/>
        <v>0</v>
      </c>
      <c r="AJ144" s="84">
        <f t="shared" si="45"/>
        <v>0</v>
      </c>
      <c r="AK144" s="84"/>
      <c r="AL144" s="80">
        <f t="shared" si="46"/>
        <v>0</v>
      </c>
      <c r="AM144" s="90"/>
    </row>
    <row r="145" spans="1:40" ht="158.25" hidden="1" customHeight="1">
      <c r="A145" s="18"/>
      <c r="B145" s="79" t="s">
        <v>161</v>
      </c>
      <c r="C145" s="84">
        <v>75000</v>
      </c>
      <c r="D145" s="84"/>
      <c r="E145" s="84">
        <v>75000</v>
      </c>
      <c r="F145" s="84">
        <v>75000</v>
      </c>
      <c r="G145" s="84"/>
      <c r="H145" s="84"/>
      <c r="I145" s="84">
        <f>C145-F145</f>
        <v>0</v>
      </c>
      <c r="J145" s="84"/>
      <c r="K145" s="84"/>
      <c r="L145" s="84"/>
      <c r="M145" s="97"/>
      <c r="N145" s="97"/>
      <c r="O145" s="97"/>
      <c r="P145" s="97"/>
      <c r="Q145" s="97"/>
      <c r="R145" s="97"/>
      <c r="S145" s="97"/>
      <c r="T145" s="97"/>
      <c r="U145" s="97"/>
      <c r="V145" s="84">
        <f t="shared" si="41"/>
        <v>0</v>
      </c>
      <c r="W145" s="97"/>
      <c r="X145" s="84">
        <f>V145+W145</f>
        <v>0</v>
      </c>
      <c r="Y145" s="97"/>
      <c r="Z145" s="133"/>
      <c r="AA145" s="97"/>
      <c r="AB145" s="84">
        <f t="shared" si="43"/>
        <v>0</v>
      </c>
      <c r="AC145" s="97"/>
      <c r="AD145" s="84">
        <f t="shared" si="44"/>
        <v>0</v>
      </c>
      <c r="AE145" s="97"/>
      <c r="AF145" s="97"/>
      <c r="AG145" s="97"/>
      <c r="AH145" s="84"/>
      <c r="AI145" s="84">
        <f t="shared" si="45"/>
        <v>0</v>
      </c>
      <c r="AJ145" s="84"/>
      <c r="AK145" s="84"/>
      <c r="AL145" s="80">
        <f t="shared" si="46"/>
        <v>0</v>
      </c>
      <c r="AM145" s="90"/>
    </row>
    <row r="146" spans="1:40" ht="99.75" hidden="1" customHeight="1">
      <c r="A146" s="18"/>
      <c r="B146" s="79" t="s">
        <v>253</v>
      </c>
      <c r="C146" s="84"/>
      <c r="D146" s="84"/>
      <c r="E146" s="84"/>
      <c r="F146" s="84"/>
      <c r="G146" s="84"/>
      <c r="H146" s="84"/>
      <c r="I146" s="84"/>
      <c r="J146" s="84"/>
      <c r="K146" s="84"/>
      <c r="L146" s="84"/>
      <c r="M146" s="97"/>
      <c r="N146" s="97"/>
      <c r="O146" s="97"/>
      <c r="P146" s="97"/>
      <c r="Q146" s="97"/>
      <c r="R146" s="97"/>
      <c r="S146" s="97"/>
      <c r="T146" s="97"/>
      <c r="U146" s="97"/>
      <c r="V146" s="84"/>
      <c r="W146" s="97"/>
      <c r="X146" s="84"/>
      <c r="Y146" s="97"/>
      <c r="Z146" s="133"/>
      <c r="AA146" s="97"/>
      <c r="AB146" s="84"/>
      <c r="AC146" s="97"/>
      <c r="AD146" s="84"/>
      <c r="AE146" s="97"/>
      <c r="AF146" s="97"/>
      <c r="AG146" s="97"/>
      <c r="AH146" s="84"/>
      <c r="AI146" s="84"/>
      <c r="AJ146" s="84"/>
      <c r="AK146" s="84"/>
      <c r="AL146" s="80"/>
      <c r="AM146" s="90"/>
    </row>
    <row r="147" spans="1:40" ht="96" hidden="1" customHeight="1">
      <c r="A147" s="18"/>
      <c r="B147" s="99" t="s">
        <v>249</v>
      </c>
      <c r="C147" s="84"/>
      <c r="D147" s="84"/>
      <c r="E147" s="84"/>
      <c r="F147" s="84"/>
      <c r="G147" s="84"/>
      <c r="H147" s="84"/>
      <c r="I147" s="84"/>
      <c r="J147" s="84"/>
      <c r="K147" s="84"/>
      <c r="L147" s="84"/>
      <c r="M147" s="97"/>
      <c r="N147" s="97"/>
      <c r="O147" s="97"/>
      <c r="P147" s="97"/>
      <c r="Q147" s="97"/>
      <c r="R147" s="97"/>
      <c r="S147" s="97"/>
      <c r="T147" s="97"/>
      <c r="U147" s="97"/>
      <c r="V147" s="84"/>
      <c r="W147" s="97"/>
      <c r="X147" s="84"/>
      <c r="Y147" s="97"/>
      <c r="Z147" s="133"/>
      <c r="AA147" s="97"/>
      <c r="AB147" s="84"/>
      <c r="AC147" s="97"/>
      <c r="AD147" s="84"/>
      <c r="AE147" s="97"/>
      <c r="AF147" s="97"/>
      <c r="AG147" s="97"/>
      <c r="AH147" s="84"/>
      <c r="AI147" s="84"/>
      <c r="AJ147" s="84"/>
      <c r="AK147" s="84"/>
      <c r="AL147" s="80"/>
      <c r="AM147" s="90"/>
    </row>
    <row r="148" spans="1:40" ht="103.5" hidden="1" customHeight="1">
      <c r="A148" s="18"/>
      <c r="B148" s="99" t="s">
        <v>248</v>
      </c>
      <c r="C148" s="84"/>
      <c r="D148" s="84"/>
      <c r="E148" s="84"/>
      <c r="F148" s="84"/>
      <c r="G148" s="84"/>
      <c r="H148" s="84"/>
      <c r="I148" s="84"/>
      <c r="J148" s="84"/>
      <c r="K148" s="84"/>
      <c r="L148" s="84"/>
      <c r="M148" s="97"/>
      <c r="N148" s="97"/>
      <c r="O148" s="97"/>
      <c r="P148" s="97"/>
      <c r="Q148" s="97"/>
      <c r="R148" s="97"/>
      <c r="S148" s="97"/>
      <c r="T148" s="97"/>
      <c r="U148" s="97"/>
      <c r="V148" s="84"/>
      <c r="W148" s="97"/>
      <c r="X148" s="84"/>
      <c r="Y148" s="97"/>
      <c r="Z148" s="133"/>
      <c r="AA148" s="97"/>
      <c r="AB148" s="84"/>
      <c r="AC148" s="97"/>
      <c r="AD148" s="84"/>
      <c r="AE148" s="97"/>
      <c r="AF148" s="97"/>
      <c r="AG148" s="97"/>
      <c r="AH148" s="84"/>
      <c r="AI148" s="84"/>
      <c r="AJ148" s="84"/>
      <c r="AK148" s="84"/>
      <c r="AL148" s="80"/>
      <c r="AM148" s="90"/>
    </row>
    <row r="149" spans="1:40" ht="5.25" hidden="1" customHeight="1">
      <c r="A149" s="18"/>
      <c r="B149" s="99" t="s">
        <v>259</v>
      </c>
      <c r="C149" s="84"/>
      <c r="D149" s="84"/>
      <c r="E149" s="84"/>
      <c r="F149" s="84"/>
      <c r="G149" s="84"/>
      <c r="H149" s="84"/>
      <c r="I149" s="84"/>
      <c r="J149" s="84"/>
      <c r="K149" s="84"/>
      <c r="L149" s="84"/>
      <c r="M149" s="97"/>
      <c r="N149" s="97"/>
      <c r="O149" s="97"/>
      <c r="P149" s="97"/>
      <c r="Q149" s="97"/>
      <c r="R149" s="97"/>
      <c r="S149" s="97"/>
      <c r="T149" s="97"/>
      <c r="U149" s="97"/>
      <c r="V149" s="84"/>
      <c r="W149" s="97"/>
      <c r="X149" s="84"/>
      <c r="Y149" s="97"/>
      <c r="Z149" s="133"/>
      <c r="AA149" s="97"/>
      <c r="AB149" s="84"/>
      <c r="AC149" s="97"/>
      <c r="AD149" s="84"/>
      <c r="AE149" s="97"/>
      <c r="AF149" s="97"/>
      <c r="AG149" s="97"/>
      <c r="AH149" s="84"/>
      <c r="AI149" s="84"/>
      <c r="AJ149" s="84"/>
      <c r="AK149" s="84"/>
      <c r="AL149" s="80"/>
      <c r="AM149" s="90"/>
    </row>
    <row r="150" spans="1:40" ht="136.5" customHeight="1" thickBot="1">
      <c r="A150" s="18"/>
      <c r="B150" s="99" t="s">
        <v>288</v>
      </c>
      <c r="C150" s="84"/>
      <c r="D150" s="84"/>
      <c r="E150" s="84"/>
      <c r="F150" s="84"/>
      <c r="G150" s="84"/>
      <c r="H150" s="84"/>
      <c r="I150" s="84"/>
      <c r="J150" s="84"/>
      <c r="K150" s="84"/>
      <c r="L150" s="84"/>
      <c r="M150" s="97"/>
      <c r="N150" s="97"/>
      <c r="O150" s="97"/>
      <c r="P150" s="97"/>
      <c r="Q150" s="97"/>
      <c r="R150" s="97"/>
      <c r="S150" s="97"/>
      <c r="T150" s="97"/>
      <c r="U150" s="97"/>
      <c r="V150" s="84"/>
      <c r="W150" s="97"/>
      <c r="X150" s="84"/>
      <c r="Y150" s="97"/>
      <c r="Z150" s="133"/>
      <c r="AA150" s="97"/>
      <c r="AB150" s="84"/>
      <c r="AC150" s="97"/>
      <c r="AD150" s="84"/>
      <c r="AE150" s="97"/>
      <c r="AF150" s="97"/>
      <c r="AG150" s="97"/>
      <c r="AH150" s="84"/>
      <c r="AI150" s="84">
        <v>325479</v>
      </c>
      <c r="AJ150" s="84"/>
      <c r="AK150" s="84"/>
      <c r="AL150" s="80">
        <f>AI150</f>
        <v>325479</v>
      </c>
      <c r="AM150" s="80">
        <v>325479</v>
      </c>
    </row>
    <row r="151" spans="1:40" ht="132.75" hidden="1" customHeight="1">
      <c r="A151" s="18"/>
      <c r="B151" s="99" t="s">
        <v>260</v>
      </c>
      <c r="C151" s="84"/>
      <c r="D151" s="84"/>
      <c r="E151" s="84"/>
      <c r="F151" s="84"/>
      <c r="G151" s="84"/>
      <c r="H151" s="84"/>
      <c r="I151" s="84"/>
      <c r="J151" s="84"/>
      <c r="K151" s="84"/>
      <c r="L151" s="84"/>
      <c r="M151" s="97"/>
      <c r="N151" s="97"/>
      <c r="O151" s="97"/>
      <c r="P151" s="97"/>
      <c r="Q151" s="97"/>
      <c r="R151" s="97"/>
      <c r="S151" s="97"/>
      <c r="T151" s="97"/>
      <c r="U151" s="97"/>
      <c r="V151" s="84"/>
      <c r="W151" s="97"/>
      <c r="X151" s="84"/>
      <c r="Y151" s="97"/>
      <c r="Z151" s="133"/>
      <c r="AA151" s="97"/>
      <c r="AB151" s="84"/>
      <c r="AC151" s="97"/>
      <c r="AD151" s="84"/>
      <c r="AE151" s="97"/>
      <c r="AF151" s="97"/>
      <c r="AG151" s="97"/>
      <c r="AH151" s="84"/>
      <c r="AI151" s="84"/>
      <c r="AJ151" s="84"/>
      <c r="AK151" s="84"/>
      <c r="AL151" s="80"/>
      <c r="AM151" s="90"/>
    </row>
    <row r="152" spans="1:40" ht="114.75" hidden="1" customHeight="1">
      <c r="A152" s="18"/>
      <c r="B152" s="99" t="s">
        <v>268</v>
      </c>
      <c r="C152" s="84"/>
      <c r="D152" s="84"/>
      <c r="E152" s="84"/>
      <c r="F152" s="84"/>
      <c r="G152" s="84"/>
      <c r="H152" s="84"/>
      <c r="I152" s="84"/>
      <c r="J152" s="84"/>
      <c r="K152" s="84"/>
      <c r="L152" s="84"/>
      <c r="M152" s="97"/>
      <c r="N152" s="97"/>
      <c r="O152" s="97"/>
      <c r="P152" s="97"/>
      <c r="Q152" s="97"/>
      <c r="R152" s="97"/>
      <c r="S152" s="97"/>
      <c r="T152" s="97"/>
      <c r="U152" s="97"/>
      <c r="V152" s="84"/>
      <c r="W152" s="97"/>
      <c r="X152" s="84"/>
      <c r="Y152" s="97"/>
      <c r="Z152" s="133"/>
      <c r="AA152" s="97"/>
      <c r="AB152" s="84"/>
      <c r="AC152" s="97"/>
      <c r="AD152" s="84"/>
      <c r="AE152" s="97"/>
      <c r="AF152" s="97"/>
      <c r="AG152" s="97"/>
      <c r="AH152" s="84"/>
      <c r="AI152" s="84"/>
      <c r="AJ152" s="84"/>
      <c r="AK152" s="84"/>
      <c r="AL152" s="80"/>
      <c r="AM152" s="90"/>
    </row>
    <row r="153" spans="1:40" ht="113.25" hidden="1" customHeight="1" thickBot="1">
      <c r="A153" s="40" t="s">
        <v>162</v>
      </c>
      <c r="B153" s="122" t="s">
        <v>256</v>
      </c>
      <c r="C153" s="84">
        <v>20373</v>
      </c>
      <c r="D153" s="84">
        <v>103639</v>
      </c>
      <c r="E153" s="84">
        <f>C153+D153</f>
        <v>124012</v>
      </c>
      <c r="F153" s="84">
        <f>E153</f>
        <v>124012</v>
      </c>
      <c r="G153" s="84"/>
      <c r="H153" s="84"/>
      <c r="I153" s="84">
        <f>C153+D153-F153</f>
        <v>0</v>
      </c>
      <c r="J153" s="84"/>
      <c r="K153" s="84"/>
      <c r="L153" s="84"/>
      <c r="M153" s="97"/>
      <c r="N153" s="84">
        <f>553+129295</f>
        <v>129848</v>
      </c>
      <c r="O153" s="97"/>
      <c r="P153" s="97"/>
      <c r="Q153" s="97"/>
      <c r="R153" s="97"/>
      <c r="S153" s="97"/>
      <c r="T153" s="97"/>
      <c r="U153" s="97"/>
      <c r="V153" s="84">
        <f t="shared" si="41"/>
        <v>129848</v>
      </c>
      <c r="W153" s="97"/>
      <c r="X153" s="84">
        <f>V153+W153</f>
        <v>129848</v>
      </c>
      <c r="Y153" s="84">
        <v>129848</v>
      </c>
      <c r="Z153" s="97"/>
      <c r="AA153" s="97"/>
      <c r="AB153" s="84">
        <f t="shared" si="43"/>
        <v>0</v>
      </c>
      <c r="AC153" s="97"/>
      <c r="AD153" s="84">
        <f t="shared" si="44"/>
        <v>0</v>
      </c>
      <c r="AE153" s="97"/>
      <c r="AF153" s="97"/>
      <c r="AG153" s="97"/>
      <c r="AH153" s="97"/>
      <c r="AI153" s="84">
        <f t="shared" si="45"/>
        <v>0</v>
      </c>
      <c r="AJ153" s="84"/>
      <c r="AK153" s="84"/>
      <c r="AL153" s="80">
        <f t="shared" si="46"/>
        <v>0</v>
      </c>
      <c r="AM153" s="80"/>
    </row>
    <row r="154" spans="1:40" ht="33.75" customHeight="1" thickBot="1">
      <c r="A154" s="38" t="s">
        <v>163</v>
      </c>
      <c r="B154" s="119" t="s">
        <v>291</v>
      </c>
      <c r="C154" s="92">
        <f t="shared" ref="C154:L154" si="47">SUM(C132:C153)</f>
        <v>9792269.3000000007</v>
      </c>
      <c r="D154" s="92">
        <f>SUM(D113:D153)</f>
        <v>6603639</v>
      </c>
      <c r="E154" s="92">
        <f t="shared" si="47"/>
        <v>9895908.3000000007</v>
      </c>
      <c r="F154" s="92">
        <f t="shared" si="47"/>
        <v>10168654.300000001</v>
      </c>
      <c r="G154" s="92">
        <f t="shared" si="47"/>
        <v>0</v>
      </c>
      <c r="H154" s="92">
        <f t="shared" si="47"/>
        <v>0</v>
      </c>
      <c r="I154" s="92">
        <f t="shared" si="47"/>
        <v>-272746</v>
      </c>
      <c r="J154" s="92">
        <f t="shared" si="47"/>
        <v>5367053</v>
      </c>
      <c r="K154" s="92">
        <f t="shared" si="47"/>
        <v>0</v>
      </c>
      <c r="L154" s="92">
        <f t="shared" si="47"/>
        <v>0</v>
      </c>
      <c r="M154" s="92">
        <f>SUM(M113:M153)</f>
        <v>775327823</v>
      </c>
      <c r="N154" s="92">
        <f t="shared" ref="N154:AM154" si="48">SUM(N113:N153)</f>
        <v>239422</v>
      </c>
      <c r="O154" s="92">
        <f t="shared" si="48"/>
        <v>0</v>
      </c>
      <c r="P154" s="92">
        <f t="shared" si="48"/>
        <v>0</v>
      </c>
      <c r="Q154" s="92">
        <f t="shared" si="48"/>
        <v>0</v>
      </c>
      <c r="R154" s="92">
        <f t="shared" si="48"/>
        <v>0</v>
      </c>
      <c r="S154" s="92">
        <f t="shared" si="48"/>
        <v>0</v>
      </c>
      <c r="T154" s="92">
        <f t="shared" si="48"/>
        <v>0</v>
      </c>
      <c r="U154" s="92">
        <f t="shared" si="48"/>
        <v>778991168</v>
      </c>
      <c r="V154" s="92">
        <f t="shared" si="48"/>
        <v>1670384</v>
      </c>
      <c r="W154" s="92">
        <f t="shared" si="48"/>
        <v>15060407.609999999</v>
      </c>
      <c r="X154" s="92">
        <f t="shared" si="48"/>
        <v>16730791.609999999</v>
      </c>
      <c r="Y154" s="92">
        <f t="shared" si="48"/>
        <v>16732828.609999999</v>
      </c>
      <c r="Z154" s="92">
        <f t="shared" si="48"/>
        <v>14856509.609999999</v>
      </c>
      <c r="AA154" s="92">
        <f t="shared" si="48"/>
        <v>14856509.609999999</v>
      </c>
      <c r="AB154" s="92">
        <f t="shared" si="48"/>
        <v>-2037</v>
      </c>
      <c r="AC154" s="92">
        <f t="shared" si="48"/>
        <v>14856509.609999999</v>
      </c>
      <c r="AD154" s="92">
        <f t="shared" si="48"/>
        <v>0</v>
      </c>
      <c r="AE154" s="92">
        <f t="shared" si="48"/>
        <v>14856509.609999999</v>
      </c>
      <c r="AF154" s="92">
        <f t="shared" si="48"/>
        <v>670665620</v>
      </c>
      <c r="AG154" s="92">
        <f t="shared" si="48"/>
        <v>70872</v>
      </c>
      <c r="AH154" s="92">
        <f t="shared" si="48"/>
        <v>663704277.42999995</v>
      </c>
      <c r="AI154" s="92">
        <f t="shared" si="48"/>
        <v>325479</v>
      </c>
      <c r="AJ154" s="92">
        <f t="shared" si="48"/>
        <v>0</v>
      </c>
      <c r="AK154" s="92">
        <f t="shared" si="48"/>
        <v>0</v>
      </c>
      <c r="AL154" s="92">
        <f t="shared" si="48"/>
        <v>325479</v>
      </c>
      <c r="AM154" s="92">
        <f t="shared" si="48"/>
        <v>325479</v>
      </c>
    </row>
    <row r="155" spans="1:40" s="20" customFormat="1" ht="54.75" hidden="1" customHeight="1">
      <c r="A155" s="16"/>
      <c r="B155" s="134" t="s">
        <v>164</v>
      </c>
      <c r="C155" s="91">
        <v>0</v>
      </c>
      <c r="D155" s="91">
        <v>1076620.02</v>
      </c>
      <c r="E155" s="91">
        <f t="shared" ref="E155:F158" si="49">D155</f>
        <v>1076620.02</v>
      </c>
      <c r="F155" s="91">
        <f t="shared" si="49"/>
        <v>1076620.02</v>
      </c>
      <c r="G155" s="92"/>
      <c r="H155" s="92"/>
      <c r="I155" s="91">
        <f>C155+D155-F155</f>
        <v>0</v>
      </c>
      <c r="J155" s="91">
        <v>1076620.02</v>
      </c>
      <c r="K155" s="91"/>
      <c r="L155" s="91">
        <v>1076620.02</v>
      </c>
      <c r="M155" s="97"/>
      <c r="N155" s="97"/>
      <c r="O155" s="97"/>
      <c r="P155" s="97"/>
      <c r="Q155" s="97"/>
      <c r="R155" s="97"/>
      <c r="S155" s="97"/>
      <c r="T155" s="97"/>
      <c r="U155" s="85"/>
      <c r="V155" s="84">
        <f>I155+M155+N155-U155+J155-L155</f>
        <v>0</v>
      </c>
      <c r="W155" s="84">
        <v>33.700000000000003</v>
      </c>
      <c r="X155" s="84">
        <f>V155+W155</f>
        <v>33.700000000000003</v>
      </c>
      <c r="Y155" s="84">
        <v>33.700000000000003</v>
      </c>
      <c r="Z155" s="97"/>
      <c r="AA155" s="97"/>
      <c r="AB155" s="84">
        <f>X155-Y155</f>
        <v>0</v>
      </c>
      <c r="AC155" s="97"/>
      <c r="AD155" s="84">
        <f t="shared" si="44"/>
        <v>0</v>
      </c>
      <c r="AE155" s="97"/>
      <c r="AF155" s="84"/>
      <c r="AG155" s="97"/>
      <c r="AH155" s="84"/>
      <c r="AI155" s="84">
        <f t="shared" ref="AI155:AI156" si="50">V155+W155-Y155+AC155-AE155+AF155+AG155-AH155</f>
        <v>0</v>
      </c>
      <c r="AJ155" s="84"/>
      <c r="AK155" s="84"/>
      <c r="AL155" s="80">
        <f t="shared" ref="AL155:AL161" si="51">AI155+AJ155</f>
        <v>0</v>
      </c>
      <c r="AM155" s="80"/>
    </row>
    <row r="156" spans="1:40" s="20" customFormat="1" ht="54.75" hidden="1" customHeight="1">
      <c r="A156" s="16"/>
      <c r="B156" s="89" t="s">
        <v>165</v>
      </c>
      <c r="C156" s="91"/>
      <c r="D156" s="91"/>
      <c r="E156" s="91"/>
      <c r="F156" s="91"/>
      <c r="G156" s="92"/>
      <c r="H156" s="92"/>
      <c r="I156" s="91"/>
      <c r="J156" s="91"/>
      <c r="K156" s="91"/>
      <c r="L156" s="91"/>
      <c r="M156" s="85">
        <f>41470000+24881000+70498000+62204000+49762000</f>
        <v>248815000</v>
      </c>
      <c r="N156" s="97"/>
      <c r="O156" s="97"/>
      <c r="P156" s="97"/>
      <c r="Q156" s="97"/>
      <c r="R156" s="97"/>
      <c r="S156" s="97"/>
      <c r="T156" s="97"/>
      <c r="U156" s="85">
        <v>248815000</v>
      </c>
      <c r="V156" s="84">
        <f>I156+J156+M156+N156-U156</f>
        <v>0</v>
      </c>
      <c r="W156" s="84"/>
      <c r="X156" s="84">
        <f>V156+W156</f>
        <v>0</v>
      </c>
      <c r="Y156" s="84">
        <v>0</v>
      </c>
      <c r="Z156" s="97"/>
      <c r="AA156" s="97"/>
      <c r="AB156" s="84">
        <f>X156-Y156</f>
        <v>0</v>
      </c>
      <c r="AC156" s="97"/>
      <c r="AD156" s="84">
        <f t="shared" si="44"/>
        <v>0</v>
      </c>
      <c r="AE156" s="97"/>
      <c r="AF156" s="84">
        <f>18679000+18679000+18678000+18679000+18679000+114562000+51989000</f>
        <v>259945000</v>
      </c>
      <c r="AG156" s="97"/>
      <c r="AH156" s="84">
        <v>259945000</v>
      </c>
      <c r="AI156" s="84">
        <f t="shared" si="50"/>
        <v>0</v>
      </c>
      <c r="AJ156" s="84"/>
      <c r="AK156" s="84"/>
      <c r="AL156" s="80">
        <f t="shared" si="51"/>
        <v>0</v>
      </c>
      <c r="AM156" s="80"/>
      <c r="AN156" s="56" t="e">
        <f>#REF!+#REF!</f>
        <v>#REF!</v>
      </c>
    </row>
    <row r="157" spans="1:40" s="20" customFormat="1" ht="69" customHeight="1">
      <c r="A157" s="16"/>
      <c r="B157" s="79" t="s">
        <v>289</v>
      </c>
      <c r="C157" s="91"/>
      <c r="D157" s="91">
        <v>10857.2</v>
      </c>
      <c r="E157" s="91">
        <f t="shared" si="49"/>
        <v>10857.2</v>
      </c>
      <c r="F157" s="91">
        <f>E157+18461.05</f>
        <v>29318.25</v>
      </c>
      <c r="G157" s="92"/>
      <c r="H157" s="92"/>
      <c r="I157" s="91">
        <f>C157+D157-F157</f>
        <v>-18461.05</v>
      </c>
      <c r="J157" s="91"/>
      <c r="K157" s="91"/>
      <c r="L157" s="91"/>
      <c r="M157" s="85">
        <v>31585700</v>
      </c>
      <c r="N157" s="85">
        <f>18461.05+9467.61+4614.43</f>
        <v>32543.09</v>
      </c>
      <c r="O157" s="97"/>
      <c r="P157" s="97"/>
      <c r="Q157" s="97"/>
      <c r="R157" s="97"/>
      <c r="S157" s="97"/>
      <c r="T157" s="97"/>
      <c r="U157" s="85">
        <v>31585700</v>
      </c>
      <c r="V157" s="84">
        <f>I157+J157+M157+N157-U157</f>
        <v>14082.039999999106</v>
      </c>
      <c r="W157" s="84">
        <v>104809.25</v>
      </c>
      <c r="X157" s="84">
        <f>V157+W157</f>
        <v>118891.28999999911</v>
      </c>
      <c r="Y157" s="84">
        <v>118891.29</v>
      </c>
      <c r="Z157" s="97"/>
      <c r="AA157" s="97"/>
      <c r="AB157" s="84">
        <f>X157-Y157</f>
        <v>-8.8766682893037796E-10</v>
      </c>
      <c r="AC157" s="97"/>
      <c r="AD157" s="84">
        <f t="shared" si="44"/>
        <v>0</v>
      </c>
      <c r="AE157" s="97"/>
      <c r="AF157" s="84">
        <v>30854363.199999999</v>
      </c>
      <c r="AG157" s="84">
        <f>936.8+32672.7</f>
        <v>33609.5</v>
      </c>
      <c r="AH157" s="84">
        <v>30855300</v>
      </c>
      <c r="AI157" s="84">
        <v>33020.25</v>
      </c>
      <c r="AJ157" s="84">
        <f>60839.39+1135</f>
        <v>61974.39</v>
      </c>
      <c r="AK157" s="84"/>
      <c r="AL157" s="80">
        <f>AI157+AJ157+AK157</f>
        <v>94994.64</v>
      </c>
      <c r="AM157" s="80">
        <v>94994.64</v>
      </c>
      <c r="AN157" s="58"/>
    </row>
    <row r="158" spans="1:40" s="20" customFormat="1" ht="34.5" hidden="1" customHeight="1">
      <c r="A158" s="16"/>
      <c r="B158" s="134" t="s">
        <v>166</v>
      </c>
      <c r="C158" s="91">
        <v>0</v>
      </c>
      <c r="D158" s="91">
        <v>18163827.32</v>
      </c>
      <c r="E158" s="91">
        <f t="shared" si="49"/>
        <v>18163827.32</v>
      </c>
      <c r="F158" s="91">
        <f t="shared" si="49"/>
        <v>18163827.32</v>
      </c>
      <c r="G158" s="92"/>
      <c r="H158" s="92"/>
      <c r="I158" s="91">
        <f>C158+D158-F158</f>
        <v>0</v>
      </c>
      <c r="J158" s="91">
        <v>18163827.32</v>
      </c>
      <c r="K158" s="91"/>
      <c r="L158" s="91">
        <v>18163827.32</v>
      </c>
      <c r="M158" s="85">
        <f>27490000+27489000</f>
        <v>54979000</v>
      </c>
      <c r="N158" s="97"/>
      <c r="O158" s="97"/>
      <c r="P158" s="97"/>
      <c r="Q158" s="97"/>
      <c r="R158" s="97"/>
      <c r="S158" s="97"/>
      <c r="T158" s="97"/>
      <c r="U158" s="85">
        <v>54979000</v>
      </c>
      <c r="V158" s="84">
        <f>I158+M158+N158-U158+J158-L158</f>
        <v>0</v>
      </c>
      <c r="W158" s="84">
        <v>729366.7</v>
      </c>
      <c r="X158" s="84">
        <f>V158+W158</f>
        <v>729366.7</v>
      </c>
      <c r="Y158" s="84">
        <v>729366.7</v>
      </c>
      <c r="Z158" s="84">
        <v>729366.7</v>
      </c>
      <c r="AA158" s="84">
        <v>729366.7</v>
      </c>
      <c r="AB158" s="84">
        <f>X158-Y158</f>
        <v>0</v>
      </c>
      <c r="AC158" s="84">
        <v>729366.7</v>
      </c>
      <c r="AD158" s="84">
        <f t="shared" si="44"/>
        <v>0</v>
      </c>
      <c r="AE158" s="84">
        <v>729366.7</v>
      </c>
      <c r="AF158" s="84">
        <f>23864000+23864000</f>
        <v>47728000</v>
      </c>
      <c r="AG158" s="84">
        <v>12000</v>
      </c>
      <c r="AH158" s="84">
        <v>47728000</v>
      </c>
      <c r="AI158" s="84">
        <v>0</v>
      </c>
      <c r="AJ158" s="84"/>
      <c r="AK158" s="84"/>
      <c r="AL158" s="80">
        <f t="shared" si="51"/>
        <v>0</v>
      </c>
      <c r="AM158" s="80"/>
    </row>
    <row r="159" spans="1:40" s="20" customFormat="1" ht="87" customHeight="1">
      <c r="A159" s="16"/>
      <c r="B159" s="95" t="s">
        <v>290</v>
      </c>
      <c r="C159" s="91"/>
      <c r="D159" s="91"/>
      <c r="E159" s="91"/>
      <c r="F159" s="91"/>
      <c r="G159" s="92"/>
      <c r="H159" s="92"/>
      <c r="I159" s="91"/>
      <c r="J159" s="91"/>
      <c r="K159" s="91"/>
      <c r="L159" s="91"/>
      <c r="M159" s="85"/>
      <c r="N159" s="97"/>
      <c r="O159" s="97"/>
      <c r="P159" s="97"/>
      <c r="Q159" s="97"/>
      <c r="R159" s="97"/>
      <c r="S159" s="97"/>
      <c r="T159" s="97"/>
      <c r="U159" s="85"/>
      <c r="V159" s="84"/>
      <c r="W159" s="84"/>
      <c r="X159" s="84"/>
      <c r="Y159" s="84"/>
      <c r="Z159" s="84"/>
      <c r="AA159" s="84"/>
      <c r="AB159" s="84"/>
      <c r="AC159" s="84"/>
      <c r="AD159" s="84"/>
      <c r="AE159" s="84"/>
      <c r="AF159" s="84"/>
      <c r="AG159" s="84"/>
      <c r="AH159" s="84"/>
      <c r="AI159" s="84">
        <v>1661</v>
      </c>
      <c r="AJ159" s="84"/>
      <c r="AK159" s="84"/>
      <c r="AL159" s="80">
        <f>AI159+AJ159+AK159</f>
        <v>1661</v>
      </c>
      <c r="AM159" s="80">
        <v>1661</v>
      </c>
    </row>
    <row r="160" spans="1:40" s="20" customFormat="1" ht="68.25" hidden="1" customHeight="1">
      <c r="A160" s="16"/>
      <c r="B160" s="135"/>
      <c r="C160" s="91"/>
      <c r="D160" s="91"/>
      <c r="E160" s="91"/>
      <c r="F160" s="91"/>
      <c r="G160" s="92"/>
      <c r="H160" s="92"/>
      <c r="I160" s="91"/>
      <c r="J160" s="91"/>
      <c r="K160" s="91"/>
      <c r="L160" s="91"/>
      <c r="M160" s="85"/>
      <c r="N160" s="97"/>
      <c r="O160" s="97"/>
      <c r="P160" s="97"/>
      <c r="Q160" s="97"/>
      <c r="R160" s="97"/>
      <c r="S160" s="97"/>
      <c r="T160" s="97"/>
      <c r="U160" s="85"/>
      <c r="V160" s="84"/>
      <c r="W160" s="84"/>
      <c r="X160" s="84"/>
      <c r="Y160" s="84"/>
      <c r="Z160" s="84"/>
      <c r="AA160" s="84"/>
      <c r="AB160" s="84"/>
      <c r="AC160" s="84"/>
      <c r="AD160" s="84"/>
      <c r="AE160" s="84"/>
      <c r="AF160" s="84"/>
      <c r="AG160" s="84"/>
      <c r="AH160" s="84"/>
      <c r="AI160" s="84"/>
      <c r="AJ160" s="84"/>
      <c r="AK160" s="84"/>
      <c r="AL160" s="80"/>
      <c r="AM160" s="80"/>
    </row>
    <row r="161" spans="1:39" s="20" customFormat="1" ht="78" hidden="1" customHeight="1" thickBot="1">
      <c r="A161" s="16"/>
      <c r="B161" s="95" t="s">
        <v>243</v>
      </c>
      <c r="C161" s="91"/>
      <c r="D161" s="91"/>
      <c r="E161" s="91"/>
      <c r="F161" s="91"/>
      <c r="G161" s="92"/>
      <c r="H161" s="92"/>
      <c r="I161" s="91"/>
      <c r="J161" s="91"/>
      <c r="K161" s="91"/>
      <c r="L161" s="91"/>
      <c r="M161" s="85"/>
      <c r="N161" s="97"/>
      <c r="O161" s="97"/>
      <c r="P161" s="97"/>
      <c r="Q161" s="97"/>
      <c r="R161" s="97"/>
      <c r="S161" s="97"/>
      <c r="T161" s="97"/>
      <c r="U161" s="85"/>
      <c r="V161" s="84"/>
      <c r="W161" s="84"/>
      <c r="X161" s="84"/>
      <c r="Y161" s="84">
        <v>0</v>
      </c>
      <c r="Z161" s="136"/>
      <c r="AA161" s="97"/>
      <c r="AB161" s="84"/>
      <c r="AC161" s="97"/>
      <c r="AD161" s="84">
        <f t="shared" si="44"/>
        <v>0</v>
      </c>
      <c r="AE161" s="97"/>
      <c r="AF161" s="84">
        <v>136994700</v>
      </c>
      <c r="AG161" s="84">
        <f>38842.71-38842.71</f>
        <v>0</v>
      </c>
      <c r="AH161" s="84">
        <v>134576812.84999999</v>
      </c>
      <c r="AI161" s="84">
        <v>0</v>
      </c>
      <c r="AJ161" s="84"/>
      <c r="AK161" s="84"/>
      <c r="AL161" s="80">
        <f t="shared" si="51"/>
        <v>0</v>
      </c>
      <c r="AM161" s="80"/>
    </row>
    <row r="162" spans="1:39" ht="68.25" customHeight="1" thickBot="1">
      <c r="A162" s="41"/>
      <c r="B162" s="122" t="s">
        <v>296</v>
      </c>
      <c r="C162" s="84">
        <v>100</v>
      </c>
      <c r="D162" s="84">
        <v>714548.78</v>
      </c>
      <c r="E162" s="84">
        <f>C162+D162</f>
        <v>714648.78</v>
      </c>
      <c r="F162" s="91">
        <f>E162</f>
        <v>714648.78</v>
      </c>
      <c r="G162" s="84"/>
      <c r="H162" s="84"/>
      <c r="I162" s="91">
        <f>C162+D162-F162</f>
        <v>0</v>
      </c>
      <c r="J162" s="84"/>
      <c r="K162" s="84"/>
      <c r="L162" s="84"/>
      <c r="M162" s="85">
        <v>177400</v>
      </c>
      <c r="N162" s="97"/>
      <c r="O162" s="97"/>
      <c r="P162" s="97"/>
      <c r="Q162" s="97"/>
      <c r="R162" s="97"/>
      <c r="S162" s="97"/>
      <c r="T162" s="97"/>
      <c r="U162" s="85">
        <v>177400</v>
      </c>
      <c r="V162" s="84">
        <f>I162+J162+M162+N162-U162</f>
        <v>0</v>
      </c>
      <c r="W162" s="84">
        <v>29531</v>
      </c>
      <c r="X162" s="84">
        <f>V162+W162</f>
        <v>29531</v>
      </c>
      <c r="Y162" s="84">
        <v>29531</v>
      </c>
      <c r="Z162" s="97"/>
      <c r="AA162" s="97"/>
      <c r="AB162" s="84">
        <f>X162-Y162</f>
        <v>0</v>
      </c>
      <c r="AC162" s="97"/>
      <c r="AD162" s="84">
        <f t="shared" si="44"/>
        <v>0</v>
      </c>
      <c r="AE162" s="97"/>
      <c r="AF162" s="84">
        <f>74600+33400+16800+46000+23000</f>
        <v>193800</v>
      </c>
      <c r="AG162" s="97"/>
      <c r="AH162" s="84">
        <v>170900.25</v>
      </c>
      <c r="AI162" s="84">
        <v>0</v>
      </c>
      <c r="AJ162" s="84">
        <v>46300.56</v>
      </c>
      <c r="AK162" s="84"/>
      <c r="AL162" s="80">
        <f>AI162+AJ162+AK162</f>
        <v>46300.56</v>
      </c>
      <c r="AM162" s="80">
        <v>46300.56</v>
      </c>
    </row>
    <row r="163" spans="1:39" ht="21.75" customHeight="1" thickBot="1">
      <c r="A163" s="38" t="s">
        <v>167</v>
      </c>
      <c r="B163" s="119" t="s">
        <v>168</v>
      </c>
      <c r="C163" s="93">
        <f>SUM(C155:C162)</f>
        <v>100</v>
      </c>
      <c r="D163" s="93">
        <f t="shared" ref="D163:AM163" si="52">SUM(D155:D162)</f>
        <v>19965853.32</v>
      </c>
      <c r="E163" s="93">
        <f t="shared" si="52"/>
        <v>19965953.32</v>
      </c>
      <c r="F163" s="93">
        <f t="shared" si="52"/>
        <v>19984414.370000001</v>
      </c>
      <c r="G163" s="93">
        <f t="shared" si="52"/>
        <v>0</v>
      </c>
      <c r="H163" s="93">
        <f t="shared" si="52"/>
        <v>0</v>
      </c>
      <c r="I163" s="93">
        <f t="shared" si="52"/>
        <v>-18461.05</v>
      </c>
      <c r="J163" s="93">
        <f t="shared" si="52"/>
        <v>19240447.34</v>
      </c>
      <c r="K163" s="93">
        <f t="shared" si="52"/>
        <v>0</v>
      </c>
      <c r="L163" s="93">
        <f t="shared" si="52"/>
        <v>19240447.34</v>
      </c>
      <c r="M163" s="93">
        <f t="shared" si="52"/>
        <v>335557100</v>
      </c>
      <c r="N163" s="93">
        <f t="shared" si="52"/>
        <v>32543.09</v>
      </c>
      <c r="O163" s="93">
        <f t="shared" si="52"/>
        <v>0</v>
      </c>
      <c r="P163" s="93">
        <f t="shared" si="52"/>
        <v>0</v>
      </c>
      <c r="Q163" s="93">
        <f t="shared" si="52"/>
        <v>0</v>
      </c>
      <c r="R163" s="93">
        <f t="shared" si="52"/>
        <v>0</v>
      </c>
      <c r="S163" s="93">
        <f t="shared" si="52"/>
        <v>0</v>
      </c>
      <c r="T163" s="93">
        <f t="shared" si="52"/>
        <v>0</v>
      </c>
      <c r="U163" s="93">
        <f t="shared" si="52"/>
        <v>335557100</v>
      </c>
      <c r="V163" s="93">
        <f t="shared" si="52"/>
        <v>14082.039999999106</v>
      </c>
      <c r="W163" s="93">
        <f t="shared" si="52"/>
        <v>863740.64999999991</v>
      </c>
      <c r="X163" s="93">
        <f t="shared" si="52"/>
        <v>877822.68999999901</v>
      </c>
      <c r="Y163" s="93">
        <f t="shared" si="52"/>
        <v>877822.69</v>
      </c>
      <c r="Z163" s="93">
        <f t="shared" si="52"/>
        <v>729366.7</v>
      </c>
      <c r="AA163" s="93">
        <f t="shared" si="52"/>
        <v>729366.7</v>
      </c>
      <c r="AB163" s="93">
        <f t="shared" si="52"/>
        <v>-8.8766682893037796E-10</v>
      </c>
      <c r="AC163" s="93">
        <f t="shared" si="52"/>
        <v>729366.7</v>
      </c>
      <c r="AD163" s="93">
        <f t="shared" si="52"/>
        <v>0</v>
      </c>
      <c r="AE163" s="93">
        <f t="shared" si="52"/>
        <v>729366.7</v>
      </c>
      <c r="AF163" s="93">
        <f t="shared" si="52"/>
        <v>475715863.19999999</v>
      </c>
      <c r="AG163" s="92">
        <f t="shared" si="52"/>
        <v>45609.5</v>
      </c>
      <c r="AH163" s="93">
        <f t="shared" si="52"/>
        <v>473276013.10000002</v>
      </c>
      <c r="AI163" s="93">
        <f t="shared" si="52"/>
        <v>34681.25</v>
      </c>
      <c r="AJ163" s="93">
        <f t="shared" si="52"/>
        <v>108274.95</v>
      </c>
      <c r="AK163" s="93">
        <f t="shared" si="52"/>
        <v>0</v>
      </c>
      <c r="AL163" s="93">
        <f t="shared" si="52"/>
        <v>142956.20000000001</v>
      </c>
      <c r="AM163" s="93">
        <f t="shared" si="52"/>
        <v>142956.20000000001</v>
      </c>
    </row>
    <row r="164" spans="1:39" ht="93.75" hidden="1" customHeight="1" thickBot="1">
      <c r="A164" s="42"/>
      <c r="B164" s="95" t="s">
        <v>169</v>
      </c>
      <c r="C164" s="93"/>
      <c r="D164" s="93"/>
      <c r="E164" s="93"/>
      <c r="F164" s="93"/>
      <c r="G164" s="93"/>
      <c r="H164" s="93"/>
      <c r="I164" s="93"/>
      <c r="J164" s="93"/>
      <c r="K164" s="93"/>
      <c r="L164" s="93"/>
      <c r="M164" s="93"/>
      <c r="N164" s="93"/>
      <c r="O164" s="93"/>
      <c r="P164" s="93"/>
      <c r="Q164" s="93"/>
      <c r="R164" s="93"/>
      <c r="S164" s="93"/>
      <c r="T164" s="93"/>
      <c r="U164" s="93"/>
      <c r="V164" s="93"/>
      <c r="W164" s="93"/>
      <c r="X164" s="93"/>
      <c r="Y164" s="93"/>
      <c r="Z164" s="93"/>
      <c r="AA164" s="93"/>
      <c r="AB164" s="93"/>
      <c r="AC164" s="93"/>
      <c r="AD164" s="93"/>
      <c r="AE164" s="93"/>
      <c r="AF164" s="94">
        <f>22440000+5571000+14365500+433500</f>
        <v>42810000</v>
      </c>
      <c r="AG164" s="92"/>
      <c r="AH164" s="94">
        <v>30691523</v>
      </c>
      <c r="AI164" s="84">
        <v>0</v>
      </c>
      <c r="AJ164" s="84"/>
      <c r="AK164" s="84"/>
      <c r="AL164" s="80">
        <f t="shared" ref="AL164:AL168" si="53">AI164+AJ164</f>
        <v>0</v>
      </c>
      <c r="AM164" s="94"/>
    </row>
    <row r="165" spans="1:39" ht="69" customHeight="1" thickBot="1">
      <c r="A165" s="42"/>
      <c r="B165" s="95" t="s">
        <v>292</v>
      </c>
      <c r="C165" s="93"/>
      <c r="D165" s="93"/>
      <c r="E165" s="93"/>
      <c r="F165" s="93"/>
      <c r="G165" s="93"/>
      <c r="H165" s="93"/>
      <c r="I165" s="93"/>
      <c r="J165" s="93"/>
      <c r="K165" s="93"/>
      <c r="L165" s="93"/>
      <c r="M165" s="93"/>
      <c r="N165" s="93"/>
      <c r="O165" s="93"/>
      <c r="P165" s="93"/>
      <c r="Q165" s="93"/>
      <c r="R165" s="93"/>
      <c r="S165" s="93"/>
      <c r="T165" s="93"/>
      <c r="U165" s="93"/>
      <c r="V165" s="93"/>
      <c r="W165" s="93"/>
      <c r="X165" s="93"/>
      <c r="Y165" s="93"/>
      <c r="Z165" s="93"/>
      <c r="AA165" s="93"/>
      <c r="AB165" s="93"/>
      <c r="AC165" s="93"/>
      <c r="AD165" s="93"/>
      <c r="AE165" s="93"/>
      <c r="AF165" s="94"/>
      <c r="AG165" s="92"/>
      <c r="AH165" s="94"/>
      <c r="AI165" s="84">
        <v>0</v>
      </c>
      <c r="AJ165" s="84">
        <v>1309528.2</v>
      </c>
      <c r="AK165" s="84"/>
      <c r="AL165" s="80">
        <f t="shared" si="53"/>
        <v>1309528.2</v>
      </c>
      <c r="AM165" s="94">
        <v>1309528.2</v>
      </c>
    </row>
    <row r="166" spans="1:39" ht="100.5" customHeight="1" thickBot="1">
      <c r="A166" s="42"/>
      <c r="B166" s="95" t="s">
        <v>293</v>
      </c>
      <c r="C166" s="93"/>
      <c r="D166" s="93"/>
      <c r="E166" s="93"/>
      <c r="F166" s="93"/>
      <c r="G166" s="93"/>
      <c r="H166" s="93"/>
      <c r="I166" s="93"/>
      <c r="J166" s="93"/>
      <c r="K166" s="93"/>
      <c r="L166" s="93"/>
      <c r="M166" s="93"/>
      <c r="N166" s="93"/>
      <c r="O166" s="93"/>
      <c r="P166" s="93"/>
      <c r="Q166" s="93"/>
      <c r="R166" s="93"/>
      <c r="S166" s="93"/>
      <c r="T166" s="93"/>
      <c r="U166" s="93"/>
      <c r="V166" s="93"/>
      <c r="W166" s="93"/>
      <c r="X166" s="93"/>
      <c r="Y166" s="93"/>
      <c r="Z166" s="93"/>
      <c r="AA166" s="93"/>
      <c r="AB166" s="93"/>
      <c r="AC166" s="93"/>
      <c r="AD166" s="93"/>
      <c r="AE166" s="93"/>
      <c r="AF166" s="94"/>
      <c r="AG166" s="92"/>
      <c r="AH166" s="94"/>
      <c r="AI166" s="84">
        <v>95103.92</v>
      </c>
      <c r="AJ166" s="84"/>
      <c r="AK166" s="84"/>
      <c r="AL166" s="80">
        <f t="shared" si="53"/>
        <v>95103.92</v>
      </c>
      <c r="AM166" s="94">
        <v>95103.92</v>
      </c>
    </row>
    <row r="167" spans="1:39" ht="49.5" customHeight="1" thickBot="1">
      <c r="A167" s="42"/>
      <c r="B167" s="95" t="s">
        <v>321</v>
      </c>
      <c r="C167" s="93"/>
      <c r="D167" s="93"/>
      <c r="E167" s="93"/>
      <c r="F167" s="93"/>
      <c r="G167" s="93"/>
      <c r="H167" s="93"/>
      <c r="I167" s="93"/>
      <c r="J167" s="93"/>
      <c r="K167" s="93"/>
      <c r="L167" s="93"/>
      <c r="M167" s="93"/>
      <c r="N167" s="93"/>
      <c r="O167" s="93"/>
      <c r="P167" s="93"/>
      <c r="Q167" s="93"/>
      <c r="R167" s="93"/>
      <c r="S167" s="93"/>
      <c r="T167" s="93"/>
      <c r="U167" s="93"/>
      <c r="V167" s="93"/>
      <c r="W167" s="93"/>
      <c r="X167" s="93"/>
      <c r="Y167" s="93"/>
      <c r="Z167" s="93"/>
      <c r="AA167" s="93"/>
      <c r="AB167" s="93"/>
      <c r="AC167" s="93"/>
      <c r="AD167" s="93"/>
      <c r="AE167" s="93"/>
      <c r="AF167" s="94"/>
      <c r="AG167" s="92"/>
      <c r="AH167" s="94"/>
      <c r="AI167" s="84">
        <v>23650</v>
      </c>
      <c r="AJ167" s="84"/>
      <c r="AK167" s="84"/>
      <c r="AL167" s="80">
        <f t="shared" si="53"/>
        <v>23650</v>
      </c>
      <c r="AM167" s="94"/>
    </row>
    <row r="168" spans="1:39" ht="3.75" hidden="1" customHeight="1" thickBot="1">
      <c r="A168" s="42"/>
      <c r="B168" s="95" t="s">
        <v>170</v>
      </c>
      <c r="C168" s="93"/>
      <c r="D168" s="93"/>
      <c r="E168" s="93"/>
      <c r="F168" s="94">
        <v>119627.52</v>
      </c>
      <c r="G168" s="93"/>
      <c r="H168" s="93"/>
      <c r="I168" s="93"/>
      <c r="J168" s="93"/>
      <c r="K168" s="93"/>
      <c r="L168" s="93"/>
      <c r="M168" s="93"/>
      <c r="N168" s="94">
        <f>125923.7-6296.18</f>
        <v>119627.51999999999</v>
      </c>
      <c r="O168" s="93"/>
      <c r="P168" s="93"/>
      <c r="Q168" s="93"/>
      <c r="R168" s="93"/>
      <c r="S168" s="93"/>
      <c r="T168" s="93"/>
      <c r="U168" s="93"/>
      <c r="V168" s="84">
        <f>I168+J168+M168+N168-U168-F168</f>
        <v>0</v>
      </c>
      <c r="W168" s="97"/>
      <c r="X168" s="84">
        <f>V168</f>
        <v>0</v>
      </c>
      <c r="Y168" s="97"/>
      <c r="Z168" s="97"/>
      <c r="AA168" s="97"/>
      <c r="AB168" s="84">
        <f>X168-Y168</f>
        <v>0</v>
      </c>
      <c r="AC168" s="97"/>
      <c r="AD168" s="84">
        <f t="shared" si="44"/>
        <v>0</v>
      </c>
      <c r="AE168" s="97"/>
      <c r="AF168" s="97"/>
      <c r="AG168" s="97"/>
      <c r="AH168" s="97"/>
      <c r="AI168" s="84">
        <v>0</v>
      </c>
      <c r="AJ168" s="84"/>
      <c r="AK168" s="84"/>
      <c r="AL168" s="80">
        <f t="shared" si="53"/>
        <v>0</v>
      </c>
      <c r="AM168" s="90"/>
    </row>
    <row r="169" spans="1:39" ht="18" customHeight="1" thickBot="1">
      <c r="A169" s="42"/>
      <c r="B169" s="119" t="s">
        <v>294</v>
      </c>
      <c r="C169" s="93"/>
      <c r="D169" s="93"/>
      <c r="E169" s="93">
        <f t="shared" ref="E169:L169" si="54">E168</f>
        <v>0</v>
      </c>
      <c r="F169" s="93">
        <f t="shared" si="54"/>
        <v>119627.52</v>
      </c>
      <c r="G169" s="93">
        <f t="shared" si="54"/>
        <v>0</v>
      </c>
      <c r="H169" s="93">
        <f t="shared" si="54"/>
        <v>0</v>
      </c>
      <c r="I169" s="93">
        <f t="shared" si="54"/>
        <v>0</v>
      </c>
      <c r="J169" s="93">
        <f t="shared" si="54"/>
        <v>0</v>
      </c>
      <c r="K169" s="93"/>
      <c r="L169" s="93">
        <f t="shared" si="54"/>
        <v>0</v>
      </c>
      <c r="M169" s="93">
        <f>M168</f>
        <v>0</v>
      </c>
      <c r="N169" s="93">
        <f>N168</f>
        <v>119627.51999999999</v>
      </c>
      <c r="O169" s="93"/>
      <c r="P169" s="93"/>
      <c r="Q169" s="93"/>
      <c r="R169" s="93"/>
      <c r="S169" s="93"/>
      <c r="T169" s="93"/>
      <c r="U169" s="93">
        <f>U168</f>
        <v>0</v>
      </c>
      <c r="V169" s="93">
        <f>V168</f>
        <v>0</v>
      </c>
      <c r="W169" s="93">
        <f t="shared" ref="W169:AE169" si="55">W168</f>
        <v>0</v>
      </c>
      <c r="X169" s="93">
        <f t="shared" si="55"/>
        <v>0</v>
      </c>
      <c r="Y169" s="93">
        <f t="shared" si="55"/>
        <v>0</v>
      </c>
      <c r="Z169" s="93">
        <f t="shared" si="55"/>
        <v>0</v>
      </c>
      <c r="AA169" s="93">
        <f t="shared" si="55"/>
        <v>0</v>
      </c>
      <c r="AB169" s="93">
        <f t="shared" si="55"/>
        <v>0</v>
      </c>
      <c r="AC169" s="93">
        <f t="shared" si="55"/>
        <v>0</v>
      </c>
      <c r="AD169" s="93">
        <f t="shared" si="55"/>
        <v>0</v>
      </c>
      <c r="AE169" s="93">
        <f t="shared" si="55"/>
        <v>0</v>
      </c>
      <c r="AF169" s="93">
        <f t="shared" ref="AF169:AH169" si="56">AF168+AF164</f>
        <v>42810000</v>
      </c>
      <c r="AG169" s="93">
        <f t="shared" si="56"/>
        <v>0</v>
      </c>
      <c r="AH169" s="93">
        <f t="shared" si="56"/>
        <v>30691523</v>
      </c>
      <c r="AI169" s="93">
        <f>SUM(AI164:AI168)</f>
        <v>118753.92</v>
      </c>
      <c r="AJ169" s="93">
        <f t="shared" ref="AJ169:AM169" si="57">SUM(AJ164:AJ168)</f>
        <v>1309528.2</v>
      </c>
      <c r="AK169" s="93">
        <f t="shared" si="57"/>
        <v>0</v>
      </c>
      <c r="AL169" s="93">
        <f t="shared" si="57"/>
        <v>1428282.1199999999</v>
      </c>
      <c r="AM169" s="93">
        <f t="shared" si="57"/>
        <v>1404632.1199999999</v>
      </c>
    </row>
    <row r="170" spans="1:39" ht="96.75" hidden="1" customHeight="1" thickBot="1">
      <c r="A170" s="42"/>
      <c r="B170" s="95" t="s">
        <v>171</v>
      </c>
      <c r="C170" s="93"/>
      <c r="D170" s="93"/>
      <c r="E170" s="93"/>
      <c r="F170" s="93"/>
      <c r="G170" s="93"/>
      <c r="H170" s="93"/>
      <c r="I170" s="93"/>
      <c r="J170" s="93"/>
      <c r="K170" s="93"/>
      <c r="L170" s="93"/>
      <c r="M170" s="93"/>
      <c r="N170" s="93"/>
      <c r="O170" s="93"/>
      <c r="P170" s="93"/>
      <c r="Q170" s="93"/>
      <c r="R170" s="93"/>
      <c r="S170" s="93"/>
      <c r="T170" s="93"/>
      <c r="U170" s="93"/>
      <c r="V170" s="93"/>
      <c r="W170" s="93"/>
      <c r="X170" s="93"/>
      <c r="Y170" s="93"/>
      <c r="Z170" s="93"/>
      <c r="AA170" s="93"/>
      <c r="AB170" s="93"/>
      <c r="AC170" s="93"/>
      <c r="AD170" s="93"/>
      <c r="AE170" s="93"/>
      <c r="AF170" s="94">
        <v>69260950</v>
      </c>
      <c r="AG170" s="93"/>
      <c r="AH170" s="94">
        <v>66524950</v>
      </c>
      <c r="AI170" s="84">
        <v>0</v>
      </c>
      <c r="AJ170" s="84"/>
      <c r="AK170" s="84"/>
      <c r="AL170" s="80">
        <f t="shared" ref="AL170:AL172" si="58">AI170+AJ170</f>
        <v>0</v>
      </c>
      <c r="AM170" s="94"/>
    </row>
    <row r="171" spans="1:39" ht="76.5" hidden="1" customHeight="1" thickBot="1">
      <c r="A171" s="42"/>
      <c r="B171" s="95" t="s">
        <v>257</v>
      </c>
      <c r="C171" s="93"/>
      <c r="D171" s="93"/>
      <c r="E171" s="93"/>
      <c r="F171" s="93"/>
      <c r="G171" s="93"/>
      <c r="H171" s="93"/>
      <c r="I171" s="93"/>
      <c r="J171" s="93"/>
      <c r="K171" s="93"/>
      <c r="L171" s="93"/>
      <c r="M171" s="93"/>
      <c r="N171" s="93"/>
      <c r="O171" s="93"/>
      <c r="P171" s="93"/>
      <c r="Q171" s="93"/>
      <c r="R171" s="93"/>
      <c r="S171" s="93"/>
      <c r="T171" s="93"/>
      <c r="U171" s="93"/>
      <c r="V171" s="93"/>
      <c r="W171" s="93"/>
      <c r="X171" s="93"/>
      <c r="Y171" s="93"/>
      <c r="Z171" s="93"/>
      <c r="AA171" s="93"/>
      <c r="AB171" s="93"/>
      <c r="AC171" s="93"/>
      <c r="AD171" s="93"/>
      <c r="AE171" s="93"/>
      <c r="AF171" s="94"/>
      <c r="AG171" s="93"/>
      <c r="AH171" s="94"/>
      <c r="AI171" s="84">
        <v>0</v>
      </c>
      <c r="AJ171" s="84"/>
      <c r="AK171" s="84"/>
      <c r="AL171" s="80">
        <f t="shared" si="58"/>
        <v>0</v>
      </c>
      <c r="AM171" s="94"/>
    </row>
    <row r="172" spans="1:39" ht="52.5" customHeight="1" thickBot="1">
      <c r="A172" s="43" t="s">
        <v>172</v>
      </c>
      <c r="B172" s="98" t="s">
        <v>295</v>
      </c>
      <c r="C172" s="84">
        <f>18900001.18+469865.69-695544</f>
        <v>18674322.870000001</v>
      </c>
      <c r="D172" s="84">
        <f>9951663.53-26058-7000-80000-221966.95-323005.6-347125-11726-6638-341790-87988.5-20865+695544-702173</f>
        <v>8470871.4800000004</v>
      </c>
      <c r="E172" s="84">
        <v>17400001.18</v>
      </c>
      <c r="F172" s="137">
        <f>17400001.18+818655.69</f>
        <v>18218656.870000001</v>
      </c>
      <c r="G172" s="84">
        <v>6872507.2800000003</v>
      </c>
      <c r="H172" s="84"/>
      <c r="I172" s="84">
        <f>C172-F172+1474163.05+702173</f>
        <v>2632002.0499999998</v>
      </c>
      <c r="J172" s="84"/>
      <c r="K172" s="84">
        <f>G172-J172</f>
        <v>6872507.2800000003</v>
      </c>
      <c r="L172" s="84"/>
      <c r="M172" s="94">
        <f>143989000+24447884</f>
        <v>168436884</v>
      </c>
      <c r="N172" s="84">
        <f>184800</f>
        <v>184800</v>
      </c>
      <c r="O172" s="97"/>
      <c r="P172" s="97"/>
      <c r="Q172" s="97"/>
      <c r="R172" s="97"/>
      <c r="S172" s="97"/>
      <c r="T172" s="97"/>
      <c r="U172" s="84">
        <f>164528742.82+5000000</f>
        <v>169528742.81999999</v>
      </c>
      <c r="V172" s="84">
        <f>I172+J172+M172+N172-U172-6629+150000</f>
        <v>1868314.2300000191</v>
      </c>
      <c r="W172" s="84">
        <v>3688325.79</v>
      </c>
      <c r="X172" s="84">
        <f>V172+W172</f>
        <v>5556640.0200000191</v>
      </c>
      <c r="Y172" s="84">
        <f>5371840.02+34800+150000+250000</f>
        <v>5806640.0199999996</v>
      </c>
      <c r="Z172" s="84">
        <f>1808871.73+3597768.29+150000</f>
        <v>5556640.0199999996</v>
      </c>
      <c r="AA172" s="84">
        <f>1808871.73+3597768.29</f>
        <v>5406640.0199999996</v>
      </c>
      <c r="AB172" s="84">
        <f>X172-Y172</f>
        <v>-249999.99999998044</v>
      </c>
      <c r="AC172" s="84">
        <v>5406640.0199999996</v>
      </c>
      <c r="AD172" s="84">
        <f t="shared" si="44"/>
        <v>0</v>
      </c>
      <c r="AE172" s="84">
        <f>190692.83+567948.58</f>
        <v>758641.40999999992</v>
      </c>
      <c r="AF172" s="84">
        <f>144317958+4882042</f>
        <v>149200000</v>
      </c>
      <c r="AG172" s="130">
        <f>250000+100000+300000+20000+180000+135507.43</f>
        <v>985507.42999999993</v>
      </c>
      <c r="AH172" s="84">
        <v>153148398.61000001</v>
      </c>
      <c r="AI172" s="84">
        <v>1385</v>
      </c>
      <c r="AJ172" s="84">
        <v>138949</v>
      </c>
      <c r="AK172" s="84"/>
      <c r="AL172" s="80">
        <f t="shared" si="58"/>
        <v>140334</v>
      </c>
      <c r="AM172" s="80">
        <v>140334</v>
      </c>
    </row>
    <row r="173" spans="1:39" ht="34.5" customHeight="1" thickBot="1">
      <c r="A173" s="38" t="s">
        <v>174</v>
      </c>
      <c r="B173" s="119" t="s">
        <v>270</v>
      </c>
      <c r="C173" s="93">
        <f t="shared" ref="C173:AE173" si="59">SUM(C172:C172)</f>
        <v>18674322.870000001</v>
      </c>
      <c r="D173" s="93">
        <f t="shared" si="59"/>
        <v>8470871.4800000004</v>
      </c>
      <c r="E173" s="93">
        <f t="shared" si="59"/>
        <v>17400001.18</v>
      </c>
      <c r="F173" s="93">
        <f t="shared" si="59"/>
        <v>18218656.870000001</v>
      </c>
      <c r="G173" s="93">
        <f t="shared" si="59"/>
        <v>6872507.2800000003</v>
      </c>
      <c r="H173" s="93">
        <f t="shared" si="59"/>
        <v>0</v>
      </c>
      <c r="I173" s="93">
        <f t="shared" si="59"/>
        <v>2632002.0499999998</v>
      </c>
      <c r="J173" s="93">
        <f t="shared" si="59"/>
        <v>0</v>
      </c>
      <c r="K173" s="93">
        <f t="shared" si="59"/>
        <v>6872507.2800000003</v>
      </c>
      <c r="L173" s="93">
        <f t="shared" si="59"/>
        <v>0</v>
      </c>
      <c r="M173" s="93">
        <f t="shared" si="59"/>
        <v>168436884</v>
      </c>
      <c r="N173" s="93">
        <f t="shared" si="59"/>
        <v>184800</v>
      </c>
      <c r="O173" s="93">
        <f t="shared" si="59"/>
        <v>0</v>
      </c>
      <c r="P173" s="93">
        <f t="shared" si="59"/>
        <v>0</v>
      </c>
      <c r="Q173" s="93">
        <f t="shared" si="59"/>
        <v>0</v>
      </c>
      <c r="R173" s="93">
        <f t="shared" si="59"/>
        <v>0</v>
      </c>
      <c r="S173" s="93">
        <f t="shared" si="59"/>
        <v>0</v>
      </c>
      <c r="T173" s="93">
        <f t="shared" si="59"/>
        <v>0</v>
      </c>
      <c r="U173" s="93">
        <f t="shared" si="59"/>
        <v>169528742.81999999</v>
      </c>
      <c r="V173" s="93">
        <f t="shared" si="59"/>
        <v>1868314.2300000191</v>
      </c>
      <c r="W173" s="93">
        <f t="shared" si="59"/>
        <v>3688325.79</v>
      </c>
      <c r="X173" s="93">
        <f t="shared" si="59"/>
        <v>5556640.0200000191</v>
      </c>
      <c r="Y173" s="93">
        <f t="shared" si="59"/>
        <v>5806640.0199999996</v>
      </c>
      <c r="Z173" s="93">
        <f t="shared" si="59"/>
        <v>5556640.0199999996</v>
      </c>
      <c r="AA173" s="93">
        <f t="shared" si="59"/>
        <v>5406640.0199999996</v>
      </c>
      <c r="AB173" s="93">
        <f t="shared" si="59"/>
        <v>-249999.99999998044</v>
      </c>
      <c r="AC173" s="93">
        <f t="shared" si="59"/>
        <v>5406640.0199999996</v>
      </c>
      <c r="AD173" s="93">
        <f t="shared" si="59"/>
        <v>0</v>
      </c>
      <c r="AE173" s="93">
        <f t="shared" si="59"/>
        <v>758641.40999999992</v>
      </c>
      <c r="AF173" s="93">
        <f>AF170+AF172</f>
        <v>218460950</v>
      </c>
      <c r="AG173" s="93">
        <f>AG170+AG172</f>
        <v>985507.42999999993</v>
      </c>
      <c r="AH173" s="93">
        <f>AH170+AH172</f>
        <v>219673348.61000001</v>
      </c>
      <c r="AI173" s="93">
        <f>AI170+AI172</f>
        <v>1385</v>
      </c>
      <c r="AJ173" s="93">
        <f t="shared" ref="AJ173:AM173" si="60">AJ170+AJ172</f>
        <v>138949</v>
      </c>
      <c r="AK173" s="93">
        <f t="shared" si="60"/>
        <v>0</v>
      </c>
      <c r="AL173" s="93">
        <f t="shared" si="60"/>
        <v>140334</v>
      </c>
      <c r="AM173" s="93">
        <f t="shared" si="60"/>
        <v>140334</v>
      </c>
    </row>
    <row r="174" spans="1:39" ht="36" hidden="1" customHeight="1">
      <c r="A174" s="27" t="s">
        <v>175</v>
      </c>
      <c r="B174" s="98" t="s">
        <v>176</v>
      </c>
      <c r="C174" s="84">
        <v>186440.5</v>
      </c>
      <c r="D174" s="84"/>
      <c r="E174" s="84">
        <f>C174</f>
        <v>186440.5</v>
      </c>
      <c r="F174" s="84">
        <f>E174</f>
        <v>186440.5</v>
      </c>
      <c r="G174" s="84"/>
      <c r="H174" s="84"/>
      <c r="I174" s="84">
        <f>C174-F174</f>
        <v>0</v>
      </c>
      <c r="J174" s="84"/>
      <c r="K174" s="84"/>
      <c r="L174" s="84"/>
      <c r="M174" s="84">
        <v>78671400</v>
      </c>
      <c r="N174" s="84"/>
      <c r="O174" s="97"/>
      <c r="P174" s="97"/>
      <c r="Q174" s="97"/>
      <c r="R174" s="97"/>
      <c r="S174" s="97"/>
      <c r="T174" s="97"/>
      <c r="U174" s="84">
        <v>78671400</v>
      </c>
      <c r="V174" s="84">
        <f t="shared" ref="V174:V206" si="61">I174+J174+M174+N174-U174</f>
        <v>0</v>
      </c>
      <c r="W174" s="97"/>
      <c r="X174" s="84">
        <f>V174</f>
        <v>0</v>
      </c>
      <c r="Y174" s="97"/>
      <c r="Z174" s="97"/>
      <c r="AA174" s="97"/>
      <c r="AB174" s="84">
        <f t="shared" ref="AB174:AB190" si="62">X174-Y174</f>
        <v>0</v>
      </c>
      <c r="AC174" s="97"/>
      <c r="AD174" s="84">
        <f t="shared" si="44"/>
        <v>0</v>
      </c>
      <c r="AE174" s="97"/>
      <c r="AF174" s="84">
        <v>66994100</v>
      </c>
      <c r="AG174" s="97"/>
      <c r="AH174" s="84">
        <v>66994100</v>
      </c>
      <c r="AI174" s="84">
        <f t="shared" ref="AI174:AK197" si="63">V174+W174-Y174+AC174-AE174+AF174+AG174-AH174</f>
        <v>0</v>
      </c>
      <c r="AJ174" s="84">
        <f t="shared" si="63"/>
        <v>0</v>
      </c>
      <c r="AK174" s="84"/>
      <c r="AL174" s="80">
        <f t="shared" ref="AL174:AL206" si="64">AI174+AJ174</f>
        <v>0</v>
      </c>
      <c r="AM174" s="80">
        <f>AL174</f>
        <v>0</v>
      </c>
    </row>
    <row r="175" spans="1:39" ht="111" hidden="1" customHeight="1">
      <c r="A175" s="27"/>
      <c r="B175" s="98" t="s">
        <v>177</v>
      </c>
      <c r="C175" s="84"/>
      <c r="D175" s="84"/>
      <c r="E175" s="84"/>
      <c r="F175" s="84"/>
      <c r="G175" s="84"/>
      <c r="H175" s="84"/>
      <c r="I175" s="84"/>
      <c r="J175" s="84"/>
      <c r="K175" s="84"/>
      <c r="L175" s="84"/>
      <c r="M175" s="84"/>
      <c r="N175" s="84"/>
      <c r="O175" s="97"/>
      <c r="P175" s="97"/>
      <c r="Q175" s="97"/>
      <c r="R175" s="97"/>
      <c r="S175" s="97"/>
      <c r="T175" s="97"/>
      <c r="U175" s="84"/>
      <c r="V175" s="84">
        <f>I175+J175+M175+N175-U175</f>
        <v>0</v>
      </c>
      <c r="W175" s="97"/>
      <c r="X175" s="84">
        <f>V175</f>
        <v>0</v>
      </c>
      <c r="Y175" s="97"/>
      <c r="Z175" s="97"/>
      <c r="AA175" s="97"/>
      <c r="AB175" s="84">
        <f>X175-Y175</f>
        <v>0</v>
      </c>
      <c r="AC175" s="97"/>
      <c r="AD175" s="84">
        <f t="shared" si="44"/>
        <v>0</v>
      </c>
      <c r="AE175" s="97"/>
      <c r="AF175" s="84">
        <v>1800000</v>
      </c>
      <c r="AG175" s="97"/>
      <c r="AH175" s="84">
        <v>1800000</v>
      </c>
      <c r="AI175" s="84">
        <f>V175+W175-Y175+AC175-AE175+AF175+AG175-AH175</f>
        <v>0</v>
      </c>
      <c r="AJ175" s="84"/>
      <c r="AK175" s="84"/>
      <c r="AL175" s="80">
        <f t="shared" si="64"/>
        <v>0</v>
      </c>
      <c r="AM175" s="80">
        <f t="shared" ref="AM175:AM194" si="65">AL175</f>
        <v>0</v>
      </c>
    </row>
    <row r="176" spans="1:39" ht="60" hidden="1" customHeight="1">
      <c r="A176" s="27"/>
      <c r="B176" s="96" t="s">
        <v>178</v>
      </c>
      <c r="C176" s="84"/>
      <c r="D176" s="84"/>
      <c r="E176" s="84"/>
      <c r="F176" s="84"/>
      <c r="G176" s="84"/>
      <c r="H176" s="84"/>
      <c r="I176" s="84">
        <f>C176-F176</f>
        <v>0</v>
      </c>
      <c r="J176" s="84"/>
      <c r="K176" s="84"/>
      <c r="L176" s="84"/>
      <c r="M176" s="84">
        <f>6071900+3500000+4300000+10500000+6100000+7100000+8080400</f>
        <v>45652300</v>
      </c>
      <c r="N176" s="84"/>
      <c r="O176" s="97"/>
      <c r="P176" s="97"/>
      <c r="Q176" s="97"/>
      <c r="R176" s="97"/>
      <c r="S176" s="97"/>
      <c r="T176" s="97"/>
      <c r="U176" s="84">
        <v>45652300</v>
      </c>
      <c r="V176" s="84">
        <f t="shared" si="61"/>
        <v>0</v>
      </c>
      <c r="W176" s="97"/>
      <c r="X176" s="84">
        <f>V176</f>
        <v>0</v>
      </c>
      <c r="Y176" s="97"/>
      <c r="Z176" s="97"/>
      <c r="AA176" s="97"/>
      <c r="AB176" s="84">
        <f t="shared" si="62"/>
        <v>0</v>
      </c>
      <c r="AC176" s="97"/>
      <c r="AD176" s="84">
        <f t="shared" si="44"/>
        <v>0</v>
      </c>
      <c r="AE176" s="97"/>
      <c r="AF176" s="84">
        <v>152068600</v>
      </c>
      <c r="AG176" s="97"/>
      <c r="AH176" s="84">
        <v>146216139</v>
      </c>
      <c r="AI176" s="84">
        <v>0</v>
      </c>
      <c r="AJ176" s="84"/>
      <c r="AK176" s="84"/>
      <c r="AL176" s="80">
        <f t="shared" si="64"/>
        <v>0</v>
      </c>
      <c r="AM176" s="80">
        <v>0</v>
      </c>
    </row>
    <row r="177" spans="1:40" ht="108" customHeight="1">
      <c r="A177" s="27"/>
      <c r="B177" s="96" t="s">
        <v>297</v>
      </c>
      <c r="C177" s="84"/>
      <c r="D177" s="84"/>
      <c r="E177" s="84"/>
      <c r="F177" s="84"/>
      <c r="G177" s="84"/>
      <c r="H177" s="84"/>
      <c r="I177" s="84"/>
      <c r="J177" s="84"/>
      <c r="K177" s="84"/>
      <c r="L177" s="84"/>
      <c r="M177" s="84"/>
      <c r="N177" s="84"/>
      <c r="O177" s="97"/>
      <c r="P177" s="97"/>
      <c r="Q177" s="97"/>
      <c r="R177" s="97"/>
      <c r="S177" s="97"/>
      <c r="T177" s="97"/>
      <c r="U177" s="84"/>
      <c r="V177" s="84"/>
      <c r="W177" s="97"/>
      <c r="X177" s="84"/>
      <c r="Y177" s="97"/>
      <c r="Z177" s="97"/>
      <c r="AA177" s="97"/>
      <c r="AB177" s="84">
        <f t="shared" si="62"/>
        <v>0</v>
      </c>
      <c r="AC177" s="97"/>
      <c r="AD177" s="84">
        <f t="shared" si="44"/>
        <v>0</v>
      </c>
      <c r="AE177" s="97"/>
      <c r="AF177" s="84">
        <v>393014956.51999998</v>
      </c>
      <c r="AG177" s="84">
        <f>5370.99-5370.99+3435.5-3435.5</f>
        <v>0</v>
      </c>
      <c r="AH177" s="84">
        <v>392911012.83999997</v>
      </c>
      <c r="AI177" s="84">
        <v>2392.14</v>
      </c>
      <c r="AJ177" s="84"/>
      <c r="AK177" s="84"/>
      <c r="AL177" s="80">
        <f>AI177+AJ177+AK177</f>
        <v>2392.14</v>
      </c>
      <c r="AM177" s="80">
        <v>2392.14</v>
      </c>
    </row>
    <row r="178" spans="1:40" ht="30.6" hidden="1" customHeight="1">
      <c r="A178" s="18" t="s">
        <v>179</v>
      </c>
      <c r="B178" s="122" t="s">
        <v>180</v>
      </c>
      <c r="C178" s="84">
        <v>86270.36</v>
      </c>
      <c r="D178" s="84"/>
      <c r="E178" s="84">
        <f>C178</f>
        <v>86270.36</v>
      </c>
      <c r="F178" s="84">
        <f>E178</f>
        <v>86270.36</v>
      </c>
      <c r="G178" s="84"/>
      <c r="H178" s="84"/>
      <c r="I178" s="84">
        <f t="shared" ref="I178:I206" si="66">C178-F178</f>
        <v>0</v>
      </c>
      <c r="J178" s="84"/>
      <c r="K178" s="84"/>
      <c r="L178" s="84"/>
      <c r="M178" s="84">
        <f>82851100+82851000+82851100+82851000</f>
        <v>331404200</v>
      </c>
      <c r="N178" s="84">
        <f>965+37208.19+1300+297.1+2440.18+2073.44+400+195.3+276.29+504.35+430.75+5430.75+96.45+1227.85+300+1210.57+7266.84+2155.2+2774.49+3438.05+2202.13+8844.26+9091.8+10733.1</f>
        <v>100862.09000000001</v>
      </c>
      <c r="O178" s="97"/>
      <c r="P178" s="97"/>
      <c r="Q178" s="97"/>
      <c r="R178" s="97"/>
      <c r="S178" s="97"/>
      <c r="T178" s="97"/>
      <c r="U178" s="84">
        <v>331401566.81999999</v>
      </c>
      <c r="V178" s="84">
        <f t="shared" si="61"/>
        <v>103495.26999998093</v>
      </c>
      <c r="W178" s="97"/>
      <c r="X178" s="84">
        <f t="shared" ref="X178:X206" si="67">V178</f>
        <v>103495.26999998093</v>
      </c>
      <c r="Y178" s="84">
        <v>103495.27</v>
      </c>
      <c r="Z178" s="97"/>
      <c r="AA178" s="97"/>
      <c r="AB178" s="84">
        <f t="shared" si="62"/>
        <v>-1.9077560864388943E-8</v>
      </c>
      <c r="AC178" s="97"/>
      <c r="AD178" s="84">
        <f t="shared" si="44"/>
        <v>0</v>
      </c>
      <c r="AE178" s="97"/>
      <c r="AF178" s="84">
        <f>77208275+77208275+77208275+77208275</f>
        <v>308833100</v>
      </c>
      <c r="AG178" s="84">
        <f>75391.46+500+1239.96+2757.44+500+3300+893.15+3058.09+76.75+5073.36+2446.61+500+3547.23+96.14+729.53+500+751.8+500+863.5+500+14494.92+250053.15+14559.34+727.9+2266.84</f>
        <v>385327.17000000004</v>
      </c>
      <c r="AH178" s="84">
        <v>306444150.73000002</v>
      </c>
      <c r="AI178" s="84">
        <v>0</v>
      </c>
      <c r="AJ178" s="84"/>
      <c r="AK178" s="84"/>
      <c r="AL178" s="80">
        <f>AI178+AJ178+AK178</f>
        <v>0</v>
      </c>
      <c r="AM178" s="80">
        <v>0</v>
      </c>
    </row>
    <row r="179" spans="1:40" ht="120" hidden="1" customHeight="1">
      <c r="A179" s="45"/>
      <c r="B179" s="123" t="s">
        <v>181</v>
      </c>
      <c r="C179" s="84"/>
      <c r="D179" s="84"/>
      <c r="E179" s="84"/>
      <c r="F179" s="84"/>
      <c r="G179" s="84"/>
      <c r="H179" s="84"/>
      <c r="I179" s="84"/>
      <c r="J179" s="84"/>
      <c r="K179" s="84"/>
      <c r="L179" s="84"/>
      <c r="M179" s="84"/>
      <c r="N179" s="84"/>
      <c r="O179" s="97"/>
      <c r="P179" s="97"/>
      <c r="Q179" s="97"/>
      <c r="R179" s="97"/>
      <c r="S179" s="97"/>
      <c r="T179" s="97"/>
      <c r="U179" s="84"/>
      <c r="V179" s="84"/>
      <c r="W179" s="97"/>
      <c r="X179" s="84"/>
      <c r="Y179" s="84"/>
      <c r="Z179" s="97"/>
      <c r="AA179" s="97"/>
      <c r="AB179" s="84"/>
      <c r="AC179" s="97"/>
      <c r="AD179" s="84"/>
      <c r="AE179" s="97"/>
      <c r="AF179" s="84">
        <f>8656000-8656000</f>
        <v>0</v>
      </c>
      <c r="AG179" s="84"/>
      <c r="AH179" s="84">
        <f>1748800+2611200+4296000-8656000</f>
        <v>0</v>
      </c>
      <c r="AI179" s="84">
        <v>0</v>
      </c>
      <c r="AJ179" s="84">
        <f t="shared" si="63"/>
        <v>0</v>
      </c>
      <c r="AK179" s="84">
        <f t="shared" si="63"/>
        <v>0</v>
      </c>
      <c r="AL179" s="80">
        <f t="shared" si="64"/>
        <v>0</v>
      </c>
      <c r="AM179" s="80">
        <v>0</v>
      </c>
    </row>
    <row r="180" spans="1:40" ht="81.75" hidden="1" customHeight="1">
      <c r="A180" s="45"/>
      <c r="B180" s="98" t="s">
        <v>182</v>
      </c>
      <c r="C180" s="84"/>
      <c r="D180" s="84"/>
      <c r="E180" s="84"/>
      <c r="F180" s="84"/>
      <c r="G180" s="84"/>
      <c r="H180" s="84"/>
      <c r="I180" s="84"/>
      <c r="J180" s="84"/>
      <c r="K180" s="84"/>
      <c r="L180" s="84"/>
      <c r="M180" s="84"/>
      <c r="N180" s="84">
        <f>11623.87+0.01+25912.84</f>
        <v>37536.720000000001</v>
      </c>
      <c r="O180" s="97"/>
      <c r="P180" s="97"/>
      <c r="Q180" s="97"/>
      <c r="R180" s="97"/>
      <c r="S180" s="97"/>
      <c r="T180" s="97"/>
      <c r="U180" s="84"/>
      <c r="V180" s="84">
        <f>I180+J180+M180+N180-U180+0.04</f>
        <v>37536.76</v>
      </c>
      <c r="W180" s="97"/>
      <c r="X180" s="84">
        <f t="shared" si="67"/>
        <v>37536.76</v>
      </c>
      <c r="Y180" s="84">
        <f>37536.72+0.04</f>
        <v>37536.76</v>
      </c>
      <c r="Z180" s="84"/>
      <c r="AA180" s="84"/>
      <c r="AB180" s="84">
        <f t="shared" si="62"/>
        <v>0</v>
      </c>
      <c r="AC180" s="97"/>
      <c r="AD180" s="84">
        <f t="shared" si="44"/>
        <v>0</v>
      </c>
      <c r="AE180" s="97"/>
      <c r="AF180" s="84"/>
      <c r="AG180" s="84"/>
      <c r="AH180" s="84"/>
      <c r="AI180" s="84">
        <v>0</v>
      </c>
      <c r="AJ180" s="84"/>
      <c r="AK180" s="84"/>
      <c r="AL180" s="80">
        <f t="shared" si="64"/>
        <v>0</v>
      </c>
      <c r="AM180" s="80">
        <v>0</v>
      </c>
    </row>
    <row r="181" spans="1:40" ht="76.5" hidden="1" customHeight="1">
      <c r="A181" s="45"/>
      <c r="B181" s="98" t="s">
        <v>183</v>
      </c>
      <c r="C181" s="84">
        <v>24028324.850000001</v>
      </c>
      <c r="D181" s="84"/>
      <c r="E181" s="84">
        <f>C181</f>
        <v>24028324.850000001</v>
      </c>
      <c r="F181" s="84">
        <f>E181</f>
        <v>24028324.850000001</v>
      </c>
      <c r="G181" s="84"/>
      <c r="H181" s="84"/>
      <c r="I181" s="84">
        <f t="shared" si="66"/>
        <v>0</v>
      </c>
      <c r="J181" s="84"/>
      <c r="K181" s="84"/>
      <c r="L181" s="84"/>
      <c r="M181" s="84">
        <f>6023600+4002600+1444800+1359800+1357900+4497500</f>
        <v>18686200</v>
      </c>
      <c r="N181" s="84">
        <f>4216.27+2000+814.8+1629.8+1353+610+1000-11623.87</f>
        <v>0</v>
      </c>
      <c r="O181" s="97"/>
      <c r="P181" s="97"/>
      <c r="Q181" s="97"/>
      <c r="R181" s="97"/>
      <c r="S181" s="97"/>
      <c r="T181" s="97"/>
      <c r="U181" s="84">
        <v>14701518.18</v>
      </c>
      <c r="V181" s="84">
        <f t="shared" si="61"/>
        <v>3984681.8200000003</v>
      </c>
      <c r="W181" s="97"/>
      <c r="X181" s="84">
        <f t="shared" si="67"/>
        <v>3984681.8200000003</v>
      </c>
      <c r="Y181" s="84">
        <v>3984681.82</v>
      </c>
      <c r="Z181" s="84"/>
      <c r="AA181" s="84"/>
      <c r="AB181" s="84">
        <f t="shared" si="62"/>
        <v>0</v>
      </c>
      <c r="AC181" s="97"/>
      <c r="AD181" s="84">
        <f t="shared" si="44"/>
        <v>0</v>
      </c>
      <c r="AE181" s="97"/>
      <c r="AF181" s="84">
        <v>10590538.02</v>
      </c>
      <c r="AG181" s="84">
        <f>12900+3000+2000+1835.32</f>
        <v>19735.32</v>
      </c>
      <c r="AH181" s="84">
        <v>10608509.34</v>
      </c>
      <c r="AI181" s="84">
        <v>0</v>
      </c>
      <c r="AJ181" s="84"/>
      <c r="AK181" s="84"/>
      <c r="AL181" s="80">
        <f t="shared" si="64"/>
        <v>0</v>
      </c>
      <c r="AM181" s="80">
        <v>0</v>
      </c>
    </row>
    <row r="182" spans="1:40" ht="49.5" hidden="1" customHeight="1">
      <c r="A182" s="45"/>
      <c r="B182" s="98" t="s">
        <v>185</v>
      </c>
      <c r="C182" s="84"/>
      <c r="D182" s="84"/>
      <c r="E182" s="84"/>
      <c r="F182" s="84"/>
      <c r="G182" s="84"/>
      <c r="H182" s="84"/>
      <c r="I182" s="84"/>
      <c r="J182" s="84"/>
      <c r="K182" s="84"/>
      <c r="L182" s="84"/>
      <c r="M182" s="84"/>
      <c r="N182" s="84"/>
      <c r="O182" s="97"/>
      <c r="P182" s="97"/>
      <c r="Q182" s="97"/>
      <c r="R182" s="97"/>
      <c r="S182" s="97"/>
      <c r="T182" s="97"/>
      <c r="U182" s="84"/>
      <c r="V182" s="84"/>
      <c r="W182" s="97"/>
      <c r="X182" s="84"/>
      <c r="Y182" s="84">
        <v>0</v>
      </c>
      <c r="Z182" s="84"/>
      <c r="AA182" s="84"/>
      <c r="AB182" s="84">
        <v>0</v>
      </c>
      <c r="AC182" s="97"/>
      <c r="AD182" s="84">
        <f t="shared" si="44"/>
        <v>0</v>
      </c>
      <c r="AE182" s="97"/>
      <c r="AF182" s="84">
        <v>97233193</v>
      </c>
      <c r="AG182" s="84">
        <f>25651.26</f>
        <v>25651.26</v>
      </c>
      <c r="AH182" s="84">
        <v>97233191.659999996</v>
      </c>
      <c r="AI182" s="84">
        <v>0</v>
      </c>
      <c r="AJ182" s="84"/>
      <c r="AK182" s="84"/>
      <c r="AL182" s="80">
        <f t="shared" si="64"/>
        <v>0</v>
      </c>
      <c r="AM182" s="80">
        <v>0</v>
      </c>
    </row>
    <row r="183" spans="1:40" ht="55.5" hidden="1" customHeight="1">
      <c r="A183" s="45"/>
      <c r="B183" s="98" t="s">
        <v>184</v>
      </c>
      <c r="C183" s="84">
        <v>10838.7</v>
      </c>
      <c r="D183" s="84"/>
      <c r="E183" s="84">
        <f>C183</f>
        <v>10838.7</v>
      </c>
      <c r="F183" s="84">
        <f>E183</f>
        <v>10838.7</v>
      </c>
      <c r="G183" s="84"/>
      <c r="H183" s="84"/>
      <c r="I183" s="84">
        <f t="shared" si="66"/>
        <v>0</v>
      </c>
      <c r="J183" s="84"/>
      <c r="K183" s="84"/>
      <c r="L183" s="84"/>
      <c r="M183" s="84">
        <f>23144150+7714716.67+7714716.67+7714716.67+7714716.67+7714716.67+7714716.67+7714716.67+7714716.67+7714716.64</f>
        <v>92576600.000000015</v>
      </c>
      <c r="N183" s="84">
        <f>42128.9+ 35617.38+113673+56034</f>
        <v>247453.28</v>
      </c>
      <c r="O183" s="97"/>
      <c r="P183" s="97"/>
      <c r="Q183" s="97"/>
      <c r="R183" s="97"/>
      <c r="S183" s="97"/>
      <c r="T183" s="97"/>
      <c r="U183" s="84">
        <v>91192529.849999994</v>
      </c>
      <c r="V183" s="84">
        <f t="shared" si="61"/>
        <v>1631523.4300000221</v>
      </c>
      <c r="W183" s="97"/>
      <c r="X183" s="84">
        <f t="shared" si="67"/>
        <v>1631523.4300000221</v>
      </c>
      <c r="Y183" s="84">
        <v>1631523.43</v>
      </c>
      <c r="Z183" s="84"/>
      <c r="AA183" s="84"/>
      <c r="AB183" s="84">
        <f t="shared" si="62"/>
        <v>2.2118911147117615E-8</v>
      </c>
      <c r="AC183" s="97"/>
      <c r="AD183" s="84">
        <f t="shared" si="44"/>
        <v>0</v>
      </c>
      <c r="AE183" s="97"/>
      <c r="AF183" s="84"/>
      <c r="AG183" s="84"/>
      <c r="AH183" s="84"/>
      <c r="AI183" s="84">
        <v>0</v>
      </c>
      <c r="AJ183" s="84"/>
      <c r="AK183" s="84"/>
      <c r="AL183" s="80">
        <f t="shared" si="64"/>
        <v>0</v>
      </c>
      <c r="AM183" s="80">
        <v>0</v>
      </c>
    </row>
    <row r="184" spans="1:40" ht="117" customHeight="1">
      <c r="A184" s="45"/>
      <c r="B184" s="122" t="s">
        <v>298</v>
      </c>
      <c r="C184" s="84">
        <f>172920881.78+23577253.79</f>
        <v>196498135.56999999</v>
      </c>
      <c r="D184" s="84"/>
      <c r="E184" s="84"/>
      <c r="F184" s="84"/>
      <c r="G184" s="84"/>
      <c r="H184" s="84"/>
      <c r="I184" s="84">
        <f t="shared" si="66"/>
        <v>196498135.56999999</v>
      </c>
      <c r="J184" s="84"/>
      <c r="K184" s="84"/>
      <c r="L184" s="84"/>
      <c r="M184" s="84">
        <v>395563000</v>
      </c>
      <c r="N184" s="84">
        <v>4851600</v>
      </c>
      <c r="O184" s="97"/>
      <c r="P184" s="97"/>
      <c r="Q184" s="97"/>
      <c r="R184" s="97"/>
      <c r="S184" s="97"/>
      <c r="T184" s="97"/>
      <c r="U184" s="84">
        <f>223654375.88+23577253.79</f>
        <v>247231629.66999999</v>
      </c>
      <c r="V184" s="84">
        <f t="shared" si="61"/>
        <v>349681105.89999998</v>
      </c>
      <c r="W184" s="97"/>
      <c r="X184" s="84">
        <f t="shared" si="67"/>
        <v>349681105.89999998</v>
      </c>
      <c r="Y184" s="84">
        <v>349681105.89999998</v>
      </c>
      <c r="Z184" s="84">
        <v>200000000</v>
      </c>
      <c r="AA184" s="84"/>
      <c r="AB184" s="84">
        <f t="shared" si="62"/>
        <v>0</v>
      </c>
      <c r="AC184" s="97"/>
      <c r="AD184" s="84">
        <f t="shared" si="44"/>
        <v>0</v>
      </c>
      <c r="AE184" s="97"/>
      <c r="AF184" s="84"/>
      <c r="AG184" s="84">
        <f>1134000+2458800+1168200+1290600</f>
        <v>6051600</v>
      </c>
      <c r="AH184" s="84"/>
      <c r="AI184" s="84">
        <v>369308</v>
      </c>
      <c r="AJ184" s="84"/>
      <c r="AK184" s="84"/>
      <c r="AL184" s="80">
        <f t="shared" si="64"/>
        <v>369308</v>
      </c>
      <c r="AM184" s="80">
        <v>369308</v>
      </c>
      <c r="AN184" s="55">
        <f>5131875+29066250</f>
        <v>34198125</v>
      </c>
    </row>
    <row r="185" spans="1:40" ht="96" customHeight="1">
      <c r="A185" s="45"/>
      <c r="B185" s="122" t="s">
        <v>299</v>
      </c>
      <c r="C185" s="84">
        <v>28534900</v>
      </c>
      <c r="D185" s="84"/>
      <c r="E185" s="84"/>
      <c r="F185" s="84"/>
      <c r="G185" s="84"/>
      <c r="H185" s="84"/>
      <c r="I185" s="84">
        <f t="shared" si="66"/>
        <v>28534900</v>
      </c>
      <c r="J185" s="84"/>
      <c r="K185" s="84"/>
      <c r="L185" s="84"/>
      <c r="M185" s="84">
        <v>43635600</v>
      </c>
      <c r="N185" s="84">
        <v>1227600</v>
      </c>
      <c r="O185" s="97"/>
      <c r="P185" s="97"/>
      <c r="Q185" s="97"/>
      <c r="R185" s="97"/>
      <c r="S185" s="97"/>
      <c r="T185" s="97"/>
      <c r="U185" s="84">
        <v>23678106.620000001</v>
      </c>
      <c r="V185" s="84">
        <f t="shared" si="61"/>
        <v>49719993.379999995</v>
      </c>
      <c r="W185" s="97"/>
      <c r="X185" s="84">
        <f t="shared" si="67"/>
        <v>49719993.379999995</v>
      </c>
      <c r="Y185" s="84">
        <v>49719993.380000003</v>
      </c>
      <c r="Z185" s="84">
        <v>49719993.380000003</v>
      </c>
      <c r="AA185" s="84"/>
      <c r="AB185" s="84">
        <f t="shared" si="62"/>
        <v>0</v>
      </c>
      <c r="AC185" s="97"/>
      <c r="AD185" s="84">
        <f t="shared" si="44"/>
        <v>0</v>
      </c>
      <c r="AE185" s="97"/>
      <c r="AF185" s="84">
        <v>45080700</v>
      </c>
      <c r="AG185" s="84">
        <v>1227600</v>
      </c>
      <c r="AH185" s="84">
        <v>40628464.740000002</v>
      </c>
      <c r="AI185" s="84">
        <v>7615457</v>
      </c>
      <c r="AJ185" s="84"/>
      <c r="AK185" s="84"/>
      <c r="AL185" s="80">
        <f t="shared" si="64"/>
        <v>7615457</v>
      </c>
      <c r="AM185" s="80">
        <v>7615457</v>
      </c>
    </row>
    <row r="186" spans="1:40" ht="61.5" hidden="1" customHeight="1">
      <c r="A186" s="45"/>
      <c r="B186" s="98" t="s">
        <v>186</v>
      </c>
      <c r="C186" s="84">
        <v>95410</v>
      </c>
      <c r="D186" s="84"/>
      <c r="E186" s="84">
        <v>95410</v>
      </c>
      <c r="F186" s="84">
        <f t="shared" ref="F186:F193" si="68">E186</f>
        <v>95410</v>
      </c>
      <c r="G186" s="84"/>
      <c r="H186" s="84"/>
      <c r="I186" s="84">
        <f t="shared" si="66"/>
        <v>0</v>
      </c>
      <c r="J186" s="84"/>
      <c r="K186" s="84"/>
      <c r="L186" s="84"/>
      <c r="M186" s="84">
        <f>40430+18990+18990+63690</f>
        <v>142100</v>
      </c>
      <c r="N186" s="84"/>
      <c r="O186" s="97"/>
      <c r="P186" s="97"/>
      <c r="Q186" s="97"/>
      <c r="R186" s="97"/>
      <c r="S186" s="97"/>
      <c r="T186" s="97"/>
      <c r="U186" s="84">
        <v>38423.15</v>
      </c>
      <c r="V186" s="84">
        <f t="shared" si="61"/>
        <v>103676.85</v>
      </c>
      <c r="W186" s="97"/>
      <c r="X186" s="84">
        <f t="shared" si="67"/>
        <v>103676.85</v>
      </c>
      <c r="Y186" s="84">
        <v>103676.85</v>
      </c>
      <c r="Z186" s="84"/>
      <c r="AA186" s="84"/>
      <c r="AB186" s="84">
        <f t="shared" si="62"/>
        <v>0</v>
      </c>
      <c r="AC186" s="97"/>
      <c r="AD186" s="84">
        <f t="shared" si="44"/>
        <v>0</v>
      </c>
      <c r="AE186" s="97"/>
      <c r="AF186" s="84">
        <v>40344.36</v>
      </c>
      <c r="AG186" s="84"/>
      <c r="AH186" s="84">
        <v>40343.800000000003</v>
      </c>
      <c r="AI186" s="84">
        <v>0</v>
      </c>
      <c r="AJ186" s="84"/>
      <c r="AK186" s="84"/>
      <c r="AL186" s="80">
        <f t="shared" si="64"/>
        <v>0</v>
      </c>
      <c r="AM186" s="80">
        <v>0</v>
      </c>
    </row>
    <row r="187" spans="1:40" ht="68.25" hidden="1" customHeight="1">
      <c r="A187" s="45"/>
      <c r="B187" s="98" t="s">
        <v>187</v>
      </c>
      <c r="C187" s="84">
        <v>423961.96</v>
      </c>
      <c r="D187" s="84"/>
      <c r="E187" s="84">
        <v>423961.96</v>
      </c>
      <c r="F187" s="84">
        <f t="shared" si="68"/>
        <v>423961.96</v>
      </c>
      <c r="G187" s="84"/>
      <c r="H187" s="84"/>
      <c r="I187" s="84">
        <f t="shared" si="66"/>
        <v>0</v>
      </c>
      <c r="J187" s="84"/>
      <c r="K187" s="84"/>
      <c r="L187" s="84"/>
      <c r="M187" s="84">
        <f>154675+154675+50</f>
        <v>309400</v>
      </c>
      <c r="N187" s="84"/>
      <c r="O187" s="97"/>
      <c r="P187" s="97"/>
      <c r="Q187" s="97"/>
      <c r="R187" s="97"/>
      <c r="S187" s="97"/>
      <c r="T187" s="97"/>
      <c r="U187" s="84">
        <v>26771.29</v>
      </c>
      <c r="V187" s="84">
        <f t="shared" si="61"/>
        <v>282628.71000000002</v>
      </c>
      <c r="W187" s="97"/>
      <c r="X187" s="84">
        <f t="shared" si="67"/>
        <v>282628.71000000002</v>
      </c>
      <c r="Y187" s="84">
        <v>282628.71000000002</v>
      </c>
      <c r="Z187" s="84"/>
      <c r="AA187" s="84"/>
      <c r="AB187" s="84">
        <f t="shared" si="62"/>
        <v>0</v>
      </c>
      <c r="AC187" s="97"/>
      <c r="AD187" s="84">
        <f t="shared" si="44"/>
        <v>0</v>
      </c>
      <c r="AE187" s="97"/>
      <c r="AF187" s="84">
        <f>14930.24+7972.99+1501.58+940.54</f>
        <v>25345.35</v>
      </c>
      <c r="AG187" s="84"/>
      <c r="AH187" s="84">
        <f>24404.81+940.54</f>
        <v>25345.350000000002</v>
      </c>
      <c r="AI187" s="84">
        <v>0</v>
      </c>
      <c r="AJ187" s="84"/>
      <c r="AK187" s="84"/>
      <c r="AL187" s="80">
        <f t="shared" si="64"/>
        <v>0</v>
      </c>
      <c r="AM187" s="80">
        <v>0</v>
      </c>
    </row>
    <row r="188" spans="1:40" ht="98.25" hidden="1" customHeight="1">
      <c r="A188" s="45"/>
      <c r="B188" s="122" t="s">
        <v>188</v>
      </c>
      <c r="C188" s="84"/>
      <c r="D188" s="84"/>
      <c r="E188" s="84"/>
      <c r="F188" s="84"/>
      <c r="G188" s="84"/>
      <c r="H188" s="84"/>
      <c r="I188" s="84"/>
      <c r="J188" s="84"/>
      <c r="K188" s="84"/>
      <c r="L188" s="84"/>
      <c r="M188" s="84"/>
      <c r="N188" s="84"/>
      <c r="O188" s="97"/>
      <c r="P188" s="97"/>
      <c r="Q188" s="97"/>
      <c r="R188" s="97"/>
      <c r="S188" s="97"/>
      <c r="T188" s="97"/>
      <c r="U188" s="84"/>
      <c r="V188" s="84"/>
      <c r="W188" s="97"/>
      <c r="X188" s="84"/>
      <c r="Y188" s="84"/>
      <c r="Z188" s="84"/>
      <c r="AA188" s="84"/>
      <c r="AB188" s="84"/>
      <c r="AC188" s="97"/>
      <c r="AD188" s="84">
        <f t="shared" si="44"/>
        <v>0</v>
      </c>
      <c r="AE188" s="97"/>
      <c r="AF188" s="84">
        <v>666200</v>
      </c>
      <c r="AG188" s="84"/>
      <c r="AH188" s="84">
        <v>561085</v>
      </c>
      <c r="AI188" s="84">
        <v>0</v>
      </c>
      <c r="AJ188" s="84"/>
      <c r="AK188" s="84"/>
      <c r="AL188" s="80">
        <f t="shared" si="64"/>
        <v>0</v>
      </c>
      <c r="AM188" s="80">
        <v>0</v>
      </c>
    </row>
    <row r="189" spans="1:40" ht="93" hidden="1" customHeight="1">
      <c r="A189" s="45"/>
      <c r="B189" s="122" t="s">
        <v>189</v>
      </c>
      <c r="C189" s="84">
        <v>10900</v>
      </c>
      <c r="D189" s="84"/>
      <c r="E189" s="84">
        <v>10900</v>
      </c>
      <c r="F189" s="84">
        <f t="shared" si="68"/>
        <v>10900</v>
      </c>
      <c r="G189" s="84"/>
      <c r="H189" s="84"/>
      <c r="I189" s="84">
        <f t="shared" si="66"/>
        <v>0</v>
      </c>
      <c r="J189" s="84"/>
      <c r="K189" s="84"/>
      <c r="L189" s="84"/>
      <c r="M189" s="84">
        <v>650500</v>
      </c>
      <c r="N189" s="84"/>
      <c r="O189" s="97"/>
      <c r="P189" s="97"/>
      <c r="Q189" s="97"/>
      <c r="R189" s="97"/>
      <c r="S189" s="97"/>
      <c r="T189" s="97"/>
      <c r="U189" s="84">
        <v>319200</v>
      </c>
      <c r="V189" s="84">
        <f t="shared" si="61"/>
        <v>331300</v>
      </c>
      <c r="W189" s="97"/>
      <c r="X189" s="84">
        <f t="shared" si="67"/>
        <v>331300</v>
      </c>
      <c r="Y189" s="84">
        <v>331300</v>
      </c>
      <c r="Z189" s="84"/>
      <c r="AA189" s="84"/>
      <c r="AB189" s="84">
        <f t="shared" si="62"/>
        <v>0</v>
      </c>
      <c r="AC189" s="97"/>
      <c r="AD189" s="84">
        <f t="shared" si="44"/>
        <v>0</v>
      </c>
      <c r="AE189" s="97"/>
      <c r="AF189" s="97"/>
      <c r="AG189" s="97"/>
      <c r="AH189" s="97"/>
      <c r="AI189" s="84">
        <v>0</v>
      </c>
      <c r="AJ189" s="84"/>
      <c r="AK189" s="84"/>
      <c r="AL189" s="80">
        <f t="shared" si="64"/>
        <v>0</v>
      </c>
      <c r="AM189" s="80">
        <v>0</v>
      </c>
    </row>
    <row r="190" spans="1:40" ht="54.75" hidden="1" customHeight="1">
      <c r="A190" s="45"/>
      <c r="B190" s="122" t="s">
        <v>190</v>
      </c>
      <c r="C190" s="84">
        <v>97.5</v>
      </c>
      <c r="D190" s="84"/>
      <c r="E190" s="84">
        <v>97.5</v>
      </c>
      <c r="F190" s="84">
        <f t="shared" si="68"/>
        <v>97.5</v>
      </c>
      <c r="G190" s="84"/>
      <c r="H190" s="84"/>
      <c r="I190" s="84">
        <f t="shared" si="66"/>
        <v>0</v>
      </c>
      <c r="J190" s="84"/>
      <c r="K190" s="84"/>
      <c r="L190" s="84"/>
      <c r="M190" s="84">
        <v>101305</v>
      </c>
      <c r="N190" s="84"/>
      <c r="O190" s="97"/>
      <c r="P190" s="97"/>
      <c r="Q190" s="97"/>
      <c r="R190" s="97"/>
      <c r="S190" s="97"/>
      <c r="T190" s="97"/>
      <c r="U190" s="84">
        <v>101305</v>
      </c>
      <c r="V190" s="84">
        <f t="shared" si="61"/>
        <v>0</v>
      </c>
      <c r="W190" s="97"/>
      <c r="X190" s="84">
        <f t="shared" si="67"/>
        <v>0</v>
      </c>
      <c r="Y190" s="97"/>
      <c r="Z190" s="97"/>
      <c r="AA190" s="97"/>
      <c r="AB190" s="84">
        <f t="shared" si="62"/>
        <v>0</v>
      </c>
      <c r="AC190" s="97"/>
      <c r="AD190" s="84">
        <f t="shared" si="44"/>
        <v>0</v>
      </c>
      <c r="AE190" s="97"/>
      <c r="AF190" s="97"/>
      <c r="AG190" s="97"/>
      <c r="AH190" s="97"/>
      <c r="AI190" s="84">
        <v>0</v>
      </c>
      <c r="AJ190" s="84"/>
      <c r="AK190" s="84"/>
      <c r="AL190" s="80">
        <f t="shared" si="64"/>
        <v>0</v>
      </c>
      <c r="AM190" s="80">
        <v>0</v>
      </c>
    </row>
    <row r="191" spans="1:40" ht="48.75" customHeight="1">
      <c r="A191" s="45"/>
      <c r="B191" s="98" t="s">
        <v>300</v>
      </c>
      <c r="C191" s="84">
        <v>94099.66</v>
      </c>
      <c r="D191" s="84"/>
      <c r="E191" s="84">
        <f>C191</f>
        <v>94099.66</v>
      </c>
      <c r="F191" s="84">
        <f t="shared" si="68"/>
        <v>94099.66</v>
      </c>
      <c r="G191" s="84"/>
      <c r="H191" s="84"/>
      <c r="I191" s="84">
        <f t="shared" si="66"/>
        <v>0</v>
      </c>
      <c r="J191" s="84"/>
      <c r="K191" s="84"/>
      <c r="L191" s="84"/>
      <c r="M191" s="84">
        <f>44220800+60000000+95423700+95423700+95423688+54988400+60891700+209675800+60891700+136125212+80066300+80066300+54396600</f>
        <v>1127593900</v>
      </c>
      <c r="N191" s="84">
        <f>29418.5+1053.2+465.85+10986.99+2511.64+8063769.92+4533.38+426902.46+55535.1-0.04+761041.79+5223.33+2444067.75+928.2</f>
        <v>11806438.069999998</v>
      </c>
      <c r="O191" s="97"/>
      <c r="P191" s="97"/>
      <c r="Q191" s="97"/>
      <c r="R191" s="97"/>
      <c r="S191" s="97"/>
      <c r="T191" s="97"/>
      <c r="U191" s="84">
        <v>1010360306.46</v>
      </c>
      <c r="V191" s="84">
        <f t="shared" si="61"/>
        <v>129040031.6099999</v>
      </c>
      <c r="W191" s="97"/>
      <c r="X191" s="84">
        <f t="shared" si="67"/>
        <v>129040031.6099999</v>
      </c>
      <c r="Y191" s="84">
        <f>127913724.72+1126306.89+1024710.37</f>
        <v>130064741.98</v>
      </c>
      <c r="Z191" s="84"/>
      <c r="AA191" s="84"/>
      <c r="AB191" s="84">
        <f>X191-Y191</f>
        <v>-1024710.3700001091</v>
      </c>
      <c r="AC191" s="84"/>
      <c r="AD191" s="84">
        <f t="shared" si="44"/>
        <v>0</v>
      </c>
      <c r="AE191" s="84"/>
      <c r="AF191" s="84">
        <v>1226501862.3199999</v>
      </c>
      <c r="AG191" s="84">
        <f>1330334.55+1175.75+440.95+495.48+2402.9</f>
        <v>1334849.6299999999</v>
      </c>
      <c r="AH191" s="84">
        <v>1226072433.01</v>
      </c>
      <c r="AI191" s="84">
        <v>200</v>
      </c>
      <c r="AJ191" s="84"/>
      <c r="AK191" s="84"/>
      <c r="AL191" s="80">
        <f>AI191+AJ191+AK191</f>
        <v>200</v>
      </c>
      <c r="AM191" s="80">
        <v>200</v>
      </c>
    </row>
    <row r="192" spans="1:40" ht="60" hidden="1" customHeight="1">
      <c r="A192" s="45"/>
      <c r="B192" s="98" t="s">
        <v>191</v>
      </c>
      <c r="C192" s="84">
        <v>174000</v>
      </c>
      <c r="D192" s="84"/>
      <c r="E192" s="84">
        <v>174000</v>
      </c>
      <c r="F192" s="84">
        <f t="shared" si="68"/>
        <v>174000</v>
      </c>
      <c r="G192" s="84"/>
      <c r="H192" s="84"/>
      <c r="I192" s="84">
        <f t="shared" si="66"/>
        <v>0</v>
      </c>
      <c r="J192" s="84"/>
      <c r="K192" s="84"/>
      <c r="L192" s="84"/>
      <c r="M192" s="84">
        <f>46000+46500+57000+58000</f>
        <v>207500</v>
      </c>
      <c r="N192" s="84"/>
      <c r="O192" s="97"/>
      <c r="P192" s="97"/>
      <c r="Q192" s="97"/>
      <c r="R192" s="97"/>
      <c r="S192" s="97"/>
      <c r="T192" s="97"/>
      <c r="U192" s="84">
        <v>63060</v>
      </c>
      <c r="V192" s="84">
        <f t="shared" si="61"/>
        <v>144440</v>
      </c>
      <c r="W192" s="97"/>
      <c r="X192" s="84">
        <f t="shared" si="67"/>
        <v>144440</v>
      </c>
      <c r="Y192" s="84">
        <v>144440</v>
      </c>
      <c r="Z192" s="84"/>
      <c r="AA192" s="84"/>
      <c r="AB192" s="84">
        <f t="shared" ref="AB192:AB206" si="69">X192-Y192</f>
        <v>0</v>
      </c>
      <c r="AC192" s="97"/>
      <c r="AD192" s="84">
        <f t="shared" si="44"/>
        <v>0</v>
      </c>
      <c r="AE192" s="97"/>
      <c r="AF192" s="97"/>
      <c r="AG192" s="97"/>
      <c r="AH192" s="97"/>
      <c r="AI192" s="84">
        <v>0</v>
      </c>
      <c r="AJ192" s="84"/>
      <c r="AK192" s="84"/>
      <c r="AL192" s="80">
        <f t="shared" si="64"/>
        <v>0</v>
      </c>
      <c r="AM192" s="80">
        <v>0</v>
      </c>
    </row>
    <row r="193" spans="1:40" ht="65.25" hidden="1" customHeight="1">
      <c r="A193" s="45"/>
      <c r="B193" s="128" t="s">
        <v>192</v>
      </c>
      <c r="C193" s="84"/>
      <c r="D193" s="84"/>
      <c r="E193" s="84">
        <f>C193</f>
        <v>0</v>
      </c>
      <c r="F193" s="84">
        <f t="shared" si="68"/>
        <v>0</v>
      </c>
      <c r="G193" s="84"/>
      <c r="H193" s="84"/>
      <c r="I193" s="84">
        <f t="shared" si="66"/>
        <v>0</v>
      </c>
      <c r="J193" s="84"/>
      <c r="K193" s="84"/>
      <c r="L193" s="84"/>
      <c r="M193" s="84"/>
      <c r="N193" s="84"/>
      <c r="O193" s="97"/>
      <c r="P193" s="97"/>
      <c r="Q193" s="97"/>
      <c r="R193" s="97"/>
      <c r="S193" s="97"/>
      <c r="T193" s="97"/>
      <c r="U193" s="84"/>
      <c r="V193" s="84">
        <f t="shared" si="61"/>
        <v>0</v>
      </c>
      <c r="W193" s="97"/>
      <c r="X193" s="84">
        <f t="shared" si="67"/>
        <v>0</v>
      </c>
      <c r="Y193" s="84"/>
      <c r="Z193" s="84"/>
      <c r="AA193" s="84"/>
      <c r="AB193" s="84">
        <f t="shared" si="69"/>
        <v>0</v>
      </c>
      <c r="AC193" s="97"/>
      <c r="AD193" s="84">
        <f t="shared" si="44"/>
        <v>0</v>
      </c>
      <c r="AE193" s="97"/>
      <c r="AF193" s="97"/>
      <c r="AG193" s="84"/>
      <c r="AH193" s="97"/>
      <c r="AI193" s="84">
        <v>0</v>
      </c>
      <c r="AJ193" s="84"/>
      <c r="AK193" s="84"/>
      <c r="AL193" s="80">
        <f t="shared" si="64"/>
        <v>0</v>
      </c>
      <c r="AM193" s="80">
        <v>0</v>
      </c>
    </row>
    <row r="194" spans="1:40" ht="36.75" hidden="1" customHeight="1">
      <c r="A194" s="45"/>
      <c r="B194" s="122" t="s">
        <v>193</v>
      </c>
      <c r="C194" s="84"/>
      <c r="D194" s="84"/>
      <c r="E194" s="84"/>
      <c r="F194" s="84"/>
      <c r="G194" s="84"/>
      <c r="H194" s="84"/>
      <c r="I194" s="84">
        <f t="shared" si="66"/>
        <v>0</v>
      </c>
      <c r="J194" s="84"/>
      <c r="K194" s="84"/>
      <c r="L194" s="84"/>
      <c r="M194" s="84"/>
      <c r="N194" s="84"/>
      <c r="O194" s="97"/>
      <c r="P194" s="97"/>
      <c r="Q194" s="97"/>
      <c r="R194" s="97"/>
      <c r="S194" s="97"/>
      <c r="T194" s="97"/>
      <c r="U194" s="84"/>
      <c r="V194" s="84">
        <f t="shared" si="61"/>
        <v>0</v>
      </c>
      <c r="W194" s="97"/>
      <c r="X194" s="84">
        <f t="shared" si="67"/>
        <v>0</v>
      </c>
      <c r="Y194" s="97"/>
      <c r="Z194" s="97"/>
      <c r="AA194" s="97"/>
      <c r="AB194" s="84">
        <f t="shared" si="69"/>
        <v>0</v>
      </c>
      <c r="AC194" s="97"/>
      <c r="AD194" s="84">
        <f t="shared" si="44"/>
        <v>0</v>
      </c>
      <c r="AE194" s="97"/>
      <c r="AF194" s="97"/>
      <c r="AG194" s="84"/>
      <c r="AH194" s="97"/>
      <c r="AI194" s="84">
        <f t="shared" si="63"/>
        <v>0</v>
      </c>
      <c r="AJ194" s="84">
        <f t="shared" si="63"/>
        <v>0</v>
      </c>
      <c r="AK194" s="84">
        <f t="shared" si="63"/>
        <v>0</v>
      </c>
      <c r="AL194" s="80">
        <f t="shared" si="64"/>
        <v>0</v>
      </c>
      <c r="AM194" s="80">
        <f t="shared" si="65"/>
        <v>0</v>
      </c>
    </row>
    <row r="195" spans="1:40" ht="36.75" customHeight="1">
      <c r="A195" s="45"/>
      <c r="B195" s="122" t="s">
        <v>301</v>
      </c>
      <c r="C195" s="84">
        <v>40297779.560000002</v>
      </c>
      <c r="D195" s="84"/>
      <c r="E195" s="84">
        <f>C195</f>
        <v>40297779.560000002</v>
      </c>
      <c r="F195" s="84">
        <v>40297779.560000002</v>
      </c>
      <c r="G195" s="84"/>
      <c r="H195" s="84"/>
      <c r="I195" s="84"/>
      <c r="J195" s="84"/>
      <c r="K195" s="84"/>
      <c r="L195" s="84"/>
      <c r="M195" s="84">
        <f>24833600+31810800+35198600+110981200+40153200+34060000+34395300+28728000+30056500+32707600</f>
        <v>402924800</v>
      </c>
      <c r="N195" s="84">
        <f>308722.54+2238.08</f>
        <v>310960.62</v>
      </c>
      <c r="O195" s="84"/>
      <c r="P195" s="84"/>
      <c r="Q195" s="84"/>
      <c r="R195" s="84"/>
      <c r="S195" s="84"/>
      <c r="T195" s="84"/>
      <c r="U195" s="84">
        <v>391066310.94999999</v>
      </c>
      <c r="V195" s="84">
        <f>I195+J195+M195+N195-U195</f>
        <v>12169449.670000017</v>
      </c>
      <c r="W195" s="84"/>
      <c r="X195" s="84">
        <f t="shared" si="67"/>
        <v>12169449.670000017</v>
      </c>
      <c r="Y195" s="130">
        <f>X195+290.7</f>
        <v>12169740.370000016</v>
      </c>
      <c r="Z195" s="84"/>
      <c r="AA195" s="84"/>
      <c r="AB195" s="84">
        <f t="shared" si="69"/>
        <v>-290.69999999925494</v>
      </c>
      <c r="AC195" s="97"/>
      <c r="AD195" s="84">
        <f t="shared" si="44"/>
        <v>0</v>
      </c>
      <c r="AE195" s="97"/>
      <c r="AF195" s="84">
        <f>191209300+34500+34465500+39200000+36600000+34000000+33000000+30000000</f>
        <v>398509300</v>
      </c>
      <c r="AG195" s="84">
        <f>475554.12+16238.8+83.61+194.03+546.57+11621.41+375.85+5352.3+2069.93+16298.23+32.9+196+1583.38+189.67+17007.72+112.1+5427.58+1466.84+1154.35+408+752.78+935.4+21183.56+341.8+9443.1+6681.64+6.84+700+200</f>
        <v>596158.51</v>
      </c>
      <c r="AH195" s="84">
        <v>389214667.81999999</v>
      </c>
      <c r="AI195" s="84">
        <v>6079831.0099999998</v>
      </c>
      <c r="AJ195" s="84"/>
      <c r="AK195" s="84"/>
      <c r="AL195" s="80">
        <f t="shared" si="64"/>
        <v>6079831.0099999998</v>
      </c>
      <c r="AM195" s="80">
        <v>6079831.0099999998</v>
      </c>
    </row>
    <row r="196" spans="1:40" ht="36.75" hidden="1" customHeight="1">
      <c r="A196" s="45"/>
      <c r="B196" s="122" t="s">
        <v>194</v>
      </c>
      <c r="C196" s="84">
        <v>823916.03</v>
      </c>
      <c r="D196" s="84"/>
      <c r="E196" s="84">
        <v>823916.03</v>
      </c>
      <c r="F196" s="84">
        <v>823916.03</v>
      </c>
      <c r="G196" s="84"/>
      <c r="H196" s="84"/>
      <c r="I196" s="84"/>
      <c r="J196" s="84"/>
      <c r="K196" s="84"/>
      <c r="L196" s="84"/>
      <c r="M196" s="84">
        <v>0</v>
      </c>
      <c r="N196" s="84">
        <f>5211.93+3862.67</f>
        <v>9074.6</v>
      </c>
      <c r="O196" s="84"/>
      <c r="P196" s="84"/>
      <c r="Q196" s="84"/>
      <c r="R196" s="84"/>
      <c r="S196" s="84"/>
      <c r="T196" s="84"/>
      <c r="U196" s="84">
        <v>0</v>
      </c>
      <c r="V196" s="84">
        <f t="shared" si="61"/>
        <v>9074.6</v>
      </c>
      <c r="W196" s="97"/>
      <c r="X196" s="84">
        <f t="shared" si="67"/>
        <v>9074.6</v>
      </c>
      <c r="Y196" s="84">
        <v>9074.6</v>
      </c>
      <c r="Z196" s="97"/>
      <c r="AA196" s="97"/>
      <c r="AB196" s="84">
        <f t="shared" si="69"/>
        <v>0</v>
      </c>
      <c r="AC196" s="97"/>
      <c r="AD196" s="84">
        <f t="shared" si="44"/>
        <v>0</v>
      </c>
      <c r="AE196" s="97"/>
      <c r="AF196" s="84">
        <v>0</v>
      </c>
      <c r="AG196" s="84">
        <v>0</v>
      </c>
      <c r="AH196" s="84">
        <v>0</v>
      </c>
      <c r="AI196" s="84">
        <v>0</v>
      </c>
      <c r="AJ196" s="84"/>
      <c r="AK196" s="84"/>
      <c r="AL196" s="80">
        <f t="shared" si="64"/>
        <v>0</v>
      </c>
      <c r="AM196" s="80">
        <v>0</v>
      </c>
    </row>
    <row r="197" spans="1:40" ht="63" hidden="1" customHeight="1">
      <c r="A197" s="45"/>
      <c r="B197" s="122" t="s">
        <v>195</v>
      </c>
      <c r="C197" s="84">
        <v>456</v>
      </c>
      <c r="D197" s="84"/>
      <c r="E197" s="84">
        <f>C197</f>
        <v>456</v>
      </c>
      <c r="F197" s="84">
        <v>456</v>
      </c>
      <c r="G197" s="84"/>
      <c r="H197" s="84"/>
      <c r="I197" s="84">
        <f t="shared" si="66"/>
        <v>0</v>
      </c>
      <c r="J197" s="84"/>
      <c r="K197" s="84"/>
      <c r="L197" s="84"/>
      <c r="M197" s="84"/>
      <c r="N197" s="84"/>
      <c r="O197" s="97"/>
      <c r="P197" s="97"/>
      <c r="Q197" s="97"/>
      <c r="R197" s="97"/>
      <c r="S197" s="97"/>
      <c r="T197" s="97"/>
      <c r="U197" s="84"/>
      <c r="V197" s="84">
        <f t="shared" si="61"/>
        <v>0</v>
      </c>
      <c r="W197" s="97"/>
      <c r="X197" s="84">
        <f t="shared" si="67"/>
        <v>0</v>
      </c>
      <c r="Y197" s="97"/>
      <c r="Z197" s="97"/>
      <c r="AA197" s="97"/>
      <c r="AB197" s="84">
        <f t="shared" si="69"/>
        <v>0</v>
      </c>
      <c r="AC197" s="97"/>
      <c r="AD197" s="84">
        <f t="shared" si="44"/>
        <v>0</v>
      </c>
      <c r="AE197" s="97"/>
      <c r="AF197" s="97"/>
      <c r="AG197" s="84"/>
      <c r="AH197" s="97"/>
      <c r="AI197" s="84">
        <v>0</v>
      </c>
      <c r="AJ197" s="84">
        <f t="shared" si="63"/>
        <v>0</v>
      </c>
      <c r="AK197" s="84">
        <f t="shared" si="63"/>
        <v>0</v>
      </c>
      <c r="AL197" s="80">
        <f t="shared" si="64"/>
        <v>0</v>
      </c>
      <c r="AM197" s="80">
        <v>0</v>
      </c>
    </row>
    <row r="198" spans="1:40" ht="123.75" hidden="1" customHeight="1">
      <c r="A198" s="45"/>
      <c r="B198" s="123" t="s">
        <v>196</v>
      </c>
      <c r="C198" s="84"/>
      <c r="D198" s="84"/>
      <c r="E198" s="84"/>
      <c r="F198" s="84"/>
      <c r="G198" s="84"/>
      <c r="H198" s="84"/>
      <c r="I198" s="84"/>
      <c r="J198" s="84"/>
      <c r="K198" s="84"/>
      <c r="L198" s="84"/>
      <c r="M198" s="84"/>
      <c r="N198" s="84"/>
      <c r="O198" s="97"/>
      <c r="P198" s="97"/>
      <c r="Q198" s="97"/>
      <c r="R198" s="97"/>
      <c r="S198" s="97"/>
      <c r="T198" s="97"/>
      <c r="U198" s="84"/>
      <c r="V198" s="84"/>
      <c r="W198" s="97"/>
      <c r="X198" s="84"/>
      <c r="Y198" s="97"/>
      <c r="Z198" s="97"/>
      <c r="AA198" s="97"/>
      <c r="AB198" s="84"/>
      <c r="AC198" s="97"/>
      <c r="AD198" s="84"/>
      <c r="AE198" s="97"/>
      <c r="AF198" s="84">
        <v>4800000</v>
      </c>
      <c r="AG198" s="84"/>
      <c r="AH198" s="138">
        <v>4039250</v>
      </c>
      <c r="AI198" s="84">
        <v>0</v>
      </c>
      <c r="AJ198" s="84"/>
      <c r="AK198" s="84"/>
      <c r="AL198" s="80">
        <f t="shared" si="64"/>
        <v>0</v>
      </c>
      <c r="AM198" s="80">
        <v>0</v>
      </c>
    </row>
    <row r="199" spans="1:40" ht="111" customHeight="1">
      <c r="A199" s="45"/>
      <c r="B199" s="123" t="s">
        <v>302</v>
      </c>
      <c r="C199" s="84"/>
      <c r="D199" s="84"/>
      <c r="E199" s="84"/>
      <c r="F199" s="84"/>
      <c r="G199" s="84"/>
      <c r="H199" s="84"/>
      <c r="I199" s="84"/>
      <c r="J199" s="84"/>
      <c r="K199" s="84"/>
      <c r="L199" s="84"/>
      <c r="M199" s="84"/>
      <c r="N199" s="84"/>
      <c r="O199" s="97"/>
      <c r="P199" s="97"/>
      <c r="Q199" s="97"/>
      <c r="R199" s="97"/>
      <c r="S199" s="97"/>
      <c r="T199" s="97"/>
      <c r="U199" s="84"/>
      <c r="V199" s="84"/>
      <c r="W199" s="97"/>
      <c r="X199" s="84"/>
      <c r="Y199" s="97"/>
      <c r="Z199" s="97"/>
      <c r="AA199" s="97"/>
      <c r="AB199" s="84"/>
      <c r="AC199" s="97"/>
      <c r="AD199" s="84"/>
      <c r="AE199" s="97"/>
      <c r="AF199" s="84">
        <f>294000+70600</f>
        <v>364600</v>
      </c>
      <c r="AG199" s="84"/>
      <c r="AH199" s="138">
        <v>364600</v>
      </c>
      <c r="AI199" s="84">
        <v>1875500</v>
      </c>
      <c r="AJ199" s="84">
        <v>0</v>
      </c>
      <c r="AK199" s="84"/>
      <c r="AL199" s="80">
        <f>AI199</f>
        <v>1875500</v>
      </c>
      <c r="AM199" s="80">
        <v>1875500</v>
      </c>
    </row>
    <row r="200" spans="1:40" ht="78.75" customHeight="1">
      <c r="A200" s="45"/>
      <c r="B200" s="122" t="s">
        <v>303</v>
      </c>
      <c r="C200" s="84"/>
      <c r="D200" s="84"/>
      <c r="E200" s="84"/>
      <c r="F200" s="84"/>
      <c r="G200" s="84"/>
      <c r="H200" s="84"/>
      <c r="I200" s="84"/>
      <c r="J200" s="84"/>
      <c r="K200" s="84"/>
      <c r="L200" s="84"/>
      <c r="M200" s="84"/>
      <c r="N200" s="84"/>
      <c r="O200" s="97"/>
      <c r="P200" s="97"/>
      <c r="Q200" s="97"/>
      <c r="R200" s="97"/>
      <c r="S200" s="97"/>
      <c r="T200" s="97"/>
      <c r="U200" s="84"/>
      <c r="V200" s="84"/>
      <c r="W200" s="97"/>
      <c r="X200" s="84"/>
      <c r="Y200" s="97"/>
      <c r="Z200" s="97"/>
      <c r="AA200" s="97"/>
      <c r="AB200" s="84">
        <f t="shared" si="69"/>
        <v>0</v>
      </c>
      <c r="AC200" s="97"/>
      <c r="AD200" s="84">
        <f t="shared" si="44"/>
        <v>0</v>
      </c>
      <c r="AE200" s="97"/>
      <c r="AF200" s="138">
        <f>871200+8656000</f>
        <v>9527200</v>
      </c>
      <c r="AG200" s="84"/>
      <c r="AH200" s="138">
        <f>381600+280800+184000+8656000</f>
        <v>9502400</v>
      </c>
      <c r="AI200" s="84">
        <v>76.959999999999994</v>
      </c>
      <c r="AJ200" s="84"/>
      <c r="AK200" s="84"/>
      <c r="AL200" s="80">
        <f t="shared" si="64"/>
        <v>76.959999999999994</v>
      </c>
      <c r="AM200" s="80">
        <v>76.959999999999994</v>
      </c>
    </row>
    <row r="201" spans="1:40" ht="47.25" customHeight="1">
      <c r="A201" s="45"/>
      <c r="B201" s="122" t="s">
        <v>325</v>
      </c>
      <c r="C201" s="84"/>
      <c r="D201" s="84"/>
      <c r="E201" s="84"/>
      <c r="F201" s="84"/>
      <c r="G201" s="84"/>
      <c r="H201" s="84"/>
      <c r="I201" s="84"/>
      <c r="J201" s="84"/>
      <c r="K201" s="84"/>
      <c r="L201" s="84"/>
      <c r="M201" s="84"/>
      <c r="N201" s="84"/>
      <c r="O201" s="97"/>
      <c r="P201" s="97"/>
      <c r="Q201" s="97"/>
      <c r="R201" s="97"/>
      <c r="S201" s="97"/>
      <c r="T201" s="97"/>
      <c r="U201" s="84"/>
      <c r="V201" s="84"/>
      <c r="W201" s="97"/>
      <c r="X201" s="84"/>
      <c r="Y201" s="97"/>
      <c r="Z201" s="97"/>
      <c r="AA201" s="97"/>
      <c r="AB201" s="84"/>
      <c r="AC201" s="97"/>
      <c r="AD201" s="84"/>
      <c r="AE201" s="97"/>
      <c r="AF201" s="138"/>
      <c r="AG201" s="84"/>
      <c r="AH201" s="138"/>
      <c r="AI201" s="84">
        <v>10829.87</v>
      </c>
      <c r="AJ201" s="84"/>
      <c r="AK201" s="84"/>
      <c r="AL201" s="80">
        <f t="shared" si="64"/>
        <v>10829.87</v>
      </c>
      <c r="AM201" s="80">
        <v>10829.87</v>
      </c>
    </row>
    <row r="202" spans="1:40" ht="155.25" customHeight="1">
      <c r="A202" s="45"/>
      <c r="B202" s="123" t="s">
        <v>304</v>
      </c>
      <c r="C202" s="84"/>
      <c r="D202" s="84"/>
      <c r="E202" s="84"/>
      <c r="F202" s="84"/>
      <c r="G202" s="84"/>
      <c r="H202" s="84"/>
      <c r="I202" s="84"/>
      <c r="J202" s="84"/>
      <c r="K202" s="84"/>
      <c r="L202" s="84"/>
      <c r="M202" s="84"/>
      <c r="N202" s="84"/>
      <c r="O202" s="97"/>
      <c r="P202" s="97"/>
      <c r="Q202" s="97"/>
      <c r="R202" s="97"/>
      <c r="S202" s="97"/>
      <c r="T202" s="97"/>
      <c r="U202" s="84"/>
      <c r="V202" s="84"/>
      <c r="W202" s="97"/>
      <c r="X202" s="84"/>
      <c r="Y202" s="97"/>
      <c r="Z202" s="97"/>
      <c r="AA202" s="97"/>
      <c r="AB202" s="84"/>
      <c r="AC202" s="97"/>
      <c r="AD202" s="84"/>
      <c r="AE202" s="97"/>
      <c r="AF202" s="138"/>
      <c r="AG202" s="84"/>
      <c r="AH202" s="138"/>
      <c r="AI202" s="84">
        <v>24000</v>
      </c>
      <c r="AJ202" s="84"/>
      <c r="AK202" s="84"/>
      <c r="AL202" s="80">
        <f t="shared" si="64"/>
        <v>24000</v>
      </c>
      <c r="AM202" s="80">
        <v>24000</v>
      </c>
    </row>
    <row r="203" spans="1:40" ht="96.75" hidden="1" customHeight="1">
      <c r="A203" s="45"/>
      <c r="B203" s="123" t="s">
        <v>263</v>
      </c>
      <c r="C203" s="84"/>
      <c r="D203" s="84"/>
      <c r="E203" s="84"/>
      <c r="F203" s="84"/>
      <c r="G203" s="84"/>
      <c r="H203" s="84"/>
      <c r="I203" s="84"/>
      <c r="J203" s="84"/>
      <c r="K203" s="84"/>
      <c r="L203" s="84"/>
      <c r="M203" s="84"/>
      <c r="N203" s="84"/>
      <c r="O203" s="97"/>
      <c r="P203" s="97"/>
      <c r="Q203" s="97"/>
      <c r="R203" s="97"/>
      <c r="S203" s="97"/>
      <c r="T203" s="97"/>
      <c r="U203" s="84"/>
      <c r="V203" s="84"/>
      <c r="W203" s="97"/>
      <c r="X203" s="84"/>
      <c r="Y203" s="97"/>
      <c r="Z203" s="97"/>
      <c r="AA203" s="97"/>
      <c r="AB203" s="84"/>
      <c r="AC203" s="97"/>
      <c r="AD203" s="84"/>
      <c r="AE203" s="97"/>
      <c r="AF203" s="138"/>
      <c r="AG203" s="84"/>
      <c r="AH203" s="138"/>
      <c r="AI203" s="84">
        <v>0</v>
      </c>
      <c r="AJ203" s="84"/>
      <c r="AK203" s="84"/>
      <c r="AL203" s="80">
        <f t="shared" si="64"/>
        <v>0</v>
      </c>
      <c r="AM203" s="80">
        <v>0</v>
      </c>
    </row>
    <row r="204" spans="1:40" ht="108" hidden="1" customHeight="1">
      <c r="A204" s="45"/>
      <c r="B204" s="123" t="s">
        <v>266</v>
      </c>
      <c r="C204" s="84"/>
      <c r="D204" s="84"/>
      <c r="E204" s="84"/>
      <c r="F204" s="84"/>
      <c r="G204" s="84"/>
      <c r="H204" s="84"/>
      <c r="I204" s="84"/>
      <c r="J204" s="84"/>
      <c r="K204" s="84"/>
      <c r="L204" s="84"/>
      <c r="M204" s="84"/>
      <c r="N204" s="84"/>
      <c r="O204" s="97"/>
      <c r="P204" s="97"/>
      <c r="Q204" s="97"/>
      <c r="R204" s="97"/>
      <c r="S204" s="97"/>
      <c r="T204" s="97"/>
      <c r="U204" s="84"/>
      <c r="V204" s="84"/>
      <c r="W204" s="97"/>
      <c r="X204" s="84"/>
      <c r="Y204" s="97"/>
      <c r="Z204" s="97"/>
      <c r="AA204" s="97"/>
      <c r="AB204" s="84"/>
      <c r="AC204" s="97"/>
      <c r="AD204" s="84"/>
      <c r="AE204" s="97"/>
      <c r="AF204" s="138"/>
      <c r="AG204" s="84"/>
      <c r="AH204" s="138"/>
      <c r="AI204" s="84"/>
      <c r="AJ204" s="84"/>
      <c r="AK204" s="84"/>
      <c r="AL204" s="80">
        <f t="shared" si="64"/>
        <v>0</v>
      </c>
      <c r="AM204" s="80"/>
    </row>
    <row r="205" spans="1:40" ht="66" customHeight="1">
      <c r="A205" s="45"/>
      <c r="B205" s="123" t="s">
        <v>305</v>
      </c>
      <c r="C205" s="84"/>
      <c r="D205" s="84"/>
      <c r="E205" s="84"/>
      <c r="F205" s="84"/>
      <c r="G205" s="84"/>
      <c r="H205" s="84"/>
      <c r="I205" s="84"/>
      <c r="J205" s="84"/>
      <c r="K205" s="84"/>
      <c r="L205" s="84"/>
      <c r="M205" s="84"/>
      <c r="N205" s="84"/>
      <c r="O205" s="97"/>
      <c r="P205" s="97"/>
      <c r="Q205" s="97"/>
      <c r="R205" s="97"/>
      <c r="S205" s="97"/>
      <c r="T205" s="97"/>
      <c r="U205" s="84"/>
      <c r="V205" s="84"/>
      <c r="W205" s="97"/>
      <c r="X205" s="84"/>
      <c r="Y205" s="97"/>
      <c r="Z205" s="97"/>
      <c r="AA205" s="97"/>
      <c r="AB205" s="84"/>
      <c r="AC205" s="97"/>
      <c r="AD205" s="84"/>
      <c r="AE205" s="97"/>
      <c r="AF205" s="138"/>
      <c r="AG205" s="84"/>
      <c r="AH205" s="138"/>
      <c r="AI205" s="84">
        <v>1110.77</v>
      </c>
      <c r="AJ205" s="84"/>
      <c r="AK205" s="84"/>
      <c r="AL205" s="80">
        <f t="shared" si="64"/>
        <v>1110.77</v>
      </c>
      <c r="AM205" s="80">
        <v>1110.77</v>
      </c>
    </row>
    <row r="206" spans="1:40" ht="66.75" customHeight="1" thickBot="1">
      <c r="A206" s="45"/>
      <c r="B206" s="98" t="s">
        <v>306</v>
      </c>
      <c r="C206" s="84">
        <v>255774.67</v>
      </c>
      <c r="D206" s="84"/>
      <c r="E206" s="84">
        <f>C206</f>
        <v>255774.67</v>
      </c>
      <c r="F206" s="84">
        <f>E206</f>
        <v>255774.67</v>
      </c>
      <c r="G206" s="84"/>
      <c r="H206" s="84"/>
      <c r="I206" s="84">
        <f t="shared" si="66"/>
        <v>0</v>
      </c>
      <c r="J206" s="84"/>
      <c r="K206" s="84"/>
      <c r="L206" s="84"/>
      <c r="M206" s="84">
        <f>1962200+2943200</f>
        <v>4905400</v>
      </c>
      <c r="N206" s="84">
        <f>25927.76+4000+2000+80+1057.1+2496.38+1118.28+2000+2254.15+2410.89</f>
        <v>43344.56</v>
      </c>
      <c r="O206" s="97"/>
      <c r="P206" s="97"/>
      <c r="Q206" s="97"/>
      <c r="R206" s="97"/>
      <c r="S206" s="97"/>
      <c r="T206" s="97"/>
      <c r="U206" s="84">
        <v>4905400</v>
      </c>
      <c r="V206" s="84">
        <f t="shared" si="61"/>
        <v>43344.55999999959</v>
      </c>
      <c r="W206" s="97"/>
      <c r="X206" s="84">
        <f t="shared" si="67"/>
        <v>43344.55999999959</v>
      </c>
      <c r="Y206" s="84">
        <v>43344.56</v>
      </c>
      <c r="Z206" s="97"/>
      <c r="AA206" s="97"/>
      <c r="AB206" s="84">
        <f t="shared" si="69"/>
        <v>-4.0745362639427185E-10</v>
      </c>
      <c r="AC206" s="97"/>
      <c r="AD206" s="84">
        <f t="shared" si="44"/>
        <v>0</v>
      </c>
      <c r="AE206" s="97"/>
      <c r="AF206" s="84">
        <f>3680000+1652600+2412900</f>
        <v>7745500</v>
      </c>
      <c r="AG206" s="84">
        <f>180818.21+14000+1000+4573.09+493.74+2000+3000+3000+2719.21+1171.27+650</f>
        <v>213425.51999999996</v>
      </c>
      <c r="AH206" s="84">
        <v>7745500</v>
      </c>
      <c r="AI206" s="84">
        <v>69829.72</v>
      </c>
      <c r="AJ206" s="84"/>
      <c r="AK206" s="84"/>
      <c r="AL206" s="80">
        <f t="shared" si="64"/>
        <v>69829.72</v>
      </c>
      <c r="AM206" s="80">
        <v>69829.72</v>
      </c>
    </row>
    <row r="207" spans="1:40" ht="32.25" customHeight="1" thickBot="1">
      <c r="A207" s="38" t="s">
        <v>197</v>
      </c>
      <c r="B207" s="119" t="s">
        <v>198</v>
      </c>
      <c r="C207" s="92">
        <f>SUM(C174:C206)</f>
        <v>291521305.35999995</v>
      </c>
      <c r="D207" s="92">
        <f t="shared" ref="D207:AM207" si="70">SUM(D174:D206)</f>
        <v>0</v>
      </c>
      <c r="E207" s="92">
        <f t="shared" si="70"/>
        <v>66488269.790000007</v>
      </c>
      <c r="F207" s="92">
        <f t="shared" si="70"/>
        <v>66488269.790000007</v>
      </c>
      <c r="G207" s="92">
        <f t="shared" si="70"/>
        <v>0</v>
      </c>
      <c r="H207" s="92">
        <f t="shared" si="70"/>
        <v>0</v>
      </c>
      <c r="I207" s="92">
        <f t="shared" si="70"/>
        <v>225033035.56999999</v>
      </c>
      <c r="J207" s="92">
        <f t="shared" si="70"/>
        <v>0</v>
      </c>
      <c r="K207" s="92">
        <f t="shared" si="70"/>
        <v>0</v>
      </c>
      <c r="L207" s="92">
        <f t="shared" si="70"/>
        <v>0</v>
      </c>
      <c r="M207" s="92">
        <f t="shared" si="70"/>
        <v>2543024205</v>
      </c>
      <c r="N207" s="92">
        <f t="shared" si="70"/>
        <v>18634869.939999998</v>
      </c>
      <c r="O207" s="92">
        <f t="shared" si="70"/>
        <v>0</v>
      </c>
      <c r="P207" s="92">
        <f t="shared" si="70"/>
        <v>0</v>
      </c>
      <c r="Q207" s="92">
        <f t="shared" si="70"/>
        <v>0</v>
      </c>
      <c r="R207" s="92">
        <f t="shared" si="70"/>
        <v>0</v>
      </c>
      <c r="S207" s="92">
        <f t="shared" si="70"/>
        <v>0</v>
      </c>
      <c r="T207" s="92">
        <f t="shared" si="70"/>
        <v>0</v>
      </c>
      <c r="U207" s="92">
        <f t="shared" si="70"/>
        <v>2239409827.9899998</v>
      </c>
      <c r="V207" s="92">
        <f t="shared" si="70"/>
        <v>547282282.55999982</v>
      </c>
      <c r="W207" s="92">
        <f t="shared" si="70"/>
        <v>0</v>
      </c>
      <c r="X207" s="92">
        <f t="shared" si="70"/>
        <v>547282282.55999982</v>
      </c>
      <c r="Y207" s="92">
        <f t="shared" si="70"/>
        <v>548307283.63</v>
      </c>
      <c r="Z207" s="92">
        <f t="shared" si="70"/>
        <v>249719993.38</v>
      </c>
      <c r="AA207" s="92">
        <f t="shared" si="70"/>
        <v>0</v>
      </c>
      <c r="AB207" s="92">
        <f t="shared" si="70"/>
        <v>-1025001.0700001058</v>
      </c>
      <c r="AC207" s="92">
        <f t="shared" si="70"/>
        <v>0</v>
      </c>
      <c r="AD207" s="92">
        <f t="shared" si="70"/>
        <v>0</v>
      </c>
      <c r="AE207" s="92">
        <f t="shared" si="70"/>
        <v>0</v>
      </c>
      <c r="AF207" s="92">
        <f t="shared" si="70"/>
        <v>2723795539.5699997</v>
      </c>
      <c r="AG207" s="92">
        <f t="shared" si="70"/>
        <v>9854347.4099999983</v>
      </c>
      <c r="AH207" s="92">
        <f t="shared" si="70"/>
        <v>2700401193.29</v>
      </c>
      <c r="AI207" s="92">
        <f t="shared" si="70"/>
        <v>16048535.469999999</v>
      </c>
      <c r="AJ207" s="92">
        <f t="shared" si="70"/>
        <v>0</v>
      </c>
      <c r="AK207" s="92">
        <f t="shared" si="70"/>
        <v>0</v>
      </c>
      <c r="AL207" s="92">
        <f t="shared" si="70"/>
        <v>16048535.469999999</v>
      </c>
      <c r="AM207" s="92">
        <f t="shared" si="70"/>
        <v>16048535.469999999</v>
      </c>
      <c r="AN207" s="44">
        <f>AN184-18149588.53</f>
        <v>16048536.469999999</v>
      </c>
    </row>
    <row r="208" spans="1:40" s="4" customFormat="1" ht="96.75" hidden="1" customHeight="1">
      <c r="A208" s="46"/>
      <c r="B208" s="95" t="s">
        <v>199</v>
      </c>
      <c r="C208" s="92"/>
      <c r="D208" s="92"/>
      <c r="E208" s="92"/>
      <c r="F208" s="92"/>
      <c r="G208" s="92"/>
      <c r="H208" s="92"/>
      <c r="I208" s="92"/>
      <c r="J208" s="92"/>
      <c r="K208" s="92"/>
      <c r="L208" s="92"/>
      <c r="M208" s="92"/>
      <c r="N208" s="92"/>
      <c r="O208" s="92"/>
      <c r="P208" s="92"/>
      <c r="Q208" s="92"/>
      <c r="R208" s="92"/>
      <c r="S208" s="92"/>
      <c r="T208" s="92"/>
      <c r="U208" s="92"/>
      <c r="V208" s="92"/>
      <c r="W208" s="92"/>
      <c r="X208" s="92"/>
      <c r="Y208" s="92"/>
      <c r="Z208" s="92"/>
      <c r="AA208" s="92"/>
      <c r="AB208" s="92"/>
      <c r="AC208" s="92"/>
      <c r="AD208" s="92"/>
      <c r="AE208" s="92"/>
      <c r="AF208" s="91">
        <v>4000000</v>
      </c>
      <c r="AG208" s="92"/>
      <c r="AH208" s="91">
        <v>4000000</v>
      </c>
      <c r="AI208" s="84">
        <f>V208+W208-Y208+AC208-AE208+AF208+AG208-AH208</f>
        <v>0</v>
      </c>
      <c r="AJ208" s="84">
        <f>W208+X208-Z208+AD208-AF208+AG208+AH208-AI208</f>
        <v>0</v>
      </c>
      <c r="AK208" s="84"/>
      <c r="AL208" s="80">
        <f t="shared" ref="AL208:AL209" si="71">AI208+AJ208</f>
        <v>0</v>
      </c>
      <c r="AM208" s="92"/>
    </row>
    <row r="209" spans="1:40" s="4" customFormat="1" ht="14.25" hidden="1" customHeight="1" thickBot="1">
      <c r="A209" s="46"/>
      <c r="B209" s="119"/>
      <c r="C209" s="92"/>
      <c r="D209" s="92"/>
      <c r="E209" s="92"/>
      <c r="F209" s="92"/>
      <c r="G209" s="92"/>
      <c r="H209" s="92"/>
      <c r="I209" s="92"/>
      <c r="J209" s="92"/>
      <c r="K209" s="92"/>
      <c r="L209" s="92"/>
      <c r="M209" s="92"/>
      <c r="N209" s="92"/>
      <c r="O209" s="92"/>
      <c r="P209" s="92"/>
      <c r="Q209" s="92"/>
      <c r="R209" s="92"/>
      <c r="S209" s="92"/>
      <c r="T209" s="92"/>
      <c r="U209" s="92"/>
      <c r="V209" s="92"/>
      <c r="W209" s="92"/>
      <c r="X209" s="92"/>
      <c r="Y209" s="92"/>
      <c r="Z209" s="92"/>
      <c r="AA209" s="92"/>
      <c r="AB209" s="92"/>
      <c r="AC209" s="92"/>
      <c r="AD209" s="92"/>
      <c r="AE209" s="92"/>
      <c r="AF209" s="92"/>
      <c r="AG209" s="92"/>
      <c r="AH209" s="92"/>
      <c r="AI209" s="84">
        <f>V209+W209-Y209+AC209-AE209+AF209+AG209-AH209</f>
        <v>0</v>
      </c>
      <c r="AJ209" s="84">
        <f>W209+X209-Z209+AD209-AF209+AG209+AH209-AI209</f>
        <v>0</v>
      </c>
      <c r="AK209" s="84">
        <f>X209+Y209-AA209+AE209-AG209+AH209+AI209-AJ209</f>
        <v>0</v>
      </c>
      <c r="AL209" s="80">
        <f t="shared" si="71"/>
        <v>0</v>
      </c>
      <c r="AM209" s="92"/>
    </row>
    <row r="210" spans="1:40" ht="32.25" hidden="1" customHeight="1" thickBot="1">
      <c r="A210" s="41"/>
      <c r="B210" s="119" t="s">
        <v>200</v>
      </c>
      <c r="C210" s="92"/>
      <c r="D210" s="92"/>
      <c r="E210" s="92"/>
      <c r="F210" s="92"/>
      <c r="G210" s="92"/>
      <c r="H210" s="92"/>
      <c r="I210" s="92"/>
      <c r="J210" s="92"/>
      <c r="K210" s="92"/>
      <c r="L210" s="92"/>
      <c r="M210" s="92"/>
      <c r="N210" s="92"/>
      <c r="O210" s="92"/>
      <c r="P210" s="92"/>
      <c r="Q210" s="92"/>
      <c r="R210" s="92"/>
      <c r="S210" s="92"/>
      <c r="T210" s="92"/>
      <c r="U210" s="92"/>
      <c r="V210" s="92">
        <f t="shared" ref="V210:AM210" si="72">V208+V209</f>
        <v>0</v>
      </c>
      <c r="W210" s="92">
        <f t="shared" si="72"/>
        <v>0</v>
      </c>
      <c r="X210" s="92">
        <f t="shared" si="72"/>
        <v>0</v>
      </c>
      <c r="Y210" s="92">
        <f t="shared" si="72"/>
        <v>0</v>
      </c>
      <c r="Z210" s="92">
        <f t="shared" si="72"/>
        <v>0</v>
      </c>
      <c r="AA210" s="92">
        <f t="shared" si="72"/>
        <v>0</v>
      </c>
      <c r="AB210" s="92">
        <f t="shared" si="72"/>
        <v>0</v>
      </c>
      <c r="AC210" s="92">
        <f t="shared" si="72"/>
        <v>0</v>
      </c>
      <c r="AD210" s="92">
        <f t="shared" si="72"/>
        <v>0</v>
      </c>
      <c r="AE210" s="92">
        <f t="shared" si="72"/>
        <v>0</v>
      </c>
      <c r="AF210" s="92">
        <f t="shared" si="72"/>
        <v>4000000</v>
      </c>
      <c r="AG210" s="92">
        <f t="shared" si="72"/>
        <v>0</v>
      </c>
      <c r="AH210" s="92">
        <f t="shared" si="72"/>
        <v>4000000</v>
      </c>
      <c r="AI210" s="92">
        <f t="shared" si="72"/>
        <v>0</v>
      </c>
      <c r="AJ210" s="92">
        <f t="shared" si="72"/>
        <v>0</v>
      </c>
      <c r="AK210" s="92">
        <f t="shared" si="72"/>
        <v>0</v>
      </c>
      <c r="AL210" s="92">
        <f t="shared" si="72"/>
        <v>0</v>
      </c>
      <c r="AM210" s="92">
        <f t="shared" si="72"/>
        <v>0</v>
      </c>
    </row>
    <row r="211" spans="1:40" ht="54.75" hidden="1" customHeight="1">
      <c r="A211" s="41"/>
      <c r="B211" s="98" t="s">
        <v>173</v>
      </c>
      <c r="C211" s="92"/>
      <c r="D211" s="92"/>
      <c r="E211" s="92"/>
      <c r="F211" s="92"/>
      <c r="G211" s="92"/>
      <c r="H211" s="92"/>
      <c r="I211" s="92"/>
      <c r="J211" s="92"/>
      <c r="K211" s="92"/>
      <c r="L211" s="92"/>
      <c r="M211" s="92"/>
      <c r="N211" s="91">
        <v>150000</v>
      </c>
      <c r="O211" s="92"/>
      <c r="P211" s="92"/>
      <c r="Q211" s="92"/>
      <c r="R211" s="92"/>
      <c r="S211" s="92"/>
      <c r="T211" s="92"/>
      <c r="U211" s="91">
        <v>0</v>
      </c>
      <c r="V211" s="84"/>
      <c r="W211" s="84"/>
      <c r="X211" s="84"/>
      <c r="Y211" s="84"/>
      <c r="Z211" s="97"/>
      <c r="AA211" s="97"/>
      <c r="AB211" s="84">
        <f>X211-Y211</f>
        <v>0</v>
      </c>
      <c r="AC211" s="97"/>
      <c r="AD211" s="84"/>
      <c r="AE211" s="97"/>
      <c r="AF211" s="84"/>
      <c r="AG211" s="97"/>
      <c r="AH211" s="97"/>
      <c r="AI211" s="84">
        <f t="shared" ref="AI211:AK216" si="73">V211+W211-Y211+AC211-AE211+AF211+AG211-AH211</f>
        <v>0</v>
      </c>
      <c r="AJ211" s="84">
        <f t="shared" si="73"/>
        <v>0</v>
      </c>
      <c r="AK211" s="84">
        <f t="shared" si="73"/>
        <v>0</v>
      </c>
      <c r="AL211" s="80">
        <f t="shared" ref="AL211:AL219" si="74">AI211+AJ211</f>
        <v>0</v>
      </c>
      <c r="AM211" s="80"/>
    </row>
    <row r="212" spans="1:40" ht="111" hidden="1" customHeight="1">
      <c r="A212" s="41"/>
      <c r="B212" s="98" t="s">
        <v>201</v>
      </c>
      <c r="C212" s="92"/>
      <c r="D212" s="92"/>
      <c r="E212" s="92"/>
      <c r="F212" s="92"/>
      <c r="G212" s="92"/>
      <c r="H212" s="92"/>
      <c r="I212" s="92"/>
      <c r="J212" s="92"/>
      <c r="K212" s="92"/>
      <c r="L212" s="92"/>
      <c r="M212" s="92"/>
      <c r="N212" s="91"/>
      <c r="O212" s="92"/>
      <c r="P212" s="92"/>
      <c r="Q212" s="92"/>
      <c r="R212" s="92"/>
      <c r="S212" s="92"/>
      <c r="T212" s="92"/>
      <c r="U212" s="91"/>
      <c r="V212" s="84"/>
      <c r="W212" s="84"/>
      <c r="X212" s="84"/>
      <c r="Y212" s="84"/>
      <c r="Z212" s="97"/>
      <c r="AA212" s="97"/>
      <c r="AB212" s="84"/>
      <c r="AC212" s="97"/>
      <c r="AD212" s="84"/>
      <c r="AE212" s="97"/>
      <c r="AF212" s="84">
        <v>29037612</v>
      </c>
      <c r="AG212" s="97"/>
      <c r="AH212" s="84">
        <v>29037612</v>
      </c>
      <c r="AI212" s="84">
        <f t="shared" si="73"/>
        <v>0</v>
      </c>
      <c r="AJ212" s="84">
        <f t="shared" si="73"/>
        <v>0</v>
      </c>
      <c r="AK212" s="84"/>
      <c r="AL212" s="80">
        <f t="shared" si="74"/>
        <v>0</v>
      </c>
      <c r="AM212" s="80"/>
    </row>
    <row r="213" spans="1:40" ht="61.5" hidden="1" customHeight="1">
      <c r="A213" s="41"/>
      <c r="B213" s="98" t="s">
        <v>202</v>
      </c>
      <c r="C213" s="92"/>
      <c r="D213" s="92"/>
      <c r="E213" s="92"/>
      <c r="F213" s="92"/>
      <c r="G213" s="92"/>
      <c r="H213" s="92"/>
      <c r="I213" s="92"/>
      <c r="J213" s="92"/>
      <c r="K213" s="92"/>
      <c r="L213" s="92"/>
      <c r="M213" s="91">
        <v>4083278</v>
      </c>
      <c r="N213" s="91"/>
      <c r="O213" s="92"/>
      <c r="P213" s="92"/>
      <c r="Q213" s="92"/>
      <c r="R213" s="92"/>
      <c r="S213" s="92"/>
      <c r="T213" s="92"/>
      <c r="U213" s="91">
        <v>4083278</v>
      </c>
      <c r="V213" s="84">
        <f t="shared" ref="V213:V233" si="75">I213+J213+M213+N213-U213</f>
        <v>0</v>
      </c>
      <c r="W213" s="84"/>
      <c r="X213" s="84">
        <f>V213</f>
        <v>0</v>
      </c>
      <c r="Y213" s="84"/>
      <c r="Z213" s="84"/>
      <c r="AA213" s="84"/>
      <c r="AB213" s="84">
        <f>X213-Y213</f>
        <v>0</v>
      </c>
      <c r="AC213" s="97"/>
      <c r="AD213" s="84"/>
      <c r="AE213" s="97"/>
      <c r="AF213" s="84">
        <v>7174858</v>
      </c>
      <c r="AG213" s="97"/>
      <c r="AH213" s="84">
        <v>7174858</v>
      </c>
      <c r="AI213" s="84">
        <f t="shared" si="73"/>
        <v>0</v>
      </c>
      <c r="AJ213" s="84">
        <f t="shared" si="73"/>
        <v>0</v>
      </c>
      <c r="AK213" s="84"/>
      <c r="AL213" s="80">
        <f t="shared" si="74"/>
        <v>0</v>
      </c>
      <c r="AM213" s="80"/>
    </row>
    <row r="214" spans="1:40" ht="135" hidden="1" customHeight="1">
      <c r="A214" s="41"/>
      <c r="B214" s="98" t="s">
        <v>203</v>
      </c>
      <c r="C214" s="92"/>
      <c r="D214" s="92"/>
      <c r="E214" s="92"/>
      <c r="F214" s="92"/>
      <c r="G214" s="92"/>
      <c r="H214" s="92"/>
      <c r="I214" s="92"/>
      <c r="J214" s="92"/>
      <c r="K214" s="92"/>
      <c r="L214" s="92"/>
      <c r="M214" s="91"/>
      <c r="N214" s="91"/>
      <c r="O214" s="92"/>
      <c r="P214" s="92"/>
      <c r="Q214" s="92"/>
      <c r="R214" s="92"/>
      <c r="S214" s="92"/>
      <c r="T214" s="92"/>
      <c r="U214" s="91"/>
      <c r="V214" s="84"/>
      <c r="W214" s="84"/>
      <c r="X214" s="84"/>
      <c r="Y214" s="84"/>
      <c r="Z214" s="84"/>
      <c r="AA214" s="84"/>
      <c r="AB214" s="84"/>
      <c r="AC214" s="97"/>
      <c r="AD214" s="84"/>
      <c r="AE214" s="97"/>
      <c r="AF214" s="84">
        <v>2771776</v>
      </c>
      <c r="AG214" s="97"/>
      <c r="AH214" s="84">
        <v>2771776</v>
      </c>
      <c r="AI214" s="84">
        <f t="shared" si="73"/>
        <v>0</v>
      </c>
      <c r="AJ214" s="84">
        <f t="shared" si="73"/>
        <v>0</v>
      </c>
      <c r="AK214" s="84"/>
      <c r="AL214" s="80">
        <f t="shared" si="74"/>
        <v>0</v>
      </c>
      <c r="AM214" s="80"/>
    </row>
    <row r="215" spans="1:40" ht="115.5" hidden="1" customHeight="1">
      <c r="A215" s="41"/>
      <c r="B215" s="98" t="s">
        <v>204</v>
      </c>
      <c r="C215" s="92"/>
      <c r="D215" s="92"/>
      <c r="E215" s="92"/>
      <c r="F215" s="92"/>
      <c r="G215" s="92"/>
      <c r="H215" s="92"/>
      <c r="I215" s="92"/>
      <c r="J215" s="92"/>
      <c r="K215" s="92"/>
      <c r="L215" s="92"/>
      <c r="M215" s="91"/>
      <c r="N215" s="91"/>
      <c r="O215" s="92"/>
      <c r="P215" s="92"/>
      <c r="Q215" s="92"/>
      <c r="R215" s="92"/>
      <c r="S215" s="92"/>
      <c r="T215" s="92"/>
      <c r="U215" s="91"/>
      <c r="V215" s="84"/>
      <c r="W215" s="84"/>
      <c r="X215" s="84"/>
      <c r="Y215" s="84"/>
      <c r="Z215" s="84"/>
      <c r="AA215" s="84"/>
      <c r="AB215" s="84"/>
      <c r="AC215" s="97"/>
      <c r="AD215" s="84"/>
      <c r="AE215" s="97"/>
      <c r="AF215" s="84">
        <v>8421000</v>
      </c>
      <c r="AG215" s="97"/>
      <c r="AH215" s="84">
        <v>8421000</v>
      </c>
      <c r="AI215" s="84">
        <f t="shared" si="73"/>
        <v>0</v>
      </c>
      <c r="AJ215" s="84">
        <f t="shared" si="73"/>
        <v>0</v>
      </c>
      <c r="AK215" s="84"/>
      <c r="AL215" s="80">
        <f t="shared" si="74"/>
        <v>0</v>
      </c>
      <c r="AM215" s="80"/>
    </row>
    <row r="216" spans="1:40" ht="64.5" hidden="1" customHeight="1">
      <c r="A216" s="41"/>
      <c r="B216" s="98" t="s">
        <v>205</v>
      </c>
      <c r="C216" s="92"/>
      <c r="D216" s="92"/>
      <c r="E216" s="92"/>
      <c r="F216" s="92"/>
      <c r="G216" s="92"/>
      <c r="H216" s="92"/>
      <c r="I216" s="92"/>
      <c r="J216" s="92"/>
      <c r="K216" s="92"/>
      <c r="L216" s="92"/>
      <c r="M216" s="91">
        <v>59684656</v>
      </c>
      <c r="N216" s="91"/>
      <c r="O216" s="92"/>
      <c r="P216" s="92"/>
      <c r="Q216" s="92"/>
      <c r="R216" s="92"/>
      <c r="S216" s="92"/>
      <c r="T216" s="92"/>
      <c r="U216" s="91">
        <v>56400000</v>
      </c>
      <c r="V216" s="84">
        <f t="shared" si="75"/>
        <v>3284656</v>
      </c>
      <c r="W216" s="84">
        <v>1370471.89</v>
      </c>
      <c r="X216" s="84">
        <f>V216+W216</f>
        <v>4655127.8899999997</v>
      </c>
      <c r="Y216" s="84">
        <v>4655127.8899999997</v>
      </c>
      <c r="Z216" s="84">
        <v>1370471.89</v>
      </c>
      <c r="AA216" s="84">
        <v>1370471.89</v>
      </c>
      <c r="AB216" s="84">
        <f>X216-Y216</f>
        <v>0</v>
      </c>
      <c r="AC216" s="84">
        <v>1370471.89</v>
      </c>
      <c r="AD216" s="84">
        <f>Z216-AC216</f>
        <v>0</v>
      </c>
      <c r="AE216" s="84">
        <v>1370471.89</v>
      </c>
      <c r="AF216" s="97"/>
      <c r="AG216" s="97"/>
      <c r="AH216" s="84"/>
      <c r="AI216" s="84">
        <f t="shared" si="73"/>
        <v>0</v>
      </c>
      <c r="AJ216" s="84"/>
      <c r="AK216" s="84"/>
      <c r="AL216" s="80">
        <f t="shared" si="74"/>
        <v>0</v>
      </c>
      <c r="AM216" s="80"/>
    </row>
    <row r="217" spans="1:40" ht="67.5" customHeight="1">
      <c r="A217" s="41"/>
      <c r="B217" s="79" t="s">
        <v>307</v>
      </c>
      <c r="C217" s="91">
        <v>29560</v>
      </c>
      <c r="D217" s="91">
        <v>293983.83</v>
      </c>
      <c r="E217" s="92"/>
      <c r="F217" s="91">
        <v>29560</v>
      </c>
      <c r="G217" s="92"/>
      <c r="H217" s="92"/>
      <c r="I217" s="92"/>
      <c r="J217" s="92"/>
      <c r="K217" s="92"/>
      <c r="L217" s="92"/>
      <c r="M217" s="91"/>
      <c r="N217" s="91">
        <f>256862.53+37121.3</f>
        <v>293983.83</v>
      </c>
      <c r="O217" s="92"/>
      <c r="P217" s="92"/>
      <c r="Q217" s="92"/>
      <c r="R217" s="92"/>
      <c r="S217" s="92"/>
      <c r="T217" s="92"/>
      <c r="U217" s="91"/>
      <c r="V217" s="84">
        <f t="shared" si="75"/>
        <v>293983.83</v>
      </c>
      <c r="W217" s="84"/>
      <c r="X217" s="84">
        <f>V217</f>
        <v>293983.83</v>
      </c>
      <c r="Y217" s="84">
        <v>293983.83</v>
      </c>
      <c r="Z217" s="84"/>
      <c r="AA217" s="84"/>
      <c r="AB217" s="84">
        <f>X217-Y217</f>
        <v>0</v>
      </c>
      <c r="AC217" s="97"/>
      <c r="AD217" s="84"/>
      <c r="AE217" s="84"/>
      <c r="AF217" s="84"/>
      <c r="AG217" s="84">
        <v>70000</v>
      </c>
      <c r="AH217" s="84"/>
      <c r="AI217" s="84">
        <v>11803.8</v>
      </c>
      <c r="AJ217" s="84"/>
      <c r="AK217" s="84"/>
      <c r="AL217" s="80">
        <f t="shared" si="74"/>
        <v>11803.8</v>
      </c>
      <c r="AM217" s="80">
        <v>11803.8</v>
      </c>
    </row>
    <row r="218" spans="1:40" ht="12.75" hidden="1" customHeight="1">
      <c r="A218" s="41"/>
      <c r="B218" s="99" t="s">
        <v>244</v>
      </c>
      <c r="C218" s="91"/>
      <c r="D218" s="91"/>
      <c r="E218" s="92"/>
      <c r="F218" s="91"/>
      <c r="G218" s="92"/>
      <c r="H218" s="92"/>
      <c r="I218" s="92"/>
      <c r="J218" s="92"/>
      <c r="K218" s="92"/>
      <c r="L218" s="92"/>
      <c r="M218" s="91"/>
      <c r="N218" s="91"/>
      <c r="O218" s="92"/>
      <c r="P218" s="92"/>
      <c r="Q218" s="92"/>
      <c r="R218" s="92"/>
      <c r="S218" s="92"/>
      <c r="T218" s="92"/>
      <c r="U218" s="91"/>
      <c r="V218" s="84"/>
      <c r="W218" s="84"/>
      <c r="X218" s="84"/>
      <c r="Y218" s="84"/>
      <c r="Z218" s="84"/>
      <c r="AA218" s="84"/>
      <c r="AB218" s="84"/>
      <c r="AC218" s="97"/>
      <c r="AD218" s="84"/>
      <c r="AE218" s="84"/>
      <c r="AF218" s="84"/>
      <c r="AG218" s="84"/>
      <c r="AH218" s="84"/>
      <c r="AI218" s="84"/>
      <c r="AJ218" s="84"/>
      <c r="AK218" s="84"/>
      <c r="AL218" s="80"/>
      <c r="AM218" s="80"/>
    </row>
    <row r="219" spans="1:40" s="20" customFormat="1" ht="69" customHeight="1">
      <c r="A219" s="16"/>
      <c r="B219" s="79" t="s">
        <v>308</v>
      </c>
      <c r="C219" s="91"/>
      <c r="D219" s="91">
        <f>208504+9489453.9-37121.3-263983.83</f>
        <v>9396852.7699999996</v>
      </c>
      <c r="E219" s="92"/>
      <c r="F219" s="91">
        <f>145000</f>
        <v>145000</v>
      </c>
      <c r="G219" s="92"/>
      <c r="H219" s="92"/>
      <c r="I219" s="91">
        <f>C219-F219</f>
        <v>-145000</v>
      </c>
      <c r="J219" s="92"/>
      <c r="K219" s="92"/>
      <c r="L219" s="92"/>
      <c r="M219" s="91">
        <v>41578340</v>
      </c>
      <c r="N219" s="91">
        <v>145000</v>
      </c>
      <c r="O219" s="97"/>
      <c r="P219" s="97"/>
      <c r="Q219" s="97"/>
      <c r="R219" s="97"/>
      <c r="S219" s="97"/>
      <c r="T219" s="97"/>
      <c r="U219" s="91">
        <v>41578340</v>
      </c>
      <c r="V219" s="84">
        <f t="shared" si="75"/>
        <v>0</v>
      </c>
      <c r="W219" s="84">
        <v>24673666.850000001</v>
      </c>
      <c r="X219" s="84">
        <f>V219+W219</f>
        <v>24673666.850000001</v>
      </c>
      <c r="Y219" s="84">
        <v>24673666.850000001</v>
      </c>
      <c r="Z219" s="84">
        <v>24673666.850000001</v>
      </c>
      <c r="AA219" s="84">
        <v>24673666.850000001</v>
      </c>
      <c r="AB219" s="84">
        <f>X219-Y219</f>
        <v>0</v>
      </c>
      <c r="AC219" s="84">
        <v>24673666.850000001</v>
      </c>
      <c r="AD219" s="84">
        <f>AA219-AC219</f>
        <v>0</v>
      </c>
      <c r="AE219" s="84">
        <f>23102831.72+1570835.13</f>
        <v>24673666.849999998</v>
      </c>
      <c r="AF219" s="84">
        <v>48438440</v>
      </c>
      <c r="AG219" s="97"/>
      <c r="AH219" s="84">
        <v>48438440</v>
      </c>
      <c r="AI219" s="84">
        <v>40524119.960000001</v>
      </c>
      <c r="AJ219" s="84">
        <v>2471478.16</v>
      </c>
      <c r="AK219" s="84"/>
      <c r="AL219" s="80">
        <f t="shared" si="74"/>
        <v>42995598.120000005</v>
      </c>
      <c r="AM219" s="80">
        <v>42995598.119999997</v>
      </c>
      <c r="AN219" s="56" t="e">
        <f>#REF!-#REF!</f>
        <v>#REF!</v>
      </c>
    </row>
    <row r="220" spans="1:40" s="20" customFormat="1" ht="32.25" customHeight="1">
      <c r="A220" s="16"/>
      <c r="B220" s="100" t="s">
        <v>309</v>
      </c>
      <c r="C220" s="92">
        <f t="shared" ref="C220:H220" si="76">C219</f>
        <v>0</v>
      </c>
      <c r="D220" s="92">
        <f t="shared" si="76"/>
        <v>9396852.7699999996</v>
      </c>
      <c r="E220" s="92">
        <f t="shared" si="76"/>
        <v>0</v>
      </c>
      <c r="F220" s="92">
        <f t="shared" si="76"/>
        <v>145000</v>
      </c>
      <c r="G220" s="92">
        <f t="shared" si="76"/>
        <v>0</v>
      </c>
      <c r="H220" s="92">
        <f t="shared" si="76"/>
        <v>0</v>
      </c>
      <c r="I220" s="92">
        <f>I211+I219</f>
        <v>-145000</v>
      </c>
      <c r="J220" s="92">
        <f>J211+J219</f>
        <v>0</v>
      </c>
      <c r="K220" s="92">
        <f>K211+K219</f>
        <v>0</v>
      </c>
      <c r="L220" s="92">
        <f>L211+L219</f>
        <v>0</v>
      </c>
      <c r="M220" s="92">
        <f>SUM(M211:M219)</f>
        <v>105346274</v>
      </c>
      <c r="N220" s="92">
        <f>SUM(N211:N219)</f>
        <v>588983.83000000007</v>
      </c>
      <c r="O220" s="92">
        <f t="shared" ref="O220:T220" si="77">O211+O219+O216</f>
        <v>0</v>
      </c>
      <c r="P220" s="92">
        <f t="shared" si="77"/>
        <v>0</v>
      </c>
      <c r="Q220" s="92">
        <f t="shared" si="77"/>
        <v>0</v>
      </c>
      <c r="R220" s="92">
        <f t="shared" si="77"/>
        <v>0</v>
      </c>
      <c r="S220" s="92">
        <f t="shared" si="77"/>
        <v>0</v>
      </c>
      <c r="T220" s="92">
        <f t="shared" si="77"/>
        <v>0</v>
      </c>
      <c r="U220" s="92">
        <f>SUM(U211:U219)</f>
        <v>102061618</v>
      </c>
      <c r="V220" s="92">
        <f>SUM(V211:V219)</f>
        <v>3578639.83</v>
      </c>
      <c r="W220" s="92">
        <f t="shared" ref="W220:AM220" si="78">SUM(W211:W219)</f>
        <v>26044138.740000002</v>
      </c>
      <c r="X220" s="92">
        <f t="shared" si="78"/>
        <v>29622778.57</v>
      </c>
      <c r="Y220" s="92">
        <f t="shared" si="78"/>
        <v>29622778.57</v>
      </c>
      <c r="Z220" s="92">
        <f t="shared" si="78"/>
        <v>26044138.740000002</v>
      </c>
      <c r="AA220" s="92">
        <f t="shared" si="78"/>
        <v>26044138.740000002</v>
      </c>
      <c r="AB220" s="92">
        <f t="shared" si="78"/>
        <v>0</v>
      </c>
      <c r="AC220" s="92">
        <f t="shared" si="78"/>
        <v>26044138.740000002</v>
      </c>
      <c r="AD220" s="92">
        <f t="shared" si="78"/>
        <v>0</v>
      </c>
      <c r="AE220" s="92">
        <f t="shared" si="78"/>
        <v>26044138.739999998</v>
      </c>
      <c r="AF220" s="92">
        <f t="shared" si="78"/>
        <v>95843686</v>
      </c>
      <c r="AG220" s="92">
        <f t="shared" si="78"/>
        <v>70000</v>
      </c>
      <c r="AH220" s="92">
        <f t="shared" si="78"/>
        <v>95843686</v>
      </c>
      <c r="AI220" s="92">
        <f t="shared" si="78"/>
        <v>40535923.759999998</v>
      </c>
      <c r="AJ220" s="92">
        <f t="shared" si="78"/>
        <v>2471478.16</v>
      </c>
      <c r="AK220" s="92">
        <f t="shared" si="78"/>
        <v>0</v>
      </c>
      <c r="AL220" s="92">
        <f t="shared" si="78"/>
        <v>43007401.920000002</v>
      </c>
      <c r="AM220" s="92">
        <f t="shared" si="78"/>
        <v>43007401.919999994</v>
      </c>
    </row>
    <row r="221" spans="1:40" s="20" customFormat="1" ht="50.25" hidden="1" customHeight="1">
      <c r="A221" s="16"/>
      <c r="B221" s="89" t="s">
        <v>206</v>
      </c>
      <c r="C221" s="92"/>
      <c r="D221" s="92"/>
      <c r="E221" s="92"/>
      <c r="F221" s="92"/>
      <c r="G221" s="92"/>
      <c r="H221" s="92"/>
      <c r="I221" s="92"/>
      <c r="J221" s="92"/>
      <c r="K221" s="92"/>
      <c r="L221" s="92"/>
      <c r="M221" s="85">
        <f>1380888.32+227556.03+43642.4+376631.06+1855.9+70107.75+3070.95+386015.38+6066.1+18795+478726.81+20601.9+374326.6+34572.96+20601.9+782389.96+15970.7+20601.9+374326.58+37931.31+383445.33+116247.95+7609.34+73299.05+493497.87+41203.8+50263.6+63233.8+275500+347534.61</f>
        <v>6526514.8599999994</v>
      </c>
      <c r="N221" s="92"/>
      <c r="O221" s="92"/>
      <c r="P221" s="92"/>
      <c r="Q221" s="92"/>
      <c r="R221" s="92"/>
      <c r="S221" s="92"/>
      <c r="T221" s="92"/>
      <c r="U221" s="91">
        <v>6526514.8600000003</v>
      </c>
      <c r="V221" s="84">
        <f t="shared" si="75"/>
        <v>0</v>
      </c>
      <c r="W221" s="97"/>
      <c r="X221" s="84">
        <f>V221</f>
        <v>0</v>
      </c>
      <c r="Y221" s="97"/>
      <c r="Z221" s="97"/>
      <c r="AA221" s="97"/>
      <c r="AB221" s="84">
        <f>X221-Y221</f>
        <v>0</v>
      </c>
      <c r="AC221" s="97"/>
      <c r="AD221" s="84">
        <f>AA221-AC221</f>
        <v>0</v>
      </c>
      <c r="AE221" s="97"/>
      <c r="AF221" s="84">
        <v>8051255.21</v>
      </c>
      <c r="AG221" s="97"/>
      <c r="AH221" s="84">
        <v>8051255.21</v>
      </c>
      <c r="AI221" s="84">
        <f t="shared" ref="AI221:AJ227" si="79">V221+W221-Y221+AC221-AE221+AF221+AG221-AH221</f>
        <v>0</v>
      </c>
      <c r="AJ221" s="84">
        <f t="shared" si="79"/>
        <v>0</v>
      </c>
      <c r="AK221" s="84"/>
      <c r="AL221" s="80">
        <f t="shared" ref="AL221:AL227" si="80">AI221+AJ221</f>
        <v>0</v>
      </c>
      <c r="AM221" s="90"/>
    </row>
    <row r="222" spans="1:40" s="20" customFormat="1" ht="127.5" hidden="1" customHeight="1">
      <c r="A222" s="16"/>
      <c r="B222" s="86" t="s">
        <v>207</v>
      </c>
      <c r="C222" s="92"/>
      <c r="D222" s="92"/>
      <c r="E222" s="92"/>
      <c r="F222" s="92"/>
      <c r="G222" s="92"/>
      <c r="H222" s="92"/>
      <c r="I222" s="92"/>
      <c r="J222" s="92"/>
      <c r="K222" s="92"/>
      <c r="L222" s="92"/>
      <c r="M222" s="85"/>
      <c r="N222" s="92"/>
      <c r="O222" s="92"/>
      <c r="P222" s="92"/>
      <c r="Q222" s="92"/>
      <c r="R222" s="92"/>
      <c r="S222" s="92"/>
      <c r="T222" s="92"/>
      <c r="U222" s="91"/>
      <c r="V222" s="84"/>
      <c r="W222" s="97"/>
      <c r="X222" s="84"/>
      <c r="Y222" s="97"/>
      <c r="Z222" s="97"/>
      <c r="AA222" s="97"/>
      <c r="AB222" s="84"/>
      <c r="AC222" s="97"/>
      <c r="AD222" s="84"/>
      <c r="AE222" s="97"/>
      <c r="AF222" s="84">
        <v>2771776</v>
      </c>
      <c r="AG222" s="97"/>
      <c r="AH222" s="84">
        <v>2771776</v>
      </c>
      <c r="AI222" s="84">
        <f t="shared" si="79"/>
        <v>0</v>
      </c>
      <c r="AJ222" s="84">
        <f t="shared" si="79"/>
        <v>0</v>
      </c>
      <c r="AK222" s="84"/>
      <c r="AL222" s="80">
        <f t="shared" si="80"/>
        <v>0</v>
      </c>
      <c r="AM222" s="90"/>
    </row>
    <row r="223" spans="1:40" s="20" customFormat="1" ht="50.25" hidden="1" customHeight="1">
      <c r="A223" s="16"/>
      <c r="B223" s="89" t="s">
        <v>208</v>
      </c>
      <c r="C223" s="92"/>
      <c r="D223" s="92"/>
      <c r="E223" s="92"/>
      <c r="F223" s="92"/>
      <c r="G223" s="92"/>
      <c r="H223" s="92"/>
      <c r="I223" s="92"/>
      <c r="J223" s="92"/>
      <c r="K223" s="92"/>
      <c r="L223" s="92"/>
      <c r="M223" s="85"/>
      <c r="N223" s="92"/>
      <c r="O223" s="92"/>
      <c r="P223" s="92"/>
      <c r="Q223" s="92"/>
      <c r="R223" s="92"/>
      <c r="S223" s="92"/>
      <c r="T223" s="92"/>
      <c r="U223" s="91"/>
      <c r="V223" s="84"/>
      <c r="W223" s="97"/>
      <c r="X223" s="84"/>
      <c r="Y223" s="97"/>
      <c r="Z223" s="97"/>
      <c r="AA223" s="97"/>
      <c r="AB223" s="84"/>
      <c r="AC223" s="97"/>
      <c r="AD223" s="84">
        <f>AA223-AC223</f>
        <v>0</v>
      </c>
      <c r="AE223" s="97"/>
      <c r="AF223" s="84">
        <v>20000000</v>
      </c>
      <c r="AG223" s="97"/>
      <c r="AH223" s="84">
        <v>11475000</v>
      </c>
      <c r="AI223" s="84"/>
      <c r="AJ223" s="84">
        <v>0</v>
      </c>
      <c r="AK223" s="84"/>
      <c r="AL223" s="80">
        <f t="shared" si="80"/>
        <v>0</v>
      </c>
      <c r="AM223" s="80"/>
    </row>
    <row r="224" spans="1:40" s="20" customFormat="1" ht="96.75" hidden="1" customHeight="1">
      <c r="A224" s="16"/>
      <c r="B224" s="86" t="s">
        <v>209</v>
      </c>
      <c r="C224" s="92"/>
      <c r="D224" s="92"/>
      <c r="E224" s="92"/>
      <c r="F224" s="92"/>
      <c r="G224" s="92"/>
      <c r="H224" s="92"/>
      <c r="I224" s="92"/>
      <c r="J224" s="92"/>
      <c r="K224" s="92"/>
      <c r="L224" s="92"/>
      <c r="M224" s="85"/>
      <c r="N224" s="92"/>
      <c r="O224" s="92"/>
      <c r="P224" s="92"/>
      <c r="Q224" s="92"/>
      <c r="R224" s="92"/>
      <c r="S224" s="92"/>
      <c r="T224" s="92"/>
      <c r="U224" s="91"/>
      <c r="V224" s="84"/>
      <c r="W224" s="97"/>
      <c r="X224" s="84"/>
      <c r="Y224" s="97"/>
      <c r="Z224" s="97"/>
      <c r="AA224" s="97"/>
      <c r="AB224" s="84"/>
      <c r="AC224" s="97"/>
      <c r="AD224" s="84"/>
      <c r="AE224" s="97"/>
      <c r="AF224" s="84">
        <v>25414900</v>
      </c>
      <c r="AG224" s="97"/>
      <c r="AH224" s="84">
        <v>25414900</v>
      </c>
      <c r="AI224" s="84">
        <f t="shared" si="79"/>
        <v>0</v>
      </c>
      <c r="AJ224" s="84"/>
      <c r="AK224" s="84"/>
      <c r="AL224" s="80">
        <f t="shared" si="80"/>
        <v>0</v>
      </c>
      <c r="AM224" s="90"/>
    </row>
    <row r="225" spans="1:39" s="20" customFormat="1" ht="96.75" hidden="1" customHeight="1">
      <c r="A225" s="16"/>
      <c r="B225" s="86" t="s">
        <v>262</v>
      </c>
      <c r="C225" s="92"/>
      <c r="D225" s="92"/>
      <c r="E225" s="92"/>
      <c r="F225" s="92"/>
      <c r="G225" s="92"/>
      <c r="H225" s="92"/>
      <c r="I225" s="92"/>
      <c r="J225" s="92"/>
      <c r="K225" s="92"/>
      <c r="L225" s="92"/>
      <c r="M225" s="85"/>
      <c r="N225" s="92"/>
      <c r="O225" s="92"/>
      <c r="P225" s="92"/>
      <c r="Q225" s="92"/>
      <c r="R225" s="92"/>
      <c r="S225" s="92"/>
      <c r="T225" s="92"/>
      <c r="U225" s="91"/>
      <c r="V225" s="84"/>
      <c r="W225" s="97"/>
      <c r="X225" s="84"/>
      <c r="Y225" s="97"/>
      <c r="Z225" s="97"/>
      <c r="AA225" s="97"/>
      <c r="AB225" s="84"/>
      <c r="AC225" s="97"/>
      <c r="AD225" s="84"/>
      <c r="AE225" s="97"/>
      <c r="AF225" s="84"/>
      <c r="AG225" s="97"/>
      <c r="AH225" s="84"/>
      <c r="AI225" s="84"/>
      <c r="AJ225" s="84"/>
      <c r="AK225" s="84"/>
      <c r="AL225" s="80"/>
      <c r="AM225" s="90"/>
    </row>
    <row r="226" spans="1:39" s="20" customFormat="1" ht="31.5" customHeight="1">
      <c r="A226" s="16"/>
      <c r="B226" s="89" t="s">
        <v>310</v>
      </c>
      <c r="C226" s="92"/>
      <c r="D226" s="92"/>
      <c r="E226" s="92"/>
      <c r="F226" s="92"/>
      <c r="G226" s="92"/>
      <c r="H226" s="92"/>
      <c r="I226" s="92"/>
      <c r="J226" s="92"/>
      <c r="K226" s="92"/>
      <c r="L226" s="92"/>
      <c r="M226" s="85">
        <f>1346730</f>
        <v>1346730</v>
      </c>
      <c r="N226" s="92"/>
      <c r="O226" s="92"/>
      <c r="P226" s="92"/>
      <c r="Q226" s="92"/>
      <c r="R226" s="92"/>
      <c r="S226" s="92"/>
      <c r="T226" s="92"/>
      <c r="U226" s="91">
        <v>1346730</v>
      </c>
      <c r="V226" s="84">
        <f t="shared" si="75"/>
        <v>0</v>
      </c>
      <c r="W226" s="97"/>
      <c r="X226" s="84">
        <f>V226</f>
        <v>0</v>
      </c>
      <c r="Y226" s="97"/>
      <c r="Z226" s="97"/>
      <c r="AA226" s="97"/>
      <c r="AB226" s="84">
        <f>X226-Y226</f>
        <v>0</v>
      </c>
      <c r="AC226" s="97"/>
      <c r="AD226" s="84">
        <f>AA226-AC226</f>
        <v>0</v>
      </c>
      <c r="AE226" s="97"/>
      <c r="AF226" s="84">
        <v>1372866</v>
      </c>
      <c r="AG226" s="97"/>
      <c r="AH226" s="84">
        <v>1372866</v>
      </c>
      <c r="AI226" s="84">
        <v>20691</v>
      </c>
      <c r="AJ226" s="84"/>
      <c r="AK226" s="84"/>
      <c r="AL226" s="80">
        <f t="shared" si="80"/>
        <v>20691</v>
      </c>
      <c r="AM226" s="80">
        <v>20691</v>
      </c>
    </row>
    <row r="227" spans="1:39" s="20" customFormat="1" ht="48.75" hidden="1" customHeight="1">
      <c r="A227" s="16"/>
      <c r="B227" s="89" t="s">
        <v>210</v>
      </c>
      <c r="C227" s="92"/>
      <c r="D227" s="92"/>
      <c r="E227" s="92"/>
      <c r="F227" s="92"/>
      <c r="G227" s="92"/>
      <c r="H227" s="92"/>
      <c r="I227" s="92"/>
      <c r="J227" s="92"/>
      <c r="K227" s="92"/>
      <c r="L227" s="92"/>
      <c r="M227" s="85">
        <f>172374.98+68615.4+9694.88+68615.4+9481.95+2213.09+10127.87+68615.4+66408.07+5699.77+76427.4+8294.22+76427.4+3576.08+35080.33+10207.36+26876.99+35414.4+9440.83+457445.86+5633.82+264566.4</f>
        <v>1491237.9</v>
      </c>
      <c r="N227" s="92"/>
      <c r="O227" s="92"/>
      <c r="P227" s="92"/>
      <c r="Q227" s="92"/>
      <c r="R227" s="92"/>
      <c r="S227" s="92"/>
      <c r="T227" s="92"/>
      <c r="U227" s="91">
        <v>1491237.9</v>
      </c>
      <c r="V227" s="84">
        <f t="shared" si="75"/>
        <v>0</v>
      </c>
      <c r="W227" s="97"/>
      <c r="X227" s="84">
        <f>V227</f>
        <v>0</v>
      </c>
      <c r="Y227" s="97"/>
      <c r="Z227" s="97"/>
      <c r="AA227" s="97"/>
      <c r="AB227" s="84">
        <f>X227-Y227</f>
        <v>0</v>
      </c>
      <c r="AC227" s="97"/>
      <c r="AD227" s="84">
        <f>AA227-AC227</f>
        <v>0</v>
      </c>
      <c r="AE227" s="97"/>
      <c r="AF227" s="84">
        <v>3348530.4</v>
      </c>
      <c r="AG227" s="97"/>
      <c r="AH227" s="84">
        <v>3348530.4</v>
      </c>
      <c r="AI227" s="84">
        <f t="shared" si="79"/>
        <v>0</v>
      </c>
      <c r="AJ227" s="84">
        <f t="shared" si="79"/>
        <v>0</v>
      </c>
      <c r="AK227" s="84"/>
      <c r="AL227" s="80">
        <f t="shared" si="80"/>
        <v>0</v>
      </c>
      <c r="AM227" s="90"/>
    </row>
    <row r="228" spans="1:39" s="20" customFormat="1" ht="32.25" customHeight="1">
      <c r="A228" s="16"/>
      <c r="B228" s="100" t="s">
        <v>211</v>
      </c>
      <c r="C228" s="92"/>
      <c r="D228" s="92"/>
      <c r="E228" s="92"/>
      <c r="F228" s="92"/>
      <c r="G228" s="92"/>
      <c r="H228" s="92"/>
      <c r="I228" s="92">
        <f>I221+I227</f>
        <v>0</v>
      </c>
      <c r="J228" s="92">
        <f>J221+J227</f>
        <v>0</v>
      </c>
      <c r="K228" s="92">
        <f>K221+K227</f>
        <v>0</v>
      </c>
      <c r="L228" s="92">
        <f>L221+L227</f>
        <v>0</v>
      </c>
      <c r="M228" s="92">
        <f>M221+M226+M227</f>
        <v>9364482.7599999998</v>
      </c>
      <c r="N228" s="92">
        <f t="shared" ref="N228:AE228" si="81">N221+N226+N227</f>
        <v>0</v>
      </c>
      <c r="O228" s="92">
        <f t="shared" si="81"/>
        <v>0</v>
      </c>
      <c r="P228" s="92">
        <f t="shared" si="81"/>
        <v>0</v>
      </c>
      <c r="Q228" s="92">
        <f t="shared" si="81"/>
        <v>0</v>
      </c>
      <c r="R228" s="92">
        <f t="shared" si="81"/>
        <v>0</v>
      </c>
      <c r="S228" s="92">
        <f t="shared" si="81"/>
        <v>0</v>
      </c>
      <c r="T228" s="92">
        <f t="shared" si="81"/>
        <v>0</v>
      </c>
      <c r="U228" s="92">
        <f t="shared" si="81"/>
        <v>9364482.7599999998</v>
      </c>
      <c r="V228" s="92">
        <f t="shared" si="81"/>
        <v>0</v>
      </c>
      <c r="W228" s="92">
        <f t="shared" si="81"/>
        <v>0</v>
      </c>
      <c r="X228" s="92">
        <f t="shared" si="81"/>
        <v>0</v>
      </c>
      <c r="Y228" s="92">
        <f t="shared" si="81"/>
        <v>0</v>
      </c>
      <c r="Z228" s="92">
        <f t="shared" si="81"/>
        <v>0</v>
      </c>
      <c r="AA228" s="92">
        <f t="shared" si="81"/>
        <v>0</v>
      </c>
      <c r="AB228" s="92">
        <f t="shared" si="81"/>
        <v>0</v>
      </c>
      <c r="AC228" s="92">
        <f t="shared" si="81"/>
        <v>0</v>
      </c>
      <c r="AD228" s="92">
        <f t="shared" si="81"/>
        <v>0</v>
      </c>
      <c r="AE228" s="92">
        <f t="shared" si="81"/>
        <v>0</v>
      </c>
      <c r="AF228" s="92">
        <f>AF221+AF223+AF224+AF226+AF227</f>
        <v>58187551.609999999</v>
      </c>
      <c r="AG228" s="92">
        <f>AG221+AG223+AG224+AG226+AG227</f>
        <v>0</v>
      </c>
      <c r="AH228" s="92">
        <f>AH221+AH223+AH224+AH226+AH227</f>
        <v>49662551.609999999</v>
      </c>
      <c r="AI228" s="92">
        <f>AI221+AI223+AI224+AI226+AI227</f>
        <v>20691</v>
      </c>
      <c r="AJ228" s="92">
        <f t="shared" ref="AJ228:AM228" si="82">AJ221+AJ223+AJ224+AJ226+AJ227</f>
        <v>0</v>
      </c>
      <c r="AK228" s="92">
        <f t="shared" si="82"/>
        <v>0</v>
      </c>
      <c r="AL228" s="92">
        <f t="shared" si="82"/>
        <v>20691</v>
      </c>
      <c r="AM228" s="92">
        <f t="shared" si="82"/>
        <v>20691</v>
      </c>
    </row>
    <row r="229" spans="1:39" s="20" customFormat="1" ht="78.75" hidden="1" customHeight="1">
      <c r="A229" s="16"/>
      <c r="B229" s="86" t="s">
        <v>212</v>
      </c>
      <c r="C229" s="92"/>
      <c r="D229" s="92"/>
      <c r="E229" s="92"/>
      <c r="F229" s="92"/>
      <c r="G229" s="92"/>
      <c r="H229" s="92"/>
      <c r="I229" s="92">
        <v>0</v>
      </c>
      <c r="J229" s="92"/>
      <c r="K229" s="92"/>
      <c r="L229" s="92"/>
      <c r="M229" s="91">
        <v>20407000</v>
      </c>
      <c r="N229" s="91"/>
      <c r="O229" s="92"/>
      <c r="P229" s="92"/>
      <c r="Q229" s="92"/>
      <c r="R229" s="92"/>
      <c r="S229" s="92"/>
      <c r="T229" s="92"/>
      <c r="U229" s="91">
        <v>20407000</v>
      </c>
      <c r="V229" s="84">
        <f>I229+J229+M229+N229-U229</f>
        <v>0</v>
      </c>
      <c r="W229" s="97"/>
      <c r="X229" s="84">
        <f>V229</f>
        <v>0</v>
      </c>
      <c r="Y229" s="97"/>
      <c r="Z229" s="97"/>
      <c r="AA229" s="97"/>
      <c r="AB229" s="84">
        <f>X229-Y229</f>
        <v>0</v>
      </c>
      <c r="AC229" s="97"/>
      <c r="AD229" s="97"/>
      <c r="AE229" s="97"/>
      <c r="AF229" s="84">
        <v>15896000</v>
      </c>
      <c r="AG229" s="97"/>
      <c r="AH229" s="84">
        <v>15896000</v>
      </c>
      <c r="AI229" s="84">
        <f>V229+W229-Y229+AC229-AE229+AF229+AG229-AH229</f>
        <v>0</v>
      </c>
      <c r="AJ229" s="84">
        <f>W229+X229-Z229+AD229-AF229+AG229+AH229-AI229</f>
        <v>0</v>
      </c>
      <c r="AK229" s="84"/>
      <c r="AL229" s="80">
        <f>AI229+AJ229</f>
        <v>0</v>
      </c>
      <c r="AM229" s="90"/>
    </row>
    <row r="230" spans="1:39" s="20" customFormat="1" ht="32.25" hidden="1" customHeight="1">
      <c r="A230" s="16"/>
      <c r="B230" s="139" t="s">
        <v>213</v>
      </c>
      <c r="C230" s="92">
        <f t="shared" ref="C230:AM232" si="83">C229</f>
        <v>0</v>
      </c>
      <c r="D230" s="92">
        <f t="shared" si="83"/>
        <v>0</v>
      </c>
      <c r="E230" s="92">
        <f t="shared" si="83"/>
        <v>0</v>
      </c>
      <c r="F230" s="92">
        <f t="shared" si="83"/>
        <v>0</v>
      </c>
      <c r="G230" s="92">
        <f t="shared" si="83"/>
        <v>0</v>
      </c>
      <c r="H230" s="92">
        <f t="shared" si="83"/>
        <v>0</v>
      </c>
      <c r="I230" s="92">
        <f t="shared" si="83"/>
        <v>0</v>
      </c>
      <c r="J230" s="92">
        <f t="shared" si="83"/>
        <v>0</v>
      </c>
      <c r="K230" s="92">
        <f t="shared" si="83"/>
        <v>0</v>
      </c>
      <c r="L230" s="92">
        <f t="shared" si="83"/>
        <v>0</v>
      </c>
      <c r="M230" s="92">
        <f t="shared" si="83"/>
        <v>20407000</v>
      </c>
      <c r="N230" s="92">
        <f t="shared" si="83"/>
        <v>0</v>
      </c>
      <c r="O230" s="92">
        <f t="shared" si="83"/>
        <v>0</v>
      </c>
      <c r="P230" s="92">
        <f t="shared" si="83"/>
        <v>0</v>
      </c>
      <c r="Q230" s="92">
        <f t="shared" si="83"/>
        <v>0</v>
      </c>
      <c r="R230" s="92">
        <f t="shared" si="83"/>
        <v>0</v>
      </c>
      <c r="S230" s="92">
        <f t="shared" si="83"/>
        <v>0</v>
      </c>
      <c r="T230" s="92">
        <f t="shared" si="83"/>
        <v>0</v>
      </c>
      <c r="U230" s="92">
        <f t="shared" si="83"/>
        <v>20407000</v>
      </c>
      <c r="V230" s="92">
        <f t="shared" si="83"/>
        <v>0</v>
      </c>
      <c r="W230" s="92">
        <f t="shared" si="83"/>
        <v>0</v>
      </c>
      <c r="X230" s="92">
        <f t="shared" si="83"/>
        <v>0</v>
      </c>
      <c r="Y230" s="92">
        <f t="shared" si="83"/>
        <v>0</v>
      </c>
      <c r="Z230" s="92">
        <f t="shared" si="83"/>
        <v>0</v>
      </c>
      <c r="AA230" s="92">
        <f t="shared" si="83"/>
        <v>0</v>
      </c>
      <c r="AB230" s="92">
        <f t="shared" si="83"/>
        <v>0</v>
      </c>
      <c r="AC230" s="92">
        <f t="shared" si="83"/>
        <v>0</v>
      </c>
      <c r="AD230" s="92">
        <f t="shared" si="83"/>
        <v>0</v>
      </c>
      <c r="AE230" s="92">
        <f t="shared" si="83"/>
        <v>0</v>
      </c>
      <c r="AF230" s="92">
        <f>AF229</f>
        <v>15896000</v>
      </c>
      <c r="AG230" s="92">
        <f t="shared" si="83"/>
        <v>0</v>
      </c>
      <c r="AH230" s="92">
        <f t="shared" si="83"/>
        <v>15896000</v>
      </c>
      <c r="AI230" s="92">
        <f t="shared" si="83"/>
        <v>0</v>
      </c>
      <c r="AJ230" s="92">
        <f t="shared" si="83"/>
        <v>0</v>
      </c>
      <c r="AK230" s="92">
        <f t="shared" si="83"/>
        <v>0</v>
      </c>
      <c r="AL230" s="92">
        <f t="shared" si="83"/>
        <v>0</v>
      </c>
      <c r="AM230" s="92">
        <f t="shared" si="83"/>
        <v>0</v>
      </c>
    </row>
    <row r="231" spans="1:39" s="20" customFormat="1" ht="115.5" customHeight="1">
      <c r="A231" s="16"/>
      <c r="B231" s="135" t="s">
        <v>311</v>
      </c>
      <c r="C231" s="92"/>
      <c r="D231" s="92"/>
      <c r="E231" s="92"/>
      <c r="F231" s="92"/>
      <c r="G231" s="92"/>
      <c r="H231" s="92"/>
      <c r="I231" s="92"/>
      <c r="J231" s="92"/>
      <c r="K231" s="92"/>
      <c r="L231" s="92"/>
      <c r="M231" s="92"/>
      <c r="N231" s="92"/>
      <c r="O231" s="92"/>
      <c r="P231" s="92"/>
      <c r="Q231" s="92"/>
      <c r="R231" s="92"/>
      <c r="S231" s="92"/>
      <c r="T231" s="92"/>
      <c r="U231" s="92"/>
      <c r="V231" s="92"/>
      <c r="W231" s="92"/>
      <c r="X231" s="92"/>
      <c r="Y231" s="92"/>
      <c r="Z231" s="92"/>
      <c r="AA231" s="92"/>
      <c r="AB231" s="92"/>
      <c r="AC231" s="92"/>
      <c r="AD231" s="92"/>
      <c r="AE231" s="92"/>
      <c r="AF231" s="92"/>
      <c r="AG231" s="92"/>
      <c r="AH231" s="92"/>
      <c r="AI231" s="91">
        <v>174484616.38</v>
      </c>
      <c r="AJ231" s="92"/>
      <c r="AK231" s="92"/>
      <c r="AL231" s="91">
        <f>AI231</f>
        <v>174484616.38</v>
      </c>
      <c r="AM231" s="91">
        <v>174484616.38</v>
      </c>
    </row>
    <row r="232" spans="1:39" s="20" customFormat="1" ht="35.25" customHeight="1">
      <c r="A232" s="16"/>
      <c r="B232" s="100" t="s">
        <v>312</v>
      </c>
      <c r="C232" s="92"/>
      <c r="D232" s="92"/>
      <c r="E232" s="92"/>
      <c r="F232" s="92"/>
      <c r="G232" s="92"/>
      <c r="H232" s="92"/>
      <c r="I232" s="92"/>
      <c r="J232" s="92"/>
      <c r="K232" s="92"/>
      <c r="L232" s="92"/>
      <c r="M232" s="92"/>
      <c r="N232" s="92"/>
      <c r="O232" s="92"/>
      <c r="P232" s="92"/>
      <c r="Q232" s="92"/>
      <c r="R232" s="92"/>
      <c r="S232" s="92"/>
      <c r="T232" s="92"/>
      <c r="U232" s="92"/>
      <c r="V232" s="92"/>
      <c r="W232" s="92"/>
      <c r="X232" s="92"/>
      <c r="Y232" s="92"/>
      <c r="Z232" s="92"/>
      <c r="AA232" s="92"/>
      <c r="AB232" s="92"/>
      <c r="AC232" s="92"/>
      <c r="AD232" s="92"/>
      <c r="AE232" s="92"/>
      <c r="AF232" s="92"/>
      <c r="AG232" s="92"/>
      <c r="AH232" s="92"/>
      <c r="AI232" s="92">
        <f t="shared" si="83"/>
        <v>174484616.38</v>
      </c>
      <c r="AJ232" s="92">
        <f t="shared" si="83"/>
        <v>0</v>
      </c>
      <c r="AK232" s="92">
        <f t="shared" si="83"/>
        <v>0</v>
      </c>
      <c r="AL232" s="92">
        <f>AL231</f>
        <v>174484616.38</v>
      </c>
      <c r="AM232" s="92">
        <f t="shared" si="83"/>
        <v>174484616.38</v>
      </c>
    </row>
    <row r="233" spans="1:39" s="20" customFormat="1" ht="32.25" hidden="1" customHeight="1">
      <c r="A233" s="16"/>
      <c r="B233" s="89" t="s">
        <v>214</v>
      </c>
      <c r="C233" s="92"/>
      <c r="D233" s="92"/>
      <c r="E233" s="92"/>
      <c r="F233" s="92"/>
      <c r="G233" s="92"/>
      <c r="H233" s="92"/>
      <c r="I233" s="92">
        <v>0</v>
      </c>
      <c r="J233" s="92"/>
      <c r="K233" s="92"/>
      <c r="L233" s="92"/>
      <c r="M233" s="91">
        <f>80889700+4756000</f>
        <v>85645700</v>
      </c>
      <c r="N233" s="91"/>
      <c r="O233" s="92"/>
      <c r="P233" s="92"/>
      <c r="Q233" s="92"/>
      <c r="R233" s="92"/>
      <c r="S233" s="92"/>
      <c r="T233" s="92"/>
      <c r="U233" s="91">
        <v>85645700</v>
      </c>
      <c r="V233" s="84">
        <f t="shared" si="75"/>
        <v>0</v>
      </c>
      <c r="W233" s="97"/>
      <c r="X233" s="84">
        <f>V233</f>
        <v>0</v>
      </c>
      <c r="Y233" s="97"/>
      <c r="Z233" s="97"/>
      <c r="AA233" s="97"/>
      <c r="AB233" s="84">
        <f>X233-Y233</f>
        <v>0</v>
      </c>
      <c r="AC233" s="97"/>
      <c r="AD233" s="97"/>
      <c r="AE233" s="97"/>
      <c r="AF233" s="97"/>
      <c r="AG233" s="97"/>
      <c r="AH233" s="97"/>
      <c r="AI233" s="84">
        <f>V233+W233-Y233+AC233-AE233+AF233+AG233-AH233</f>
        <v>0</v>
      </c>
      <c r="AJ233" s="84">
        <f>W233+X233-Z233+AD233-AF233+AG233+AH233-AI233</f>
        <v>0</v>
      </c>
      <c r="AK233" s="84">
        <f>X233+Y233-AA233+AE233-AG233+AH233+AI233-AJ233</f>
        <v>0</v>
      </c>
      <c r="AL233" s="80">
        <f>AI233+AJ233</f>
        <v>0</v>
      </c>
      <c r="AM233" s="90"/>
    </row>
    <row r="234" spans="1:39" s="20" customFormat="1" ht="19.899999999999999" hidden="1" customHeight="1">
      <c r="A234" s="16"/>
      <c r="B234" s="100" t="s">
        <v>215</v>
      </c>
      <c r="C234" s="92">
        <f>C233</f>
        <v>0</v>
      </c>
      <c r="D234" s="92">
        <f t="shared" ref="D234:AM234" si="84">D233</f>
        <v>0</v>
      </c>
      <c r="E234" s="92">
        <f t="shared" si="84"/>
        <v>0</v>
      </c>
      <c r="F234" s="92">
        <f t="shared" si="84"/>
        <v>0</v>
      </c>
      <c r="G234" s="92">
        <f t="shared" si="84"/>
        <v>0</v>
      </c>
      <c r="H234" s="92">
        <f t="shared" si="84"/>
        <v>0</v>
      </c>
      <c r="I234" s="92">
        <f t="shared" si="84"/>
        <v>0</v>
      </c>
      <c r="J234" s="92">
        <f t="shared" si="84"/>
        <v>0</v>
      </c>
      <c r="K234" s="92">
        <f t="shared" si="84"/>
        <v>0</v>
      </c>
      <c r="L234" s="92">
        <f t="shared" si="84"/>
        <v>0</v>
      </c>
      <c r="M234" s="92">
        <f t="shared" si="84"/>
        <v>85645700</v>
      </c>
      <c r="N234" s="92">
        <f t="shared" si="84"/>
        <v>0</v>
      </c>
      <c r="O234" s="92">
        <f t="shared" si="84"/>
        <v>0</v>
      </c>
      <c r="P234" s="92">
        <f t="shared" si="84"/>
        <v>0</v>
      </c>
      <c r="Q234" s="92">
        <f t="shared" si="84"/>
        <v>0</v>
      </c>
      <c r="R234" s="92">
        <f t="shared" si="84"/>
        <v>0</v>
      </c>
      <c r="S234" s="92">
        <f t="shared" si="84"/>
        <v>0</v>
      </c>
      <c r="T234" s="92">
        <f t="shared" si="84"/>
        <v>0</v>
      </c>
      <c r="U234" s="92">
        <f t="shared" si="84"/>
        <v>85645700</v>
      </c>
      <c r="V234" s="92">
        <f t="shared" si="84"/>
        <v>0</v>
      </c>
      <c r="W234" s="92">
        <f t="shared" si="84"/>
        <v>0</v>
      </c>
      <c r="X234" s="92">
        <f t="shared" si="84"/>
        <v>0</v>
      </c>
      <c r="Y234" s="92">
        <f t="shared" si="84"/>
        <v>0</v>
      </c>
      <c r="Z234" s="92">
        <f t="shared" si="84"/>
        <v>0</v>
      </c>
      <c r="AA234" s="92">
        <f t="shared" si="84"/>
        <v>0</v>
      </c>
      <c r="AB234" s="92">
        <f t="shared" si="84"/>
        <v>0</v>
      </c>
      <c r="AC234" s="92">
        <f t="shared" si="84"/>
        <v>0</v>
      </c>
      <c r="AD234" s="92">
        <f t="shared" si="84"/>
        <v>0</v>
      </c>
      <c r="AE234" s="92">
        <f t="shared" si="84"/>
        <v>0</v>
      </c>
      <c r="AF234" s="92">
        <f t="shared" si="84"/>
        <v>0</v>
      </c>
      <c r="AG234" s="92">
        <f t="shared" si="84"/>
        <v>0</v>
      </c>
      <c r="AH234" s="92">
        <f t="shared" si="84"/>
        <v>0</v>
      </c>
      <c r="AI234" s="92">
        <f t="shared" si="84"/>
        <v>0</v>
      </c>
      <c r="AJ234" s="92">
        <f t="shared" si="84"/>
        <v>0</v>
      </c>
      <c r="AK234" s="92">
        <f t="shared" si="84"/>
        <v>0</v>
      </c>
      <c r="AL234" s="92">
        <f t="shared" si="84"/>
        <v>0</v>
      </c>
      <c r="AM234" s="92">
        <f t="shared" si="84"/>
        <v>0</v>
      </c>
    </row>
    <row r="235" spans="1:39" s="20" customFormat="1" ht="32.25" hidden="1" customHeight="1">
      <c r="A235" s="16"/>
      <c r="B235" s="79" t="s">
        <v>216</v>
      </c>
      <c r="C235" s="91">
        <v>0</v>
      </c>
      <c r="D235" s="91">
        <v>5884600</v>
      </c>
      <c r="E235" s="91">
        <v>5884600</v>
      </c>
      <c r="F235" s="91">
        <v>5884600</v>
      </c>
      <c r="G235" s="91">
        <v>5884600</v>
      </c>
      <c r="H235" s="91"/>
      <c r="I235" s="91">
        <f>C235+D235-F235</f>
        <v>0</v>
      </c>
      <c r="J235" s="91">
        <v>5884600</v>
      </c>
      <c r="K235" s="91">
        <f>G235-J235</f>
        <v>0</v>
      </c>
      <c r="L235" s="91">
        <v>5884600</v>
      </c>
      <c r="M235" s="97"/>
      <c r="N235" s="97"/>
      <c r="O235" s="97"/>
      <c r="P235" s="97"/>
      <c r="Q235" s="97"/>
      <c r="R235" s="97"/>
      <c r="S235" s="97"/>
      <c r="T235" s="97"/>
      <c r="U235" s="84">
        <v>0</v>
      </c>
      <c r="V235" s="84">
        <f>I235+M235+N235-U235+J235-L235</f>
        <v>0</v>
      </c>
      <c r="W235" s="97"/>
      <c r="X235" s="84">
        <f>V235</f>
        <v>0</v>
      </c>
      <c r="Y235" s="97"/>
      <c r="Z235" s="97"/>
      <c r="AA235" s="97"/>
      <c r="AB235" s="84">
        <f>X235-Y235</f>
        <v>0</v>
      </c>
      <c r="AC235" s="97"/>
      <c r="AD235" s="97"/>
      <c r="AE235" s="97"/>
      <c r="AF235" s="84"/>
      <c r="AG235" s="97"/>
      <c r="AH235" s="97"/>
      <c r="AI235" s="84">
        <f t="shared" ref="AI235:AK236" si="85">V235+W235-Y235+AC235-AE235+AF235+AG235-AH235</f>
        <v>0</v>
      </c>
      <c r="AJ235" s="84">
        <f t="shared" si="85"/>
        <v>0</v>
      </c>
      <c r="AK235" s="84">
        <f t="shared" si="85"/>
        <v>0</v>
      </c>
      <c r="AL235" s="80">
        <f t="shared" ref="AL235:AL236" si="86">AI235+AJ235</f>
        <v>0</v>
      </c>
      <c r="AM235" s="90"/>
    </row>
    <row r="236" spans="1:39" ht="55.5" hidden="1" customHeight="1" thickBot="1">
      <c r="A236" s="27" t="s">
        <v>217</v>
      </c>
      <c r="B236" s="98" t="s">
        <v>218</v>
      </c>
      <c r="C236" s="84">
        <v>12115070.789999999</v>
      </c>
      <c r="D236" s="84"/>
      <c r="E236" s="84">
        <v>12115070.789999999</v>
      </c>
      <c r="F236" s="84">
        <v>12115070.789999999</v>
      </c>
      <c r="G236" s="84">
        <v>12115070.789999999</v>
      </c>
      <c r="H236" s="84"/>
      <c r="I236" s="91">
        <f>C236+D236-F236</f>
        <v>0</v>
      </c>
      <c r="J236" s="84">
        <v>12115070.789999999</v>
      </c>
      <c r="K236" s="91">
        <f>G236-J236</f>
        <v>0</v>
      </c>
      <c r="L236" s="91"/>
      <c r="M236" s="85">
        <f>6493800+6493800+7710900+7710900</f>
        <v>28409400</v>
      </c>
      <c r="N236" s="97"/>
      <c r="O236" s="97"/>
      <c r="P236" s="97"/>
      <c r="Q236" s="97"/>
      <c r="R236" s="97"/>
      <c r="S236" s="97"/>
      <c r="T236" s="97"/>
      <c r="U236" s="84">
        <v>38403052.159999996</v>
      </c>
      <c r="V236" s="84"/>
      <c r="W236" s="97"/>
      <c r="X236" s="84"/>
      <c r="Y236" s="84"/>
      <c r="Z236" s="84"/>
      <c r="AA236" s="84"/>
      <c r="AB236" s="84">
        <f>V236-Y236</f>
        <v>0</v>
      </c>
      <c r="AC236" s="84">
        <v>0</v>
      </c>
      <c r="AD236" s="84"/>
      <c r="AE236" s="84"/>
      <c r="AF236" s="84">
        <f>14037000-14037000</f>
        <v>0</v>
      </c>
      <c r="AG236" s="97"/>
      <c r="AH236" s="97"/>
      <c r="AI236" s="84">
        <f t="shared" si="85"/>
        <v>0</v>
      </c>
      <c r="AJ236" s="84">
        <f t="shared" si="85"/>
        <v>0</v>
      </c>
      <c r="AK236" s="84">
        <f t="shared" si="85"/>
        <v>0</v>
      </c>
      <c r="AL236" s="80">
        <f t="shared" si="86"/>
        <v>0</v>
      </c>
      <c r="AM236" s="80"/>
    </row>
    <row r="237" spans="1:39" ht="30.75" hidden="1" customHeight="1" thickBot="1">
      <c r="A237" s="38" t="s">
        <v>219</v>
      </c>
      <c r="B237" s="119" t="s">
        <v>220</v>
      </c>
      <c r="C237" s="103">
        <f>SUM(C236:C236)</f>
        <v>12115070.789999999</v>
      </c>
      <c r="D237" s="103">
        <f t="shared" ref="D237:AM237" si="87">D235+D236</f>
        <v>5884600</v>
      </c>
      <c r="E237" s="103">
        <f t="shared" si="87"/>
        <v>17999670.789999999</v>
      </c>
      <c r="F237" s="103">
        <f t="shared" si="87"/>
        <v>17999670.789999999</v>
      </c>
      <c r="G237" s="103">
        <f t="shared" si="87"/>
        <v>17999670.789999999</v>
      </c>
      <c r="H237" s="103">
        <f t="shared" si="87"/>
        <v>0</v>
      </c>
      <c r="I237" s="103">
        <f t="shared" si="87"/>
        <v>0</v>
      </c>
      <c r="J237" s="103">
        <f t="shared" si="87"/>
        <v>17999670.789999999</v>
      </c>
      <c r="K237" s="103">
        <f t="shared" si="87"/>
        <v>0</v>
      </c>
      <c r="L237" s="103">
        <f t="shared" si="87"/>
        <v>5884600</v>
      </c>
      <c r="M237" s="103">
        <f t="shared" si="87"/>
        <v>28409400</v>
      </c>
      <c r="N237" s="103">
        <f t="shared" si="87"/>
        <v>0</v>
      </c>
      <c r="O237" s="103">
        <f t="shared" si="87"/>
        <v>0</v>
      </c>
      <c r="P237" s="103">
        <f t="shared" si="87"/>
        <v>0</v>
      </c>
      <c r="Q237" s="103">
        <f t="shared" si="87"/>
        <v>0</v>
      </c>
      <c r="R237" s="103">
        <f t="shared" si="87"/>
        <v>0</v>
      </c>
      <c r="S237" s="103">
        <f t="shared" si="87"/>
        <v>0</v>
      </c>
      <c r="T237" s="103">
        <f t="shared" si="87"/>
        <v>0</v>
      </c>
      <c r="U237" s="103">
        <f t="shared" si="87"/>
        <v>38403052.159999996</v>
      </c>
      <c r="V237" s="103">
        <f t="shared" si="87"/>
        <v>0</v>
      </c>
      <c r="W237" s="103">
        <f t="shared" si="87"/>
        <v>0</v>
      </c>
      <c r="X237" s="103">
        <f t="shared" si="87"/>
        <v>0</v>
      </c>
      <c r="Y237" s="103">
        <f t="shared" si="87"/>
        <v>0</v>
      </c>
      <c r="Z237" s="103">
        <f t="shared" si="87"/>
        <v>0</v>
      </c>
      <c r="AA237" s="103">
        <f t="shared" si="87"/>
        <v>0</v>
      </c>
      <c r="AB237" s="103">
        <f t="shared" si="87"/>
        <v>0</v>
      </c>
      <c r="AC237" s="103">
        <f t="shared" si="87"/>
        <v>0</v>
      </c>
      <c r="AD237" s="103">
        <f t="shared" si="87"/>
        <v>0</v>
      </c>
      <c r="AE237" s="103">
        <f t="shared" si="87"/>
        <v>0</v>
      </c>
      <c r="AF237" s="103">
        <f t="shared" si="87"/>
        <v>0</v>
      </c>
      <c r="AG237" s="92">
        <f t="shared" si="87"/>
        <v>0</v>
      </c>
      <c r="AH237" s="103">
        <f t="shared" si="87"/>
        <v>0</v>
      </c>
      <c r="AI237" s="103">
        <f t="shared" si="87"/>
        <v>0</v>
      </c>
      <c r="AJ237" s="103">
        <f t="shared" si="87"/>
        <v>0</v>
      </c>
      <c r="AK237" s="103">
        <f t="shared" si="87"/>
        <v>0</v>
      </c>
      <c r="AL237" s="103">
        <f t="shared" si="87"/>
        <v>0</v>
      </c>
      <c r="AM237" s="103">
        <f t="shared" si="87"/>
        <v>0</v>
      </c>
    </row>
    <row r="238" spans="1:39" ht="25.5" hidden="1" customHeight="1" thickBot="1">
      <c r="A238" s="47" t="s">
        <v>221</v>
      </c>
      <c r="B238" s="140" t="s">
        <v>222</v>
      </c>
      <c r="C238" s="141">
        <f t="shared" ref="C238:H238" si="88">C26+C29+C45+C76+C110+C112+C154+C163+C207+C237+C173</f>
        <v>796979177.50999987</v>
      </c>
      <c r="D238" s="141">
        <f t="shared" si="88"/>
        <v>350442420.57000005</v>
      </c>
      <c r="E238" s="141">
        <f t="shared" si="88"/>
        <v>416435327.88000005</v>
      </c>
      <c r="F238" s="141">
        <f t="shared" si="88"/>
        <v>433282291.00000006</v>
      </c>
      <c r="G238" s="141">
        <f t="shared" si="88"/>
        <v>48145049.399999999</v>
      </c>
      <c r="H238" s="141">
        <f t="shared" si="88"/>
        <v>0</v>
      </c>
      <c r="I238" s="141"/>
      <c r="J238" s="141">
        <f>J26+J29+J45+J76+J110+J112+J154+J163+J207+J237+J173</f>
        <v>272597993.50999999</v>
      </c>
      <c r="K238" s="141">
        <f>K26+K29+K45+K76+K110+K112+K154+K163+K207+K237+K173</f>
        <v>19231253.32</v>
      </c>
      <c r="L238" s="141"/>
      <c r="M238" s="97"/>
      <c r="N238" s="97"/>
      <c r="O238" s="97"/>
      <c r="P238" s="97"/>
      <c r="Q238" s="97"/>
      <c r="R238" s="97"/>
      <c r="S238" s="97"/>
      <c r="T238" s="97"/>
      <c r="U238" s="97"/>
      <c r="V238" s="97"/>
      <c r="W238" s="97"/>
      <c r="X238" s="97"/>
      <c r="Y238" s="97"/>
      <c r="Z238" s="97"/>
      <c r="AA238" s="97"/>
      <c r="AB238" s="97"/>
      <c r="AC238" s="97"/>
      <c r="AD238" s="97"/>
      <c r="AE238" s="97"/>
      <c r="AF238" s="97"/>
      <c r="AG238" s="97"/>
      <c r="AH238" s="97"/>
      <c r="AI238" s="97"/>
      <c r="AJ238" s="97"/>
      <c r="AK238" s="97"/>
      <c r="AL238" s="90"/>
      <c r="AM238" s="90"/>
    </row>
    <row r="239" spans="1:39" ht="109.5" customHeight="1">
      <c r="A239" s="48"/>
      <c r="B239" s="73" t="s">
        <v>223</v>
      </c>
      <c r="C239" s="74">
        <f>C245</f>
        <v>34469154.590000004</v>
      </c>
      <c r="D239" s="74">
        <f t="shared" ref="D239:AM239" si="89">D245</f>
        <v>105129613.78</v>
      </c>
      <c r="E239" s="74">
        <f t="shared" si="89"/>
        <v>0</v>
      </c>
      <c r="F239" s="74">
        <f t="shared" si="89"/>
        <v>155782185.93000001</v>
      </c>
      <c r="G239" s="74">
        <f t="shared" si="89"/>
        <v>0</v>
      </c>
      <c r="H239" s="74">
        <f t="shared" si="89"/>
        <v>0</v>
      </c>
      <c r="I239" s="74">
        <f t="shared" si="89"/>
        <v>-121101086.34</v>
      </c>
      <c r="J239" s="74">
        <f t="shared" si="89"/>
        <v>0</v>
      </c>
      <c r="K239" s="74">
        <f t="shared" si="89"/>
        <v>0</v>
      </c>
      <c r="L239" s="74">
        <f t="shared" si="89"/>
        <v>0</v>
      </c>
      <c r="M239" s="74">
        <f t="shared" si="89"/>
        <v>1130211123.8499999</v>
      </c>
      <c r="N239" s="74">
        <f t="shared" si="89"/>
        <v>150547226.63999999</v>
      </c>
      <c r="O239" s="74">
        <f t="shared" si="89"/>
        <v>0</v>
      </c>
      <c r="P239" s="74">
        <f t="shared" si="89"/>
        <v>0</v>
      </c>
      <c r="Q239" s="74">
        <f t="shared" si="89"/>
        <v>0</v>
      </c>
      <c r="R239" s="74">
        <f t="shared" si="89"/>
        <v>0</v>
      </c>
      <c r="S239" s="74">
        <f t="shared" si="89"/>
        <v>0</v>
      </c>
      <c r="T239" s="74">
        <f t="shared" si="89"/>
        <v>0</v>
      </c>
      <c r="U239" s="74">
        <f t="shared" si="89"/>
        <v>1152160742.71</v>
      </c>
      <c r="V239" s="74">
        <f t="shared" si="89"/>
        <v>13538225.539999994</v>
      </c>
      <c r="W239" s="74">
        <f t="shared" si="89"/>
        <v>816887552.35000002</v>
      </c>
      <c r="X239" s="74">
        <f t="shared" si="89"/>
        <v>0</v>
      </c>
      <c r="Y239" s="74">
        <f t="shared" si="89"/>
        <v>33965821.32</v>
      </c>
      <c r="Z239" s="74">
        <f t="shared" si="89"/>
        <v>0</v>
      </c>
      <c r="AA239" s="74">
        <f t="shared" si="89"/>
        <v>0</v>
      </c>
      <c r="AB239" s="74">
        <f t="shared" si="89"/>
        <v>-20427595.780000005</v>
      </c>
      <c r="AC239" s="74">
        <f t="shared" si="89"/>
        <v>0</v>
      </c>
      <c r="AD239" s="74">
        <f t="shared" si="89"/>
        <v>0</v>
      </c>
      <c r="AE239" s="74">
        <f t="shared" si="89"/>
        <v>0</v>
      </c>
      <c r="AF239" s="74">
        <f t="shared" si="89"/>
        <v>1297883410.7</v>
      </c>
      <c r="AG239" s="74">
        <f t="shared" si="89"/>
        <v>20764409.050000001</v>
      </c>
      <c r="AH239" s="74">
        <f t="shared" si="89"/>
        <v>996093191.91999996</v>
      </c>
      <c r="AI239" s="150">
        <f t="shared" si="89"/>
        <v>391961332.69999999</v>
      </c>
      <c r="AJ239" s="150">
        <f t="shared" si="89"/>
        <v>720063183.91999996</v>
      </c>
      <c r="AK239" s="150">
        <f t="shared" si="89"/>
        <v>0</v>
      </c>
      <c r="AL239" s="150">
        <f t="shared" si="89"/>
        <v>0</v>
      </c>
      <c r="AM239" s="150">
        <f t="shared" si="89"/>
        <v>161055047.25</v>
      </c>
    </row>
    <row r="240" spans="1:39" ht="83.25" hidden="1" customHeight="1">
      <c r="A240" s="48"/>
      <c r="B240" s="122" t="s">
        <v>271</v>
      </c>
      <c r="C240" s="84"/>
      <c r="D240" s="84"/>
      <c r="E240" s="84"/>
      <c r="F240" s="84"/>
      <c r="G240" s="84"/>
      <c r="H240" s="84"/>
      <c r="I240" s="84"/>
      <c r="J240" s="84"/>
      <c r="K240" s="84"/>
      <c r="L240" s="84"/>
      <c r="M240" s="84"/>
      <c r="N240" s="84"/>
      <c r="O240" s="97"/>
      <c r="P240" s="97"/>
      <c r="Q240" s="97"/>
      <c r="R240" s="97"/>
      <c r="S240" s="97"/>
      <c r="T240" s="97"/>
      <c r="U240" s="84"/>
      <c r="V240" s="84"/>
      <c r="W240" s="84"/>
      <c r="X240" s="97"/>
      <c r="Y240" s="84"/>
      <c r="Z240" s="97"/>
      <c r="AA240" s="97"/>
      <c r="AB240" s="84"/>
      <c r="AC240" s="97"/>
      <c r="AD240" s="97"/>
      <c r="AE240" s="97"/>
      <c r="AF240" s="84"/>
      <c r="AG240" s="84"/>
      <c r="AH240" s="84"/>
      <c r="AI240" s="84"/>
      <c r="AJ240" s="84"/>
      <c r="AK240" s="84"/>
      <c r="AL240" s="84"/>
      <c r="AM240" s="80"/>
    </row>
    <row r="241" spans="1:40" ht="28.5" hidden="1" customHeight="1">
      <c r="A241" s="48"/>
      <c r="B241" s="100" t="s">
        <v>267</v>
      </c>
      <c r="C241" s="84"/>
      <c r="D241" s="84"/>
      <c r="E241" s="84"/>
      <c r="F241" s="84"/>
      <c r="G241" s="84"/>
      <c r="H241" s="84"/>
      <c r="I241" s="84"/>
      <c r="J241" s="84"/>
      <c r="K241" s="84"/>
      <c r="L241" s="84"/>
      <c r="M241" s="84"/>
      <c r="N241" s="84"/>
      <c r="O241" s="97"/>
      <c r="P241" s="97"/>
      <c r="Q241" s="97"/>
      <c r="R241" s="97"/>
      <c r="S241" s="97"/>
      <c r="T241" s="97"/>
      <c r="U241" s="84"/>
      <c r="V241" s="84"/>
      <c r="W241" s="84"/>
      <c r="X241" s="97"/>
      <c r="Y241" s="84"/>
      <c r="Z241" s="97"/>
      <c r="AA241" s="97"/>
      <c r="AB241" s="84"/>
      <c r="AC241" s="97"/>
      <c r="AD241" s="97"/>
      <c r="AE241" s="97"/>
      <c r="AF241" s="84"/>
      <c r="AG241" s="84"/>
      <c r="AH241" s="84"/>
      <c r="AI241" s="100"/>
      <c r="AJ241" s="100"/>
      <c r="AK241" s="101">
        <f>AK240</f>
        <v>0</v>
      </c>
      <c r="AL241" s="101">
        <f t="shared" ref="AL241:AM241" si="90">AL240</f>
        <v>0</v>
      </c>
      <c r="AM241" s="101">
        <f t="shared" si="90"/>
        <v>0</v>
      </c>
      <c r="AN241" s="105"/>
    </row>
    <row r="242" spans="1:40" ht="101.25" customHeight="1">
      <c r="A242" s="49"/>
      <c r="B242" s="122" t="s">
        <v>314</v>
      </c>
      <c r="C242" s="84">
        <f>33310068.78-5394454.9</f>
        <v>27915613.880000003</v>
      </c>
      <c r="D242" s="84">
        <v>57461811.109999999</v>
      </c>
      <c r="E242" s="84"/>
      <c r="F242" s="84">
        <v>211945</v>
      </c>
      <c r="G242" s="84"/>
      <c r="H242" s="84"/>
      <c r="I242" s="84">
        <f>C242</f>
        <v>27915613.880000003</v>
      </c>
      <c r="J242" s="84"/>
      <c r="K242" s="84"/>
      <c r="L242" s="84"/>
      <c r="M242" s="84">
        <f>18268664.18+184707.26+450428562.54+242662937.41+194054700.91</f>
        <v>905599572.29999995</v>
      </c>
      <c r="N242" s="84">
        <v>211945</v>
      </c>
      <c r="O242" s="97"/>
      <c r="P242" s="97"/>
      <c r="Q242" s="97"/>
      <c r="R242" s="97"/>
      <c r="S242" s="97"/>
      <c r="T242" s="97"/>
      <c r="U242" s="84">
        <v>926525447.13999999</v>
      </c>
      <c r="V242" s="84">
        <f>I242+J242+M242+N242-U242-F242+3819628.1+730206.3+1703814.7</f>
        <v>13243388.139999961</v>
      </c>
      <c r="W242" s="84">
        <f>767112259.07-17848-1907535.38-16912049.89</f>
        <v>748274825.80000007</v>
      </c>
      <c r="X242" s="97"/>
      <c r="Y242" s="84">
        <f>13261236.14+1907535.38+16870074.02</f>
        <v>32038845.539999999</v>
      </c>
      <c r="Z242" s="97"/>
      <c r="AA242" s="97"/>
      <c r="AB242" s="84">
        <f>V242-Y242</f>
        <v>-18795457.400000036</v>
      </c>
      <c r="AC242" s="97"/>
      <c r="AD242" s="97"/>
      <c r="AE242" s="97"/>
      <c r="AF242" s="84">
        <f>180218117.84+77310502.92+27417655.85+292869409.23+301783575.17-12149181.6-1342885.39+12628421.34+48651837.45</f>
        <v>927387452.81000006</v>
      </c>
      <c r="AG242" s="84">
        <f>17848+1907535.38+16870074.02+41975.87</f>
        <v>18837433.27</v>
      </c>
      <c r="AH242" s="84">
        <v>625597234.02999997</v>
      </c>
      <c r="AI242" s="84">
        <v>367553422.33999997</v>
      </c>
      <c r="AJ242" s="84">
        <v>329795232.70999998</v>
      </c>
      <c r="AK242" s="84"/>
      <c r="AL242" s="84">
        <v>0</v>
      </c>
      <c r="AM242" s="80">
        <v>147427643.78999999</v>
      </c>
    </row>
    <row r="243" spans="1:40" ht="80.25" customHeight="1">
      <c r="A243" s="49"/>
      <c r="B243" s="122" t="s">
        <v>313</v>
      </c>
      <c r="C243" s="84"/>
      <c r="D243" s="84">
        <v>404902.64</v>
      </c>
      <c r="E243" s="84"/>
      <c r="F243" s="84"/>
      <c r="G243" s="84"/>
      <c r="H243" s="84"/>
      <c r="I243" s="84">
        <v>0</v>
      </c>
      <c r="J243" s="84"/>
      <c r="K243" s="84"/>
      <c r="L243" s="84"/>
      <c r="M243" s="84">
        <v>71710702.950000003</v>
      </c>
      <c r="N243" s="84">
        <f>401865.43+1485.8+207424.5</f>
        <v>610775.73</v>
      </c>
      <c r="O243" s="84"/>
      <c r="P243" s="84"/>
      <c r="Q243" s="84"/>
      <c r="R243" s="84"/>
      <c r="S243" s="84"/>
      <c r="T243" s="84"/>
      <c r="U243" s="84">
        <v>72321478.680000007</v>
      </c>
      <c r="V243" s="84">
        <f>M243-U243+N243</f>
        <v>-4.1909515857696533E-9</v>
      </c>
      <c r="W243" s="84">
        <f>864751.92-458691.81-235935.32</f>
        <v>170124.79000000004</v>
      </c>
      <c r="X243" s="97"/>
      <c r="Y243" s="84">
        <f>694617.13+1232358.65</f>
        <v>1926975.7799999998</v>
      </c>
      <c r="Z243" s="97"/>
      <c r="AA243" s="97"/>
      <c r="AB243" s="84">
        <f>V243-Y243</f>
        <v>-1926975.780000004</v>
      </c>
      <c r="AC243" s="97"/>
      <c r="AD243" s="97"/>
      <c r="AE243" s="97"/>
      <c r="AF243" s="84">
        <f>22604039.63+49886545.12</f>
        <v>72490584.75</v>
      </c>
      <c r="AG243" s="84">
        <f>458691.81+235925.32+1232358.65</f>
        <v>1926975.7799999998</v>
      </c>
      <c r="AH243" s="84">
        <v>72490584.75</v>
      </c>
      <c r="AI243" s="84">
        <f>129871.68+10355797.82</f>
        <v>10485669.5</v>
      </c>
      <c r="AJ243" s="84"/>
      <c r="AK243" s="84"/>
      <c r="AL243" s="84">
        <v>0</v>
      </c>
      <c r="AM243" s="80">
        <v>0</v>
      </c>
    </row>
    <row r="244" spans="1:40" ht="84" customHeight="1">
      <c r="A244" s="49"/>
      <c r="B244" s="122" t="s">
        <v>315</v>
      </c>
      <c r="C244" s="84">
        <f>56138.15+1102947.66+5394454.9</f>
        <v>6553540.71</v>
      </c>
      <c r="D244" s="84">
        <v>47262900.030000001</v>
      </c>
      <c r="E244" s="84"/>
      <c r="F244" s="84">
        <f>8874685.22+32416755.31+114232766.64+46033.76</f>
        <v>155570240.93000001</v>
      </c>
      <c r="G244" s="84"/>
      <c r="H244" s="84"/>
      <c r="I244" s="84">
        <f>C244-F244</f>
        <v>-149016700.22</v>
      </c>
      <c r="J244" s="84"/>
      <c r="K244" s="84"/>
      <c r="L244" s="84"/>
      <c r="M244" s="84">
        <f>103354009.43+23192281.7+26354557.47</f>
        <v>152900848.60000002</v>
      </c>
      <c r="N244" s="84">
        <f>46033.76+323713.38+1046830.26+1487640+170766.56+32416755.31+114232766.64</f>
        <v>149724505.91</v>
      </c>
      <c r="O244" s="97"/>
      <c r="P244" s="97"/>
      <c r="Q244" s="97"/>
      <c r="R244" s="97"/>
      <c r="S244" s="97"/>
      <c r="T244" s="97"/>
      <c r="U244" s="84">
        <v>153313816.88999999</v>
      </c>
      <c r="V244" s="84">
        <f>C244-F244+M244+N244-U244</f>
        <v>294837.40000003576</v>
      </c>
      <c r="W244" s="84">
        <v>68442601.760000005</v>
      </c>
      <c r="X244" s="97"/>
      <c r="Y244" s="97"/>
      <c r="Z244" s="97"/>
      <c r="AA244" s="97"/>
      <c r="AB244" s="84">
        <f>V244-Y244</f>
        <v>294837.40000003576</v>
      </c>
      <c r="AC244" s="97"/>
      <c r="AD244" s="97"/>
      <c r="AE244" s="97"/>
      <c r="AF244" s="84">
        <f>112916790.91+78519018.94+61854790.77-596876.81+45311649.33</f>
        <v>298005373.13999999</v>
      </c>
      <c r="AG244" s="84"/>
      <c r="AH244" s="84">
        <v>298005373.13999999</v>
      </c>
      <c r="AI244" s="84">
        <f>116557538.89-102635298.03</f>
        <v>13922240.859999999</v>
      </c>
      <c r="AJ244" s="84">
        <v>390267951.20999998</v>
      </c>
      <c r="AK244" s="84"/>
      <c r="AL244" s="84">
        <v>0</v>
      </c>
      <c r="AM244" s="80">
        <v>13627403.460000001</v>
      </c>
    </row>
    <row r="245" spans="1:40" ht="39.75" customHeight="1">
      <c r="B245" s="119" t="s">
        <v>316</v>
      </c>
      <c r="C245" s="103">
        <f>SUM(C242:C244)</f>
        <v>34469154.590000004</v>
      </c>
      <c r="D245" s="103">
        <f t="shared" ref="D245:AM245" si="91">SUM(D242:D244)</f>
        <v>105129613.78</v>
      </c>
      <c r="E245" s="103">
        <f t="shared" si="91"/>
        <v>0</v>
      </c>
      <c r="F245" s="103">
        <f t="shared" si="91"/>
        <v>155782185.93000001</v>
      </c>
      <c r="G245" s="103">
        <f t="shared" si="91"/>
        <v>0</v>
      </c>
      <c r="H245" s="103">
        <f t="shared" si="91"/>
        <v>0</v>
      </c>
      <c r="I245" s="103">
        <f t="shared" si="91"/>
        <v>-121101086.34</v>
      </c>
      <c r="J245" s="103">
        <f t="shared" si="91"/>
        <v>0</v>
      </c>
      <c r="K245" s="103">
        <f t="shared" si="91"/>
        <v>0</v>
      </c>
      <c r="L245" s="103">
        <f t="shared" si="91"/>
        <v>0</v>
      </c>
      <c r="M245" s="103">
        <f t="shared" si="91"/>
        <v>1130211123.8499999</v>
      </c>
      <c r="N245" s="103">
        <f t="shared" si="91"/>
        <v>150547226.63999999</v>
      </c>
      <c r="O245" s="103">
        <f t="shared" si="91"/>
        <v>0</v>
      </c>
      <c r="P245" s="103">
        <f t="shared" si="91"/>
        <v>0</v>
      </c>
      <c r="Q245" s="103">
        <f t="shared" si="91"/>
        <v>0</v>
      </c>
      <c r="R245" s="103">
        <f t="shared" si="91"/>
        <v>0</v>
      </c>
      <c r="S245" s="103">
        <f t="shared" si="91"/>
        <v>0</v>
      </c>
      <c r="T245" s="103">
        <f t="shared" si="91"/>
        <v>0</v>
      </c>
      <c r="U245" s="103">
        <f t="shared" si="91"/>
        <v>1152160742.71</v>
      </c>
      <c r="V245" s="103">
        <f t="shared" si="91"/>
        <v>13538225.539999994</v>
      </c>
      <c r="W245" s="103">
        <f t="shared" si="91"/>
        <v>816887552.35000002</v>
      </c>
      <c r="X245" s="103">
        <f t="shared" si="91"/>
        <v>0</v>
      </c>
      <c r="Y245" s="103">
        <f t="shared" si="91"/>
        <v>33965821.32</v>
      </c>
      <c r="Z245" s="103">
        <f t="shared" si="91"/>
        <v>0</v>
      </c>
      <c r="AA245" s="103">
        <f t="shared" si="91"/>
        <v>0</v>
      </c>
      <c r="AB245" s="103">
        <f t="shared" si="91"/>
        <v>-20427595.780000005</v>
      </c>
      <c r="AC245" s="103">
        <f t="shared" si="91"/>
        <v>0</v>
      </c>
      <c r="AD245" s="103">
        <f t="shared" si="91"/>
        <v>0</v>
      </c>
      <c r="AE245" s="103">
        <f t="shared" si="91"/>
        <v>0</v>
      </c>
      <c r="AF245" s="103">
        <f t="shared" si="91"/>
        <v>1297883410.7</v>
      </c>
      <c r="AG245" s="103">
        <f t="shared" si="91"/>
        <v>20764409.050000001</v>
      </c>
      <c r="AH245" s="103">
        <f t="shared" si="91"/>
        <v>996093191.91999996</v>
      </c>
      <c r="AI245" s="103">
        <f t="shared" si="91"/>
        <v>391961332.69999999</v>
      </c>
      <c r="AJ245" s="103">
        <f t="shared" si="91"/>
        <v>720063183.91999996</v>
      </c>
      <c r="AK245" s="103">
        <f t="shared" si="91"/>
        <v>0</v>
      </c>
      <c r="AL245" s="103">
        <v>0</v>
      </c>
      <c r="AM245" s="103">
        <f t="shared" si="91"/>
        <v>161055047.25</v>
      </c>
    </row>
    <row r="246" spans="1:40" ht="31.5" hidden="1">
      <c r="B246" s="153" t="s">
        <v>224</v>
      </c>
      <c r="C246" s="102">
        <f>C251</f>
        <v>484746350.65000004</v>
      </c>
      <c r="D246" s="102">
        <f t="shared" ref="D246:AM246" si="92">D251</f>
        <v>0</v>
      </c>
      <c r="E246" s="102">
        <f t="shared" si="92"/>
        <v>0</v>
      </c>
      <c r="F246" s="102">
        <f t="shared" si="92"/>
        <v>0</v>
      </c>
      <c r="G246" s="102">
        <f t="shared" si="92"/>
        <v>0</v>
      </c>
      <c r="H246" s="102">
        <f t="shared" si="92"/>
        <v>0</v>
      </c>
      <c r="I246" s="102">
        <f t="shared" si="92"/>
        <v>484746350.65000004</v>
      </c>
      <c r="J246" s="102">
        <f t="shared" si="92"/>
        <v>0</v>
      </c>
      <c r="K246" s="102">
        <f t="shared" si="92"/>
        <v>0</v>
      </c>
      <c r="L246" s="102">
        <f t="shared" si="92"/>
        <v>0</v>
      </c>
      <c r="M246" s="102">
        <f t="shared" si="92"/>
        <v>21509036.149999999</v>
      </c>
      <c r="N246" s="102">
        <f t="shared" si="92"/>
        <v>2076813.24</v>
      </c>
      <c r="O246" s="102">
        <f t="shared" si="92"/>
        <v>0</v>
      </c>
      <c r="P246" s="102">
        <f t="shared" si="92"/>
        <v>0</v>
      </c>
      <c r="Q246" s="102">
        <f t="shared" si="92"/>
        <v>0</v>
      </c>
      <c r="R246" s="102">
        <f t="shared" si="92"/>
        <v>0</v>
      </c>
      <c r="S246" s="102">
        <f t="shared" si="92"/>
        <v>0</v>
      </c>
      <c r="T246" s="102">
        <f t="shared" si="92"/>
        <v>0</v>
      </c>
      <c r="U246" s="102">
        <f t="shared" si="92"/>
        <v>506766076.82999998</v>
      </c>
      <c r="V246" s="102">
        <f t="shared" si="92"/>
        <v>1020.3100000023842</v>
      </c>
      <c r="W246" s="102">
        <f t="shared" si="92"/>
        <v>0</v>
      </c>
      <c r="X246" s="102">
        <f t="shared" si="92"/>
        <v>0</v>
      </c>
      <c r="Y246" s="102">
        <f t="shared" si="92"/>
        <v>1368187.08</v>
      </c>
      <c r="Z246" s="102">
        <f t="shared" si="92"/>
        <v>0</v>
      </c>
      <c r="AA246" s="102">
        <f t="shared" si="92"/>
        <v>0</v>
      </c>
      <c r="AB246" s="102">
        <f t="shared" si="92"/>
        <v>-1367166.7699999977</v>
      </c>
      <c r="AC246" s="102">
        <f t="shared" si="92"/>
        <v>0</v>
      </c>
      <c r="AD246" s="102">
        <f t="shared" si="92"/>
        <v>0</v>
      </c>
      <c r="AE246" s="102">
        <f t="shared" si="92"/>
        <v>0</v>
      </c>
      <c r="AF246" s="102">
        <f t="shared" si="92"/>
        <v>1130371100</v>
      </c>
      <c r="AG246" s="102">
        <f>AG251</f>
        <v>1367166.77</v>
      </c>
      <c r="AH246" s="102">
        <f t="shared" si="92"/>
        <v>1130371100</v>
      </c>
      <c r="AI246" s="102">
        <f t="shared" si="92"/>
        <v>2.3842403606977314E-9</v>
      </c>
      <c r="AJ246" s="102">
        <f t="shared" si="92"/>
        <v>0</v>
      </c>
      <c r="AK246" s="102">
        <f t="shared" si="92"/>
        <v>0</v>
      </c>
      <c r="AL246" s="102">
        <f t="shared" si="92"/>
        <v>0</v>
      </c>
      <c r="AM246" s="102">
        <f t="shared" si="92"/>
        <v>0</v>
      </c>
    </row>
    <row r="247" spans="1:40" ht="31.5" hidden="1">
      <c r="B247" s="122" t="s">
        <v>225</v>
      </c>
      <c r="C247" s="102"/>
      <c r="D247" s="102"/>
      <c r="E247" s="102"/>
      <c r="F247" s="84">
        <f>801638.65+763464.25</f>
        <v>1565102.9</v>
      </c>
      <c r="G247" s="102"/>
      <c r="H247" s="102"/>
      <c r="I247" s="102"/>
      <c r="J247" s="102"/>
      <c r="K247" s="102"/>
      <c r="L247" s="102"/>
      <c r="M247" s="84">
        <f>1500000+500000+5500000+9500000-490963.85+5000000</f>
        <v>21509036.149999999</v>
      </c>
      <c r="N247" s="84">
        <f>801638.65+763464.25</f>
        <v>1565102.9</v>
      </c>
      <c r="O247" s="102"/>
      <c r="P247" s="102"/>
      <c r="Q247" s="102"/>
      <c r="R247" s="102"/>
      <c r="S247" s="102"/>
      <c r="T247" s="102"/>
      <c r="U247" s="84">
        <v>21509036.149999999</v>
      </c>
      <c r="V247" s="84">
        <f>I247+J247+M247+N247-U247-F247</f>
        <v>0</v>
      </c>
      <c r="W247" s="97"/>
      <c r="X247" s="97"/>
      <c r="Y247" s="84">
        <f>30057.32+398959.48+540229.88+397920.09</f>
        <v>1367166.77</v>
      </c>
      <c r="Z247" s="97"/>
      <c r="AA247" s="97"/>
      <c r="AB247" s="84">
        <f>V247-Y247</f>
        <v>-1367166.77</v>
      </c>
      <c r="AC247" s="97"/>
      <c r="AD247" s="97"/>
      <c r="AE247" s="97"/>
      <c r="AF247" s="84">
        <f>1500000+500000+500000+1500000+5000000+10500000+4000000</f>
        <v>23500000</v>
      </c>
      <c r="AG247" s="84">
        <f>30057.32+398959.48+540229.88+397920.09</f>
        <v>1367166.77</v>
      </c>
      <c r="AH247" s="84">
        <v>23500000</v>
      </c>
      <c r="AI247" s="84">
        <f>V247+W247-Y247+AC247-AE247+AF247+AG247-AH247</f>
        <v>0</v>
      </c>
      <c r="AJ247" s="84"/>
      <c r="AK247" s="84"/>
      <c r="AL247" s="84">
        <v>0</v>
      </c>
      <c r="AM247" s="80">
        <v>0</v>
      </c>
    </row>
    <row r="248" spans="1:40" ht="78.75" hidden="1">
      <c r="B248" s="122" t="s">
        <v>226</v>
      </c>
      <c r="C248" s="84">
        <f>383545151.81+61750519.17</f>
        <v>445295670.98000002</v>
      </c>
      <c r="D248" s="84"/>
      <c r="E248" s="84"/>
      <c r="F248" s="84"/>
      <c r="G248" s="84"/>
      <c r="H248" s="84"/>
      <c r="I248" s="84">
        <f>C248</f>
        <v>445295670.98000002</v>
      </c>
      <c r="J248" s="84"/>
      <c r="K248" s="84"/>
      <c r="L248" s="84"/>
      <c r="M248" s="84"/>
      <c r="N248" s="97"/>
      <c r="O248" s="97"/>
      <c r="P248" s="97"/>
      <c r="Q248" s="97"/>
      <c r="R248" s="97"/>
      <c r="S248" s="97"/>
      <c r="T248" s="97"/>
      <c r="U248" s="84">
        <v>445294650.67000002</v>
      </c>
      <c r="V248" s="84">
        <f>I248+J248+M248+N248-U248</f>
        <v>1020.3100000023842</v>
      </c>
      <c r="W248" s="97"/>
      <c r="X248" s="97"/>
      <c r="Y248" s="84">
        <v>1020.31</v>
      </c>
      <c r="Z248" s="97"/>
      <c r="AA248" s="97"/>
      <c r="AB248" s="84">
        <f>V248-Y248</f>
        <v>2.3842403606977314E-9</v>
      </c>
      <c r="AC248" s="97"/>
      <c r="AD248" s="97"/>
      <c r="AE248" s="97"/>
      <c r="AF248" s="97"/>
      <c r="AG248" s="97"/>
      <c r="AH248" s="84"/>
      <c r="AI248" s="84">
        <f>V248+W248-Y248+AC248-AE248+AF248+AG248-AH248</f>
        <v>2.3842403606977314E-9</v>
      </c>
      <c r="AJ248" s="84"/>
      <c r="AK248" s="84"/>
      <c r="AL248" s="84">
        <v>0</v>
      </c>
      <c r="AM248" s="80"/>
    </row>
    <row r="249" spans="1:40" ht="31.5" hidden="1">
      <c r="B249" s="122" t="s">
        <v>227</v>
      </c>
      <c r="C249" s="84"/>
      <c r="D249" s="84"/>
      <c r="E249" s="84"/>
      <c r="F249" s="84"/>
      <c r="G249" s="84"/>
      <c r="H249" s="84"/>
      <c r="I249" s="84"/>
      <c r="J249" s="84"/>
      <c r="K249" s="84"/>
      <c r="L249" s="84"/>
      <c r="M249" s="84"/>
      <c r="N249" s="97"/>
      <c r="O249" s="97"/>
      <c r="P249" s="97"/>
      <c r="Q249" s="97"/>
      <c r="R249" s="97"/>
      <c r="S249" s="97"/>
      <c r="T249" s="97"/>
      <c r="U249" s="84"/>
      <c r="V249" s="84"/>
      <c r="W249" s="97"/>
      <c r="X249" s="97"/>
      <c r="Y249" s="97"/>
      <c r="Z249" s="97"/>
      <c r="AA249" s="97"/>
      <c r="AB249" s="84"/>
      <c r="AC249" s="97"/>
      <c r="AD249" s="97"/>
      <c r="AE249" s="97"/>
      <c r="AF249" s="84">
        <v>1106871100</v>
      </c>
      <c r="AG249" s="97"/>
      <c r="AH249" s="84">
        <v>1106871100</v>
      </c>
      <c r="AI249" s="84">
        <f>V249+W249-Y249+AC249-AE249+AF249+AG249-AH249</f>
        <v>0</v>
      </c>
      <c r="AJ249" s="84">
        <f>W249+X249-Z249+AD249-AF249+AG249+AH249-AI249</f>
        <v>0</v>
      </c>
      <c r="AK249" s="84"/>
      <c r="AL249" s="84">
        <v>0</v>
      </c>
      <c r="AM249" s="90"/>
    </row>
    <row r="250" spans="1:40" ht="64.900000000000006" hidden="1" customHeight="1" thickBot="1">
      <c r="B250" s="122" t="s">
        <v>228</v>
      </c>
      <c r="C250" s="84">
        <f>21386175.74+18064503.93</f>
        <v>39450679.670000002</v>
      </c>
      <c r="D250" s="84"/>
      <c r="E250" s="84"/>
      <c r="F250" s="84"/>
      <c r="G250" s="84"/>
      <c r="H250" s="84"/>
      <c r="I250" s="84">
        <f>C250</f>
        <v>39450679.670000002</v>
      </c>
      <c r="J250" s="84"/>
      <c r="K250" s="84"/>
      <c r="L250" s="84"/>
      <c r="M250" s="84"/>
      <c r="N250" s="84">
        <f>503710.34+8000</f>
        <v>511710.34</v>
      </c>
      <c r="O250" s="97"/>
      <c r="P250" s="97"/>
      <c r="Q250" s="97"/>
      <c r="R250" s="97"/>
      <c r="S250" s="97"/>
      <c r="T250" s="97"/>
      <c r="U250" s="84">
        <v>39962390.009999998</v>
      </c>
      <c r="V250" s="84">
        <f>I250+J250+M250+N250-U250</f>
        <v>0</v>
      </c>
      <c r="W250" s="97"/>
      <c r="X250" s="97"/>
      <c r="Y250" s="97"/>
      <c r="Z250" s="97"/>
      <c r="AA250" s="97"/>
      <c r="AB250" s="84">
        <f>V250</f>
        <v>0</v>
      </c>
      <c r="AC250" s="97"/>
      <c r="AD250" s="97"/>
      <c r="AE250" s="97"/>
      <c r="AF250" s="97"/>
      <c r="AG250" s="97"/>
      <c r="AH250" s="84"/>
      <c r="AI250" s="84">
        <f>V250+W250-Y250+AC250-AE250+AF250+AG250-AH250</f>
        <v>0</v>
      </c>
      <c r="AJ250" s="84">
        <f>W250+X250-Z250+AD250-AF250+AG250+AH250-AI250</f>
        <v>0</v>
      </c>
      <c r="AK250" s="84"/>
      <c r="AL250" s="84">
        <v>0</v>
      </c>
      <c r="AM250" s="90"/>
    </row>
    <row r="251" spans="1:40" ht="31.5" hidden="1" customHeight="1" thickBot="1">
      <c r="B251" s="119" t="s">
        <v>95</v>
      </c>
      <c r="C251" s="103">
        <f t="shared" ref="C251:H251" si="93">SUM(C248:C250)</f>
        <v>484746350.65000004</v>
      </c>
      <c r="D251" s="103">
        <f t="shared" si="93"/>
        <v>0</v>
      </c>
      <c r="E251" s="103">
        <f t="shared" si="93"/>
        <v>0</v>
      </c>
      <c r="F251" s="103">
        <f t="shared" si="93"/>
        <v>0</v>
      </c>
      <c r="G251" s="103">
        <f t="shared" si="93"/>
        <v>0</v>
      </c>
      <c r="H251" s="103">
        <f t="shared" si="93"/>
        <v>0</v>
      </c>
      <c r="I251" s="103">
        <f>SUM(I247:I250)</f>
        <v>484746350.65000004</v>
      </c>
      <c r="J251" s="103">
        <f t="shared" ref="J251:AM251" si="94">SUM(J247:J250)</f>
        <v>0</v>
      </c>
      <c r="K251" s="103">
        <f t="shared" si="94"/>
        <v>0</v>
      </c>
      <c r="L251" s="103">
        <f t="shared" si="94"/>
        <v>0</v>
      </c>
      <c r="M251" s="103">
        <f t="shared" si="94"/>
        <v>21509036.149999999</v>
      </c>
      <c r="N251" s="103">
        <f t="shared" si="94"/>
        <v>2076813.24</v>
      </c>
      <c r="O251" s="103">
        <f t="shared" si="94"/>
        <v>0</v>
      </c>
      <c r="P251" s="103">
        <f t="shared" si="94"/>
        <v>0</v>
      </c>
      <c r="Q251" s="103">
        <f t="shared" si="94"/>
        <v>0</v>
      </c>
      <c r="R251" s="103">
        <f t="shared" si="94"/>
        <v>0</v>
      </c>
      <c r="S251" s="103">
        <f t="shared" si="94"/>
        <v>0</v>
      </c>
      <c r="T251" s="103">
        <f t="shared" si="94"/>
        <v>0</v>
      </c>
      <c r="U251" s="103">
        <f t="shared" si="94"/>
        <v>506766076.82999998</v>
      </c>
      <c r="V251" s="103">
        <f t="shared" si="94"/>
        <v>1020.3100000023842</v>
      </c>
      <c r="W251" s="103">
        <f t="shared" si="94"/>
        <v>0</v>
      </c>
      <c r="X251" s="103">
        <f t="shared" si="94"/>
        <v>0</v>
      </c>
      <c r="Y251" s="103">
        <f t="shared" si="94"/>
        <v>1368187.08</v>
      </c>
      <c r="Z251" s="103">
        <f t="shared" si="94"/>
        <v>0</v>
      </c>
      <c r="AA251" s="103">
        <f t="shared" si="94"/>
        <v>0</v>
      </c>
      <c r="AB251" s="103">
        <f t="shared" si="94"/>
        <v>-1367166.7699999977</v>
      </c>
      <c r="AC251" s="103">
        <f t="shared" si="94"/>
        <v>0</v>
      </c>
      <c r="AD251" s="103">
        <f t="shared" si="94"/>
        <v>0</v>
      </c>
      <c r="AE251" s="103">
        <f t="shared" si="94"/>
        <v>0</v>
      </c>
      <c r="AF251" s="103">
        <f t="shared" si="94"/>
        <v>1130371100</v>
      </c>
      <c r="AG251" s="103">
        <f>SUM(AG247:AG250)</f>
        <v>1367166.77</v>
      </c>
      <c r="AH251" s="103">
        <f>SUM(AH247:AH250)</f>
        <v>1130371100</v>
      </c>
      <c r="AI251" s="103">
        <f t="shared" si="94"/>
        <v>2.3842403606977314E-9</v>
      </c>
      <c r="AJ251" s="103">
        <f t="shared" si="94"/>
        <v>0</v>
      </c>
      <c r="AK251" s="103">
        <f t="shared" si="94"/>
        <v>0</v>
      </c>
      <c r="AL251" s="103">
        <f t="shared" si="94"/>
        <v>0</v>
      </c>
      <c r="AM251" s="103">
        <f t="shared" si="94"/>
        <v>0</v>
      </c>
    </row>
    <row r="252" spans="1:40" ht="58.9" customHeight="1">
      <c r="B252" s="73" t="s">
        <v>275</v>
      </c>
      <c r="C252" s="142">
        <f>C261+C263</f>
        <v>330603915.64000005</v>
      </c>
      <c r="D252" s="142">
        <f t="shared" ref="D252:AM252" si="95">D261+D263</f>
        <v>0</v>
      </c>
      <c r="E252" s="142">
        <f t="shared" si="95"/>
        <v>0</v>
      </c>
      <c r="F252" s="142">
        <f t="shared" si="95"/>
        <v>0</v>
      </c>
      <c r="G252" s="142">
        <f t="shared" si="95"/>
        <v>0</v>
      </c>
      <c r="H252" s="142">
        <f t="shared" si="95"/>
        <v>0</v>
      </c>
      <c r="I252" s="142">
        <f t="shared" si="95"/>
        <v>330603888.64000005</v>
      </c>
      <c r="J252" s="142">
        <f t="shared" si="95"/>
        <v>0</v>
      </c>
      <c r="K252" s="142">
        <f t="shared" si="95"/>
        <v>0</v>
      </c>
      <c r="L252" s="142">
        <f t="shared" si="95"/>
        <v>0</v>
      </c>
      <c r="M252" s="142">
        <f t="shared" si="95"/>
        <v>94093000</v>
      </c>
      <c r="N252" s="142">
        <f t="shared" si="95"/>
        <v>0</v>
      </c>
      <c r="O252" s="142">
        <f t="shared" si="95"/>
        <v>0</v>
      </c>
      <c r="P252" s="142">
        <f t="shared" si="95"/>
        <v>0</v>
      </c>
      <c r="Q252" s="142">
        <f t="shared" si="95"/>
        <v>0</v>
      </c>
      <c r="R252" s="142">
        <f t="shared" si="95"/>
        <v>0</v>
      </c>
      <c r="S252" s="142">
        <f t="shared" si="95"/>
        <v>0</v>
      </c>
      <c r="T252" s="142">
        <f t="shared" si="95"/>
        <v>0</v>
      </c>
      <c r="U252" s="142">
        <f t="shared" si="95"/>
        <v>257919292.30999997</v>
      </c>
      <c r="V252" s="142">
        <f t="shared" si="95"/>
        <v>166777596.33000004</v>
      </c>
      <c r="W252" s="142">
        <f t="shared" si="95"/>
        <v>0</v>
      </c>
      <c r="X252" s="142">
        <f t="shared" si="95"/>
        <v>0</v>
      </c>
      <c r="Y252" s="142">
        <f t="shared" si="95"/>
        <v>0</v>
      </c>
      <c r="Z252" s="142">
        <f t="shared" si="95"/>
        <v>0</v>
      </c>
      <c r="AA252" s="142">
        <f t="shared" si="95"/>
        <v>0</v>
      </c>
      <c r="AB252" s="142">
        <f t="shared" si="95"/>
        <v>95967762.280000016</v>
      </c>
      <c r="AC252" s="142">
        <f t="shared" si="95"/>
        <v>0</v>
      </c>
      <c r="AD252" s="142">
        <f t="shared" si="95"/>
        <v>0</v>
      </c>
      <c r="AE252" s="142">
        <f t="shared" si="95"/>
        <v>0</v>
      </c>
      <c r="AF252" s="142">
        <f t="shared" si="95"/>
        <v>0</v>
      </c>
      <c r="AG252" s="74">
        <f t="shared" si="95"/>
        <v>0</v>
      </c>
      <c r="AH252" s="142">
        <f t="shared" si="95"/>
        <v>70459292.170000002</v>
      </c>
      <c r="AI252" s="149">
        <f t="shared" si="95"/>
        <v>45616000</v>
      </c>
      <c r="AJ252" s="149">
        <f t="shared" si="95"/>
        <v>0</v>
      </c>
      <c r="AK252" s="149">
        <f t="shared" si="95"/>
        <v>0</v>
      </c>
      <c r="AL252" s="149">
        <f t="shared" si="95"/>
        <v>0</v>
      </c>
      <c r="AM252" s="149">
        <f t="shared" si="95"/>
        <v>0</v>
      </c>
    </row>
    <row r="253" spans="1:40" s="20" customFormat="1" ht="24" hidden="1" customHeight="1">
      <c r="B253" s="79"/>
      <c r="C253" s="84"/>
      <c r="D253" s="153"/>
      <c r="E253" s="153"/>
      <c r="F253" s="153"/>
      <c r="G253" s="153"/>
      <c r="H253" s="153"/>
      <c r="I253" s="153"/>
      <c r="J253" s="153"/>
      <c r="K253" s="153"/>
      <c r="L253" s="153"/>
      <c r="M253" s="97"/>
      <c r="N253" s="97"/>
      <c r="O253" s="97"/>
      <c r="P253" s="97"/>
      <c r="Q253" s="97"/>
      <c r="R253" s="97"/>
      <c r="S253" s="97"/>
      <c r="T253" s="97"/>
      <c r="U253" s="97"/>
      <c r="V253" s="97"/>
      <c r="W253" s="97"/>
      <c r="X253" s="97"/>
      <c r="Y253" s="97"/>
      <c r="Z253" s="97"/>
      <c r="AA253" s="97"/>
      <c r="AB253" s="97"/>
      <c r="AC253" s="97"/>
      <c r="AD253" s="97"/>
      <c r="AE253" s="97"/>
      <c r="AF253" s="97"/>
      <c r="AG253" s="97"/>
      <c r="AH253" s="97"/>
      <c r="AI253" s="97"/>
      <c r="AJ253" s="97"/>
      <c r="AK253" s="97"/>
      <c r="AL253" s="90"/>
      <c r="AM253" s="90"/>
    </row>
    <row r="254" spans="1:40" s="20" customFormat="1" ht="36.75" hidden="1" customHeight="1" thickBot="1">
      <c r="B254" s="79" t="s">
        <v>317</v>
      </c>
      <c r="C254" s="84">
        <v>642.49</v>
      </c>
      <c r="D254" s="153"/>
      <c r="E254" s="153"/>
      <c r="F254" s="153"/>
      <c r="G254" s="153"/>
      <c r="H254" s="153"/>
      <c r="I254" s="84">
        <f>C254-30</f>
        <v>612.49</v>
      </c>
      <c r="J254" s="153"/>
      <c r="K254" s="153"/>
      <c r="L254" s="153"/>
      <c r="M254" s="97"/>
      <c r="N254" s="97"/>
      <c r="O254" s="97"/>
      <c r="P254" s="97"/>
      <c r="Q254" s="97"/>
      <c r="R254" s="97"/>
      <c r="S254" s="97"/>
      <c r="T254" s="97"/>
      <c r="U254" s="84"/>
      <c r="V254" s="84">
        <f>I254+J254+M254+N254-U254</f>
        <v>612.49</v>
      </c>
      <c r="W254" s="97"/>
      <c r="X254" s="97"/>
      <c r="Y254" s="97"/>
      <c r="Z254" s="97"/>
      <c r="AA254" s="97"/>
      <c r="AB254" s="84">
        <v>0</v>
      </c>
      <c r="AC254" s="97"/>
      <c r="AD254" s="97"/>
      <c r="AE254" s="97"/>
      <c r="AF254" s="97"/>
      <c r="AG254" s="97"/>
      <c r="AH254" s="84"/>
      <c r="AI254" s="84">
        <v>0</v>
      </c>
      <c r="AJ254" s="84">
        <v>0</v>
      </c>
      <c r="AK254" s="84">
        <v>0</v>
      </c>
      <c r="AL254" s="84">
        <v>0</v>
      </c>
      <c r="AM254" s="90"/>
    </row>
    <row r="255" spans="1:40" s="20" customFormat="1" ht="32.25" hidden="1" customHeight="1">
      <c r="B255" s="79" t="s">
        <v>229</v>
      </c>
      <c r="C255" s="84">
        <f>210682916.65+18226500</f>
        <v>228909416.65000001</v>
      </c>
      <c r="D255" s="153"/>
      <c r="E255" s="153"/>
      <c r="F255" s="153"/>
      <c r="G255" s="153"/>
      <c r="H255" s="153"/>
      <c r="I255" s="84">
        <f>C255-18226500</f>
        <v>210682916.65000001</v>
      </c>
      <c r="J255" s="153"/>
      <c r="K255" s="153"/>
      <c r="L255" s="153"/>
      <c r="M255" s="97"/>
      <c r="N255" s="97"/>
      <c r="O255" s="97"/>
      <c r="P255" s="97"/>
      <c r="Q255" s="97"/>
      <c r="R255" s="97"/>
      <c r="S255" s="97"/>
      <c r="T255" s="97"/>
      <c r="U255" s="84">
        <v>153116619.41999999</v>
      </c>
      <c r="V255" s="84">
        <f>I255+J255+M255+N255-U255</f>
        <v>57566297.230000019</v>
      </c>
      <c r="W255" s="133"/>
      <c r="X255" s="97"/>
      <c r="Y255" s="97"/>
      <c r="Z255" s="97"/>
      <c r="AA255" s="97"/>
      <c r="AB255" s="84">
        <f>V255-57566297.23</f>
        <v>0</v>
      </c>
      <c r="AC255" s="97"/>
      <c r="AD255" s="97"/>
      <c r="AE255" s="97"/>
      <c r="AF255" s="97"/>
      <c r="AG255" s="97"/>
      <c r="AH255" s="84"/>
      <c r="AI255" s="84">
        <v>0</v>
      </c>
      <c r="AJ255" s="84">
        <v>0</v>
      </c>
      <c r="AK255" s="84">
        <v>0</v>
      </c>
      <c r="AL255" s="84">
        <v>0</v>
      </c>
      <c r="AM255" s="90"/>
    </row>
    <row r="256" spans="1:40" s="20" customFormat="1" ht="68.25" hidden="1" customHeight="1">
      <c r="B256" s="79" t="s">
        <v>230</v>
      </c>
      <c r="C256" s="84"/>
      <c r="D256" s="153"/>
      <c r="E256" s="153"/>
      <c r="F256" s="153"/>
      <c r="G256" s="153"/>
      <c r="H256" s="153"/>
      <c r="I256" s="84">
        <v>18226500</v>
      </c>
      <c r="J256" s="153"/>
      <c r="K256" s="153"/>
      <c r="L256" s="153"/>
      <c r="M256" s="97"/>
      <c r="N256" s="97"/>
      <c r="O256" s="97"/>
      <c r="P256" s="97"/>
      <c r="Q256" s="97"/>
      <c r="R256" s="97"/>
      <c r="S256" s="97"/>
      <c r="T256" s="97"/>
      <c r="U256" s="84">
        <v>18226500</v>
      </c>
      <c r="V256" s="84">
        <f>I256+J256+M256+N256-U256</f>
        <v>0</v>
      </c>
      <c r="W256" s="97"/>
      <c r="X256" s="97"/>
      <c r="Y256" s="97"/>
      <c r="Z256" s="97"/>
      <c r="AA256" s="97"/>
      <c r="AB256" s="84">
        <f>V256</f>
        <v>0</v>
      </c>
      <c r="AC256" s="97"/>
      <c r="AD256" s="133"/>
      <c r="AE256" s="97"/>
      <c r="AF256" s="97"/>
      <c r="AG256" s="97"/>
      <c r="AH256" s="84"/>
      <c r="AI256" s="84">
        <f>V256+W256-Y256+AC256-AE256+AF256+AG256-AH256</f>
        <v>0</v>
      </c>
      <c r="AJ256" s="84">
        <f>W256+X256-Z256+AD256-AF256+AG256+AH256-AI256</f>
        <v>0</v>
      </c>
      <c r="AK256" s="84">
        <f>X256+Y256-AA256+AE256-AG256+AH256+AI256-AJ256</f>
        <v>0</v>
      </c>
      <c r="AL256" s="84">
        <v>0</v>
      </c>
      <c r="AM256" s="90"/>
    </row>
    <row r="257" spans="2:40" s="20" customFormat="1" ht="19.5" hidden="1" customHeight="1" thickBot="1">
      <c r="B257" s="119" t="s">
        <v>316</v>
      </c>
      <c r="C257" s="84"/>
      <c r="D257" s="153"/>
      <c r="E257" s="153"/>
      <c r="F257" s="153"/>
      <c r="G257" s="153"/>
      <c r="H257" s="153"/>
      <c r="I257" s="84"/>
      <c r="J257" s="153"/>
      <c r="K257" s="153"/>
      <c r="L257" s="153"/>
      <c r="M257" s="97"/>
      <c r="N257" s="97"/>
      <c r="O257" s="97"/>
      <c r="P257" s="97"/>
      <c r="Q257" s="97"/>
      <c r="R257" s="97"/>
      <c r="S257" s="97"/>
      <c r="T257" s="97"/>
      <c r="U257" s="84"/>
      <c r="V257" s="84"/>
      <c r="W257" s="97"/>
      <c r="X257" s="97"/>
      <c r="Y257" s="97"/>
      <c r="Z257" s="97"/>
      <c r="AA257" s="97"/>
      <c r="AB257" s="84"/>
      <c r="AC257" s="97"/>
      <c r="AD257" s="133"/>
      <c r="AE257" s="97"/>
      <c r="AF257" s="97"/>
      <c r="AG257" s="97"/>
      <c r="AH257" s="84"/>
      <c r="AI257" s="103">
        <f>AI254</f>
        <v>0</v>
      </c>
      <c r="AJ257" s="103">
        <f t="shared" ref="AJ257:AM257" si="96">AJ254</f>
        <v>0</v>
      </c>
      <c r="AK257" s="103">
        <f t="shared" si="96"/>
        <v>0</v>
      </c>
      <c r="AL257" s="103">
        <f t="shared" si="96"/>
        <v>0</v>
      </c>
      <c r="AM257" s="103">
        <f t="shared" si="96"/>
        <v>0</v>
      </c>
    </row>
    <row r="258" spans="2:40" s="20" customFormat="1" ht="52.5" customHeight="1">
      <c r="B258" s="79" t="s">
        <v>318</v>
      </c>
      <c r="C258" s="84">
        <f>49312030.09+8979748</f>
        <v>58291778.090000004</v>
      </c>
      <c r="D258" s="153"/>
      <c r="E258" s="153"/>
      <c r="F258" s="153"/>
      <c r="G258" s="153"/>
      <c r="H258" s="153"/>
      <c r="I258" s="84">
        <f>C258+3</f>
        <v>58291781.090000004</v>
      </c>
      <c r="J258" s="102"/>
      <c r="K258" s="153"/>
      <c r="L258" s="153"/>
      <c r="M258" s="84">
        <v>94093000</v>
      </c>
      <c r="N258" s="97"/>
      <c r="O258" s="97"/>
      <c r="P258" s="97"/>
      <c r="Q258" s="97"/>
      <c r="R258" s="97"/>
      <c r="S258" s="97"/>
      <c r="T258" s="97"/>
      <c r="U258" s="84">
        <v>57716310.979999997</v>
      </c>
      <c r="V258" s="84">
        <f>I258+J258+M258+N258-U258</f>
        <v>94668470.110000014</v>
      </c>
      <c r="W258" s="133"/>
      <c r="X258" s="97"/>
      <c r="Y258" s="97"/>
      <c r="Z258" s="97"/>
      <c r="AA258" s="97"/>
      <c r="AB258" s="130">
        <f>V258</f>
        <v>94668470.110000014</v>
      </c>
      <c r="AC258" s="133"/>
      <c r="AD258" s="133"/>
      <c r="AE258" s="97"/>
      <c r="AF258" s="97"/>
      <c r="AG258" s="97"/>
      <c r="AH258" s="84">
        <v>69160000</v>
      </c>
      <c r="AI258" s="84">
        <v>45616000</v>
      </c>
      <c r="AJ258" s="84">
        <v>0</v>
      </c>
      <c r="AK258" s="130"/>
      <c r="AL258" s="84">
        <v>0</v>
      </c>
      <c r="AM258" s="90"/>
      <c r="AN258" s="57"/>
    </row>
    <row r="259" spans="2:40" s="20" customFormat="1" ht="45.75" hidden="1" customHeight="1" thickBot="1">
      <c r="B259" s="79" t="s">
        <v>231</v>
      </c>
      <c r="C259" s="84">
        <v>27592396.559999999</v>
      </c>
      <c r="D259" s="153"/>
      <c r="E259" s="153"/>
      <c r="F259" s="153"/>
      <c r="G259" s="153"/>
      <c r="H259" s="153"/>
      <c r="I259" s="84">
        <f>C259</f>
        <v>27592396.559999999</v>
      </c>
      <c r="J259" s="153"/>
      <c r="K259" s="153"/>
      <c r="L259" s="153"/>
      <c r="M259" s="97"/>
      <c r="N259" s="97"/>
      <c r="O259" s="97"/>
      <c r="P259" s="97"/>
      <c r="Q259" s="97"/>
      <c r="R259" s="97"/>
      <c r="S259" s="97"/>
      <c r="T259" s="97"/>
      <c r="U259" s="84">
        <v>24974261.91</v>
      </c>
      <c r="V259" s="84">
        <f>I259+J259+M259+N259-U259</f>
        <v>2618134.6499999985</v>
      </c>
      <c r="W259" s="97"/>
      <c r="X259" s="97"/>
      <c r="Y259" s="97"/>
      <c r="Z259" s="97"/>
      <c r="AA259" s="97"/>
      <c r="AB259" s="84">
        <f>V259-1318842.48</f>
        <v>1299292.1699999985</v>
      </c>
      <c r="AC259" s="97" t="s">
        <v>232</v>
      </c>
      <c r="AD259" s="97"/>
      <c r="AE259" s="97"/>
      <c r="AF259" s="97"/>
      <c r="AG259" s="97"/>
      <c r="AH259" s="84">
        <v>1299292.17</v>
      </c>
      <c r="AI259" s="84">
        <v>0</v>
      </c>
      <c r="AJ259" s="84">
        <v>0</v>
      </c>
      <c r="AK259" s="84">
        <v>0</v>
      </c>
      <c r="AL259" s="84">
        <v>0</v>
      </c>
      <c r="AM259" s="90"/>
    </row>
    <row r="260" spans="2:40" s="20" customFormat="1" ht="33" hidden="1" customHeight="1" thickBot="1">
      <c r="B260" s="79" t="s">
        <v>233</v>
      </c>
      <c r="C260" s="84"/>
      <c r="D260" s="153"/>
      <c r="E260" s="153"/>
      <c r="F260" s="153"/>
      <c r="G260" s="153"/>
      <c r="H260" s="153"/>
      <c r="I260" s="153"/>
      <c r="J260" s="153"/>
      <c r="K260" s="153"/>
      <c r="L260" s="153"/>
      <c r="M260" s="97"/>
      <c r="N260" s="97"/>
      <c r="O260" s="97"/>
      <c r="P260" s="97"/>
      <c r="Q260" s="97"/>
      <c r="R260" s="97"/>
      <c r="S260" s="97"/>
      <c r="T260" s="97"/>
      <c r="U260" s="97"/>
      <c r="V260" s="97"/>
      <c r="W260" s="97"/>
      <c r="X260" s="97"/>
      <c r="Y260" s="97"/>
      <c r="Z260" s="97"/>
      <c r="AA260" s="97"/>
      <c r="AB260" s="97"/>
      <c r="AC260" s="97"/>
      <c r="AD260" s="97"/>
      <c r="AE260" s="97"/>
      <c r="AF260" s="97"/>
      <c r="AG260" s="97"/>
      <c r="AH260" s="97"/>
      <c r="AI260" s="97"/>
      <c r="AJ260" s="97"/>
      <c r="AK260" s="97"/>
      <c r="AL260" s="90"/>
      <c r="AM260" s="90"/>
    </row>
    <row r="261" spans="2:40" s="20" customFormat="1" ht="32.25" customHeight="1">
      <c r="B261" s="100" t="s">
        <v>267</v>
      </c>
      <c r="C261" s="103">
        <f>SUM(C253:C260)</f>
        <v>314794233.79000002</v>
      </c>
      <c r="D261" s="103">
        <f t="shared" ref="D261:AM261" si="97">SUM(D253:D260)</f>
        <v>0</v>
      </c>
      <c r="E261" s="103">
        <f t="shared" si="97"/>
        <v>0</v>
      </c>
      <c r="F261" s="103">
        <f t="shared" si="97"/>
        <v>0</v>
      </c>
      <c r="G261" s="103">
        <f t="shared" si="97"/>
        <v>0</v>
      </c>
      <c r="H261" s="103">
        <f t="shared" si="97"/>
        <v>0</v>
      </c>
      <c r="I261" s="103">
        <f t="shared" si="97"/>
        <v>314794206.79000002</v>
      </c>
      <c r="J261" s="103">
        <f t="shared" si="97"/>
        <v>0</v>
      </c>
      <c r="K261" s="103">
        <f t="shared" si="97"/>
        <v>0</v>
      </c>
      <c r="L261" s="103">
        <f t="shared" si="97"/>
        <v>0</v>
      </c>
      <c r="M261" s="103">
        <f t="shared" si="97"/>
        <v>94093000</v>
      </c>
      <c r="N261" s="103">
        <f t="shared" si="97"/>
        <v>0</v>
      </c>
      <c r="O261" s="103">
        <f t="shared" si="97"/>
        <v>0</v>
      </c>
      <c r="P261" s="103">
        <f t="shared" si="97"/>
        <v>0</v>
      </c>
      <c r="Q261" s="103">
        <f t="shared" si="97"/>
        <v>0</v>
      </c>
      <c r="R261" s="103">
        <f t="shared" si="97"/>
        <v>0</v>
      </c>
      <c r="S261" s="103">
        <f t="shared" si="97"/>
        <v>0</v>
      </c>
      <c r="T261" s="103">
        <f t="shared" si="97"/>
        <v>0</v>
      </c>
      <c r="U261" s="103">
        <f t="shared" si="97"/>
        <v>254033692.30999997</v>
      </c>
      <c r="V261" s="103">
        <f t="shared" si="97"/>
        <v>154853514.48000005</v>
      </c>
      <c r="W261" s="103">
        <f t="shared" si="97"/>
        <v>0</v>
      </c>
      <c r="X261" s="103">
        <f t="shared" si="97"/>
        <v>0</v>
      </c>
      <c r="Y261" s="103">
        <f t="shared" si="97"/>
        <v>0</v>
      </c>
      <c r="Z261" s="103">
        <f t="shared" si="97"/>
        <v>0</v>
      </c>
      <c r="AA261" s="103">
        <f t="shared" si="97"/>
        <v>0</v>
      </c>
      <c r="AB261" s="103">
        <f t="shared" si="97"/>
        <v>95967762.280000016</v>
      </c>
      <c r="AC261" s="103">
        <f t="shared" si="97"/>
        <v>0</v>
      </c>
      <c r="AD261" s="103">
        <f t="shared" si="97"/>
        <v>0</v>
      </c>
      <c r="AE261" s="103">
        <f t="shared" si="97"/>
        <v>0</v>
      </c>
      <c r="AF261" s="103">
        <f t="shared" si="97"/>
        <v>0</v>
      </c>
      <c r="AG261" s="103">
        <f t="shared" si="97"/>
        <v>0</v>
      </c>
      <c r="AH261" s="103">
        <f t="shared" si="97"/>
        <v>70459292.170000002</v>
      </c>
      <c r="AI261" s="103">
        <f t="shared" si="97"/>
        <v>45616000</v>
      </c>
      <c r="AJ261" s="103">
        <f t="shared" si="97"/>
        <v>0</v>
      </c>
      <c r="AK261" s="103">
        <f t="shared" si="97"/>
        <v>0</v>
      </c>
      <c r="AL261" s="103">
        <f t="shared" si="97"/>
        <v>0</v>
      </c>
      <c r="AM261" s="103">
        <f t="shared" si="97"/>
        <v>0</v>
      </c>
    </row>
    <row r="262" spans="2:40" ht="31.5" hidden="1">
      <c r="B262" s="122" t="s">
        <v>234</v>
      </c>
      <c r="C262" s="84">
        <v>15809681.85</v>
      </c>
      <c r="D262" s="84"/>
      <c r="E262" s="84"/>
      <c r="F262" s="84"/>
      <c r="G262" s="84"/>
      <c r="H262" s="84"/>
      <c r="I262" s="84">
        <f>C262</f>
        <v>15809681.85</v>
      </c>
      <c r="J262" s="84"/>
      <c r="K262" s="84"/>
      <c r="L262" s="84"/>
      <c r="M262" s="97"/>
      <c r="N262" s="97"/>
      <c r="O262" s="97"/>
      <c r="P262" s="97"/>
      <c r="Q262" s="97"/>
      <c r="R262" s="97"/>
      <c r="S262" s="97"/>
      <c r="T262" s="143"/>
      <c r="U262" s="84">
        <v>3885600</v>
      </c>
      <c r="V262" s="84">
        <f>I262+J262+M262+N262-U262</f>
        <v>11924081.85</v>
      </c>
      <c r="W262" s="97"/>
      <c r="X262" s="97"/>
      <c r="Y262" s="97"/>
      <c r="Z262" s="97"/>
      <c r="AA262" s="97"/>
      <c r="AB262" s="84">
        <v>0</v>
      </c>
      <c r="AC262" s="97"/>
      <c r="AD262" s="97"/>
      <c r="AE262" s="97"/>
      <c r="AF262" s="97"/>
      <c r="AG262" s="97"/>
      <c r="AH262" s="97"/>
      <c r="AI262" s="84">
        <v>0</v>
      </c>
      <c r="AJ262" s="84">
        <v>0</v>
      </c>
      <c r="AK262" s="84">
        <v>0</v>
      </c>
      <c r="AL262" s="84">
        <v>0</v>
      </c>
      <c r="AM262" s="90"/>
    </row>
    <row r="263" spans="2:40" ht="31.5" hidden="1">
      <c r="B263" s="119" t="s">
        <v>198</v>
      </c>
      <c r="C263" s="103">
        <f>SUM(C262:C262)</f>
        <v>15809681.85</v>
      </c>
      <c r="D263" s="103">
        <f t="shared" ref="D263:AM264" si="98">SUM(D262:D262)</f>
        <v>0</v>
      </c>
      <c r="E263" s="103">
        <f t="shared" si="98"/>
        <v>0</v>
      </c>
      <c r="F263" s="103">
        <f t="shared" si="98"/>
        <v>0</v>
      </c>
      <c r="G263" s="103">
        <f t="shared" si="98"/>
        <v>0</v>
      </c>
      <c r="H263" s="103">
        <f t="shared" si="98"/>
        <v>0</v>
      </c>
      <c r="I263" s="103">
        <f t="shared" si="98"/>
        <v>15809681.85</v>
      </c>
      <c r="J263" s="103">
        <f t="shared" si="98"/>
        <v>0</v>
      </c>
      <c r="K263" s="103">
        <f t="shared" si="98"/>
        <v>0</v>
      </c>
      <c r="L263" s="103">
        <f t="shared" si="98"/>
        <v>0</v>
      </c>
      <c r="M263" s="103">
        <f t="shared" si="98"/>
        <v>0</v>
      </c>
      <c r="N263" s="103">
        <f t="shared" si="98"/>
        <v>0</v>
      </c>
      <c r="O263" s="103">
        <f t="shared" si="98"/>
        <v>0</v>
      </c>
      <c r="P263" s="103">
        <f t="shared" si="98"/>
        <v>0</v>
      </c>
      <c r="Q263" s="103">
        <f t="shared" si="98"/>
        <v>0</v>
      </c>
      <c r="R263" s="103">
        <f t="shared" si="98"/>
        <v>0</v>
      </c>
      <c r="S263" s="103">
        <f t="shared" si="98"/>
        <v>0</v>
      </c>
      <c r="T263" s="103">
        <f t="shared" si="98"/>
        <v>0</v>
      </c>
      <c r="U263" s="103">
        <f t="shared" si="98"/>
        <v>3885600</v>
      </c>
      <c r="V263" s="103">
        <f t="shared" si="98"/>
        <v>11924081.85</v>
      </c>
      <c r="W263" s="103">
        <f t="shared" si="98"/>
        <v>0</v>
      </c>
      <c r="X263" s="103">
        <f t="shared" si="98"/>
        <v>0</v>
      </c>
      <c r="Y263" s="103">
        <f t="shared" si="98"/>
        <v>0</v>
      </c>
      <c r="Z263" s="103">
        <f t="shared" si="98"/>
        <v>0</v>
      </c>
      <c r="AA263" s="103">
        <f t="shared" si="98"/>
        <v>0</v>
      </c>
      <c r="AB263" s="103">
        <f t="shared" si="98"/>
        <v>0</v>
      </c>
      <c r="AC263" s="103">
        <f t="shared" si="98"/>
        <v>0</v>
      </c>
      <c r="AD263" s="103">
        <f t="shared" si="98"/>
        <v>0</v>
      </c>
      <c r="AE263" s="103">
        <f t="shared" si="98"/>
        <v>0</v>
      </c>
      <c r="AF263" s="103">
        <f t="shared" si="98"/>
        <v>0</v>
      </c>
      <c r="AG263" s="103">
        <f t="shared" si="98"/>
        <v>0</v>
      </c>
      <c r="AH263" s="103">
        <f t="shared" si="98"/>
        <v>0</v>
      </c>
      <c r="AI263" s="103">
        <f t="shared" si="98"/>
        <v>0</v>
      </c>
      <c r="AJ263" s="103">
        <f t="shared" si="98"/>
        <v>0</v>
      </c>
      <c r="AK263" s="103">
        <f t="shared" si="98"/>
        <v>0</v>
      </c>
      <c r="AL263" s="103">
        <f t="shared" si="98"/>
        <v>0</v>
      </c>
      <c r="AM263" s="103">
        <f t="shared" si="98"/>
        <v>0</v>
      </c>
    </row>
    <row r="264" spans="2:40" s="20" customFormat="1" ht="51" customHeight="1">
      <c r="B264" s="73" t="s">
        <v>276</v>
      </c>
      <c r="C264" s="144">
        <f>C267+C269</f>
        <v>135842263.27000001</v>
      </c>
      <c r="D264" s="144">
        <f t="shared" ref="D264:AM264" si="99">D267+D269</f>
        <v>0</v>
      </c>
      <c r="E264" s="144">
        <f t="shared" si="99"/>
        <v>0</v>
      </c>
      <c r="F264" s="144">
        <f t="shared" si="99"/>
        <v>0</v>
      </c>
      <c r="G264" s="144">
        <f t="shared" si="99"/>
        <v>0</v>
      </c>
      <c r="H264" s="144">
        <f t="shared" si="99"/>
        <v>0</v>
      </c>
      <c r="I264" s="144">
        <f t="shared" si="99"/>
        <v>135842263.27000001</v>
      </c>
      <c r="J264" s="144">
        <f t="shared" si="98"/>
        <v>0</v>
      </c>
      <c r="K264" s="144">
        <f t="shared" si="99"/>
        <v>0</v>
      </c>
      <c r="L264" s="144">
        <f t="shared" si="98"/>
        <v>0</v>
      </c>
      <c r="M264" s="144">
        <f>M267+M269</f>
        <v>0</v>
      </c>
      <c r="N264" s="144">
        <f t="shared" si="99"/>
        <v>0</v>
      </c>
      <c r="O264" s="144">
        <f t="shared" si="99"/>
        <v>0</v>
      </c>
      <c r="P264" s="144">
        <f t="shared" si="99"/>
        <v>0</v>
      </c>
      <c r="Q264" s="144">
        <f t="shared" si="99"/>
        <v>0</v>
      </c>
      <c r="R264" s="144">
        <f t="shared" si="99"/>
        <v>0</v>
      </c>
      <c r="S264" s="144">
        <f t="shared" si="99"/>
        <v>0</v>
      </c>
      <c r="T264" s="144">
        <f t="shared" si="99"/>
        <v>0</v>
      </c>
      <c r="U264" s="144">
        <f t="shared" si="99"/>
        <v>53467104.210000001</v>
      </c>
      <c r="V264" s="144">
        <f t="shared" si="99"/>
        <v>79509790.99000001</v>
      </c>
      <c r="W264" s="144">
        <f t="shared" si="99"/>
        <v>0</v>
      </c>
      <c r="X264" s="144">
        <f t="shared" si="99"/>
        <v>0</v>
      </c>
      <c r="Y264" s="144">
        <f t="shared" si="99"/>
        <v>0</v>
      </c>
      <c r="Z264" s="144">
        <f t="shared" si="99"/>
        <v>0</v>
      </c>
      <c r="AA264" s="144">
        <f t="shared" si="99"/>
        <v>0</v>
      </c>
      <c r="AB264" s="144">
        <f t="shared" si="99"/>
        <v>79509790.99000001</v>
      </c>
      <c r="AC264" s="144">
        <f t="shared" si="99"/>
        <v>0</v>
      </c>
      <c r="AD264" s="144">
        <f t="shared" si="99"/>
        <v>0</v>
      </c>
      <c r="AE264" s="144">
        <f t="shared" si="99"/>
        <v>0</v>
      </c>
      <c r="AF264" s="144">
        <f t="shared" si="99"/>
        <v>0</v>
      </c>
      <c r="AG264" s="74">
        <f t="shared" si="99"/>
        <v>0</v>
      </c>
      <c r="AH264" s="144">
        <f t="shared" si="99"/>
        <v>39502448.5</v>
      </c>
      <c r="AI264" s="144">
        <f t="shared" si="99"/>
        <v>27559847.649999999</v>
      </c>
      <c r="AJ264" s="144">
        <f t="shared" si="99"/>
        <v>0</v>
      </c>
      <c r="AK264" s="144">
        <f t="shared" si="99"/>
        <v>0</v>
      </c>
      <c r="AL264" s="144">
        <f t="shared" si="99"/>
        <v>0</v>
      </c>
      <c r="AM264" s="144">
        <f t="shared" si="99"/>
        <v>0</v>
      </c>
    </row>
    <row r="265" spans="2:40" s="20" customFormat="1" ht="33" hidden="1" customHeight="1">
      <c r="B265" s="79" t="s">
        <v>319</v>
      </c>
      <c r="C265" s="104">
        <v>80430525.120000005</v>
      </c>
      <c r="D265" s="103"/>
      <c r="E265" s="103"/>
      <c r="F265" s="103"/>
      <c r="G265" s="103"/>
      <c r="H265" s="103"/>
      <c r="I265" s="104">
        <f>C265</f>
        <v>80430525.120000005</v>
      </c>
      <c r="J265" s="103"/>
      <c r="K265" s="103"/>
      <c r="L265" s="103"/>
      <c r="M265" s="97"/>
      <c r="N265" s="97"/>
      <c r="O265" s="97"/>
      <c r="P265" s="97"/>
      <c r="Q265" s="97"/>
      <c r="R265" s="97"/>
      <c r="S265" s="97"/>
      <c r="T265" s="143"/>
      <c r="U265" s="84">
        <v>45378012.350000001</v>
      </c>
      <c r="V265" s="84">
        <f>I265+J265+M265+N265-U265</f>
        <v>35052512.770000003</v>
      </c>
      <c r="W265" s="97"/>
      <c r="X265" s="97"/>
      <c r="Y265" s="97"/>
      <c r="Z265" s="97"/>
      <c r="AA265" s="97"/>
      <c r="AB265" s="84">
        <f>V265</f>
        <v>35052512.770000003</v>
      </c>
      <c r="AC265" s="97"/>
      <c r="AD265" s="97"/>
      <c r="AE265" s="97"/>
      <c r="AF265" s="97"/>
      <c r="AG265" s="97"/>
      <c r="AH265" s="84">
        <v>34845170.600000001</v>
      </c>
      <c r="AI265" s="84">
        <v>0</v>
      </c>
      <c r="AJ265" s="84"/>
      <c r="AK265" s="84"/>
      <c r="AL265" s="84">
        <v>0</v>
      </c>
      <c r="AM265" s="90"/>
    </row>
    <row r="266" spans="2:40" s="20" customFormat="1" ht="51" customHeight="1">
      <c r="B266" s="79" t="s">
        <v>326</v>
      </c>
      <c r="C266" s="104">
        <v>55326694.859999999</v>
      </c>
      <c r="D266" s="103"/>
      <c r="E266" s="103"/>
      <c r="F266" s="103"/>
      <c r="G266" s="103"/>
      <c r="H266" s="103"/>
      <c r="I266" s="104">
        <f>C266+I268+C268</f>
        <v>55411738.149999999</v>
      </c>
      <c r="J266" s="103"/>
      <c r="K266" s="103"/>
      <c r="L266" s="103"/>
      <c r="M266" s="97"/>
      <c r="N266" s="97"/>
      <c r="O266" s="97"/>
      <c r="P266" s="97"/>
      <c r="Q266" s="97"/>
      <c r="R266" s="97"/>
      <c r="S266" s="97"/>
      <c r="T266" s="143"/>
      <c r="U266" s="84">
        <v>8089091.8600000003</v>
      </c>
      <c r="V266" s="84">
        <v>44457278.219999999</v>
      </c>
      <c r="W266" s="97"/>
      <c r="X266" s="97"/>
      <c r="Y266" s="97"/>
      <c r="Z266" s="97"/>
      <c r="AA266" s="97"/>
      <c r="AB266" s="84">
        <f>V266</f>
        <v>44457278.219999999</v>
      </c>
      <c r="AC266" s="97"/>
      <c r="AD266" s="97"/>
      <c r="AE266" s="97"/>
      <c r="AF266" s="97"/>
      <c r="AG266" s="97"/>
      <c r="AH266" s="84">
        <v>4657277.9000000004</v>
      </c>
      <c r="AI266" s="84">
        <v>27559847.649999999</v>
      </c>
      <c r="AJ266" s="84">
        <v>0</v>
      </c>
      <c r="AK266" s="84"/>
      <c r="AL266" s="84">
        <v>0</v>
      </c>
      <c r="AM266" s="90"/>
    </row>
    <row r="267" spans="2:40" s="20" customFormat="1" ht="33.6" customHeight="1">
      <c r="B267" s="100" t="s">
        <v>267</v>
      </c>
      <c r="C267" s="103">
        <f>C265+C266</f>
        <v>135757219.98000002</v>
      </c>
      <c r="D267" s="103">
        <f t="shared" ref="D267:AM267" si="100">D265+D266</f>
        <v>0</v>
      </c>
      <c r="E267" s="103">
        <f t="shared" si="100"/>
        <v>0</v>
      </c>
      <c r="F267" s="103">
        <f t="shared" si="100"/>
        <v>0</v>
      </c>
      <c r="G267" s="103">
        <f t="shared" si="100"/>
        <v>0</v>
      </c>
      <c r="H267" s="103">
        <f t="shared" si="100"/>
        <v>0</v>
      </c>
      <c r="I267" s="103">
        <f t="shared" si="100"/>
        <v>135842263.27000001</v>
      </c>
      <c r="J267" s="103">
        <f t="shared" si="100"/>
        <v>0</v>
      </c>
      <c r="K267" s="103">
        <f t="shared" si="100"/>
        <v>0</v>
      </c>
      <c r="L267" s="103">
        <f t="shared" si="100"/>
        <v>0</v>
      </c>
      <c r="M267" s="103">
        <f t="shared" si="100"/>
        <v>0</v>
      </c>
      <c r="N267" s="103">
        <f t="shared" si="100"/>
        <v>0</v>
      </c>
      <c r="O267" s="103">
        <f t="shared" si="100"/>
        <v>0</v>
      </c>
      <c r="P267" s="103">
        <f t="shared" si="100"/>
        <v>0</v>
      </c>
      <c r="Q267" s="103">
        <f t="shared" si="100"/>
        <v>0</v>
      </c>
      <c r="R267" s="103">
        <f t="shared" si="100"/>
        <v>0</v>
      </c>
      <c r="S267" s="103">
        <f t="shared" si="100"/>
        <v>0</v>
      </c>
      <c r="T267" s="103">
        <f t="shared" si="100"/>
        <v>0</v>
      </c>
      <c r="U267" s="103">
        <f t="shared" si="100"/>
        <v>53467104.210000001</v>
      </c>
      <c r="V267" s="103">
        <f t="shared" si="100"/>
        <v>79509790.99000001</v>
      </c>
      <c r="W267" s="103">
        <f t="shared" si="100"/>
        <v>0</v>
      </c>
      <c r="X267" s="103">
        <f t="shared" si="100"/>
        <v>0</v>
      </c>
      <c r="Y267" s="103">
        <f t="shared" si="100"/>
        <v>0</v>
      </c>
      <c r="Z267" s="103">
        <f t="shared" si="100"/>
        <v>0</v>
      </c>
      <c r="AA267" s="103">
        <f t="shared" si="100"/>
        <v>0</v>
      </c>
      <c r="AB267" s="103">
        <f t="shared" si="100"/>
        <v>79509790.99000001</v>
      </c>
      <c r="AC267" s="103">
        <f t="shared" si="100"/>
        <v>0</v>
      </c>
      <c r="AD267" s="103">
        <f t="shared" si="100"/>
        <v>0</v>
      </c>
      <c r="AE267" s="103">
        <f t="shared" si="100"/>
        <v>0</v>
      </c>
      <c r="AF267" s="103">
        <f t="shared" si="100"/>
        <v>0</v>
      </c>
      <c r="AG267" s="103">
        <f t="shared" si="100"/>
        <v>0</v>
      </c>
      <c r="AH267" s="103">
        <f t="shared" si="100"/>
        <v>39502448.5</v>
      </c>
      <c r="AI267" s="103">
        <f t="shared" si="100"/>
        <v>27559847.649999999</v>
      </c>
      <c r="AJ267" s="103">
        <f t="shared" si="100"/>
        <v>0</v>
      </c>
      <c r="AK267" s="103">
        <f t="shared" si="100"/>
        <v>0</v>
      </c>
      <c r="AL267" s="103">
        <f t="shared" si="100"/>
        <v>0</v>
      </c>
      <c r="AM267" s="103">
        <f t="shared" si="100"/>
        <v>0</v>
      </c>
      <c r="AN267" s="56" t="e">
        <f>#REF!+#REF!</f>
        <v>#REF!</v>
      </c>
    </row>
    <row r="268" spans="2:40" s="20" customFormat="1" ht="42.6" hidden="1" customHeight="1" thickBot="1">
      <c r="B268" s="69" t="s">
        <v>235</v>
      </c>
      <c r="C268" s="52">
        <v>85043.29</v>
      </c>
      <c r="D268" s="51"/>
      <c r="E268" s="51"/>
      <c r="F268" s="51"/>
      <c r="G268" s="51"/>
      <c r="H268" s="51"/>
      <c r="I268" s="51">
        <v>0</v>
      </c>
      <c r="J268" s="51"/>
      <c r="K268" s="51"/>
      <c r="L268" s="51"/>
      <c r="M268" s="65"/>
      <c r="N268" s="65"/>
      <c r="O268" s="65"/>
      <c r="P268" s="65"/>
      <c r="Q268" s="65"/>
      <c r="R268" s="65"/>
      <c r="S268" s="65"/>
      <c r="T268" s="76"/>
      <c r="U268" s="65"/>
      <c r="V268" s="30">
        <f>I268+J268+M268+N268-U268</f>
        <v>0</v>
      </c>
      <c r="W268" s="65"/>
      <c r="X268" s="65"/>
      <c r="Y268" s="65"/>
      <c r="Z268" s="65"/>
      <c r="AA268" s="65"/>
      <c r="AB268" s="30">
        <f>V268</f>
        <v>0</v>
      </c>
      <c r="AC268" s="65"/>
      <c r="AD268" s="65"/>
      <c r="AE268" s="65"/>
      <c r="AF268" s="65"/>
      <c r="AG268" s="65"/>
      <c r="AH268" s="65"/>
      <c r="AI268" s="30">
        <f>V268+W268-Y268+AC268-AE268+AF268+AG268-AH268</f>
        <v>0</v>
      </c>
      <c r="AJ268" s="30">
        <f>W268+X268-Z268+AD268-AF268+AG268+AH268-AI268</f>
        <v>0</v>
      </c>
      <c r="AK268" s="30">
        <f>X268+Y268-AA268+AE268-AG268+AH268+AI268-AJ268</f>
        <v>0</v>
      </c>
      <c r="AL268" s="30">
        <v>0</v>
      </c>
      <c r="AM268" s="60"/>
    </row>
    <row r="269" spans="2:40" s="20" customFormat="1" ht="57" hidden="1">
      <c r="B269" s="72" t="s">
        <v>236</v>
      </c>
      <c r="C269" s="51">
        <f>C268</f>
        <v>85043.29</v>
      </c>
      <c r="D269" s="51">
        <f t="shared" ref="D269:AM269" si="101">D268</f>
        <v>0</v>
      </c>
      <c r="E269" s="51">
        <f t="shared" si="101"/>
        <v>0</v>
      </c>
      <c r="F269" s="51">
        <f t="shared" si="101"/>
        <v>0</v>
      </c>
      <c r="G269" s="51">
        <f t="shared" si="101"/>
        <v>0</v>
      </c>
      <c r="H269" s="51">
        <f t="shared" si="101"/>
        <v>0</v>
      </c>
      <c r="I269" s="51">
        <f t="shared" si="101"/>
        <v>0</v>
      </c>
      <c r="J269" s="51">
        <f t="shared" si="101"/>
        <v>0</v>
      </c>
      <c r="K269" s="51">
        <f t="shared" si="101"/>
        <v>0</v>
      </c>
      <c r="L269" s="51">
        <f t="shared" si="101"/>
        <v>0</v>
      </c>
      <c r="M269" s="51">
        <f t="shared" si="101"/>
        <v>0</v>
      </c>
      <c r="N269" s="51">
        <f t="shared" si="101"/>
        <v>0</v>
      </c>
      <c r="O269" s="51">
        <f t="shared" si="101"/>
        <v>0</v>
      </c>
      <c r="P269" s="51">
        <f t="shared" si="101"/>
        <v>0</v>
      </c>
      <c r="Q269" s="51">
        <f t="shared" si="101"/>
        <v>0</v>
      </c>
      <c r="R269" s="51">
        <f t="shared" si="101"/>
        <v>0</v>
      </c>
      <c r="S269" s="51">
        <f t="shared" si="101"/>
        <v>0</v>
      </c>
      <c r="T269" s="51">
        <f t="shared" si="101"/>
        <v>0</v>
      </c>
      <c r="U269" s="51">
        <f t="shared" si="101"/>
        <v>0</v>
      </c>
      <c r="V269" s="51">
        <f t="shared" si="101"/>
        <v>0</v>
      </c>
      <c r="W269" s="51">
        <f t="shared" si="101"/>
        <v>0</v>
      </c>
      <c r="X269" s="51">
        <f t="shared" si="101"/>
        <v>0</v>
      </c>
      <c r="Y269" s="51">
        <f t="shared" si="101"/>
        <v>0</v>
      </c>
      <c r="Z269" s="51">
        <f t="shared" si="101"/>
        <v>0</v>
      </c>
      <c r="AA269" s="51">
        <f t="shared" si="101"/>
        <v>0</v>
      </c>
      <c r="AB269" s="51">
        <f t="shared" si="101"/>
        <v>0</v>
      </c>
      <c r="AC269" s="51">
        <f t="shared" si="101"/>
        <v>0</v>
      </c>
      <c r="AD269" s="51">
        <f t="shared" si="101"/>
        <v>0</v>
      </c>
      <c r="AE269" s="51">
        <f t="shared" si="101"/>
        <v>0</v>
      </c>
      <c r="AF269" s="51">
        <f t="shared" si="101"/>
        <v>0</v>
      </c>
      <c r="AG269" s="51">
        <f t="shared" si="101"/>
        <v>0</v>
      </c>
      <c r="AH269" s="51">
        <f t="shared" si="101"/>
        <v>0</v>
      </c>
      <c r="AI269" s="51">
        <f t="shared" si="101"/>
        <v>0</v>
      </c>
      <c r="AJ269" s="51">
        <f t="shared" si="101"/>
        <v>0</v>
      </c>
      <c r="AK269" s="51">
        <f t="shared" si="101"/>
        <v>0</v>
      </c>
      <c r="AL269" s="51">
        <f t="shared" si="101"/>
        <v>0</v>
      </c>
      <c r="AM269" s="51">
        <f t="shared" si="101"/>
        <v>0</v>
      </c>
    </row>
    <row r="270" spans="2:40" s="20" customFormat="1" ht="40.5" hidden="1">
      <c r="B270" s="73" t="s">
        <v>237</v>
      </c>
      <c r="C270" s="51">
        <f>C273</f>
        <v>0</v>
      </c>
      <c r="D270" s="51">
        <f t="shared" ref="D270:L270" si="102">D273</f>
        <v>0</v>
      </c>
      <c r="E270" s="51">
        <f t="shared" si="102"/>
        <v>0</v>
      </c>
      <c r="F270" s="51">
        <f t="shared" si="102"/>
        <v>52005</v>
      </c>
      <c r="G270" s="51">
        <f t="shared" si="102"/>
        <v>0</v>
      </c>
      <c r="H270" s="51">
        <f t="shared" si="102"/>
        <v>0</v>
      </c>
      <c r="I270" s="51">
        <f t="shared" si="102"/>
        <v>0</v>
      </c>
      <c r="J270" s="51">
        <f t="shared" si="102"/>
        <v>0</v>
      </c>
      <c r="K270" s="51">
        <f t="shared" si="102"/>
        <v>0</v>
      </c>
      <c r="L270" s="51">
        <f t="shared" si="102"/>
        <v>0</v>
      </c>
      <c r="M270" s="51">
        <f>M273+M271</f>
        <v>4921275.0699999994</v>
      </c>
      <c r="N270" s="51">
        <f t="shared" ref="N270:AE270" si="103">N273+N271</f>
        <v>52005</v>
      </c>
      <c r="O270" s="51">
        <f t="shared" si="103"/>
        <v>0</v>
      </c>
      <c r="P270" s="51">
        <f t="shared" si="103"/>
        <v>0</v>
      </c>
      <c r="Q270" s="51">
        <f t="shared" si="103"/>
        <v>0</v>
      </c>
      <c r="R270" s="51">
        <f t="shared" si="103"/>
        <v>0</v>
      </c>
      <c r="S270" s="51">
        <f t="shared" si="103"/>
        <v>0</v>
      </c>
      <c r="T270" s="51">
        <f t="shared" si="103"/>
        <v>0</v>
      </c>
      <c r="U270" s="51">
        <f t="shared" si="103"/>
        <v>4921275.07</v>
      </c>
      <c r="V270" s="51">
        <f t="shared" si="103"/>
        <v>0</v>
      </c>
      <c r="W270" s="51">
        <f t="shared" si="103"/>
        <v>0</v>
      </c>
      <c r="X270" s="51">
        <f t="shared" si="103"/>
        <v>0</v>
      </c>
      <c r="Y270" s="51">
        <f t="shared" si="103"/>
        <v>0</v>
      </c>
      <c r="Z270" s="51">
        <f t="shared" si="103"/>
        <v>0</v>
      </c>
      <c r="AA270" s="51">
        <f t="shared" si="103"/>
        <v>0</v>
      </c>
      <c r="AB270" s="51">
        <f t="shared" si="103"/>
        <v>0</v>
      </c>
      <c r="AC270" s="51">
        <f t="shared" si="103"/>
        <v>0</v>
      </c>
      <c r="AD270" s="51">
        <f t="shared" si="103"/>
        <v>0</v>
      </c>
      <c r="AE270" s="51">
        <f t="shared" si="103"/>
        <v>0</v>
      </c>
      <c r="AF270" s="51">
        <f t="shared" ref="AF270:AK270" si="104">AF273</f>
        <v>4617100</v>
      </c>
      <c r="AG270" s="51">
        <f t="shared" si="104"/>
        <v>0</v>
      </c>
      <c r="AH270" s="51">
        <f t="shared" si="104"/>
        <v>4617100</v>
      </c>
      <c r="AI270" s="51">
        <f t="shared" si="104"/>
        <v>0</v>
      </c>
      <c r="AJ270" s="51">
        <f t="shared" si="104"/>
        <v>0</v>
      </c>
      <c r="AK270" s="51">
        <f t="shared" si="104"/>
        <v>0</v>
      </c>
      <c r="AL270" s="51">
        <f t="shared" ref="AL270:AM270" si="105">AL273+AL271</f>
        <v>0</v>
      </c>
      <c r="AM270" s="51">
        <f t="shared" si="105"/>
        <v>0</v>
      </c>
    </row>
    <row r="271" spans="2:40" s="20" customFormat="1" ht="22.5" hidden="1" customHeight="1">
      <c r="B271" s="50" t="s">
        <v>261</v>
      </c>
      <c r="C271" s="51"/>
      <c r="D271" s="51"/>
      <c r="E271" s="51"/>
      <c r="F271" s="51"/>
      <c r="G271" s="51"/>
      <c r="H271" s="51"/>
      <c r="I271" s="51"/>
      <c r="J271" s="51"/>
      <c r="K271" s="51"/>
      <c r="L271" s="51"/>
      <c r="M271" s="52">
        <f>516200+429248.8+1308091.45+1917524.08+275826.27+474384.47</f>
        <v>4921275.0699999994</v>
      </c>
      <c r="N271" s="51"/>
      <c r="O271" s="51"/>
      <c r="P271" s="51"/>
      <c r="Q271" s="51"/>
      <c r="R271" s="51"/>
      <c r="S271" s="51"/>
      <c r="T271" s="51"/>
      <c r="U271" s="52">
        <v>4921275.07</v>
      </c>
      <c r="V271" s="30">
        <f>I271+J271-F271+M271+N271-U271</f>
        <v>0</v>
      </c>
      <c r="W271" s="65"/>
      <c r="X271" s="65"/>
      <c r="Y271" s="65"/>
      <c r="Z271" s="65"/>
      <c r="AA271" s="65"/>
      <c r="AB271" s="30">
        <f>V271</f>
        <v>0</v>
      </c>
      <c r="AC271" s="65"/>
      <c r="AD271" s="65"/>
      <c r="AE271" s="65"/>
      <c r="AF271" s="30">
        <f>3867100+750000</f>
        <v>4617100</v>
      </c>
      <c r="AG271" s="65"/>
      <c r="AH271" s="30">
        <v>4617100</v>
      </c>
      <c r="AI271" s="30">
        <f>V271+W271-Y271+AC271-AE271+AF271+AG271-AH271</f>
        <v>0</v>
      </c>
      <c r="AJ271" s="30">
        <f>W271+X271-Z271+AD271-AF271+AG271+AH271-AI271</f>
        <v>0</v>
      </c>
      <c r="AK271" s="30"/>
      <c r="AL271" s="30">
        <v>0</v>
      </c>
      <c r="AM271" s="30"/>
    </row>
    <row r="272" spans="2:40" s="20" customFormat="1" ht="18" hidden="1" customHeight="1" thickBot="1">
      <c r="B272" s="69" t="s">
        <v>238</v>
      </c>
      <c r="C272" s="51"/>
      <c r="D272" s="51"/>
      <c r="E272" s="51"/>
      <c r="F272" s="52">
        <f>52005</f>
        <v>52005</v>
      </c>
      <c r="G272" s="52"/>
      <c r="H272" s="52"/>
      <c r="I272" s="52"/>
      <c r="J272" s="51"/>
      <c r="K272" s="51"/>
      <c r="L272" s="51"/>
      <c r="M272" s="75">
        <f>27500-27500</f>
        <v>0</v>
      </c>
      <c r="N272" s="75">
        <v>52005</v>
      </c>
      <c r="O272" s="65"/>
      <c r="P272" s="65"/>
      <c r="Q272" s="65"/>
      <c r="R272" s="65"/>
      <c r="S272" s="65"/>
      <c r="T272" s="76"/>
      <c r="U272" s="65"/>
      <c r="V272" s="30">
        <f>I272+J272-F272+M272+N272-U272</f>
        <v>0</v>
      </c>
      <c r="W272" s="65"/>
      <c r="X272" s="65"/>
      <c r="Y272" s="65"/>
      <c r="Z272" s="65"/>
      <c r="AA272" s="65"/>
      <c r="AB272" s="30">
        <f>V272</f>
        <v>0</v>
      </c>
      <c r="AC272" s="65"/>
      <c r="AD272" s="65"/>
      <c r="AE272" s="65"/>
      <c r="AF272" s="65"/>
      <c r="AG272" s="65"/>
      <c r="AH272" s="65"/>
      <c r="AI272" s="30">
        <f>V272+W272-Y272+AC272-AE272+AF272+AG272-AH272</f>
        <v>0</v>
      </c>
      <c r="AJ272" s="30">
        <f>W272+X272-Z272+AD272-AF272+AG272+AH272-AI272</f>
        <v>0</v>
      </c>
      <c r="AK272" s="30">
        <f>X272+Y272-AA272+AE272-AG272+AH272+AI272-AJ272</f>
        <v>0</v>
      </c>
      <c r="AL272" s="30">
        <v>0</v>
      </c>
      <c r="AM272" s="30">
        <v>0</v>
      </c>
    </row>
    <row r="273" spans="2:40" s="20" customFormat="1" ht="37.5" hidden="1" customHeight="1" thickBot="1">
      <c r="B273" s="121" t="s">
        <v>198</v>
      </c>
      <c r="C273" s="51">
        <f>C272</f>
        <v>0</v>
      </c>
      <c r="D273" s="51">
        <f t="shared" ref="D273:AE273" si="106">D272</f>
        <v>0</v>
      </c>
      <c r="E273" s="51">
        <f t="shared" si="106"/>
        <v>0</v>
      </c>
      <c r="F273" s="51">
        <f t="shared" si="106"/>
        <v>52005</v>
      </c>
      <c r="G273" s="51">
        <f t="shared" si="106"/>
        <v>0</v>
      </c>
      <c r="H273" s="51">
        <f t="shared" si="106"/>
        <v>0</v>
      </c>
      <c r="I273" s="51">
        <f t="shared" si="106"/>
        <v>0</v>
      </c>
      <c r="J273" s="51">
        <f t="shared" si="106"/>
        <v>0</v>
      </c>
      <c r="K273" s="51">
        <f t="shared" si="106"/>
        <v>0</v>
      </c>
      <c r="L273" s="51">
        <f t="shared" si="106"/>
        <v>0</v>
      </c>
      <c r="M273" s="51">
        <f t="shared" si="106"/>
        <v>0</v>
      </c>
      <c r="N273" s="51">
        <f t="shared" si="106"/>
        <v>52005</v>
      </c>
      <c r="O273" s="51">
        <f t="shared" si="106"/>
        <v>0</v>
      </c>
      <c r="P273" s="51">
        <f t="shared" si="106"/>
        <v>0</v>
      </c>
      <c r="Q273" s="51">
        <f t="shared" si="106"/>
        <v>0</v>
      </c>
      <c r="R273" s="51">
        <f t="shared" si="106"/>
        <v>0</v>
      </c>
      <c r="S273" s="51">
        <f t="shared" si="106"/>
        <v>0</v>
      </c>
      <c r="T273" s="51">
        <f t="shared" si="106"/>
        <v>0</v>
      </c>
      <c r="U273" s="51">
        <f t="shared" si="106"/>
        <v>0</v>
      </c>
      <c r="V273" s="51">
        <f t="shared" si="106"/>
        <v>0</v>
      </c>
      <c r="W273" s="51">
        <f t="shared" si="106"/>
        <v>0</v>
      </c>
      <c r="X273" s="51">
        <f t="shared" si="106"/>
        <v>0</v>
      </c>
      <c r="Y273" s="51">
        <f t="shared" si="106"/>
        <v>0</v>
      </c>
      <c r="Z273" s="51">
        <f t="shared" si="106"/>
        <v>0</v>
      </c>
      <c r="AA273" s="51">
        <f t="shared" si="106"/>
        <v>0</v>
      </c>
      <c r="AB273" s="51">
        <f t="shared" si="106"/>
        <v>0</v>
      </c>
      <c r="AC273" s="51">
        <f t="shared" si="106"/>
        <v>0</v>
      </c>
      <c r="AD273" s="51">
        <f t="shared" si="106"/>
        <v>0</v>
      </c>
      <c r="AE273" s="51">
        <f t="shared" si="106"/>
        <v>0</v>
      </c>
      <c r="AF273" s="51">
        <f t="shared" ref="AF273:AK273" si="107">AF271+AF272</f>
        <v>4617100</v>
      </c>
      <c r="AG273" s="51">
        <f t="shared" si="107"/>
        <v>0</v>
      </c>
      <c r="AH273" s="51">
        <f t="shared" si="107"/>
        <v>4617100</v>
      </c>
      <c r="AI273" s="51">
        <f t="shared" si="107"/>
        <v>0</v>
      </c>
      <c r="AJ273" s="51">
        <f t="shared" si="107"/>
        <v>0</v>
      </c>
      <c r="AK273" s="51">
        <f t="shared" si="107"/>
        <v>0</v>
      </c>
      <c r="AL273" s="51">
        <f t="shared" ref="AL273:AM273" si="108">AL272</f>
        <v>0</v>
      </c>
      <c r="AM273" s="51">
        <f t="shared" si="108"/>
        <v>0</v>
      </c>
    </row>
    <row r="274" spans="2:40" s="20" customFormat="1" ht="45.6" hidden="1" customHeight="1" thickBot="1">
      <c r="B274" s="145" t="s">
        <v>239</v>
      </c>
      <c r="C274" s="51"/>
      <c r="D274" s="51"/>
      <c r="E274" s="51"/>
      <c r="F274" s="51"/>
      <c r="G274" s="51"/>
      <c r="H274" s="51"/>
      <c r="I274" s="51"/>
      <c r="J274" s="51"/>
      <c r="K274" s="51"/>
      <c r="L274" s="51"/>
      <c r="M274" s="51">
        <f>M278</f>
        <v>18600000</v>
      </c>
      <c r="N274" s="51">
        <f t="shared" ref="N274:U274" si="109">N278</f>
        <v>0</v>
      </c>
      <c r="O274" s="51">
        <f t="shared" si="109"/>
        <v>0</v>
      </c>
      <c r="P274" s="51">
        <f t="shared" si="109"/>
        <v>0</v>
      </c>
      <c r="Q274" s="51">
        <f t="shared" si="109"/>
        <v>0</v>
      </c>
      <c r="R274" s="51">
        <f t="shared" si="109"/>
        <v>0</v>
      </c>
      <c r="S274" s="51">
        <f t="shared" si="109"/>
        <v>0</v>
      </c>
      <c r="T274" s="51">
        <f t="shared" si="109"/>
        <v>0</v>
      </c>
      <c r="U274" s="51">
        <f t="shared" si="109"/>
        <v>18600000</v>
      </c>
      <c r="V274" s="51">
        <f>V277</f>
        <v>0</v>
      </c>
      <c r="W274" s="51">
        <f t="shared" ref="W274:AE274" si="110">W277</f>
        <v>0</v>
      </c>
      <c r="X274" s="51">
        <f t="shared" si="110"/>
        <v>0</v>
      </c>
      <c r="Y274" s="51">
        <f t="shared" si="110"/>
        <v>0</v>
      </c>
      <c r="Z274" s="51">
        <f t="shared" si="110"/>
        <v>0</v>
      </c>
      <c r="AA274" s="51">
        <f t="shared" si="110"/>
        <v>0</v>
      </c>
      <c r="AB274" s="51">
        <f t="shared" si="110"/>
        <v>0</v>
      </c>
      <c r="AC274" s="51">
        <f t="shared" si="110"/>
        <v>0</v>
      </c>
      <c r="AD274" s="51">
        <f t="shared" si="110"/>
        <v>0</v>
      </c>
      <c r="AE274" s="51">
        <f t="shared" si="110"/>
        <v>0</v>
      </c>
      <c r="AF274" s="51">
        <f t="shared" ref="AF274:AK274" si="111">AF277+AF276</f>
        <v>20498290</v>
      </c>
      <c r="AG274" s="51">
        <f t="shared" si="111"/>
        <v>0</v>
      </c>
      <c r="AH274" s="51">
        <f t="shared" si="111"/>
        <v>20498290</v>
      </c>
      <c r="AI274" s="51">
        <f t="shared" si="111"/>
        <v>0</v>
      </c>
      <c r="AJ274" s="51">
        <f t="shared" si="111"/>
        <v>0</v>
      </c>
      <c r="AK274" s="51">
        <f t="shared" si="111"/>
        <v>0</v>
      </c>
      <c r="AL274" s="51">
        <f t="shared" ref="AL274:AM274" si="112">AL277</f>
        <v>0</v>
      </c>
      <c r="AM274" s="51">
        <f t="shared" si="112"/>
        <v>0</v>
      </c>
    </row>
    <row r="275" spans="2:40" s="20" customFormat="1" ht="44.25" hidden="1" customHeight="1" thickBot="1">
      <c r="B275" s="146" t="s">
        <v>240</v>
      </c>
      <c r="C275" s="51"/>
      <c r="D275" s="51"/>
      <c r="E275" s="51"/>
      <c r="F275" s="51"/>
      <c r="G275" s="51"/>
      <c r="H275" s="51"/>
      <c r="I275" s="51"/>
      <c r="J275" s="51"/>
      <c r="K275" s="51"/>
      <c r="L275" s="51"/>
      <c r="M275" s="51"/>
      <c r="N275" s="51"/>
      <c r="O275" s="51"/>
      <c r="P275" s="51"/>
      <c r="Q275" s="51"/>
      <c r="R275" s="51"/>
      <c r="S275" s="51"/>
      <c r="T275" s="51"/>
      <c r="U275" s="51"/>
      <c r="V275" s="51"/>
      <c r="W275" s="51"/>
      <c r="X275" s="51"/>
      <c r="Y275" s="51"/>
      <c r="Z275" s="51"/>
      <c r="AA275" s="51"/>
      <c r="AB275" s="51"/>
      <c r="AC275" s="51"/>
      <c r="AD275" s="51"/>
      <c r="AE275" s="51"/>
      <c r="AF275" s="52">
        <v>10000000</v>
      </c>
      <c r="AG275" s="51"/>
      <c r="AH275" s="51">
        <v>10000000</v>
      </c>
      <c r="AI275" s="30">
        <f>V275+W275-Y275+AC275-AE275+AF275+AG275-AH275</f>
        <v>0</v>
      </c>
      <c r="AJ275" s="30">
        <f>W275+X275-Z275+AD275-AF275+AG275+AH275-AI275</f>
        <v>0</v>
      </c>
      <c r="AK275" s="30"/>
      <c r="AL275" s="30">
        <v>0</v>
      </c>
      <c r="AM275" s="51"/>
    </row>
    <row r="276" spans="2:40" s="20" customFormat="1" ht="31.5" hidden="1" customHeight="1" thickBot="1">
      <c r="B276" s="121" t="s">
        <v>213</v>
      </c>
      <c r="C276" s="51"/>
      <c r="D276" s="51"/>
      <c r="E276" s="51"/>
      <c r="F276" s="51"/>
      <c r="G276" s="51"/>
      <c r="H276" s="51"/>
      <c r="I276" s="51"/>
      <c r="J276" s="51"/>
      <c r="K276" s="51"/>
      <c r="L276" s="51"/>
      <c r="M276" s="51"/>
      <c r="N276" s="51"/>
      <c r="O276" s="51"/>
      <c r="P276" s="51"/>
      <c r="Q276" s="51"/>
      <c r="R276" s="51"/>
      <c r="S276" s="51"/>
      <c r="T276" s="51"/>
      <c r="U276" s="51"/>
      <c r="V276" s="51"/>
      <c r="W276" s="51"/>
      <c r="X276" s="51"/>
      <c r="Y276" s="51"/>
      <c r="Z276" s="51"/>
      <c r="AA276" s="51"/>
      <c r="AB276" s="51"/>
      <c r="AC276" s="51"/>
      <c r="AD276" s="51"/>
      <c r="AE276" s="51"/>
      <c r="AF276" s="52">
        <f t="shared" ref="AF276:AL276" si="113">AF275</f>
        <v>10000000</v>
      </c>
      <c r="AG276" s="52">
        <f t="shared" si="113"/>
        <v>0</v>
      </c>
      <c r="AH276" s="52">
        <f t="shared" si="113"/>
        <v>10000000</v>
      </c>
      <c r="AI276" s="52">
        <f t="shared" si="113"/>
        <v>0</v>
      </c>
      <c r="AJ276" s="52">
        <f t="shared" si="113"/>
        <v>0</v>
      </c>
      <c r="AK276" s="52">
        <f t="shared" si="113"/>
        <v>0</v>
      </c>
      <c r="AL276" s="52">
        <f t="shared" si="113"/>
        <v>0</v>
      </c>
      <c r="AM276" s="51"/>
    </row>
    <row r="277" spans="2:40" s="20" customFormat="1" ht="22.15" hidden="1" customHeight="1" thickBot="1">
      <c r="B277" s="120" t="s">
        <v>241</v>
      </c>
      <c r="C277" s="51"/>
      <c r="D277" s="51"/>
      <c r="E277" s="51"/>
      <c r="F277" s="51"/>
      <c r="G277" s="51"/>
      <c r="H277" s="51"/>
      <c r="I277" s="51"/>
      <c r="J277" s="51"/>
      <c r="K277" s="51"/>
      <c r="L277" s="51"/>
      <c r="M277" s="52">
        <f>5580000+4586301+1528767+1529725.9+1528767+50000+3159451.8+636987.3</f>
        <v>18600000</v>
      </c>
      <c r="N277" s="51"/>
      <c r="O277" s="51"/>
      <c r="P277" s="51"/>
      <c r="Q277" s="51"/>
      <c r="R277" s="51"/>
      <c r="S277" s="51"/>
      <c r="T277" s="51"/>
      <c r="U277" s="52">
        <v>18600000</v>
      </c>
      <c r="V277" s="30">
        <f>I277+J277+M277+N277-U277</f>
        <v>0</v>
      </c>
      <c r="W277" s="30">
        <f>J277+K277+N277+O277-V277</f>
        <v>0</v>
      </c>
      <c r="X277" s="30">
        <f>K277+L277+O277+P277-W277</f>
        <v>0</v>
      </c>
      <c r="Y277" s="30"/>
      <c r="Z277" s="30"/>
      <c r="AA277" s="30"/>
      <c r="AB277" s="30">
        <f>V277</f>
        <v>0</v>
      </c>
      <c r="AC277" s="30"/>
      <c r="AD277" s="30"/>
      <c r="AE277" s="30"/>
      <c r="AF277" s="30">
        <f>888642.96+376282.32+495743.82+453600.29+1968442.78+344117.56+367598.86+3147893.68+2455967.73</f>
        <v>10498290</v>
      </c>
      <c r="AG277" s="30"/>
      <c r="AH277" s="30">
        <v>10498290</v>
      </c>
      <c r="AI277" s="30">
        <f>V277+W277-Y277+AC277-AE277+AF277+AG277-AH277</f>
        <v>0</v>
      </c>
      <c r="AJ277" s="30">
        <f>W277+X277-Z277+AD277-AF277+AG277+AH277-AI277</f>
        <v>0</v>
      </c>
      <c r="AK277" s="30"/>
      <c r="AL277" s="54">
        <f>X277+Y277+AB277+AC277-AJ277</f>
        <v>0</v>
      </c>
      <c r="AM277" s="54"/>
      <c r="AN277" s="56"/>
    </row>
    <row r="278" spans="2:40" s="20" customFormat="1" ht="28.5" hidden="1">
      <c r="B278" s="121" t="s">
        <v>95</v>
      </c>
      <c r="C278" s="51"/>
      <c r="D278" s="51"/>
      <c r="E278" s="51"/>
      <c r="F278" s="51"/>
      <c r="G278" s="51"/>
      <c r="H278" s="51"/>
      <c r="I278" s="51"/>
      <c r="J278" s="51"/>
      <c r="K278" s="51"/>
      <c r="L278" s="51"/>
      <c r="M278" s="51">
        <f>M277</f>
        <v>18600000</v>
      </c>
      <c r="N278" s="51"/>
      <c r="O278" s="51"/>
      <c r="P278" s="51"/>
      <c r="Q278" s="51"/>
      <c r="R278" s="51"/>
      <c r="S278" s="51"/>
      <c r="T278" s="51"/>
      <c r="U278" s="51">
        <f>U277</f>
        <v>18600000</v>
      </c>
      <c r="V278" s="51">
        <f>V277</f>
        <v>0</v>
      </c>
      <c r="W278" s="51">
        <f t="shared" ref="W278:AM278" si="114">W277</f>
        <v>0</v>
      </c>
      <c r="X278" s="51">
        <f t="shared" si="114"/>
        <v>0</v>
      </c>
      <c r="Y278" s="51">
        <f t="shared" si="114"/>
        <v>0</v>
      </c>
      <c r="Z278" s="51">
        <f t="shared" si="114"/>
        <v>0</v>
      </c>
      <c r="AA278" s="51">
        <f t="shared" si="114"/>
        <v>0</v>
      </c>
      <c r="AB278" s="51">
        <f t="shared" si="114"/>
        <v>0</v>
      </c>
      <c r="AC278" s="51">
        <f t="shared" si="114"/>
        <v>0</v>
      </c>
      <c r="AD278" s="51">
        <f t="shared" si="114"/>
        <v>0</v>
      </c>
      <c r="AE278" s="51">
        <f t="shared" si="114"/>
        <v>0</v>
      </c>
      <c r="AF278" s="51">
        <f t="shared" si="114"/>
        <v>10498290</v>
      </c>
      <c r="AG278" s="51">
        <f t="shared" si="114"/>
        <v>0</v>
      </c>
      <c r="AH278" s="51">
        <f t="shared" si="114"/>
        <v>10498290</v>
      </c>
      <c r="AI278" s="51">
        <f t="shared" si="114"/>
        <v>0</v>
      </c>
      <c r="AJ278" s="51">
        <f t="shared" si="114"/>
        <v>0</v>
      </c>
      <c r="AK278" s="51">
        <f t="shared" si="114"/>
        <v>0</v>
      </c>
      <c r="AL278" s="51">
        <f t="shared" si="114"/>
        <v>0</v>
      </c>
      <c r="AM278" s="51">
        <f t="shared" si="114"/>
        <v>0</v>
      </c>
    </row>
    <row r="279" spans="2:40" ht="39" customHeight="1">
      <c r="B279" s="147" t="s">
        <v>222</v>
      </c>
      <c r="C279" s="148">
        <f t="shared" ref="C279:L279" si="115">C9+C239+C246+C252+C264+C270</f>
        <v>1782640861.6600001</v>
      </c>
      <c r="D279" s="148">
        <f t="shared" si="115"/>
        <v>464978887.12</v>
      </c>
      <c r="E279" s="148">
        <f t="shared" si="115"/>
        <v>416445327.88000005</v>
      </c>
      <c r="F279" s="148">
        <f t="shared" si="115"/>
        <v>589391425.25999999</v>
      </c>
      <c r="G279" s="148">
        <f t="shared" si="115"/>
        <v>48145049.399999999</v>
      </c>
      <c r="H279" s="148">
        <f t="shared" si="115"/>
        <v>0</v>
      </c>
      <c r="I279" s="148">
        <f t="shared" si="115"/>
        <v>1275351362.5700002</v>
      </c>
      <c r="J279" s="148">
        <f t="shared" si="115"/>
        <v>272597993.50999999</v>
      </c>
      <c r="K279" s="148">
        <f t="shared" si="115"/>
        <v>19231253.32</v>
      </c>
      <c r="L279" s="148">
        <f t="shared" si="115"/>
        <v>31088442.34</v>
      </c>
      <c r="M279" s="148">
        <f t="shared" ref="M279:AM279" si="116">M9+M239+M246+M252+M264+M270+M274</f>
        <v>10704364603.83</v>
      </c>
      <c r="N279" s="148">
        <f t="shared" si="116"/>
        <v>173044917.13999999</v>
      </c>
      <c r="O279" s="148">
        <f t="shared" si="116"/>
        <v>0</v>
      </c>
      <c r="P279" s="148">
        <f t="shared" si="116"/>
        <v>0</v>
      </c>
      <c r="Q279" s="148">
        <f t="shared" si="116"/>
        <v>0</v>
      </c>
      <c r="R279" s="148">
        <f t="shared" si="116"/>
        <v>0</v>
      </c>
      <c r="S279" s="148">
        <f t="shared" si="116"/>
        <v>0</v>
      </c>
      <c r="T279" s="148">
        <f t="shared" si="116"/>
        <v>0</v>
      </c>
      <c r="U279" s="148">
        <f t="shared" si="116"/>
        <v>9290674905.0699978</v>
      </c>
      <c r="V279" s="148">
        <f t="shared" si="116"/>
        <v>3105028185.4799995</v>
      </c>
      <c r="W279" s="148">
        <f t="shared" si="116"/>
        <v>922157693.82000005</v>
      </c>
      <c r="X279" s="148">
        <f t="shared" si="116"/>
        <v>2950471693.7800007</v>
      </c>
      <c r="Y279" s="148">
        <f t="shared" si="116"/>
        <v>2988936281.710001</v>
      </c>
      <c r="Z279" s="148">
        <f t="shared" si="116"/>
        <v>2540904432.27</v>
      </c>
      <c r="AA279" s="148">
        <f t="shared" si="116"/>
        <v>2252285721.1099997</v>
      </c>
      <c r="AB279" s="148">
        <f t="shared" si="116"/>
        <v>150745075.76999995</v>
      </c>
      <c r="AC279" s="148">
        <f t="shared" si="116"/>
        <v>2249464302.4799995</v>
      </c>
      <c r="AD279" s="148">
        <f t="shared" si="116"/>
        <v>2821418.63</v>
      </c>
      <c r="AE279" s="148">
        <f t="shared" si="116"/>
        <v>95716988.279999986</v>
      </c>
      <c r="AF279" s="148">
        <f t="shared" si="116"/>
        <v>9198379072.6300011</v>
      </c>
      <c r="AG279" s="148">
        <f t="shared" si="116"/>
        <v>37855931.649999999</v>
      </c>
      <c r="AH279" s="148">
        <f t="shared" si="116"/>
        <v>11006708214.900002</v>
      </c>
      <c r="AI279" s="148">
        <f t="shared" si="116"/>
        <v>751846141.28999996</v>
      </c>
      <c r="AJ279" s="148">
        <f t="shared" si="116"/>
        <v>734028062.06999993</v>
      </c>
      <c r="AK279" s="148">
        <f t="shared" si="116"/>
        <v>0</v>
      </c>
      <c r="AL279" s="148">
        <f t="shared" si="116"/>
        <v>300673839.02999997</v>
      </c>
      <c r="AM279" s="148">
        <f t="shared" si="116"/>
        <v>461705236.22000003</v>
      </c>
    </row>
    <row r="280" spans="2:40" ht="12.75">
      <c r="B280" s="2"/>
      <c r="C280" s="2"/>
      <c r="D280" s="2"/>
      <c r="E280" s="2"/>
      <c r="F280" s="2"/>
    </row>
    <row r="281" spans="2:40" ht="39.75" customHeight="1">
      <c r="B281" s="155" t="s">
        <v>323</v>
      </c>
      <c r="C281" s="156"/>
      <c r="D281" s="156"/>
      <c r="E281" s="156"/>
      <c r="F281" s="156"/>
      <c r="G281" s="156"/>
      <c r="H281" s="156"/>
      <c r="I281" s="156"/>
      <c r="J281" s="156"/>
      <c r="K281" s="156"/>
      <c r="L281" s="156"/>
      <c r="M281" s="156"/>
      <c r="N281" s="156"/>
      <c r="O281" s="156"/>
      <c r="P281" s="156"/>
      <c r="Q281" s="156"/>
      <c r="R281" s="156"/>
      <c r="S281" s="156"/>
      <c r="T281" s="156"/>
      <c r="U281" s="156"/>
      <c r="V281" s="156"/>
      <c r="W281" s="156"/>
      <c r="X281" s="156"/>
      <c r="Y281" s="156"/>
      <c r="Z281" s="156"/>
      <c r="AA281" s="156"/>
      <c r="AB281" s="156"/>
      <c r="AC281" s="156"/>
      <c r="AD281" s="156"/>
      <c r="AE281" s="156"/>
      <c r="AF281" s="156"/>
      <c r="AG281" s="156"/>
      <c r="AH281" s="156"/>
      <c r="AI281" s="156"/>
      <c r="AJ281" s="156"/>
      <c r="AK281" s="156"/>
      <c r="AL281" s="156"/>
      <c r="AM281" s="156"/>
    </row>
    <row r="282" spans="2:40" ht="15.75">
      <c r="B282" s="151"/>
      <c r="C282" s="151"/>
      <c r="D282" s="151"/>
      <c r="E282" s="151"/>
      <c r="F282" s="151"/>
      <c r="G282" s="151"/>
      <c r="H282" s="151"/>
      <c r="I282" s="151"/>
      <c r="J282" s="151"/>
      <c r="K282" s="151"/>
      <c r="L282" s="151"/>
      <c r="M282" s="151"/>
      <c r="N282" s="151"/>
      <c r="O282" s="151"/>
      <c r="P282" s="151"/>
      <c r="Q282" s="151"/>
      <c r="R282" s="151"/>
      <c r="S282" s="151"/>
      <c r="T282" s="151"/>
      <c r="U282" s="151"/>
      <c r="V282" s="151"/>
      <c r="W282" s="151"/>
      <c r="X282" s="151"/>
      <c r="Y282" s="151"/>
      <c r="Z282" s="151"/>
      <c r="AA282" s="151"/>
      <c r="AB282" s="151"/>
      <c r="AC282" s="151"/>
      <c r="AD282" s="151"/>
      <c r="AE282" s="151"/>
      <c r="AF282" s="151"/>
      <c r="AG282" s="152"/>
      <c r="AH282" s="151"/>
      <c r="AI282" s="151"/>
      <c r="AJ282" s="151"/>
      <c r="AK282" s="151"/>
      <c r="AL282" s="151"/>
      <c r="AM282" s="151"/>
    </row>
    <row r="283" spans="2:40" ht="39" customHeight="1">
      <c r="B283" s="155" t="s">
        <v>322</v>
      </c>
      <c r="C283" s="156"/>
      <c r="D283" s="156"/>
      <c r="E283" s="156"/>
      <c r="F283" s="156"/>
      <c r="G283" s="156"/>
      <c r="H283" s="156"/>
      <c r="I283" s="156"/>
      <c r="J283" s="156"/>
      <c r="K283" s="156"/>
      <c r="L283" s="156"/>
      <c r="M283" s="156"/>
      <c r="N283" s="156"/>
      <c r="O283" s="156"/>
      <c r="P283" s="156"/>
      <c r="Q283" s="156"/>
      <c r="R283" s="156"/>
      <c r="S283" s="156"/>
      <c r="T283" s="156"/>
      <c r="U283" s="156"/>
      <c r="V283" s="156"/>
      <c r="W283" s="156"/>
      <c r="X283" s="156"/>
      <c r="Y283" s="156"/>
      <c r="Z283" s="156"/>
      <c r="AA283" s="156"/>
      <c r="AB283" s="156"/>
      <c r="AC283" s="156"/>
      <c r="AD283" s="156"/>
      <c r="AE283" s="156"/>
      <c r="AF283" s="156"/>
      <c r="AG283" s="156"/>
      <c r="AH283" s="156"/>
      <c r="AI283" s="156"/>
      <c r="AJ283" s="156"/>
      <c r="AK283" s="156"/>
      <c r="AL283" s="156"/>
      <c r="AM283" s="156"/>
    </row>
    <row r="284" spans="2:40" ht="12.75">
      <c r="B284" s="2"/>
      <c r="C284" s="2"/>
      <c r="D284" s="2"/>
      <c r="E284" s="2"/>
      <c r="F284" s="2"/>
    </row>
    <row r="285" spans="2:40" ht="12.75">
      <c r="B285" s="2"/>
      <c r="C285" s="2"/>
      <c r="D285" s="2"/>
      <c r="E285" s="2"/>
      <c r="F285" s="2"/>
    </row>
    <row r="286" spans="2:40" ht="12.75">
      <c r="B286" s="2"/>
      <c r="C286" s="2"/>
      <c r="D286" s="2"/>
      <c r="E286" s="2"/>
      <c r="F286" s="2"/>
    </row>
    <row r="287" spans="2:40" ht="12.75">
      <c r="B287" s="2"/>
      <c r="C287" s="2"/>
      <c r="D287" s="2"/>
      <c r="E287" s="2"/>
      <c r="F287" s="2"/>
    </row>
    <row r="288" spans="2:40" ht="12.75">
      <c r="B288" s="2"/>
      <c r="C288" s="2"/>
      <c r="D288" s="2"/>
      <c r="E288" s="2"/>
      <c r="F288" s="2"/>
    </row>
    <row r="289" spans="2:6" ht="12.75">
      <c r="B289" s="2"/>
      <c r="C289" s="2"/>
      <c r="D289" s="2"/>
      <c r="E289" s="2"/>
      <c r="F289" s="2"/>
    </row>
    <row r="290" spans="2:6" ht="12.75">
      <c r="B290" s="2"/>
      <c r="C290" s="2"/>
      <c r="D290" s="2"/>
      <c r="E290" s="2"/>
      <c r="F290" s="2"/>
    </row>
    <row r="291" spans="2:6" ht="12.75">
      <c r="B291" s="2"/>
      <c r="C291" s="2"/>
      <c r="D291" s="2"/>
      <c r="E291" s="2"/>
      <c r="F291" s="2"/>
    </row>
    <row r="292" spans="2:6" ht="12.75">
      <c r="B292" s="2"/>
      <c r="C292" s="2"/>
      <c r="D292" s="2"/>
      <c r="E292" s="2"/>
      <c r="F292" s="2"/>
    </row>
    <row r="293" spans="2:6" ht="12.75">
      <c r="B293" s="2"/>
      <c r="C293" s="2"/>
      <c r="D293" s="2"/>
      <c r="E293" s="2"/>
      <c r="F293" s="2"/>
    </row>
    <row r="294" spans="2:6" ht="12.75">
      <c r="B294" s="2"/>
      <c r="C294" s="2"/>
      <c r="D294" s="2"/>
      <c r="E294" s="2"/>
      <c r="F294" s="2"/>
    </row>
    <row r="295" spans="2:6" ht="12.75">
      <c r="B295" s="2"/>
      <c r="C295" s="2"/>
      <c r="D295" s="2"/>
      <c r="E295" s="2"/>
      <c r="F295" s="2"/>
    </row>
    <row r="296" spans="2:6" ht="12.75">
      <c r="B296" s="2"/>
      <c r="C296" s="2"/>
      <c r="D296" s="2"/>
      <c r="E296" s="2"/>
      <c r="F296" s="2"/>
    </row>
    <row r="297" spans="2:6" ht="12.75">
      <c r="B297" s="2"/>
      <c r="C297" s="2"/>
      <c r="D297" s="2"/>
      <c r="E297" s="2"/>
      <c r="F297" s="2"/>
    </row>
    <row r="298" spans="2:6" ht="12.75">
      <c r="B298" s="2"/>
      <c r="C298" s="2"/>
      <c r="D298" s="2"/>
      <c r="E298" s="2"/>
      <c r="F298" s="2"/>
    </row>
    <row r="299" spans="2:6" ht="12.75">
      <c r="B299" s="2"/>
      <c r="C299" s="2"/>
      <c r="D299" s="2"/>
      <c r="E299" s="2"/>
      <c r="F299" s="2"/>
    </row>
    <row r="300" spans="2:6" ht="12.75">
      <c r="B300" s="2"/>
      <c r="C300" s="2"/>
      <c r="D300" s="2"/>
      <c r="E300" s="2"/>
      <c r="F300" s="2"/>
    </row>
    <row r="301" spans="2:6" ht="12.75">
      <c r="B301" s="2"/>
      <c r="C301" s="2"/>
      <c r="D301" s="2"/>
      <c r="E301" s="2"/>
      <c r="F301" s="2"/>
    </row>
    <row r="302" spans="2:6" ht="12.75">
      <c r="B302" s="2"/>
      <c r="C302" s="2"/>
      <c r="D302" s="2"/>
      <c r="E302" s="2"/>
      <c r="F302" s="2"/>
    </row>
    <row r="303" spans="2:6" ht="12.75">
      <c r="B303" s="2"/>
      <c r="C303" s="2"/>
      <c r="D303" s="2"/>
      <c r="E303" s="2"/>
      <c r="F303" s="2"/>
    </row>
  </sheetData>
  <mergeCells count="23">
    <mergeCell ref="AF6:AF7"/>
    <mergeCell ref="AG6:AG7"/>
    <mergeCell ref="AL1:AM1"/>
    <mergeCell ref="AI6:AI7"/>
    <mergeCell ref="AJ6:AJ7"/>
    <mergeCell ref="AK6:AK7"/>
    <mergeCell ref="AL6:AM6"/>
    <mergeCell ref="B281:AM281"/>
    <mergeCell ref="B283:AM283"/>
    <mergeCell ref="AH6:AH7"/>
    <mergeCell ref="B3:AM3"/>
    <mergeCell ref="B6:B7"/>
    <mergeCell ref="C6:C7"/>
    <mergeCell ref="D6:D7"/>
    <mergeCell ref="E6:K6"/>
    <mergeCell ref="L6:L7"/>
    <mergeCell ref="M6:M7"/>
    <mergeCell ref="N6:N7"/>
    <mergeCell ref="U6:U7"/>
    <mergeCell ref="V6:V7"/>
    <mergeCell ref="W6:W7"/>
    <mergeCell ref="X6:AD6"/>
    <mergeCell ref="AE6:AE7"/>
  </mergeCells>
  <pageMargins left="0.86614173228346458" right="0.59055118110236227" top="0.70866141732283472" bottom="0.78740157480314965" header="0.74803149606299213" footer="0.39370078740157483"/>
  <pageSetup paperSize="9" scale="48" fitToHeight="0" orientation="portrait" r:id="rId1"/>
  <headerFooter alignWithMargins="0">
    <oddFooter>&amp;C&amp;P</oddFooter>
  </headerFooter>
  <colBreaks count="1" manualBreakCount="1">
    <brk id="39" max="282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на 02.01.16    </vt:lpstr>
      <vt:lpstr>'на 02.01.16    '!Заголовки_для_печати</vt:lpstr>
      <vt:lpstr>'на 02.01.16    '!Область_печати</vt:lpstr>
    </vt:vector>
  </TitlesOfParts>
  <Company>minfin AO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Pavlenko</dc:creator>
  <cp:lastModifiedBy>Pavlenko</cp:lastModifiedBy>
  <cp:lastPrinted>2016-03-15T12:14:49Z</cp:lastPrinted>
  <dcterms:created xsi:type="dcterms:W3CDTF">2015-01-15T11:10:47Z</dcterms:created>
  <dcterms:modified xsi:type="dcterms:W3CDTF">2016-03-15T12:14:52Z</dcterms:modified>
</cp:coreProperties>
</file>